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8800" windowHeight="12435" tabRatio="878" firstSheet="35" activeTab="45"/>
  </bookViews>
  <sheets>
    <sheet name="TOC" sheetId="237" r:id="rId1"/>
    <sheet name="Input Schedule" sheetId="39" r:id="rId2"/>
    <sheet name="COSS&gt;&gt;" sheetId="251" r:id="rId3"/>
    <sheet name="wp - t-1 COSS" sheetId="252" r:id="rId4"/>
    <sheet name="wp - t-2 COSS" sheetId="253" r:id="rId5"/>
    <sheet name="wp - t-3 COSS" sheetId="254" r:id="rId6"/>
    <sheet name="wp - t-4 COSS" sheetId="255" r:id="rId7"/>
    <sheet name="wp - t-5 COSS" sheetId="256" r:id="rId8"/>
    <sheet name="wp - t-6 COSS Codes" sheetId="257" r:id="rId9"/>
    <sheet name="wp - t-7 WSCKY Summary" sheetId="259" r:id="rId10"/>
    <sheet name="wp - t-8 Pro Forma Proposed" sheetId="260" r:id="rId11"/>
    <sheet name="wp - t-9 Plant in Service COSS" sheetId="261" r:id="rId12"/>
    <sheet name="TB&gt;&gt;" sheetId="236" r:id="rId13"/>
    <sheet name="TB Hard Code" sheetId="235" r:id="rId14"/>
    <sheet name="TB Clean" sheetId="211" r:id="rId15"/>
    <sheet name="Linked TB" sheetId="212" r:id="rId16"/>
    <sheet name="Filing&gt;&gt;" sheetId="238" r:id="rId17"/>
    <sheet name="Sch.A-B.S" sheetId="30" r:id="rId18"/>
    <sheet name="Sch.B-I.S" sheetId="9" r:id="rId19"/>
    <sheet name="Sch.C-R.B" sheetId="12" r:id="rId20"/>
    <sheet name="Sch.D-Revenue" sheetId="249" r:id="rId21"/>
    <sheet name="Sch.D-2-Revenue" sheetId="221" r:id="rId22"/>
    <sheet name="Sch.D - Summary" sheetId="267" r:id="rId23"/>
    <sheet name="Sch.E-Rev Req" sheetId="222" r:id="rId24"/>
    <sheet name="Average Gallons" sheetId="234" state="hidden" r:id="rId25"/>
    <sheet name="xxxRate-Rev Comp" sheetId="2" state="hidden" r:id="rId26"/>
    <sheet name="wp.a-uncoll" sheetId="29" r:id="rId27"/>
    <sheet name="wp-b-Salary" sheetId="250" r:id="rId28"/>
    <sheet name="wp-c-PIS Adj" sheetId="242" r:id="rId29"/>
    <sheet name="wp-d-rc.exp" sheetId="19" r:id="rId30"/>
    <sheet name="wp-e-toi" sheetId="10" r:id="rId31"/>
    <sheet name="wp-f-depr new rates" sheetId="268" r:id="rId32"/>
    <sheet name="wp(g)-inc.tx" sheetId="11" r:id="rId33"/>
    <sheet name="wp.h-cap.struc" sheetId="21" r:id="rId34"/>
    <sheet name="wp-i-wc" sheetId="22" r:id="rId35"/>
    <sheet name="wp-j-Maint&amp;Rep Adj" sheetId="243" r:id="rId36"/>
    <sheet name="wp-k-Chemicals" sheetId="244" r:id="rId37"/>
    <sheet name="wp-l-Transportation Expense" sheetId="245" r:id="rId38"/>
    <sheet name="wp-m-Expense Reports" sheetId="248" r:id="rId39"/>
    <sheet name="wp-n-Outside Services" sheetId="241" r:id="rId40"/>
    <sheet name="wp-o-Computers" sheetId="247" r:id="rId41"/>
    <sheet name="wp-p-Vehicles" sheetId="246" r:id="rId42"/>
    <sheet name="wp-q AIAC" sheetId="264" r:id="rId43"/>
    <sheet name="wp-r-Check Collect Fee" sheetId="265" r:id="rId44"/>
    <sheet name="wp-s-Rev Bridge" sheetId="266" r:id="rId45"/>
    <sheet name="ERC" sheetId="240" r:id="rId46"/>
    <sheet name="EXCLUDE&gt;&gt;" sheetId="239" state="hidden" r:id="rId47"/>
    <sheet name="Exhibit 9" sheetId="233" state="hidden" r:id="rId48"/>
    <sheet name="wp-appendix" sheetId="229" state="hidden" r:id="rId49"/>
    <sheet name="wp-f-depr" sheetId="26" state="hidden" r:id="rId50"/>
    <sheet name="Operators allocation" sheetId="223" state="hidden" r:id="rId51"/>
    <sheet name="wp b1" sheetId="57" state="hidden" r:id="rId52"/>
    <sheet name="Wp b2 - Captime" sheetId="216" state="hidden" r:id="rId53"/>
    <sheet name="w.p-b2" sheetId="45" state="hidden" r:id="rId54"/>
    <sheet name="wp b3 - CSR" sheetId="215" state="hidden" r:id="rId55"/>
    <sheet name="Wp b4 - WSC" sheetId="214" state="hidden" r:id="rId56"/>
    <sheet name="Wp b - salary" sheetId="56" state="hidden" r:id="rId57"/>
    <sheet name="wp-p2 Allocation of Vehicles" sheetId="227" state="hidden" r:id="rId58"/>
    <sheet name="wp-p2a Allocation of Trans Exp" sheetId="228" state="hidden" r:id="rId59"/>
    <sheet name="wp-p3-alloc of State computers" sheetId="225" state="hidden" r:id="rId60"/>
    <sheet name="wp-p4-alloc of WSC computers" sheetId="226" state="hidden" r:id="rId61"/>
    <sheet name="wp-p5 Recon Summary" sheetId="232" state="hidden" r:id="rId62"/>
    <sheet name="wp-p5a-restatement (audit)" sheetId="231" state="hidden" r:id="rId63"/>
    <sheet name="wp-q City of Clinton" sheetId="50" state="hidden" r:id="rId64"/>
    <sheet name="wp-q(2) salary allocation" sheetId="52" state="hidden" r:id="rId65"/>
    <sheet name="wp-q(3) Clinton salary revised" sheetId="53" state="hidden" r:id="rId66"/>
    <sheet name="wp-q(4) Clinton trans exp" sheetId="54" state="hidden" r:id="rId67"/>
    <sheet name="wp-Expense Reports" sheetId="224" state="hidden" r:id="rId68"/>
    <sheet name="Allocation Calc" sheetId="220" state="hidden" r:id="rId69"/>
    <sheet name="wp-l-gl plant additions" sheetId="42" state="hidden" r:id="rId70"/>
    <sheet name="wp-j-pf.plant" sheetId="13" state="hidden" r:id="rId71"/>
    <sheet name="wp-k-retirements" sheetId="40" state="hidden" r:id="rId72"/>
    <sheet name="Sch.E ORM " sheetId="213" state="hidden" r:id="rId73"/>
    <sheet name="wp c2" sheetId="58" state="hidden" r:id="rId74"/>
    <sheet name="wp c3" sheetId="59" state="hidden" r:id="rId75"/>
    <sheet name="wp-p-restate(audit)" sheetId="49" state="hidden" r:id="rId76"/>
    <sheet name="wp-o-restate-acq" sheetId="48" state="hidden" r:id="rId77"/>
    <sheet name="Rate Base Reallocation wp-$ " sheetId="63" state="hidden" r:id="rId78"/>
    <sheet name="Expense Reallocation Wp-$" sheetId="61" state="hidden" r:id="rId79"/>
    <sheet name="plnt category" sheetId="31" state="hidden" r:id="rId80"/>
    <sheet name="CPI" sheetId="55" state="hidden" r:id="rId81"/>
  </sheets>
  <externalReferences>
    <externalReference r:id="rId82"/>
  </externalReferences>
  <definedNames>
    <definedName name="_xlnm._FilterDatabase" localSheetId="14" hidden="1">'TB Clean'!$A$1:$E$464</definedName>
    <definedName name="_xlnm._FilterDatabase" localSheetId="54" hidden="1">'wp b3 - CSR'!$D$11:$D$52</definedName>
    <definedName name="_Key1" localSheetId="2" hidden="1">#REF!</definedName>
    <definedName name="_Key1" localSheetId="10" hidden="1">#REF!</definedName>
    <definedName name="_Key1" hidden="1">#REF!</definedName>
    <definedName name="_Order1" hidden="1">255</definedName>
    <definedName name="_Sort" localSheetId="2" hidden="1">#REF!</definedName>
    <definedName name="_Sort" localSheetId="10" hidden="1">#REF!</definedName>
    <definedName name="_Sort" hidden="1">#REF!</definedName>
    <definedName name="Acct1580Mainframe_depr">'[1]wp-p3-alloc of State computers'!$P$8</definedName>
    <definedName name="Acct1585MiniComputers_depr">'[1]wp-p3-alloc of State computers'!$P$9</definedName>
    <definedName name="Acct1590CompSysCost_depr">'[1]wp-p3-alloc of State computers'!$P$10</definedName>
    <definedName name="Acct1595MicrosSysCost_depr">'[1]wp-p3-alloc of State computers'!$P$11</definedName>
    <definedName name="ALLOCATION_TABLE">'Linked TB'!$B$700:$H$707</definedName>
    <definedName name="Company_Name">'Input Schedule'!$G$6</definedName>
    <definedName name="company_title">'[1]Input Schedule'!$C$4</definedName>
    <definedName name="Computers_rate">'Input Schedule'!$C$25</definedName>
    <definedName name="customers">'[1]Input Schedule'!$C$15</definedName>
    <definedName name="Docket">'Input Schedule'!$G$4</definedName>
    <definedName name="FTYE">'[1]Input Schedule'!$C$10</definedName>
    <definedName name="LSCH1A" localSheetId="3">'wp - t-1 COSS'!$B$1:$Q$43</definedName>
    <definedName name="LSCH1B" localSheetId="4">'wp - t-2 COSS'!$B$1:$Q$33</definedName>
    <definedName name="LSCH2" localSheetId="5">'wp - t-3 COSS'!$B$1:$H$28</definedName>
    <definedName name="LSCH3" localSheetId="6">'wp - t-4 COSS'!$B$1:$J$38</definedName>
    <definedName name="LSCH4" localSheetId="7">'wp - t-5 COSS'!$B$1:$K$27</definedName>
    <definedName name="_xlnm.Print_Area" localSheetId="24">'Average Gallons'!$A$1:$E$33</definedName>
    <definedName name="_xlnm.Print_Area" localSheetId="1">'Input Schedule'!$A$1:$G$39</definedName>
    <definedName name="_xlnm.Print_Area" localSheetId="79">'plnt category'!$A$1:$D$44</definedName>
    <definedName name="_xlnm.Print_Area" localSheetId="17">'Sch.A-B.S'!$A$1:$N$47</definedName>
    <definedName name="_xlnm.Print_Area" localSheetId="18">'Sch.B-I.S'!$A$1:$N$62,'Sch.B-I.S'!$A$189:$N$225</definedName>
    <definedName name="_xlnm.Print_Area" localSheetId="19">'Sch.C-R.B'!$A$1:$M$35</definedName>
    <definedName name="_xlnm.Print_Area" localSheetId="22">'Sch.D - Summary'!$A$1:$AB$63</definedName>
    <definedName name="_xlnm.Print_Area" localSheetId="21">'Sch.D-2-Revenue'!$A$1:$U$405</definedName>
    <definedName name="_xlnm.Print_Area" localSheetId="20">'Sch.D-Revenue'!$A$1:$U$405</definedName>
    <definedName name="_xlnm.Print_Area" localSheetId="72">'Sch.E ORM '!$A$1:$D$29</definedName>
    <definedName name="_xlnm.Print_Area" localSheetId="23">'Sch.E-Rev Req'!$A$1:$F$33</definedName>
    <definedName name="_xlnm.Print_Area" localSheetId="0">TOC!$A$1:$C$42</definedName>
    <definedName name="_xlnm.Print_Area" localSheetId="53">'w.p-b2'!$A$1:$F$22</definedName>
    <definedName name="_xlnm.Print_Area" localSheetId="3">'wp - t-1 COSS'!$A$1:$Q$44</definedName>
    <definedName name="_xlnm.Print_Area" localSheetId="5">'wp - t-3 COSS'!$A$1:$I$35</definedName>
    <definedName name="_xlnm.Print_Area" localSheetId="6">'wp - t-4 COSS'!$A$1:$K$43</definedName>
    <definedName name="_xlnm.Print_Area" localSheetId="7">'wp - t-5 COSS'!$A$1:$K$25</definedName>
    <definedName name="_xlnm.Print_Area" localSheetId="8">'wp - t-6 COSS Codes'!$A$1:$D$24</definedName>
    <definedName name="_xlnm.Print_Area" localSheetId="9">'wp - t-7 WSCKY Summary'!$B$1:$D$57</definedName>
    <definedName name="_xlnm.Print_Area" localSheetId="10">'wp - t-8 Pro Forma Proposed'!$A$1:$Z$61</definedName>
    <definedName name="_xlnm.Print_Area" localSheetId="56">'Wp b - salary'!$A$1:$X$92</definedName>
    <definedName name="_xlnm.Print_Area" localSheetId="52">'Wp b2 - Captime'!$A$1:$I$119</definedName>
    <definedName name="_xlnm.Print_Area" localSheetId="54">'wp b3 - CSR'!$A$1:$X$68</definedName>
    <definedName name="_xlnm.Print_Area" localSheetId="55">'Wp b4 - WSC'!$A$1:$AD$17</definedName>
    <definedName name="_xlnm.Print_Area" localSheetId="32">'wp(g)-inc.tx'!$A$1:$F$38</definedName>
    <definedName name="_xlnm.Print_Area" localSheetId="26">'wp.a-uncoll'!$A$1:$H$36</definedName>
    <definedName name="_xlnm.Print_Area" localSheetId="33">'wp.h-cap.struc'!$A$1:$K$50</definedName>
    <definedName name="_xlnm.Print_Area" localSheetId="48">'wp-appendix'!$A$1:$M$37</definedName>
    <definedName name="_xlnm.Print_Area" localSheetId="27">'wp-b-Salary'!$A$1:$E$17</definedName>
    <definedName name="_xlnm.Print_Area" localSheetId="29">'wp-d-rc.exp'!$A$1:$M$53</definedName>
    <definedName name="_xlnm.Print_Area" localSheetId="30">'wp-e-toi'!$A$1:$E$49</definedName>
    <definedName name="_xlnm.Print_Area" localSheetId="49">'wp-f-depr'!$A$1:$G$46</definedName>
    <definedName name="_xlnm.Print_Area" localSheetId="31">'wp-f-depr new rates'!$A$1:$K$68</definedName>
    <definedName name="_xlnm.Print_Area" localSheetId="34">'wp-i-wc'!$A$1:$G$27</definedName>
    <definedName name="_xlnm.Print_Area" localSheetId="35">'wp-j-Maint&amp;Rep Adj'!$A$1:$M$29</definedName>
    <definedName name="_xlnm.Print_Area" localSheetId="70">'wp-j-pf.plant'!$A$1:$N$17</definedName>
    <definedName name="_xlnm.Print_Area" localSheetId="38">'wp-m-Expense Reports'!$A$1:$T$34</definedName>
    <definedName name="_xlnm.Print_Area" localSheetId="40">'wp-o-Computers'!$A$1:$O$849</definedName>
    <definedName name="_xlnm.Print_Area" localSheetId="76">'wp-o-restate-acq'!$A$1:$R$102</definedName>
    <definedName name="_xlnm.Print_Area" localSheetId="57">'wp-p2 Allocation of Vehicles'!$A$1:$P$88</definedName>
    <definedName name="_xlnm.Print_Area" localSheetId="59">'wp-p3-alloc of State computers'!$A$1:$J$75</definedName>
    <definedName name="_xlnm.Print_Area" localSheetId="60">'wp-p4-alloc of WSC computers'!$A$1:$K$128</definedName>
    <definedName name="_xlnm.Print_Area" localSheetId="61">'wp-p5 Recon Summary'!$A$1:$S$79</definedName>
    <definedName name="_xlnm.Print_Area" localSheetId="62">'wp-p5a-restatement (audit)'!$A$1:$R$185</definedName>
    <definedName name="_xlnm.Print_Area" localSheetId="75">'wp-p-restate(audit)'!$A$1:$R$219</definedName>
    <definedName name="_xlnm.Print_Area" localSheetId="41">'wp-p-Vehicles'!$A$1:$P$33</definedName>
    <definedName name="_xlnm.Print_Area" localSheetId="63">'wp-q City of Clinton'!$A$1:$J$28</definedName>
    <definedName name="_xlnm.Print_Area" localSheetId="64">'wp-q(2) salary allocation'!$A$1:$C$14</definedName>
    <definedName name="_xlnm.Print_Area" localSheetId="65">'wp-q(3) Clinton salary revised'!$A$1:$W$28</definedName>
    <definedName name="_xlnm.Print_Area" localSheetId="66">'wp-q(4) Clinton trans exp'!$A$1:$E$30</definedName>
    <definedName name="_xlnm.Print_Area" localSheetId="25">'xxxRate-Rev Comp'!$A$1:$R$31</definedName>
    <definedName name="Print_Area_MI" localSheetId="7">'wp - t-5 COSS'!$B$1:$K$27</definedName>
    <definedName name="_xlnm.Print_Titles" localSheetId="21">'Sch.D-2-Revenue'!$1:$9</definedName>
    <definedName name="_xlnm.Print_Titles" localSheetId="10">'wp - t-8 Pro Forma Proposed'!$A:$F,'wp - t-8 Pro Forma Proposed'!$1:$7</definedName>
    <definedName name="_xlnm.Print_Titles" localSheetId="11">'wp - t-9 Plant in Service COSS'!$1:$8</definedName>
    <definedName name="_xlnm.Print_Titles" localSheetId="56">'Wp b - salary'!$1:$5</definedName>
    <definedName name="_xlnm.Print_Titles" localSheetId="52">'Wp b2 - Captime'!$1:$10</definedName>
    <definedName name="_xlnm.Print_Titles" localSheetId="76">'wp-o-restate-acq'!$1:$7</definedName>
    <definedName name="_xlnm.Print_Titles" localSheetId="57">'wp-p2 Allocation of Vehicles'!$1:$4</definedName>
    <definedName name="_xlnm.Print_Titles" localSheetId="58">'wp-p2a Allocation of Trans Exp'!$20:$21</definedName>
    <definedName name="_xlnm.Print_Titles" localSheetId="59">'wp-p3-alloc of State computers'!$1:$7</definedName>
    <definedName name="_xlnm.Print_Titles" localSheetId="60">'wp-p4-alloc of WSC computers'!$1:$7</definedName>
    <definedName name="_xlnm.Print_Titles" localSheetId="61">'wp-p5 Recon Summary'!$1:$5</definedName>
    <definedName name="_xlnm.Print_Titles" localSheetId="62">'wp-p5a-restatement (audit)'!$1:$6</definedName>
    <definedName name="_xlnm.Print_Titles" localSheetId="75">'wp-p-restate(audit)'!$1:$6</definedName>
    <definedName name="_xlnm.Print_Titles" localSheetId="65">'wp-q(3) Clinton salary revised'!$1:$9</definedName>
    <definedName name="_xlnm.Print_Titles" localSheetId="25">'xxxRate-Rev Comp'!$1:$5</definedName>
    <definedName name="sewer_customers">'[1]Input Schedule'!$C$14</definedName>
    <definedName name="swr_cust_per">'[1]Input Schedule'!$D$14</definedName>
    <definedName name="test_year_end_date">'[1]Input Schedule'!$C$8</definedName>
    <definedName name="TestYearEnded">'Input Schedule'!$G$9</definedName>
    <definedName name="water_customer">'[1]Input Schedule'!$C$13</definedName>
    <definedName name="wtr_cust_per">'[1]Input Schedule'!$D$13</definedName>
    <definedName name="Z_116A47F4_5858_454A_8F51_8F36E41C61BA_.wvu.Cols" localSheetId="10" hidden="1">'wp - t-8 Pro Forma Proposed'!#REF!</definedName>
    <definedName name="Z_116A47F4_5858_454A_8F51_8F36E41C61BA_.wvu.PrintArea" localSheetId="10" hidden="1">'wp - t-8 Pro Forma Proposed'!$B$1:$F$83</definedName>
    <definedName name="Z_BEF31985_2057_49D8_9B4F_5A8FDDE19081_.wvu.Cols" localSheetId="10" hidden="1">'wp - t-8 Pro Forma Proposed'!#REF!</definedName>
    <definedName name="Z_BEF31985_2057_49D8_9B4F_5A8FDDE19081_.wvu.PrintArea" localSheetId="10" hidden="1">'wp - t-8 Pro Forma Proposed'!$B$1:$F$83</definedName>
    <definedName name="Z_CFA052EC_8030_4DDD_A78B_D902DA760227_.wvu.Cols" localSheetId="10" hidden="1">'wp - t-8 Pro Forma Proposed'!#REF!</definedName>
    <definedName name="Z_CFA052EC_8030_4DDD_A78B_D902DA760227_.wvu.PrintArea" localSheetId="10" hidden="1">'wp - t-8 Pro Forma Proposed'!$B$1:$F$83</definedName>
  </definedNames>
  <calcPr calcId="152511" calcMode="manual" iterate="1" calcCompleted="0" calcOnSave="0"/>
  <pivotCaches>
    <pivotCache cacheId="0" r:id="rId83"/>
  </pivotCaches>
</workbook>
</file>

<file path=xl/calcChain.xml><?xml version="1.0" encoding="utf-8"?>
<calcChain xmlns="http://schemas.openxmlformats.org/spreadsheetml/2006/main">
  <c r="F29" i="256" l="1"/>
  <c r="H29" i="256"/>
  <c r="I29" i="256"/>
  <c r="J29" i="256"/>
  <c r="K29" i="256"/>
  <c r="F31" i="256"/>
  <c r="H31" i="256"/>
  <c r="I31" i="256"/>
  <c r="J31" i="256"/>
  <c r="K31" i="256"/>
  <c r="E31" i="256"/>
  <c r="E29" i="256"/>
  <c r="K22" i="256"/>
  <c r="I24" i="256"/>
  <c r="I22" i="256"/>
  <c r="F22" i="256"/>
  <c r="E24" i="256"/>
  <c r="E22" i="256"/>
  <c r="S394" i="221" l="1"/>
  <c r="S390" i="221"/>
  <c r="S386" i="221"/>
  <c r="S227" i="221"/>
  <c r="S223" i="221"/>
  <c r="S219" i="221"/>
  <c r="S215" i="221"/>
  <c r="S210" i="221"/>
  <c r="G376" i="249" l="1"/>
  <c r="E376" i="249"/>
  <c r="C376" i="249"/>
  <c r="G367" i="249"/>
  <c r="E367" i="249"/>
  <c r="C367" i="249"/>
  <c r="G358" i="249"/>
  <c r="E358" i="249"/>
  <c r="C358" i="249"/>
  <c r="G349" i="249"/>
  <c r="E349" i="249"/>
  <c r="C349" i="249"/>
  <c r="G340" i="249"/>
  <c r="E340" i="249"/>
  <c r="C340" i="249"/>
  <c r="G331" i="249"/>
  <c r="E331" i="249"/>
  <c r="C331" i="249"/>
  <c r="G322" i="249"/>
  <c r="E322" i="249"/>
  <c r="C322" i="249"/>
  <c r="G312" i="249"/>
  <c r="E312" i="249"/>
  <c r="C312" i="249"/>
  <c r="G302" i="249"/>
  <c r="E302" i="249"/>
  <c r="C302" i="249"/>
  <c r="G292" i="249"/>
  <c r="E292" i="249"/>
  <c r="C292" i="249"/>
  <c r="G282" i="249"/>
  <c r="E282" i="249"/>
  <c r="C282" i="249"/>
  <c r="G272" i="249"/>
  <c r="E272" i="249"/>
  <c r="C272" i="249"/>
  <c r="G262" i="249"/>
  <c r="E262" i="249"/>
  <c r="C262" i="249"/>
  <c r="G252" i="249"/>
  <c r="E252" i="249"/>
  <c r="C252" i="249"/>
  <c r="G242" i="249"/>
  <c r="E242" i="249"/>
  <c r="C242" i="249"/>
  <c r="L14" i="246" l="1"/>
  <c r="L13" i="246"/>
  <c r="L12" i="246"/>
  <c r="F30" i="254" l="1"/>
  <c r="L11" i="268" l="1"/>
  <c r="L12" i="268"/>
  <c r="L13" i="268"/>
  <c r="L14" i="268"/>
  <c r="L15" i="268"/>
  <c r="L16" i="268"/>
  <c r="L17" i="268"/>
  <c r="L18" i="268"/>
  <c r="L19" i="268"/>
  <c r="L20" i="268"/>
  <c r="L21" i="268"/>
  <c r="L22" i="268"/>
  <c r="L23" i="268"/>
  <c r="L24" i="268"/>
  <c r="L25" i="268"/>
  <c r="L26" i="268"/>
  <c r="L27" i="268"/>
  <c r="L28" i="268"/>
  <c r="L29" i="268"/>
  <c r="L30" i="268"/>
  <c r="L31" i="268"/>
  <c r="L32" i="268"/>
  <c r="L33" i="268"/>
  <c r="L34" i="268"/>
  <c r="L35" i="268"/>
  <c r="L36" i="268"/>
  <c r="L37" i="268"/>
  <c r="L38" i="268"/>
  <c r="L39" i="268"/>
  <c r="L40" i="268"/>
  <c r="L41" i="268"/>
  <c r="L42" i="268"/>
  <c r="L43" i="268"/>
  <c r="L44" i="268"/>
  <c r="L45" i="268"/>
  <c r="L46" i="268"/>
  <c r="L10" i="268"/>
  <c r="D20" i="261" l="1"/>
  <c r="E42" i="255" l="1"/>
  <c r="E41" i="255"/>
  <c r="O4" i="267" l="1"/>
  <c r="O2" i="267"/>
  <c r="O1" i="267"/>
  <c r="A4" i="267"/>
  <c r="A2" i="267"/>
  <c r="A1" i="267"/>
  <c r="Z13" i="267"/>
  <c r="V13" i="267"/>
  <c r="R13" i="267"/>
  <c r="Z12" i="267"/>
  <c r="V12" i="267"/>
  <c r="R12" i="267"/>
  <c r="Z11" i="267"/>
  <c r="V11" i="267"/>
  <c r="R11" i="267"/>
  <c r="Z10" i="267"/>
  <c r="V10" i="267"/>
  <c r="R10" i="267"/>
  <c r="T22" i="267"/>
  <c r="T13" i="267" s="1"/>
  <c r="T21" i="267"/>
  <c r="T20" i="267"/>
  <c r="T12" i="267" s="1"/>
  <c r="T19" i="267"/>
  <c r="T18" i="267"/>
  <c r="Z23" i="267"/>
  <c r="V23" i="267"/>
  <c r="S22" i="267"/>
  <c r="S13" i="267" s="1"/>
  <c r="S21" i="267"/>
  <c r="S20" i="267"/>
  <c r="S12" i="267" s="1"/>
  <c r="S19" i="267"/>
  <c r="S18" i="267"/>
  <c r="R23" i="267"/>
  <c r="S29" i="267"/>
  <c r="T29" i="267"/>
  <c r="T28" i="267"/>
  <c r="S28" i="267"/>
  <c r="S27" i="267"/>
  <c r="T27" i="267"/>
  <c r="Z30" i="267"/>
  <c r="V30" i="267"/>
  <c r="R30" i="267"/>
  <c r="O8" i="267"/>
  <c r="T30" i="267" l="1"/>
  <c r="S10" i="267"/>
  <c r="S11" i="267"/>
  <c r="T11" i="267"/>
  <c r="T10" i="267"/>
  <c r="R14" i="267"/>
  <c r="S23" i="267"/>
  <c r="T23" i="267"/>
  <c r="S30" i="267"/>
  <c r="S14" i="267" l="1"/>
  <c r="V14" i="267"/>
  <c r="I19" i="253" s="1"/>
  <c r="T14" i="267" l="1"/>
  <c r="O38" i="252" l="1"/>
  <c r="O37" i="252"/>
  <c r="O36" i="252"/>
  <c r="O34" i="252"/>
  <c r="O32" i="252"/>
  <c r="O31" i="252"/>
  <c r="M32" i="252"/>
  <c r="K38" i="252"/>
  <c r="G38" i="252"/>
  <c r="G37" i="252"/>
  <c r="G36" i="252"/>
  <c r="G35" i="252"/>
  <c r="G34" i="252"/>
  <c r="E39" i="268" l="1"/>
  <c r="K39" i="268" s="1"/>
  <c r="E36" i="268"/>
  <c r="E35" i="268"/>
  <c r="K35" i="268" s="1"/>
  <c r="E23" i="268"/>
  <c r="E21" i="268"/>
  <c r="K21" i="268" s="1"/>
  <c r="E13" i="268"/>
  <c r="E12" i="268"/>
  <c r="G48" i="268"/>
  <c r="G49" i="268" s="1"/>
  <c r="A4" i="268"/>
  <c r="A2" i="268"/>
  <c r="A1" i="268"/>
  <c r="K23" i="268" l="1"/>
  <c r="D23" i="261"/>
  <c r="K12" i="268"/>
  <c r="D12" i="261"/>
  <c r="K13" i="268"/>
  <c r="D13" i="261"/>
  <c r="K36" i="268"/>
  <c r="D35" i="261"/>
  <c r="G62" i="268"/>
  <c r="D27" i="10" l="1"/>
  <c r="K394" i="249" l="1"/>
  <c r="K390" i="249"/>
  <c r="K386" i="249"/>
  <c r="K227" i="249"/>
  <c r="K223" i="249"/>
  <c r="K219" i="249"/>
  <c r="K215" i="249"/>
  <c r="K210" i="249"/>
  <c r="K227" i="221"/>
  <c r="K223" i="221"/>
  <c r="K219" i="221"/>
  <c r="K215" i="221"/>
  <c r="K210" i="221"/>
  <c r="K386" i="221"/>
  <c r="K390" i="221"/>
  <c r="K394" i="221"/>
  <c r="G395" i="221" l="1"/>
  <c r="E395" i="221"/>
  <c r="C395" i="221"/>
  <c r="Q394" i="221"/>
  <c r="Q395" i="221" s="1"/>
  <c r="O394" i="221"/>
  <c r="O395" i="221" s="1"/>
  <c r="K391" i="221"/>
  <c r="G391" i="221"/>
  <c r="E391" i="221"/>
  <c r="C391" i="221"/>
  <c r="Q390" i="221"/>
  <c r="Q391" i="221" s="1"/>
  <c r="O390" i="221"/>
  <c r="O391" i="221" s="1"/>
  <c r="M390" i="221"/>
  <c r="M391" i="221" s="1"/>
  <c r="G387" i="221"/>
  <c r="E387" i="221"/>
  <c r="C387" i="221"/>
  <c r="Q386" i="221"/>
  <c r="Q387" i="221" s="1"/>
  <c r="O386" i="221"/>
  <c r="K387" i="221"/>
  <c r="G382" i="221"/>
  <c r="E382" i="221"/>
  <c r="C382" i="221"/>
  <c r="Q381" i="221"/>
  <c r="K381" i="221"/>
  <c r="M381" i="221" s="1"/>
  <c r="O380" i="221"/>
  <c r="O382" i="221" s="1"/>
  <c r="K380" i="221"/>
  <c r="G376" i="221"/>
  <c r="E376" i="221"/>
  <c r="C376" i="221"/>
  <c r="Q375" i="221"/>
  <c r="K375" i="221"/>
  <c r="M375" i="221" s="1"/>
  <c r="Q374" i="221"/>
  <c r="K374" i="221"/>
  <c r="M374" i="221" s="1"/>
  <c r="Q373" i="221"/>
  <c r="K373" i="221"/>
  <c r="M373" i="221" s="1"/>
  <c r="Q372" i="221"/>
  <c r="K372" i="221"/>
  <c r="M372" i="221" s="1"/>
  <c r="O371" i="221"/>
  <c r="O376" i="221" s="1"/>
  <c r="K371" i="221"/>
  <c r="G367" i="221"/>
  <c r="E367" i="221"/>
  <c r="C367" i="221"/>
  <c r="Q366" i="221"/>
  <c r="K366" i="221"/>
  <c r="M366" i="221" s="1"/>
  <c r="Q365" i="221"/>
  <c r="K365" i="221"/>
  <c r="M365" i="221" s="1"/>
  <c r="Q364" i="221"/>
  <c r="K364" i="221"/>
  <c r="M364" i="221" s="1"/>
  <c r="Q363" i="221"/>
  <c r="K363" i="221"/>
  <c r="M363" i="221" s="1"/>
  <c r="O362" i="221"/>
  <c r="O367" i="221" s="1"/>
  <c r="K362" i="221"/>
  <c r="G358" i="221"/>
  <c r="E358" i="221"/>
  <c r="C358" i="221"/>
  <c r="Q357" i="221"/>
  <c r="K357" i="221"/>
  <c r="M357" i="221" s="1"/>
  <c r="Q356" i="221"/>
  <c r="K356" i="221"/>
  <c r="M356" i="221" s="1"/>
  <c r="Q355" i="221"/>
  <c r="K355" i="221"/>
  <c r="M355" i="221" s="1"/>
  <c r="Q354" i="221"/>
  <c r="K354" i="221"/>
  <c r="M354" i="221" s="1"/>
  <c r="O353" i="221"/>
  <c r="O358" i="221" s="1"/>
  <c r="K353" i="221"/>
  <c r="G349" i="221"/>
  <c r="E349" i="221"/>
  <c r="C349" i="221"/>
  <c r="Q348" i="221"/>
  <c r="K348" i="221"/>
  <c r="M348" i="221" s="1"/>
  <c r="Q347" i="221"/>
  <c r="K347" i="221"/>
  <c r="Q346" i="221"/>
  <c r="M346" i="221"/>
  <c r="Q345" i="221"/>
  <c r="M345" i="221"/>
  <c r="O344" i="221"/>
  <c r="O349" i="221" s="1"/>
  <c r="M344" i="221"/>
  <c r="G340" i="221"/>
  <c r="E340" i="221"/>
  <c r="C340" i="221"/>
  <c r="Q339" i="221"/>
  <c r="K339" i="221"/>
  <c r="M339" i="221" s="1"/>
  <c r="Q338" i="221"/>
  <c r="K338" i="221"/>
  <c r="M338" i="221" s="1"/>
  <c r="Q337" i="221"/>
  <c r="K337" i="221"/>
  <c r="M337" i="221" s="1"/>
  <c r="Q336" i="221"/>
  <c r="K336" i="221"/>
  <c r="M336" i="221" s="1"/>
  <c r="O335" i="221"/>
  <c r="O340" i="221" s="1"/>
  <c r="K335" i="221"/>
  <c r="M335" i="221" s="1"/>
  <c r="G331" i="221"/>
  <c r="E331" i="221"/>
  <c r="C331" i="221"/>
  <c r="Q330" i="221"/>
  <c r="K330" i="221"/>
  <c r="M330" i="221" s="1"/>
  <c r="Q329" i="221"/>
  <c r="K329" i="221"/>
  <c r="M329" i="221" s="1"/>
  <c r="Q328" i="221"/>
  <c r="K328" i="221"/>
  <c r="M328" i="221" s="1"/>
  <c r="Q327" i="221"/>
  <c r="K327" i="221"/>
  <c r="M327" i="221" s="1"/>
  <c r="O326" i="221"/>
  <c r="O331" i="221" s="1"/>
  <c r="K326" i="221"/>
  <c r="M326" i="221" s="1"/>
  <c r="G322" i="221"/>
  <c r="E322" i="221"/>
  <c r="C322" i="221"/>
  <c r="Q321" i="221"/>
  <c r="K321" i="221"/>
  <c r="M321" i="221" s="1"/>
  <c r="Q320" i="221"/>
  <c r="K320" i="221"/>
  <c r="M320" i="221" s="1"/>
  <c r="Q319" i="221"/>
  <c r="K319" i="221"/>
  <c r="M319" i="221" s="1"/>
  <c r="Q318" i="221"/>
  <c r="K318" i="221"/>
  <c r="M318" i="221" s="1"/>
  <c r="Q317" i="221"/>
  <c r="K317" i="221"/>
  <c r="O316" i="221"/>
  <c r="K316" i="221"/>
  <c r="M316" i="221" s="1"/>
  <c r="G312" i="221"/>
  <c r="E312" i="221"/>
  <c r="C312" i="221"/>
  <c r="Q311" i="221"/>
  <c r="K311" i="221"/>
  <c r="M311" i="221" s="1"/>
  <c r="Q310" i="221"/>
  <c r="K310" i="221"/>
  <c r="M310" i="221" s="1"/>
  <c r="Q309" i="221"/>
  <c r="K309" i="221"/>
  <c r="M309" i="221" s="1"/>
  <c r="Q308" i="221"/>
  <c r="K308" i="221"/>
  <c r="M308" i="221" s="1"/>
  <c r="Q307" i="221"/>
  <c r="K307" i="221"/>
  <c r="M307" i="221" s="1"/>
  <c r="O306" i="221"/>
  <c r="O312" i="221" s="1"/>
  <c r="K306" i="221"/>
  <c r="G302" i="221"/>
  <c r="E302" i="221"/>
  <c r="C302" i="221"/>
  <c r="Q301" i="221"/>
  <c r="K301" i="221"/>
  <c r="M301" i="221" s="1"/>
  <c r="Q300" i="221"/>
  <c r="K300" i="221"/>
  <c r="M300" i="221" s="1"/>
  <c r="Q299" i="221"/>
  <c r="K299" i="221"/>
  <c r="M299" i="221" s="1"/>
  <c r="Q298" i="221"/>
  <c r="K298" i="221"/>
  <c r="M298" i="221" s="1"/>
  <c r="Q297" i="221"/>
  <c r="K297" i="221"/>
  <c r="M297" i="221" s="1"/>
  <c r="O296" i="221"/>
  <c r="K296" i="221"/>
  <c r="G292" i="221"/>
  <c r="E292" i="221"/>
  <c r="C292" i="221"/>
  <c r="Q291" i="221"/>
  <c r="K291" i="221"/>
  <c r="M291" i="221" s="1"/>
  <c r="Q290" i="221"/>
  <c r="K290" i="221"/>
  <c r="M290" i="221" s="1"/>
  <c r="Q289" i="221"/>
  <c r="K289" i="221"/>
  <c r="M289" i="221" s="1"/>
  <c r="Q288" i="221"/>
  <c r="K288" i="221"/>
  <c r="M288" i="221" s="1"/>
  <c r="Q287" i="221"/>
  <c r="K287" i="221"/>
  <c r="M287" i="221" s="1"/>
  <c r="O286" i="221"/>
  <c r="K286" i="221"/>
  <c r="G282" i="221"/>
  <c r="E282" i="221"/>
  <c r="C282" i="221"/>
  <c r="Q281" i="221"/>
  <c r="K281" i="221"/>
  <c r="M281" i="221" s="1"/>
  <c r="Q280" i="221"/>
  <c r="K280" i="221"/>
  <c r="M280" i="221" s="1"/>
  <c r="Q279" i="221"/>
  <c r="K279" i="221"/>
  <c r="M279" i="221" s="1"/>
  <c r="Q278" i="221"/>
  <c r="K278" i="221"/>
  <c r="M278" i="221" s="1"/>
  <c r="Q277" i="221"/>
  <c r="K277" i="221"/>
  <c r="M277" i="221" s="1"/>
  <c r="O276" i="221"/>
  <c r="O282" i="221" s="1"/>
  <c r="K276" i="221"/>
  <c r="G272" i="221"/>
  <c r="E272" i="221"/>
  <c r="C272" i="221"/>
  <c r="Q271" i="221"/>
  <c r="K271" i="221"/>
  <c r="M271" i="221" s="1"/>
  <c r="Q270" i="221"/>
  <c r="K270" i="221"/>
  <c r="M270" i="221" s="1"/>
  <c r="Q269" i="221"/>
  <c r="K269" i="221"/>
  <c r="M269" i="221" s="1"/>
  <c r="Q268" i="221"/>
  <c r="K268" i="221"/>
  <c r="M268" i="221" s="1"/>
  <c r="Q267" i="221"/>
  <c r="K267" i="221"/>
  <c r="M267" i="221" s="1"/>
  <c r="O266" i="221"/>
  <c r="O272" i="221" s="1"/>
  <c r="K266" i="221"/>
  <c r="G262" i="221"/>
  <c r="E262" i="221"/>
  <c r="C262" i="221"/>
  <c r="Q261" i="221"/>
  <c r="K261" i="221"/>
  <c r="M261" i="221" s="1"/>
  <c r="Q260" i="221"/>
  <c r="K260" i="221"/>
  <c r="M260" i="221" s="1"/>
  <c r="Q259" i="221"/>
  <c r="K259" i="221"/>
  <c r="M259" i="221" s="1"/>
  <c r="Q258" i="221"/>
  <c r="K258" i="221"/>
  <c r="M258" i="221" s="1"/>
  <c r="Q257" i="221"/>
  <c r="K257" i="221"/>
  <c r="O256" i="221"/>
  <c r="K256" i="221"/>
  <c r="M256" i="221" s="1"/>
  <c r="G252" i="221"/>
  <c r="E252" i="221"/>
  <c r="C252" i="221"/>
  <c r="Q251" i="221"/>
  <c r="K251" i="221"/>
  <c r="M251" i="221" s="1"/>
  <c r="Q250" i="221"/>
  <c r="K250" i="221"/>
  <c r="M250" i="221" s="1"/>
  <c r="Q249" i="221"/>
  <c r="K249" i="221"/>
  <c r="M249" i="221" s="1"/>
  <c r="Q248" i="221"/>
  <c r="K248" i="221"/>
  <c r="M248" i="221" s="1"/>
  <c r="Q247" i="221"/>
  <c r="K247" i="221"/>
  <c r="M247" i="221" s="1"/>
  <c r="O246" i="221"/>
  <c r="K246" i="221"/>
  <c r="G242" i="221"/>
  <c r="E242" i="221"/>
  <c r="C242" i="221"/>
  <c r="Q241" i="221"/>
  <c r="K241" i="221"/>
  <c r="M241" i="221" s="1"/>
  <c r="Q240" i="221"/>
  <c r="K240" i="221"/>
  <c r="M240" i="221" s="1"/>
  <c r="Q239" i="221"/>
  <c r="K239" i="221"/>
  <c r="M239" i="221" s="1"/>
  <c r="Q238" i="221"/>
  <c r="K238" i="221"/>
  <c r="M238" i="221" s="1"/>
  <c r="Q237" i="221"/>
  <c r="K237" i="221"/>
  <c r="M237" i="221" s="1"/>
  <c r="O236" i="221"/>
  <c r="O242" i="221" s="1"/>
  <c r="K236" i="221"/>
  <c r="M236" i="221" s="1"/>
  <c r="G228" i="221"/>
  <c r="E228" i="221"/>
  <c r="C228" i="221"/>
  <c r="Q227" i="221"/>
  <c r="Q228" i="221" s="1"/>
  <c r="O227" i="221"/>
  <c r="K224" i="221"/>
  <c r="G224" i="221"/>
  <c r="E224" i="221"/>
  <c r="C224" i="221"/>
  <c r="Q223" i="221"/>
  <c r="Q224" i="221" s="1"/>
  <c r="O223" i="221"/>
  <c r="O224" i="221" s="1"/>
  <c r="M223" i="221"/>
  <c r="M224" i="221" s="1"/>
  <c r="M226" i="221" s="1"/>
  <c r="G220" i="221"/>
  <c r="E220" i="221"/>
  <c r="C220" i="221"/>
  <c r="Q219" i="221"/>
  <c r="Q220" i="221" s="1"/>
  <c r="O219" i="221"/>
  <c r="K220" i="221"/>
  <c r="K216" i="221"/>
  <c r="G216" i="221"/>
  <c r="E216" i="221"/>
  <c r="C216" i="221"/>
  <c r="Q215" i="221"/>
  <c r="Q216" i="221" s="1"/>
  <c r="O215" i="221"/>
  <c r="O216" i="221" s="1"/>
  <c r="M215" i="221"/>
  <c r="M216" i="221" s="1"/>
  <c r="M218" i="221" s="1"/>
  <c r="G211" i="221"/>
  <c r="E211" i="221"/>
  <c r="C211" i="221"/>
  <c r="Q210" i="221"/>
  <c r="Q211" i="221" s="1"/>
  <c r="O210" i="221"/>
  <c r="G206" i="221"/>
  <c r="E206" i="221"/>
  <c r="C206" i="221"/>
  <c r="Q205" i="221"/>
  <c r="Q206" i="221" s="1"/>
  <c r="K205" i="221"/>
  <c r="M205" i="221" s="1"/>
  <c r="O204" i="221"/>
  <c r="O206" i="221" s="1"/>
  <c r="K204" i="221"/>
  <c r="M204" i="221" s="1"/>
  <c r="G200" i="221"/>
  <c r="E200" i="221"/>
  <c r="C200" i="221"/>
  <c r="Q199" i="221"/>
  <c r="K199" i="221"/>
  <c r="M199" i="221" s="1"/>
  <c r="O198" i="221"/>
  <c r="O200" i="221" s="1"/>
  <c r="K198" i="221"/>
  <c r="M198" i="221" s="1"/>
  <c r="G194" i="221"/>
  <c r="E194" i="221"/>
  <c r="C194" i="221"/>
  <c r="Q193" i="221"/>
  <c r="Q194" i="221" s="1"/>
  <c r="K193" i="221"/>
  <c r="M193" i="221" s="1"/>
  <c r="O192" i="221"/>
  <c r="O194" i="221" s="1"/>
  <c r="K192" i="221"/>
  <c r="M192" i="221" s="1"/>
  <c r="G188" i="221"/>
  <c r="E188" i="221"/>
  <c r="C188" i="221"/>
  <c r="Q187" i="221"/>
  <c r="Q188" i="221" s="1"/>
  <c r="K187" i="221"/>
  <c r="M187" i="221" s="1"/>
  <c r="O186" i="221"/>
  <c r="O188" i="221" s="1"/>
  <c r="K186" i="221"/>
  <c r="G182" i="221"/>
  <c r="E182" i="221"/>
  <c r="C182" i="221"/>
  <c r="Q181" i="221"/>
  <c r="Q182" i="221" s="1"/>
  <c r="K181" i="221"/>
  <c r="M181" i="221" s="1"/>
  <c r="O180" i="221"/>
  <c r="O182" i="221" s="1"/>
  <c r="K180" i="221"/>
  <c r="M180" i="221" s="1"/>
  <c r="G176" i="221"/>
  <c r="E176" i="221"/>
  <c r="C176" i="221"/>
  <c r="Q175" i="221"/>
  <c r="K175" i="221"/>
  <c r="M175" i="221" s="1"/>
  <c r="Q174" i="221"/>
  <c r="K174" i="221"/>
  <c r="M174" i="221" s="1"/>
  <c r="O173" i="221"/>
  <c r="O176" i="221" s="1"/>
  <c r="K173" i="221"/>
  <c r="M173" i="221" s="1"/>
  <c r="G169" i="221"/>
  <c r="E169" i="221"/>
  <c r="C169" i="221"/>
  <c r="Q168" i="221"/>
  <c r="K168" i="221"/>
  <c r="M168" i="221" s="1"/>
  <c r="Q167" i="221"/>
  <c r="K167" i="221"/>
  <c r="M167" i="221" s="1"/>
  <c r="O166" i="221"/>
  <c r="O169" i="221" s="1"/>
  <c r="K166" i="221"/>
  <c r="M166" i="221" s="1"/>
  <c r="G162" i="221"/>
  <c r="E162" i="221"/>
  <c r="C162" i="221"/>
  <c r="Q161" i="221"/>
  <c r="K161" i="221"/>
  <c r="M161" i="221" s="1"/>
  <c r="Q160" i="221"/>
  <c r="K160" i="221"/>
  <c r="M160" i="221" s="1"/>
  <c r="O159" i="221"/>
  <c r="O162" i="221" s="1"/>
  <c r="K159" i="221"/>
  <c r="M159" i="221" s="1"/>
  <c r="G154" i="221"/>
  <c r="E154" i="221"/>
  <c r="C154" i="221"/>
  <c r="Q153" i="221"/>
  <c r="K153" i="221"/>
  <c r="M153" i="221" s="1"/>
  <c r="Q152" i="221"/>
  <c r="K152" i="221"/>
  <c r="M152" i="221" s="1"/>
  <c r="Q151" i="221"/>
  <c r="K151" i="221"/>
  <c r="M151" i="221" s="1"/>
  <c r="Q150" i="221"/>
  <c r="K150" i="221"/>
  <c r="M150" i="221" s="1"/>
  <c r="O149" i="221"/>
  <c r="O154" i="221" s="1"/>
  <c r="K149" i="221"/>
  <c r="G145" i="221"/>
  <c r="E145" i="221"/>
  <c r="C145" i="221"/>
  <c r="Q144" i="221"/>
  <c r="K144" i="221"/>
  <c r="M144" i="221" s="1"/>
  <c r="Q143" i="221"/>
  <c r="K143" i="221"/>
  <c r="M143" i="221" s="1"/>
  <c r="Q142" i="221"/>
  <c r="K142" i="221"/>
  <c r="M142" i="221" s="1"/>
  <c r="Q141" i="221"/>
  <c r="K141" i="221"/>
  <c r="M141" i="221" s="1"/>
  <c r="O140" i="221"/>
  <c r="O145" i="221" s="1"/>
  <c r="K140" i="221"/>
  <c r="M140" i="221" s="1"/>
  <c r="G136" i="221"/>
  <c r="E136" i="221"/>
  <c r="C136" i="221"/>
  <c r="Q135" i="221"/>
  <c r="K135" i="221"/>
  <c r="M135" i="221" s="1"/>
  <c r="Q134" i="221"/>
  <c r="K134" i="221"/>
  <c r="M134" i="221" s="1"/>
  <c r="Q133" i="221"/>
  <c r="K133" i="221"/>
  <c r="M133" i="221" s="1"/>
  <c r="Q132" i="221"/>
  <c r="K132" i="221"/>
  <c r="M132" i="221" s="1"/>
  <c r="O131" i="221"/>
  <c r="O136" i="221" s="1"/>
  <c r="K131" i="221"/>
  <c r="G127" i="221"/>
  <c r="E127" i="221"/>
  <c r="C127" i="221"/>
  <c r="Q126" i="221"/>
  <c r="K126" i="221"/>
  <c r="M126" i="221" s="1"/>
  <c r="Q125" i="221"/>
  <c r="K125" i="221"/>
  <c r="M125" i="221" s="1"/>
  <c r="Q124" i="221"/>
  <c r="K124" i="221"/>
  <c r="M124" i="221" s="1"/>
  <c r="Q123" i="221"/>
  <c r="K123" i="221"/>
  <c r="M123" i="221" s="1"/>
  <c r="O122" i="221"/>
  <c r="O127" i="221" s="1"/>
  <c r="K122" i="221"/>
  <c r="M122" i="221" s="1"/>
  <c r="G118" i="221"/>
  <c r="E118" i="221"/>
  <c r="C118" i="221"/>
  <c r="Q117" i="221"/>
  <c r="K117" i="221"/>
  <c r="M117" i="221" s="1"/>
  <c r="Q116" i="221"/>
  <c r="K116" i="221"/>
  <c r="M116" i="221" s="1"/>
  <c r="Q115" i="221"/>
  <c r="K115" i="221"/>
  <c r="M115" i="221" s="1"/>
  <c r="Q114" i="221"/>
  <c r="K114" i="221"/>
  <c r="M114" i="221" s="1"/>
  <c r="O113" i="221"/>
  <c r="O118" i="221" s="1"/>
  <c r="K113" i="221"/>
  <c r="M113" i="221" s="1"/>
  <c r="G109" i="221"/>
  <c r="E109" i="221"/>
  <c r="C109" i="221"/>
  <c r="Q108" i="221"/>
  <c r="K108" i="221"/>
  <c r="M108" i="221" s="1"/>
  <c r="Q107" i="221"/>
  <c r="K107" i="221"/>
  <c r="M107" i="221" s="1"/>
  <c r="Q106" i="221"/>
  <c r="K106" i="221"/>
  <c r="M106" i="221" s="1"/>
  <c r="Q105" i="221"/>
  <c r="K105" i="221"/>
  <c r="M105" i="221" s="1"/>
  <c r="O104" i="221"/>
  <c r="O109" i="221" s="1"/>
  <c r="K104" i="221"/>
  <c r="G99" i="221"/>
  <c r="E99" i="221"/>
  <c r="C99" i="221"/>
  <c r="Q98" i="221"/>
  <c r="K98" i="221"/>
  <c r="M98" i="221" s="1"/>
  <c r="Q97" i="221"/>
  <c r="K97" i="221"/>
  <c r="M97" i="221" s="1"/>
  <c r="Q96" i="221"/>
  <c r="K96" i="221"/>
  <c r="M96" i="221" s="1"/>
  <c r="Q95" i="221"/>
  <c r="K95" i="221"/>
  <c r="M95" i="221" s="1"/>
  <c r="Q94" i="221"/>
  <c r="K94" i="221"/>
  <c r="M94" i="221" s="1"/>
  <c r="O93" i="221"/>
  <c r="K93" i="221"/>
  <c r="G89" i="221"/>
  <c r="E89" i="221"/>
  <c r="C89" i="221"/>
  <c r="Q88" i="221"/>
  <c r="K88" i="221"/>
  <c r="M88" i="221" s="1"/>
  <c r="Q87" i="221"/>
  <c r="K87" i="221"/>
  <c r="M87" i="221" s="1"/>
  <c r="Q86" i="221"/>
  <c r="K86" i="221"/>
  <c r="M86" i="221" s="1"/>
  <c r="Q85" i="221"/>
  <c r="K85" i="221"/>
  <c r="M85" i="221" s="1"/>
  <c r="Q84" i="221"/>
  <c r="K84" i="221"/>
  <c r="M84" i="221" s="1"/>
  <c r="O83" i="221"/>
  <c r="O89" i="221" s="1"/>
  <c r="K83" i="221"/>
  <c r="G79" i="221"/>
  <c r="E79" i="221"/>
  <c r="C79" i="221"/>
  <c r="Q78" i="221"/>
  <c r="K78" i="221"/>
  <c r="M78" i="221" s="1"/>
  <c r="Q77" i="221"/>
  <c r="K77" i="221"/>
  <c r="M77" i="221" s="1"/>
  <c r="Q76" i="221"/>
  <c r="K76" i="221"/>
  <c r="M76" i="221" s="1"/>
  <c r="Q75" i="221"/>
  <c r="K75" i="221"/>
  <c r="M75" i="221" s="1"/>
  <c r="Q74" i="221"/>
  <c r="K74" i="221"/>
  <c r="M74" i="221" s="1"/>
  <c r="O73" i="221"/>
  <c r="K73" i="221"/>
  <c r="G69" i="221"/>
  <c r="E69" i="221"/>
  <c r="C69" i="221"/>
  <c r="Q68" i="221"/>
  <c r="K68" i="221"/>
  <c r="M68" i="221" s="1"/>
  <c r="Q67" i="221"/>
  <c r="K67" i="221"/>
  <c r="M67" i="221" s="1"/>
  <c r="Q66" i="221"/>
  <c r="K66" i="221"/>
  <c r="M66" i="221" s="1"/>
  <c r="Q65" i="221"/>
  <c r="K65" i="221"/>
  <c r="M65" i="221" s="1"/>
  <c r="Q64" i="221"/>
  <c r="K64" i="221"/>
  <c r="M64" i="221" s="1"/>
  <c r="O63" i="221"/>
  <c r="O69" i="221" s="1"/>
  <c r="K63" i="221"/>
  <c r="G59" i="221"/>
  <c r="E59" i="221"/>
  <c r="C59" i="221"/>
  <c r="Q58" i="221"/>
  <c r="K58" i="221"/>
  <c r="M58" i="221" s="1"/>
  <c r="Q57" i="221"/>
  <c r="K57" i="221"/>
  <c r="M57" i="221" s="1"/>
  <c r="Q56" i="221"/>
  <c r="K56" i="221"/>
  <c r="M56" i="221" s="1"/>
  <c r="Q55" i="221"/>
  <c r="K55" i="221"/>
  <c r="M55" i="221" s="1"/>
  <c r="Q54" i="221"/>
  <c r="K54" i="221"/>
  <c r="M54" i="221" s="1"/>
  <c r="O53" i="221"/>
  <c r="K53" i="221"/>
  <c r="G49" i="221"/>
  <c r="E49" i="221"/>
  <c r="C49" i="221"/>
  <c r="Q48" i="221"/>
  <c r="K48" i="221"/>
  <c r="M48" i="221" s="1"/>
  <c r="Q47" i="221"/>
  <c r="K47" i="221"/>
  <c r="M47" i="221" s="1"/>
  <c r="Q46" i="221"/>
  <c r="K46" i="221"/>
  <c r="M46" i="221" s="1"/>
  <c r="Q45" i="221"/>
  <c r="K45" i="221"/>
  <c r="M45" i="221" s="1"/>
  <c r="Q44" i="221"/>
  <c r="K44" i="221"/>
  <c r="M44" i="221" s="1"/>
  <c r="O43" i="221"/>
  <c r="O49" i="221" s="1"/>
  <c r="K43" i="221"/>
  <c r="G39" i="221"/>
  <c r="E39" i="221"/>
  <c r="C39" i="221"/>
  <c r="Q38" i="221"/>
  <c r="K38" i="221"/>
  <c r="M38" i="221" s="1"/>
  <c r="Q37" i="221"/>
  <c r="K37" i="221"/>
  <c r="M37" i="221" s="1"/>
  <c r="Q36" i="221"/>
  <c r="K36" i="221"/>
  <c r="M36" i="221" s="1"/>
  <c r="Q35" i="221"/>
  <c r="K35" i="221"/>
  <c r="M35" i="221" s="1"/>
  <c r="Q34" i="221"/>
  <c r="K34" i="221"/>
  <c r="M34" i="221" s="1"/>
  <c r="O33" i="221"/>
  <c r="K33" i="221"/>
  <c r="G29" i="221"/>
  <c r="E29" i="221"/>
  <c r="C29" i="221"/>
  <c r="Q28" i="221"/>
  <c r="K28" i="221"/>
  <c r="M28" i="221" s="1"/>
  <c r="Q27" i="221"/>
  <c r="K27" i="221"/>
  <c r="M27" i="221" s="1"/>
  <c r="Q26" i="221"/>
  <c r="K26" i="221"/>
  <c r="M26" i="221" s="1"/>
  <c r="Q25" i="221"/>
  <c r="K25" i="221"/>
  <c r="M25" i="221" s="1"/>
  <c r="Q24" i="221"/>
  <c r="K24" i="221"/>
  <c r="M24" i="221" s="1"/>
  <c r="O23" i="221"/>
  <c r="O29" i="221" s="1"/>
  <c r="K23" i="221"/>
  <c r="G19" i="221"/>
  <c r="E19" i="221"/>
  <c r="C19" i="221"/>
  <c r="Q18" i="221"/>
  <c r="K18" i="221"/>
  <c r="M18" i="221" s="1"/>
  <c r="Q17" i="221"/>
  <c r="K17" i="221"/>
  <c r="M17" i="221" s="1"/>
  <c r="Q16" i="221"/>
  <c r="K16" i="221"/>
  <c r="M16" i="221" s="1"/>
  <c r="Q15" i="221"/>
  <c r="K15" i="221"/>
  <c r="M15" i="221" s="1"/>
  <c r="Q14" i="221"/>
  <c r="K14" i="221"/>
  <c r="M14" i="221" s="1"/>
  <c r="O13" i="221"/>
  <c r="K13" i="221"/>
  <c r="M393" i="221" l="1"/>
  <c r="K252" i="221"/>
  <c r="Q19" i="221"/>
  <c r="K49" i="221"/>
  <c r="Q59" i="221"/>
  <c r="Q136" i="221"/>
  <c r="Q169" i="221"/>
  <c r="Q109" i="221"/>
  <c r="M194" i="221"/>
  <c r="M196" i="221" s="1"/>
  <c r="K376" i="221"/>
  <c r="K109" i="221"/>
  <c r="Q331" i="221"/>
  <c r="Q118" i="221"/>
  <c r="K136" i="221"/>
  <c r="K154" i="221"/>
  <c r="K358" i="221"/>
  <c r="Q39" i="221"/>
  <c r="K69" i="221"/>
  <c r="K79" i="221"/>
  <c r="M149" i="221"/>
  <c r="M154" i="221" s="1"/>
  <c r="M156" i="221" s="1"/>
  <c r="Q162" i="221"/>
  <c r="K188" i="221"/>
  <c r="Q262" i="221"/>
  <c r="K282" i="221"/>
  <c r="K292" i="221"/>
  <c r="Q302" i="221"/>
  <c r="K312" i="221"/>
  <c r="Q340" i="221"/>
  <c r="K382" i="221"/>
  <c r="K19" i="221"/>
  <c r="Q29" i="221"/>
  <c r="Q79" i="221"/>
  <c r="Q89" i="221"/>
  <c r="Q99" i="221"/>
  <c r="Q127" i="221"/>
  <c r="M182" i="221"/>
  <c r="M184" i="221" s="1"/>
  <c r="K302" i="221"/>
  <c r="Q349" i="221"/>
  <c r="K39" i="221"/>
  <c r="Q49" i="221"/>
  <c r="K59" i="221"/>
  <c r="K99" i="221"/>
  <c r="K176" i="221"/>
  <c r="M186" i="221"/>
  <c r="M188" i="221" s="1"/>
  <c r="M190" i="221" s="1"/>
  <c r="K331" i="221"/>
  <c r="K340" i="221"/>
  <c r="M127" i="221"/>
  <c r="M129" i="221" s="1"/>
  <c r="K145" i="221"/>
  <c r="K182" i="221"/>
  <c r="K194" i="221"/>
  <c r="M340" i="221"/>
  <c r="M342" i="221" s="1"/>
  <c r="K29" i="221"/>
  <c r="K89" i="221"/>
  <c r="M131" i="221"/>
  <c r="M136" i="221" s="1"/>
  <c r="M138" i="221" s="1"/>
  <c r="Q154" i="221"/>
  <c r="M296" i="221"/>
  <c r="M302" i="221" s="1"/>
  <c r="M304" i="221" s="1"/>
  <c r="M162" i="221"/>
  <c r="M164" i="221" s="1"/>
  <c r="M169" i="221"/>
  <c r="M171" i="221" s="1"/>
  <c r="M118" i="221"/>
  <c r="M120" i="221" s="1"/>
  <c r="O19" i="221"/>
  <c r="M23" i="221"/>
  <c r="M29" i="221" s="1"/>
  <c r="M31" i="221" s="1"/>
  <c r="O39" i="221"/>
  <c r="M43" i="221"/>
  <c r="M49" i="221" s="1"/>
  <c r="M51" i="221" s="1"/>
  <c r="O59" i="221"/>
  <c r="M63" i="221"/>
  <c r="M69" i="221" s="1"/>
  <c r="M71" i="221" s="1"/>
  <c r="O79" i="221"/>
  <c r="M83" i="221"/>
  <c r="M89" i="221" s="1"/>
  <c r="M91" i="221" s="1"/>
  <c r="O99" i="221"/>
  <c r="M104" i="221"/>
  <c r="M109" i="221" s="1"/>
  <c r="M111" i="221" s="1"/>
  <c r="K118" i="221"/>
  <c r="K127" i="221"/>
  <c r="M145" i="221"/>
  <c r="M147" i="221" s="1"/>
  <c r="Q176" i="221"/>
  <c r="M200" i="221"/>
  <c r="M202" i="221" s="1"/>
  <c r="Q200" i="221"/>
  <c r="M206" i="221"/>
  <c r="M208" i="221" s="1"/>
  <c r="C232" i="221"/>
  <c r="K228" i="221"/>
  <c r="M227" i="221"/>
  <c r="M228" i="221" s="1"/>
  <c r="M230" i="221" s="1"/>
  <c r="Q242" i="221"/>
  <c r="M317" i="221"/>
  <c r="M322" i="221" s="1"/>
  <c r="M324" i="221" s="1"/>
  <c r="K322" i="221"/>
  <c r="K395" i="221"/>
  <c r="M394" i="221"/>
  <c r="M395" i="221" s="1"/>
  <c r="Q69" i="221"/>
  <c r="K169" i="221"/>
  <c r="O220" i="221"/>
  <c r="K211" i="221"/>
  <c r="M210" i="221"/>
  <c r="M211" i="221" s="1"/>
  <c r="M213" i="221" s="1"/>
  <c r="E232" i="221"/>
  <c r="M257" i="221"/>
  <c r="M262" i="221" s="1"/>
  <c r="M264" i="221" s="1"/>
  <c r="K262" i="221"/>
  <c r="E398" i="221"/>
  <c r="K272" i="221"/>
  <c r="M266" i="221"/>
  <c r="M272" i="221" s="1"/>
  <c r="M274" i="221" s="1"/>
  <c r="M13" i="221"/>
  <c r="M19" i="221" s="1"/>
  <c r="M21" i="221" s="1"/>
  <c r="M33" i="221"/>
  <c r="M39" i="221" s="1"/>
  <c r="M41" i="221" s="1"/>
  <c r="M53" i="221"/>
  <c r="M59" i="221" s="1"/>
  <c r="M61" i="221" s="1"/>
  <c r="M73" i="221"/>
  <c r="M79" i="221" s="1"/>
  <c r="M81" i="221" s="1"/>
  <c r="M93" i="221"/>
  <c r="M99" i="221" s="1"/>
  <c r="M101" i="221" s="1"/>
  <c r="Q145" i="221"/>
  <c r="K162" i="221"/>
  <c r="M176" i="221"/>
  <c r="M178" i="221" s="1"/>
  <c r="K206" i="221"/>
  <c r="G232" i="221"/>
  <c r="K200" i="221"/>
  <c r="M242" i="221"/>
  <c r="M244" i="221" s="1"/>
  <c r="O211" i="221"/>
  <c r="M219" i="221"/>
  <c r="M220" i="221" s="1"/>
  <c r="M222" i="221" s="1"/>
  <c r="O228" i="221"/>
  <c r="O252" i="221"/>
  <c r="Q282" i="221"/>
  <c r="Q312" i="221"/>
  <c r="M331" i="221"/>
  <c r="M333" i="221" s="1"/>
  <c r="K349" i="221"/>
  <c r="M347" i="221"/>
  <c r="M349" i="221" s="1"/>
  <c r="M351" i="221" s="1"/>
  <c r="Q358" i="221"/>
  <c r="Q376" i="221"/>
  <c r="C398" i="221"/>
  <c r="K242" i="221"/>
  <c r="Q272" i="221"/>
  <c r="O292" i="221"/>
  <c r="Q322" i="221"/>
  <c r="K367" i="221"/>
  <c r="Q367" i="221"/>
  <c r="Q382" i="221"/>
  <c r="O387" i="221"/>
  <c r="G398" i="221"/>
  <c r="Q252" i="221"/>
  <c r="O262" i="221"/>
  <c r="M276" i="221"/>
  <c r="M282" i="221" s="1"/>
  <c r="M284" i="221" s="1"/>
  <c r="Q292" i="221"/>
  <c r="O302" i="221"/>
  <c r="M306" i="221"/>
  <c r="M312" i="221" s="1"/>
  <c r="M314" i="221" s="1"/>
  <c r="O322" i="221"/>
  <c r="M353" i="221"/>
  <c r="M358" i="221" s="1"/>
  <c r="M360" i="221" s="1"/>
  <c r="M362" i="221"/>
  <c r="M367" i="221" s="1"/>
  <c r="M369" i="221" s="1"/>
  <c r="M371" i="221"/>
  <c r="M376" i="221" s="1"/>
  <c r="M378" i="221" s="1"/>
  <c r="M380" i="221"/>
  <c r="M382" i="221" s="1"/>
  <c r="M384" i="221" s="1"/>
  <c r="M246" i="221"/>
  <c r="M252" i="221" s="1"/>
  <c r="M254" i="221" s="1"/>
  <c r="M286" i="221"/>
  <c r="M292" i="221" s="1"/>
  <c r="M294" i="221" s="1"/>
  <c r="M386" i="221"/>
  <c r="M387" i="221" s="1"/>
  <c r="M389" i="221" s="1"/>
  <c r="P31" i="252"/>
  <c r="N31" i="252"/>
  <c r="L31" i="252"/>
  <c r="J31" i="252"/>
  <c r="K13" i="249"/>
  <c r="O20" i="252"/>
  <c r="O19" i="252"/>
  <c r="O18" i="252"/>
  <c r="O16" i="252"/>
  <c r="O14" i="252"/>
  <c r="O13" i="252"/>
  <c r="M14" i="252"/>
  <c r="K20" i="252"/>
  <c r="G20" i="252"/>
  <c r="G19" i="252"/>
  <c r="G18" i="252"/>
  <c r="G17" i="252"/>
  <c r="G16" i="252"/>
  <c r="A8" i="267"/>
  <c r="F62" i="267"/>
  <c r="O17" i="252" s="1"/>
  <c r="F61" i="267"/>
  <c r="F60" i="267"/>
  <c r="F59" i="267"/>
  <c r="F58" i="267"/>
  <c r="F57" i="267"/>
  <c r="O15" i="252" s="1"/>
  <c r="F56" i="267"/>
  <c r="F55" i="267"/>
  <c r="F54" i="267"/>
  <c r="K14" i="252" s="1"/>
  <c r="F53" i="267"/>
  <c r="F52" i="267"/>
  <c r="G14" i="252" s="1"/>
  <c r="F51" i="267"/>
  <c r="F50" i="267"/>
  <c r="F49" i="267"/>
  <c r="F44" i="267"/>
  <c r="M20" i="252" s="1"/>
  <c r="F43" i="267"/>
  <c r="I20" i="252" s="1"/>
  <c r="F42" i="267"/>
  <c r="M19" i="252" s="1"/>
  <c r="F41" i="267"/>
  <c r="K19" i="252" s="1"/>
  <c r="F40" i="267"/>
  <c r="I19" i="252" s="1"/>
  <c r="F39" i="267"/>
  <c r="M18" i="252" s="1"/>
  <c r="F38" i="267"/>
  <c r="K18" i="252" s="1"/>
  <c r="F37" i="267"/>
  <c r="I18" i="252" s="1"/>
  <c r="F36" i="267"/>
  <c r="M17" i="252" s="1"/>
  <c r="F35" i="267"/>
  <c r="F34" i="267"/>
  <c r="F33" i="267"/>
  <c r="M16" i="252" s="1"/>
  <c r="F32" i="267"/>
  <c r="F31" i="267"/>
  <c r="F30" i="267"/>
  <c r="M15" i="252" s="1"/>
  <c r="F29" i="267"/>
  <c r="F27" i="267"/>
  <c r="G15" i="252" s="1"/>
  <c r="F28" i="267"/>
  <c r="F26" i="267"/>
  <c r="F25" i="267"/>
  <c r="M13" i="252" s="1"/>
  <c r="F24" i="267"/>
  <c r="F23" i="267"/>
  <c r="F22" i="267"/>
  <c r="G401" i="221" l="1"/>
  <c r="F45" i="267"/>
  <c r="Q232" i="221"/>
  <c r="O232" i="221"/>
  <c r="O398" i="221"/>
  <c r="Q398" i="221"/>
  <c r="E401" i="221"/>
  <c r="K398" i="221"/>
  <c r="M397" i="221"/>
  <c r="M398" i="221"/>
  <c r="K232" i="221"/>
  <c r="C401" i="221"/>
  <c r="M232" i="221"/>
  <c r="K13" i="252"/>
  <c r="K16" i="252"/>
  <c r="K15" i="252"/>
  <c r="K17" i="252"/>
  <c r="I13" i="252"/>
  <c r="I16" i="252"/>
  <c r="I17" i="252"/>
  <c r="I15" i="252"/>
  <c r="G13" i="252"/>
  <c r="I14" i="252"/>
  <c r="F63" i="267"/>
  <c r="F16" i="267"/>
  <c r="F15" i="267"/>
  <c r="F12" i="267"/>
  <c r="F10" i="267"/>
  <c r="F14" i="267"/>
  <c r="F11" i="267"/>
  <c r="F13" i="267"/>
  <c r="F17" i="267"/>
  <c r="G23" i="252" l="1"/>
  <c r="Q401" i="221"/>
  <c r="F18" i="267"/>
  <c r="O401" i="221"/>
  <c r="M401" i="221"/>
  <c r="K401" i="221"/>
  <c r="Q18" i="266" l="1"/>
  <c r="M18" i="266"/>
  <c r="I18" i="266"/>
  <c r="G18" i="266"/>
  <c r="A5" i="252" l="1"/>
  <c r="A2" i="252"/>
  <c r="A1" i="252"/>
  <c r="A5" i="253"/>
  <c r="A1" i="253"/>
  <c r="A2" i="253"/>
  <c r="A5" i="254"/>
  <c r="A2" i="254"/>
  <c r="A1" i="254"/>
  <c r="A5" i="255"/>
  <c r="A2" i="255"/>
  <c r="A1" i="255"/>
  <c r="A5" i="256"/>
  <c r="A2" i="256"/>
  <c r="A1" i="256"/>
  <c r="A5" i="257"/>
  <c r="A2" i="257"/>
  <c r="A1" i="257"/>
  <c r="B1" i="259"/>
  <c r="A4" i="260"/>
  <c r="A2" i="260"/>
  <c r="A1" i="260"/>
  <c r="A2" i="261"/>
  <c r="A4" i="261"/>
  <c r="A1" i="261"/>
  <c r="A4" i="266" l="1"/>
  <c r="A2" i="266"/>
  <c r="A1" i="266"/>
  <c r="G29" i="246" l="1"/>
  <c r="H29" i="246" s="1"/>
  <c r="A4" i="265" l="1"/>
  <c r="C25" i="265"/>
  <c r="E25" i="265" s="1"/>
  <c r="E23" i="265"/>
  <c r="E22" i="265"/>
  <c r="E21" i="265"/>
  <c r="E20" i="265"/>
  <c r="E19" i="265"/>
  <c r="E18" i="265"/>
  <c r="E17" i="265"/>
  <c r="E16" i="265"/>
  <c r="E15" i="265"/>
  <c r="E14" i="265"/>
  <c r="E13" i="265"/>
  <c r="E12" i="265"/>
  <c r="E28" i="265" l="1"/>
  <c r="D28" i="265" s="1"/>
  <c r="A2" i="265" l="1"/>
  <c r="A1" i="265"/>
  <c r="G37" i="26" l="1"/>
  <c r="G11" i="26"/>
  <c r="A4" i="264" l="1"/>
  <c r="A2" i="264"/>
  <c r="A1" i="264"/>
  <c r="H13" i="264"/>
  <c r="I19" i="12" s="1"/>
  <c r="F36" i="19" l="1"/>
  <c r="I62" i="261" l="1"/>
  <c r="H35" i="261"/>
  <c r="P35" i="261" s="1"/>
  <c r="G23" i="261"/>
  <c r="P23" i="261" s="1"/>
  <c r="F20" i="261"/>
  <c r="P20" i="261" s="1"/>
  <c r="H13" i="261"/>
  <c r="G12" i="261"/>
  <c r="T61" i="260"/>
  <c r="Q61" i="260"/>
  <c r="C41" i="259" s="1"/>
  <c r="C24" i="255" s="1"/>
  <c r="E24" i="255" s="1"/>
  <c r="O61" i="260"/>
  <c r="C39" i="259" s="1"/>
  <c r="N61" i="260"/>
  <c r="C38" i="259" s="1"/>
  <c r="I61" i="260"/>
  <c r="C31" i="259" s="1"/>
  <c r="C15" i="255" s="1"/>
  <c r="E15" i="255" s="1"/>
  <c r="F15" i="255" s="1"/>
  <c r="L15" i="255" s="1"/>
  <c r="M15" i="255" s="1"/>
  <c r="G57" i="260"/>
  <c r="G55" i="260"/>
  <c r="G53" i="260"/>
  <c r="G44" i="260"/>
  <c r="R42" i="260"/>
  <c r="G42" i="260" s="1"/>
  <c r="G30" i="260"/>
  <c r="G28" i="260"/>
  <c r="G15" i="260"/>
  <c r="G10" i="260"/>
  <c r="J19" i="256"/>
  <c r="I19" i="256"/>
  <c r="H19" i="256"/>
  <c r="J18" i="256"/>
  <c r="I18" i="256"/>
  <c r="H18" i="256"/>
  <c r="J17" i="256"/>
  <c r="I17" i="256"/>
  <c r="H17" i="256"/>
  <c r="J16" i="256"/>
  <c r="I16" i="256"/>
  <c r="H16" i="256"/>
  <c r="J15" i="256"/>
  <c r="I15" i="256"/>
  <c r="H15" i="256"/>
  <c r="J14" i="256"/>
  <c r="I14" i="256"/>
  <c r="H14" i="256"/>
  <c r="J13" i="256"/>
  <c r="I13" i="256"/>
  <c r="H13" i="256"/>
  <c r="J12" i="256"/>
  <c r="I12" i="256"/>
  <c r="H12" i="256"/>
  <c r="E43" i="255"/>
  <c r="D38" i="255"/>
  <c r="E29" i="255"/>
  <c r="C27" i="255"/>
  <c r="E27" i="255" s="1"/>
  <c r="L26" i="255"/>
  <c r="M26" i="255" s="1"/>
  <c r="L19" i="255"/>
  <c r="M19" i="255" s="1"/>
  <c r="L16" i="255"/>
  <c r="M16" i="255" s="1"/>
  <c r="L13" i="255"/>
  <c r="M13" i="255" s="1"/>
  <c r="E12" i="255"/>
  <c r="E35" i="254"/>
  <c r="J16" i="254"/>
  <c r="K16" i="254" s="1"/>
  <c r="P42" i="252"/>
  <c r="O42" i="252"/>
  <c r="N42" i="252"/>
  <c r="L42" i="252"/>
  <c r="J42" i="252"/>
  <c r="Q39" i="252"/>
  <c r="H31" i="252"/>
  <c r="H42" i="252" s="1"/>
  <c r="P23" i="252"/>
  <c r="O23" i="252"/>
  <c r="N23" i="252"/>
  <c r="M23" i="252"/>
  <c r="L23" i="252"/>
  <c r="K23" i="252"/>
  <c r="J23" i="252"/>
  <c r="F19" i="256"/>
  <c r="E19" i="256"/>
  <c r="F18" i="256"/>
  <c r="E18" i="256"/>
  <c r="F17" i="256"/>
  <c r="E17" i="256"/>
  <c r="F16" i="256"/>
  <c r="E16" i="256"/>
  <c r="F15" i="256"/>
  <c r="F14" i="256"/>
  <c r="E14" i="256"/>
  <c r="F13" i="256"/>
  <c r="H14" i="252"/>
  <c r="E13" i="256" s="1"/>
  <c r="F12" i="256"/>
  <c r="H13" i="252"/>
  <c r="H22" i="256" l="1"/>
  <c r="J22" i="256"/>
  <c r="K17" i="256"/>
  <c r="C22" i="255"/>
  <c r="E22" i="255" s="1"/>
  <c r="J24" i="256"/>
  <c r="H23" i="252"/>
  <c r="K16" i="256"/>
  <c r="Q14" i="252"/>
  <c r="Q19" i="252"/>
  <c r="Q20" i="252"/>
  <c r="K13" i="256"/>
  <c r="K14" i="256"/>
  <c r="K18" i="256"/>
  <c r="K19" i="256"/>
  <c r="C24" i="259"/>
  <c r="P12" i="261"/>
  <c r="F24" i="256"/>
  <c r="I23" i="252"/>
  <c r="P13" i="261"/>
  <c r="Q17" i="252"/>
  <c r="Q13" i="252"/>
  <c r="E12" i="256"/>
  <c r="Q15" i="252"/>
  <c r="E15" i="256"/>
  <c r="K15" i="256" s="1"/>
  <c r="Q16" i="252"/>
  <c r="Q18" i="252"/>
  <c r="F12" i="255"/>
  <c r="H24" i="256"/>
  <c r="H88" i="9"/>
  <c r="E22" i="10"/>
  <c r="H94" i="9"/>
  <c r="H80" i="9"/>
  <c r="D16" i="250"/>
  <c r="C16" i="250"/>
  <c r="A4" i="250"/>
  <c r="A2" i="250"/>
  <c r="A1" i="250"/>
  <c r="K12" i="256" l="1"/>
  <c r="L12" i="255"/>
  <c r="M12" i="255" s="1"/>
  <c r="Q23" i="252"/>
  <c r="J24" i="255"/>
  <c r="L24" i="255" s="1"/>
  <c r="M24" i="255" s="1"/>
  <c r="A36" i="21"/>
  <c r="A33" i="21"/>
  <c r="A4" i="241"/>
  <c r="A2" i="241"/>
  <c r="A1" i="241"/>
  <c r="A4" i="243"/>
  <c r="A2" i="243"/>
  <c r="A1" i="243"/>
  <c r="A4" i="22"/>
  <c r="A2" i="22"/>
  <c r="A1" i="22"/>
  <c r="C35" i="253" l="1"/>
  <c r="H40" i="253"/>
  <c r="H30" i="253"/>
  <c r="C40" i="253"/>
  <c r="C30" i="253"/>
  <c r="C53" i="253"/>
  <c r="H35" i="253"/>
  <c r="K24" i="256"/>
  <c r="A4" i="11"/>
  <c r="A2" i="11"/>
  <c r="A1" i="11"/>
  <c r="A4" i="26"/>
  <c r="A2" i="26"/>
  <c r="A1" i="26"/>
  <c r="A4" i="10"/>
  <c r="A2" i="10"/>
  <c r="A1" i="10"/>
  <c r="A4" i="19"/>
  <c r="A2" i="19"/>
  <c r="A1" i="19"/>
  <c r="C42" i="253" l="1"/>
  <c r="K228" i="249"/>
  <c r="K224" i="249"/>
  <c r="K380" i="249"/>
  <c r="O380" i="249"/>
  <c r="K381" i="249"/>
  <c r="M381" i="249" s="1"/>
  <c r="Q381" i="249"/>
  <c r="C382" i="249"/>
  <c r="E382" i="249"/>
  <c r="G382" i="249"/>
  <c r="G395" i="249"/>
  <c r="E395" i="249"/>
  <c r="C395" i="249"/>
  <c r="Q394" i="249"/>
  <c r="Q395" i="249" s="1"/>
  <c r="O394" i="249"/>
  <c r="G391" i="249"/>
  <c r="E391" i="249"/>
  <c r="C391" i="249"/>
  <c r="Q390" i="249"/>
  <c r="Q391" i="249" s="1"/>
  <c r="O390" i="249"/>
  <c r="G387" i="249"/>
  <c r="E387" i="249"/>
  <c r="C387" i="249"/>
  <c r="Q386" i="249"/>
  <c r="Q387" i="249" s="1"/>
  <c r="O386" i="249"/>
  <c r="E62" i="267"/>
  <c r="D62" i="267"/>
  <c r="Q375" i="249"/>
  <c r="K375" i="249"/>
  <c r="M375" i="249" s="1"/>
  <c r="Q374" i="249"/>
  <c r="K374" i="249"/>
  <c r="M374" i="249" s="1"/>
  <c r="Q373" i="249"/>
  <c r="K373" i="249"/>
  <c r="M373" i="249" s="1"/>
  <c r="Q372" i="249"/>
  <c r="K372" i="249"/>
  <c r="M372" i="249" s="1"/>
  <c r="O371" i="249"/>
  <c r="K371" i="249"/>
  <c r="M371" i="249" s="1"/>
  <c r="G62" i="267" s="1"/>
  <c r="E61" i="267"/>
  <c r="D61" i="267"/>
  <c r="Q366" i="249"/>
  <c r="K366" i="249"/>
  <c r="M366" i="249" s="1"/>
  <c r="Q365" i="249"/>
  <c r="K365" i="249"/>
  <c r="M365" i="249" s="1"/>
  <c r="Q364" i="249"/>
  <c r="K364" i="249"/>
  <c r="M364" i="249" s="1"/>
  <c r="Q363" i="249"/>
  <c r="K363" i="249"/>
  <c r="M363" i="249" s="1"/>
  <c r="O362" i="249"/>
  <c r="K362" i="249"/>
  <c r="E60" i="267"/>
  <c r="D60" i="267"/>
  <c r="Q357" i="249"/>
  <c r="K357" i="249"/>
  <c r="M357" i="249" s="1"/>
  <c r="Q356" i="249"/>
  <c r="K356" i="249"/>
  <c r="M356" i="249" s="1"/>
  <c r="Q355" i="249"/>
  <c r="K355" i="249"/>
  <c r="M355" i="249" s="1"/>
  <c r="Q354" i="249"/>
  <c r="K354" i="249"/>
  <c r="M354" i="249" s="1"/>
  <c r="O353" i="249"/>
  <c r="O358" i="249" s="1"/>
  <c r="K353" i="249"/>
  <c r="Q348" i="249"/>
  <c r="K348" i="249"/>
  <c r="Q347" i="249"/>
  <c r="K347" i="249"/>
  <c r="M347" i="249" s="1"/>
  <c r="Q346" i="249"/>
  <c r="M346" i="249"/>
  <c r="Q345" i="249"/>
  <c r="M345" i="249"/>
  <c r="O344" i="249"/>
  <c r="M344" i="249"/>
  <c r="E59" i="267"/>
  <c r="D59" i="267"/>
  <c r="Q339" i="249"/>
  <c r="K339" i="249"/>
  <c r="M339" i="249" s="1"/>
  <c r="Q338" i="249"/>
  <c r="K338" i="249"/>
  <c r="M338" i="249" s="1"/>
  <c r="Q337" i="249"/>
  <c r="K337" i="249"/>
  <c r="M337" i="249" s="1"/>
  <c r="Q336" i="249"/>
  <c r="K336" i="249"/>
  <c r="M336" i="249" s="1"/>
  <c r="O335" i="249"/>
  <c r="K335" i="249"/>
  <c r="M335" i="249" s="1"/>
  <c r="G59" i="267" s="1"/>
  <c r="E58" i="267"/>
  <c r="D58" i="267"/>
  <c r="Q330" i="249"/>
  <c r="K330" i="249"/>
  <c r="M330" i="249" s="1"/>
  <c r="Q329" i="249"/>
  <c r="K329" i="249"/>
  <c r="M329" i="249" s="1"/>
  <c r="Q328" i="249"/>
  <c r="K328" i="249"/>
  <c r="M328" i="249" s="1"/>
  <c r="Q327" i="249"/>
  <c r="K327" i="249"/>
  <c r="M327" i="249" s="1"/>
  <c r="O326" i="249"/>
  <c r="O331" i="249" s="1"/>
  <c r="K326" i="249"/>
  <c r="E57" i="267"/>
  <c r="D57" i="267"/>
  <c r="Q321" i="249"/>
  <c r="K321" i="249"/>
  <c r="M321" i="249" s="1"/>
  <c r="Q320" i="249"/>
  <c r="K320" i="249"/>
  <c r="M320" i="249" s="1"/>
  <c r="Q319" i="249"/>
  <c r="K319" i="249"/>
  <c r="M319" i="249" s="1"/>
  <c r="Q318" i="249"/>
  <c r="K318" i="249"/>
  <c r="M318" i="249" s="1"/>
  <c r="Q317" i="249"/>
  <c r="K317" i="249"/>
  <c r="O316" i="249"/>
  <c r="O322" i="249" s="1"/>
  <c r="K316" i="249"/>
  <c r="M316" i="249" s="1"/>
  <c r="G57" i="267" s="1"/>
  <c r="E56" i="267"/>
  <c r="D56" i="267"/>
  <c r="Q311" i="249"/>
  <c r="K311" i="249"/>
  <c r="M311" i="249" s="1"/>
  <c r="Q310" i="249"/>
  <c r="K310" i="249"/>
  <c r="M310" i="249" s="1"/>
  <c r="Q309" i="249"/>
  <c r="K309" i="249"/>
  <c r="M309" i="249" s="1"/>
  <c r="Q308" i="249"/>
  <c r="K308" i="249"/>
  <c r="M308" i="249" s="1"/>
  <c r="Q307" i="249"/>
  <c r="K307" i="249"/>
  <c r="M307" i="249" s="1"/>
  <c r="O306" i="249"/>
  <c r="O312" i="249" s="1"/>
  <c r="K306" i="249"/>
  <c r="E55" i="267"/>
  <c r="D55" i="267"/>
  <c r="Q301" i="249"/>
  <c r="K301" i="249"/>
  <c r="M301" i="249" s="1"/>
  <c r="Q300" i="249"/>
  <c r="K300" i="249"/>
  <c r="M300" i="249" s="1"/>
  <c r="Q299" i="249"/>
  <c r="K299" i="249"/>
  <c r="M299" i="249" s="1"/>
  <c r="Q298" i="249"/>
  <c r="K298" i="249"/>
  <c r="M298" i="249" s="1"/>
  <c r="Q297" i="249"/>
  <c r="K297" i="249"/>
  <c r="O296" i="249"/>
  <c r="O302" i="249" s="1"/>
  <c r="K296" i="249"/>
  <c r="M296" i="249" s="1"/>
  <c r="G55" i="267" s="1"/>
  <c r="E54" i="267"/>
  <c r="D54" i="267"/>
  <c r="Q291" i="249"/>
  <c r="K291" i="249"/>
  <c r="M291" i="249" s="1"/>
  <c r="Q290" i="249"/>
  <c r="K290" i="249"/>
  <c r="M290" i="249" s="1"/>
  <c r="Q289" i="249"/>
  <c r="K289" i="249"/>
  <c r="M289" i="249" s="1"/>
  <c r="Q288" i="249"/>
  <c r="K288" i="249"/>
  <c r="M288" i="249" s="1"/>
  <c r="Q287" i="249"/>
  <c r="K287" i="249"/>
  <c r="M287" i="249" s="1"/>
  <c r="O286" i="249"/>
  <c r="O292" i="249" s="1"/>
  <c r="K286" i="249"/>
  <c r="M286" i="249" s="1"/>
  <c r="G54" i="267" s="1"/>
  <c r="E53" i="267"/>
  <c r="D53" i="267"/>
  <c r="Q281" i="249"/>
  <c r="K281" i="249"/>
  <c r="M281" i="249" s="1"/>
  <c r="Q280" i="249"/>
  <c r="K280" i="249"/>
  <c r="M280" i="249" s="1"/>
  <c r="Q279" i="249"/>
  <c r="K279" i="249"/>
  <c r="M279" i="249" s="1"/>
  <c r="Q278" i="249"/>
  <c r="K278" i="249"/>
  <c r="M278" i="249" s="1"/>
  <c r="Q277" i="249"/>
  <c r="K277" i="249"/>
  <c r="O276" i="249"/>
  <c r="O282" i="249" s="1"/>
  <c r="K276" i="249"/>
  <c r="M276" i="249" s="1"/>
  <c r="G53" i="267" s="1"/>
  <c r="E52" i="267"/>
  <c r="D52" i="267"/>
  <c r="Q271" i="249"/>
  <c r="K271" i="249"/>
  <c r="M271" i="249" s="1"/>
  <c r="Q270" i="249"/>
  <c r="K270" i="249"/>
  <c r="M270" i="249" s="1"/>
  <c r="Q269" i="249"/>
  <c r="K269" i="249"/>
  <c r="M269" i="249" s="1"/>
  <c r="Q268" i="249"/>
  <c r="K268" i="249"/>
  <c r="M268" i="249" s="1"/>
  <c r="Q267" i="249"/>
  <c r="K267" i="249"/>
  <c r="M267" i="249" s="1"/>
  <c r="O266" i="249"/>
  <c r="O272" i="249" s="1"/>
  <c r="K266" i="249"/>
  <c r="M266" i="249" s="1"/>
  <c r="G52" i="267" s="1"/>
  <c r="E51" i="267"/>
  <c r="D51" i="267"/>
  <c r="Q261" i="249"/>
  <c r="K261" i="249"/>
  <c r="M261" i="249" s="1"/>
  <c r="Q260" i="249"/>
  <c r="K260" i="249"/>
  <c r="M260" i="249" s="1"/>
  <c r="Q259" i="249"/>
  <c r="K259" i="249"/>
  <c r="M259" i="249" s="1"/>
  <c r="Q258" i="249"/>
  <c r="K258" i="249"/>
  <c r="M258" i="249" s="1"/>
  <c r="Q257" i="249"/>
  <c r="K257" i="249"/>
  <c r="O256" i="249"/>
  <c r="O262" i="249" s="1"/>
  <c r="K256" i="249"/>
  <c r="M256" i="249" s="1"/>
  <c r="G51" i="267" s="1"/>
  <c r="E50" i="267"/>
  <c r="D50" i="267"/>
  <c r="Q251" i="249"/>
  <c r="K251" i="249"/>
  <c r="M251" i="249" s="1"/>
  <c r="Q250" i="249"/>
  <c r="K250" i="249"/>
  <c r="M250" i="249" s="1"/>
  <c r="Q249" i="249"/>
  <c r="K249" i="249"/>
  <c r="M249" i="249" s="1"/>
  <c r="Q248" i="249"/>
  <c r="K248" i="249"/>
  <c r="M248" i="249" s="1"/>
  <c r="Q247" i="249"/>
  <c r="K247" i="249"/>
  <c r="M247" i="249" s="1"/>
  <c r="O246" i="249"/>
  <c r="O252" i="249" s="1"/>
  <c r="K246" i="249"/>
  <c r="M246" i="249" s="1"/>
  <c r="G50" i="267" s="1"/>
  <c r="E49" i="267"/>
  <c r="D49" i="267"/>
  <c r="Q241" i="249"/>
  <c r="K241" i="249"/>
  <c r="M241" i="249" s="1"/>
  <c r="Q240" i="249"/>
  <c r="K240" i="249"/>
  <c r="M240" i="249" s="1"/>
  <c r="Q239" i="249"/>
  <c r="K239" i="249"/>
  <c r="M239" i="249" s="1"/>
  <c r="Q238" i="249"/>
  <c r="K238" i="249"/>
  <c r="M238" i="249" s="1"/>
  <c r="Q237" i="249"/>
  <c r="K237" i="249"/>
  <c r="M237" i="249" s="1"/>
  <c r="O236" i="249"/>
  <c r="O242" i="249" s="1"/>
  <c r="K236" i="249"/>
  <c r="M236" i="249" s="1"/>
  <c r="G49" i="267" s="1"/>
  <c r="G228" i="249"/>
  <c r="E228" i="249"/>
  <c r="C228" i="249"/>
  <c r="Q227" i="249"/>
  <c r="Q228" i="249" s="1"/>
  <c r="O227" i="249"/>
  <c r="O228" i="249" s="1"/>
  <c r="G224" i="249"/>
  <c r="E224" i="249"/>
  <c r="C224" i="249"/>
  <c r="Q223" i="249"/>
  <c r="Q224" i="249" s="1"/>
  <c r="O223" i="249"/>
  <c r="O224" i="249" s="1"/>
  <c r="G220" i="249"/>
  <c r="E220" i="249"/>
  <c r="C220" i="249"/>
  <c r="Q219" i="249"/>
  <c r="Q220" i="249" s="1"/>
  <c r="O219" i="249"/>
  <c r="G216" i="249"/>
  <c r="E216" i="249"/>
  <c r="C216" i="249"/>
  <c r="Q215" i="249"/>
  <c r="Q216" i="249" s="1"/>
  <c r="O215" i="249"/>
  <c r="G211" i="249"/>
  <c r="E211" i="249"/>
  <c r="C211" i="249"/>
  <c r="Q210" i="249"/>
  <c r="Q211" i="249" s="1"/>
  <c r="O210" i="249"/>
  <c r="G206" i="249"/>
  <c r="E44" i="267" s="1"/>
  <c r="E206" i="249"/>
  <c r="C206" i="249"/>
  <c r="D44" i="267" s="1"/>
  <c r="Q205" i="249"/>
  <c r="K205" i="249"/>
  <c r="M205" i="249" s="1"/>
  <c r="O204" i="249"/>
  <c r="K204" i="249"/>
  <c r="G200" i="249"/>
  <c r="E43" i="267" s="1"/>
  <c r="E200" i="249"/>
  <c r="C200" i="249"/>
  <c r="D43" i="267" s="1"/>
  <c r="Q199" i="249"/>
  <c r="K199" i="249"/>
  <c r="M199" i="249" s="1"/>
  <c r="O198" i="249"/>
  <c r="K198" i="249"/>
  <c r="G194" i="249"/>
  <c r="E42" i="267" s="1"/>
  <c r="E194" i="249"/>
  <c r="C194" i="249"/>
  <c r="D42" i="267" s="1"/>
  <c r="Q193" i="249"/>
  <c r="Q194" i="249" s="1"/>
  <c r="K193" i="249"/>
  <c r="M193" i="249" s="1"/>
  <c r="O192" i="249"/>
  <c r="K192" i="249"/>
  <c r="G188" i="249"/>
  <c r="E41" i="267" s="1"/>
  <c r="E188" i="249"/>
  <c r="C188" i="249"/>
  <c r="D41" i="267" s="1"/>
  <c r="Q187" i="249"/>
  <c r="K187" i="249"/>
  <c r="M187" i="249" s="1"/>
  <c r="O186" i="249"/>
  <c r="K186" i="249"/>
  <c r="G182" i="249"/>
  <c r="E40" i="267" s="1"/>
  <c r="E182" i="249"/>
  <c r="C182" i="249"/>
  <c r="D40" i="267" s="1"/>
  <c r="Q181" i="249"/>
  <c r="K181" i="249"/>
  <c r="M181" i="249" s="1"/>
  <c r="O180" i="249"/>
  <c r="K180" i="249"/>
  <c r="G176" i="249"/>
  <c r="E39" i="267" s="1"/>
  <c r="E176" i="249"/>
  <c r="C176" i="249"/>
  <c r="D39" i="267" s="1"/>
  <c r="Q175" i="249"/>
  <c r="K175" i="249"/>
  <c r="M175" i="249" s="1"/>
  <c r="Q174" i="249"/>
  <c r="K174" i="249"/>
  <c r="M174" i="249" s="1"/>
  <c r="O173" i="249"/>
  <c r="O176" i="249" s="1"/>
  <c r="K173" i="249"/>
  <c r="G169" i="249"/>
  <c r="E38" i="267" s="1"/>
  <c r="E169" i="249"/>
  <c r="C169" i="249"/>
  <c r="D38" i="267" s="1"/>
  <c r="Q168" i="249"/>
  <c r="K168" i="249"/>
  <c r="M168" i="249" s="1"/>
  <c r="Q167" i="249"/>
  <c r="K167" i="249"/>
  <c r="M167" i="249" s="1"/>
  <c r="O166" i="249"/>
  <c r="O169" i="249" s="1"/>
  <c r="K166" i="249"/>
  <c r="G162" i="249"/>
  <c r="E37" i="267" s="1"/>
  <c r="E162" i="249"/>
  <c r="C162" i="249"/>
  <c r="D37" i="267" s="1"/>
  <c r="Q161" i="249"/>
  <c r="K161" i="249"/>
  <c r="M161" i="249" s="1"/>
  <c r="Q160" i="249"/>
  <c r="K160" i="249"/>
  <c r="M160" i="249" s="1"/>
  <c r="O159" i="249"/>
  <c r="O162" i="249" s="1"/>
  <c r="K159" i="249"/>
  <c r="G154" i="249"/>
  <c r="E35" i="267" s="1"/>
  <c r="E154" i="249"/>
  <c r="C154" i="249"/>
  <c r="D35" i="267" s="1"/>
  <c r="Q153" i="249"/>
  <c r="K153" i="249"/>
  <c r="M153" i="249" s="1"/>
  <c r="Q152" i="249"/>
  <c r="K152" i="249"/>
  <c r="M152" i="249" s="1"/>
  <c r="Q151" i="249"/>
  <c r="K151" i="249"/>
  <c r="M151" i="249" s="1"/>
  <c r="Q150" i="249"/>
  <c r="K150" i="249"/>
  <c r="M150" i="249" s="1"/>
  <c r="O149" i="249"/>
  <c r="O154" i="249" s="1"/>
  <c r="K149" i="249"/>
  <c r="M149" i="249" s="1"/>
  <c r="G35" i="267" s="1"/>
  <c r="G145" i="249"/>
  <c r="E36" i="267" s="1"/>
  <c r="E145" i="249"/>
  <c r="C145" i="249"/>
  <c r="D36" i="267" s="1"/>
  <c r="Q144" i="249"/>
  <c r="K144" i="249"/>
  <c r="M144" i="249" s="1"/>
  <c r="Q143" i="249"/>
  <c r="K143" i="249"/>
  <c r="M143" i="249" s="1"/>
  <c r="Q142" i="249"/>
  <c r="K142" i="249"/>
  <c r="M142" i="249" s="1"/>
  <c r="Q141" i="249"/>
  <c r="K141" i="249"/>
  <c r="M141" i="249" s="1"/>
  <c r="O140" i="249"/>
  <c r="K140" i="249"/>
  <c r="M140" i="249" s="1"/>
  <c r="G36" i="267" s="1"/>
  <c r="G136" i="249"/>
  <c r="E34" i="267" s="1"/>
  <c r="E136" i="249"/>
  <c r="C136" i="249"/>
  <c r="D34" i="267" s="1"/>
  <c r="Q135" i="249"/>
  <c r="K135" i="249"/>
  <c r="M135" i="249" s="1"/>
  <c r="Q134" i="249"/>
  <c r="K134" i="249"/>
  <c r="M134" i="249" s="1"/>
  <c r="Q133" i="249"/>
  <c r="K133" i="249"/>
  <c r="M133" i="249" s="1"/>
  <c r="Q132" i="249"/>
  <c r="K132" i="249"/>
  <c r="M132" i="249" s="1"/>
  <c r="O131" i="249"/>
  <c r="O136" i="249" s="1"/>
  <c r="K131" i="249"/>
  <c r="G127" i="249"/>
  <c r="E33" i="267" s="1"/>
  <c r="E127" i="249"/>
  <c r="C127" i="249"/>
  <c r="D33" i="267" s="1"/>
  <c r="Q126" i="249"/>
  <c r="K126" i="249"/>
  <c r="M126" i="249" s="1"/>
  <c r="Q125" i="249"/>
  <c r="K125" i="249"/>
  <c r="M125" i="249" s="1"/>
  <c r="Q124" i="249"/>
  <c r="K124" i="249"/>
  <c r="M124" i="249" s="1"/>
  <c r="Q123" i="249"/>
  <c r="K123" i="249"/>
  <c r="M123" i="249" s="1"/>
  <c r="O122" i="249"/>
  <c r="O127" i="249" s="1"/>
  <c r="K122" i="249"/>
  <c r="M122" i="249" s="1"/>
  <c r="G33" i="267" s="1"/>
  <c r="G118" i="249"/>
  <c r="E32" i="267" s="1"/>
  <c r="E118" i="249"/>
  <c r="C118" i="249"/>
  <c r="D32" i="267" s="1"/>
  <c r="Q117" i="249"/>
  <c r="K117" i="249"/>
  <c r="M117" i="249" s="1"/>
  <c r="Q116" i="249"/>
  <c r="K116" i="249"/>
  <c r="M116" i="249" s="1"/>
  <c r="Q115" i="249"/>
  <c r="K115" i="249"/>
  <c r="M115" i="249" s="1"/>
  <c r="Q114" i="249"/>
  <c r="K114" i="249"/>
  <c r="M114" i="249" s="1"/>
  <c r="O113" i="249"/>
  <c r="O118" i="249" s="1"/>
  <c r="K113" i="249"/>
  <c r="M113" i="249" s="1"/>
  <c r="G32" i="267" s="1"/>
  <c r="G109" i="249"/>
  <c r="E31" i="267" s="1"/>
  <c r="E109" i="249"/>
  <c r="C109" i="249"/>
  <c r="D31" i="267" s="1"/>
  <c r="Q108" i="249"/>
  <c r="K108" i="249"/>
  <c r="M108" i="249" s="1"/>
  <c r="Q107" i="249"/>
  <c r="K107" i="249"/>
  <c r="M107" i="249" s="1"/>
  <c r="Q106" i="249"/>
  <c r="K106" i="249"/>
  <c r="M106" i="249" s="1"/>
  <c r="Q105" i="249"/>
  <c r="K105" i="249"/>
  <c r="M105" i="249" s="1"/>
  <c r="O104" i="249"/>
  <c r="K104" i="249"/>
  <c r="M104" i="249" s="1"/>
  <c r="G31" i="267" s="1"/>
  <c r="G99" i="249"/>
  <c r="E30" i="267" s="1"/>
  <c r="E99" i="249"/>
  <c r="C99" i="249"/>
  <c r="D30" i="267" s="1"/>
  <c r="Q98" i="249"/>
  <c r="K98" i="249"/>
  <c r="M98" i="249" s="1"/>
  <c r="Q97" i="249"/>
  <c r="K97" i="249"/>
  <c r="M97" i="249" s="1"/>
  <c r="Q96" i="249"/>
  <c r="K96" i="249"/>
  <c r="M96" i="249" s="1"/>
  <c r="Q95" i="249"/>
  <c r="K95" i="249"/>
  <c r="M95" i="249" s="1"/>
  <c r="Q94" i="249"/>
  <c r="K94" i="249"/>
  <c r="O93" i="249"/>
  <c r="K93" i="249"/>
  <c r="M93" i="249" s="1"/>
  <c r="G30" i="267" s="1"/>
  <c r="G89" i="249"/>
  <c r="E29" i="267" s="1"/>
  <c r="E89" i="249"/>
  <c r="C89" i="249"/>
  <c r="D29" i="267" s="1"/>
  <c r="Q88" i="249"/>
  <c r="K88" i="249"/>
  <c r="M88" i="249" s="1"/>
  <c r="Q87" i="249"/>
  <c r="K87" i="249"/>
  <c r="M87" i="249" s="1"/>
  <c r="Q86" i="249"/>
  <c r="K86" i="249"/>
  <c r="M86" i="249" s="1"/>
  <c r="Q85" i="249"/>
  <c r="K85" i="249"/>
  <c r="M85" i="249" s="1"/>
  <c r="Q84" i="249"/>
  <c r="K84" i="249"/>
  <c r="M84" i="249" s="1"/>
  <c r="O83" i="249"/>
  <c r="K83" i="249"/>
  <c r="M83" i="249" s="1"/>
  <c r="G29" i="267" s="1"/>
  <c r="G79" i="249"/>
  <c r="E27" i="267" s="1"/>
  <c r="E79" i="249"/>
  <c r="C79" i="249"/>
  <c r="D27" i="267" s="1"/>
  <c r="Q78" i="249"/>
  <c r="K78" i="249"/>
  <c r="M78" i="249" s="1"/>
  <c r="Q77" i="249"/>
  <c r="K77" i="249"/>
  <c r="M77" i="249" s="1"/>
  <c r="Q76" i="249"/>
  <c r="K76" i="249"/>
  <c r="M76" i="249" s="1"/>
  <c r="Q75" i="249"/>
  <c r="K75" i="249"/>
  <c r="M75" i="249" s="1"/>
  <c r="Q74" i="249"/>
  <c r="K74" i="249"/>
  <c r="M74" i="249" s="1"/>
  <c r="O73" i="249"/>
  <c r="K73" i="249"/>
  <c r="M73" i="249" s="1"/>
  <c r="G27" i="267" s="1"/>
  <c r="G69" i="249"/>
  <c r="E28" i="267" s="1"/>
  <c r="E69" i="249"/>
  <c r="C69" i="249"/>
  <c r="D28" i="267" s="1"/>
  <c r="Q68" i="249"/>
  <c r="K68" i="249"/>
  <c r="M68" i="249" s="1"/>
  <c r="Q67" i="249"/>
  <c r="K67" i="249"/>
  <c r="M67" i="249" s="1"/>
  <c r="Q66" i="249"/>
  <c r="K66" i="249"/>
  <c r="M66" i="249" s="1"/>
  <c r="Q65" i="249"/>
  <c r="K65" i="249"/>
  <c r="M65" i="249" s="1"/>
  <c r="Q64" i="249"/>
  <c r="K64" i="249"/>
  <c r="M64" i="249" s="1"/>
  <c r="O63" i="249"/>
  <c r="K63" i="249"/>
  <c r="M63" i="249" s="1"/>
  <c r="G28" i="267" s="1"/>
  <c r="G59" i="249"/>
  <c r="E26" i="267" s="1"/>
  <c r="E59" i="249"/>
  <c r="C59" i="249"/>
  <c r="D26" i="267" s="1"/>
  <c r="Q58" i="249"/>
  <c r="K58" i="249"/>
  <c r="M58" i="249" s="1"/>
  <c r="Q57" i="249"/>
  <c r="K57" i="249"/>
  <c r="M57" i="249" s="1"/>
  <c r="Q56" i="249"/>
  <c r="K56" i="249"/>
  <c r="M56" i="249" s="1"/>
  <c r="Q55" i="249"/>
  <c r="K55" i="249"/>
  <c r="M55" i="249" s="1"/>
  <c r="Q54" i="249"/>
  <c r="K54" i="249"/>
  <c r="M54" i="249" s="1"/>
  <c r="O53" i="249"/>
  <c r="K53" i="249"/>
  <c r="M53" i="249" s="1"/>
  <c r="G26" i="267" s="1"/>
  <c r="G49" i="249"/>
  <c r="E25" i="267" s="1"/>
  <c r="E49" i="249"/>
  <c r="C49" i="249"/>
  <c r="D25" i="267" s="1"/>
  <c r="Q48" i="249"/>
  <c r="K48" i="249"/>
  <c r="M48" i="249" s="1"/>
  <c r="Q47" i="249"/>
  <c r="K47" i="249"/>
  <c r="M47" i="249" s="1"/>
  <c r="Q46" i="249"/>
  <c r="K46" i="249"/>
  <c r="M46" i="249" s="1"/>
  <c r="Q45" i="249"/>
  <c r="K45" i="249"/>
  <c r="M45" i="249" s="1"/>
  <c r="Q44" i="249"/>
  <c r="K44" i="249"/>
  <c r="M44" i="249" s="1"/>
  <c r="O43" i="249"/>
  <c r="K43" i="249"/>
  <c r="M43" i="249" s="1"/>
  <c r="G25" i="267" s="1"/>
  <c r="G39" i="249"/>
  <c r="E24" i="267" s="1"/>
  <c r="E39" i="249"/>
  <c r="C39" i="249"/>
  <c r="D24" i="267" s="1"/>
  <c r="Q38" i="249"/>
  <c r="K38" i="249"/>
  <c r="M38" i="249" s="1"/>
  <c r="Q37" i="249"/>
  <c r="K37" i="249"/>
  <c r="M37" i="249" s="1"/>
  <c r="Q36" i="249"/>
  <c r="K36" i="249"/>
  <c r="M36" i="249" s="1"/>
  <c r="Q35" i="249"/>
  <c r="K35" i="249"/>
  <c r="M35" i="249" s="1"/>
  <c r="Q34" i="249"/>
  <c r="K34" i="249"/>
  <c r="M34" i="249" s="1"/>
  <c r="O33" i="249"/>
  <c r="K33" i="249"/>
  <c r="M33" i="249" s="1"/>
  <c r="G24" i="267" s="1"/>
  <c r="G29" i="249"/>
  <c r="E23" i="267" s="1"/>
  <c r="E29" i="249"/>
  <c r="C29" i="249"/>
  <c r="D23" i="267" s="1"/>
  <c r="Q28" i="249"/>
  <c r="K28" i="249"/>
  <c r="M28" i="249" s="1"/>
  <c r="Q27" i="249"/>
  <c r="K27" i="249"/>
  <c r="M27" i="249" s="1"/>
  <c r="Q26" i="249"/>
  <c r="K26" i="249"/>
  <c r="M26" i="249" s="1"/>
  <c r="Q25" i="249"/>
  <c r="K25" i="249"/>
  <c r="M25" i="249" s="1"/>
  <c r="Q24" i="249"/>
  <c r="K24" i="249"/>
  <c r="M24" i="249" s="1"/>
  <c r="O23" i="249"/>
  <c r="K23" i="249"/>
  <c r="M23" i="249" s="1"/>
  <c r="G23" i="267" s="1"/>
  <c r="G19" i="249"/>
  <c r="E22" i="267" s="1"/>
  <c r="E19" i="249"/>
  <c r="C19" i="249"/>
  <c r="D22" i="267" s="1"/>
  <c r="Q18" i="249"/>
  <c r="K18" i="249"/>
  <c r="M18" i="249" s="1"/>
  <c r="Q17" i="249"/>
  <c r="K17" i="249"/>
  <c r="M17" i="249" s="1"/>
  <c r="Q16" i="249"/>
  <c r="K16" i="249"/>
  <c r="M16" i="249" s="1"/>
  <c r="Q15" i="249"/>
  <c r="K15" i="249"/>
  <c r="M15" i="249" s="1"/>
  <c r="Q14" i="249"/>
  <c r="K14" i="249"/>
  <c r="M14" i="249" s="1"/>
  <c r="O13" i="249"/>
  <c r="M13" i="249"/>
  <c r="G22" i="267" s="1"/>
  <c r="O33" i="252" l="1"/>
  <c r="M31" i="252"/>
  <c r="M42" i="252" s="1"/>
  <c r="K33" i="252"/>
  <c r="I34" i="252"/>
  <c r="M35" i="252"/>
  <c r="M36" i="252"/>
  <c r="I38" i="252"/>
  <c r="G32" i="252"/>
  <c r="I32" i="252"/>
  <c r="M33" i="252"/>
  <c r="I35" i="252"/>
  <c r="K31" i="252"/>
  <c r="G33" i="252"/>
  <c r="K34" i="252"/>
  <c r="M37" i="252"/>
  <c r="O35" i="252"/>
  <c r="G31" i="252"/>
  <c r="K36" i="252"/>
  <c r="I37" i="252"/>
  <c r="M38" i="252"/>
  <c r="I31" i="252"/>
  <c r="M34" i="252"/>
  <c r="I36" i="252"/>
  <c r="K37" i="252"/>
  <c r="K32" i="252"/>
  <c r="I33" i="252"/>
  <c r="E45" i="267"/>
  <c r="D45" i="267"/>
  <c r="K35" i="252"/>
  <c r="E13" i="267"/>
  <c r="E15" i="267"/>
  <c r="E17" i="267"/>
  <c r="E11" i="267"/>
  <c r="D15" i="267"/>
  <c r="D10" i="267"/>
  <c r="D11" i="267"/>
  <c r="E12" i="267"/>
  <c r="D14" i="267"/>
  <c r="E14" i="267"/>
  <c r="D16" i="267"/>
  <c r="D63" i="267"/>
  <c r="E10" i="267"/>
  <c r="D13" i="267"/>
  <c r="D17" i="267"/>
  <c r="E63" i="267"/>
  <c r="D12" i="267"/>
  <c r="E16" i="267"/>
  <c r="H32" i="253"/>
  <c r="I30" i="253" s="1"/>
  <c r="C37" i="253"/>
  <c r="H42" i="253"/>
  <c r="I40" i="253" s="1"/>
  <c r="C32" i="253"/>
  <c r="D30" i="253" s="1"/>
  <c r="H37" i="253"/>
  <c r="I35" i="253" s="1"/>
  <c r="M306" i="249"/>
  <c r="G56" i="267" s="1"/>
  <c r="K312" i="249"/>
  <c r="Q312" i="249"/>
  <c r="Q262" i="249"/>
  <c r="K331" i="249"/>
  <c r="M326" i="249"/>
  <c r="M380" i="249"/>
  <c r="M382" i="249" s="1"/>
  <c r="M384" i="249" s="1"/>
  <c r="K382" i="249"/>
  <c r="Q331" i="249"/>
  <c r="K136" i="249"/>
  <c r="K169" i="249"/>
  <c r="K176" i="249"/>
  <c r="M145" i="249"/>
  <c r="I36" i="267" s="1"/>
  <c r="H36" i="267" s="1"/>
  <c r="K272" i="249"/>
  <c r="M376" i="249"/>
  <c r="I62" i="267" s="1"/>
  <c r="H62" i="267" s="1"/>
  <c r="M109" i="249"/>
  <c r="I31" i="267" s="1"/>
  <c r="Q145" i="249"/>
  <c r="K292" i="249"/>
  <c r="Q118" i="249"/>
  <c r="M131" i="249"/>
  <c r="Q162" i="249"/>
  <c r="Q188" i="249"/>
  <c r="Q206" i="249"/>
  <c r="M227" i="249"/>
  <c r="M272" i="249"/>
  <c r="I52" i="267" s="1"/>
  <c r="H52" i="267" s="1"/>
  <c r="Q282" i="249"/>
  <c r="M292" i="249"/>
  <c r="I54" i="267" s="1"/>
  <c r="H54" i="267" s="1"/>
  <c r="K358" i="249"/>
  <c r="Q382" i="249"/>
  <c r="M49" i="249"/>
  <c r="I25" i="267" s="1"/>
  <c r="H25" i="267" s="1"/>
  <c r="M89" i="249"/>
  <c r="I29" i="267" s="1"/>
  <c r="H29" i="267" s="1"/>
  <c r="Q136" i="249"/>
  <c r="Q200" i="249"/>
  <c r="K252" i="249"/>
  <c r="Q302" i="249"/>
  <c r="Q349" i="249"/>
  <c r="M353" i="249"/>
  <c r="Q358" i="249"/>
  <c r="M362" i="249"/>
  <c r="K367" i="249"/>
  <c r="Q376" i="249"/>
  <c r="O382" i="249"/>
  <c r="Q19" i="249"/>
  <c r="Q29" i="249"/>
  <c r="Q39" i="249"/>
  <c r="Q59" i="249"/>
  <c r="Q69" i="249"/>
  <c r="Q79" i="249"/>
  <c r="Q99" i="249"/>
  <c r="O145" i="249"/>
  <c r="C232" i="249"/>
  <c r="M166" i="249"/>
  <c r="Q169" i="249"/>
  <c r="Q182" i="249"/>
  <c r="O349" i="249"/>
  <c r="O367" i="249"/>
  <c r="C398" i="249"/>
  <c r="M19" i="249"/>
  <c r="I22" i="267" s="1"/>
  <c r="Q49" i="249"/>
  <c r="M59" i="249"/>
  <c r="I26" i="267" s="1"/>
  <c r="Q89" i="249"/>
  <c r="K99" i="249"/>
  <c r="Q109" i="249"/>
  <c r="M118" i="249"/>
  <c r="I32" i="267" s="1"/>
  <c r="H32" i="267" s="1"/>
  <c r="Q322" i="249"/>
  <c r="K340" i="249"/>
  <c r="M29" i="249"/>
  <c r="I23" i="267" s="1"/>
  <c r="H23" i="267" s="1"/>
  <c r="M69" i="249"/>
  <c r="I28" i="267" s="1"/>
  <c r="H28" i="267" s="1"/>
  <c r="M39" i="249"/>
  <c r="I24" i="267" s="1"/>
  <c r="H24" i="267" s="1"/>
  <c r="M79" i="249"/>
  <c r="I27" i="267" s="1"/>
  <c r="K19" i="249"/>
  <c r="K29" i="249"/>
  <c r="K39" i="249"/>
  <c r="K49" i="249"/>
  <c r="K59" i="249"/>
  <c r="K69" i="249"/>
  <c r="K79" i="249"/>
  <c r="K89" i="249"/>
  <c r="M154" i="249"/>
  <c r="I35" i="267" s="1"/>
  <c r="H35" i="267" s="1"/>
  <c r="Q272" i="249"/>
  <c r="Q292" i="249"/>
  <c r="O19" i="249"/>
  <c r="O29" i="249"/>
  <c r="O39" i="249"/>
  <c r="O49" i="249"/>
  <c r="O59" i="249"/>
  <c r="O69" i="249"/>
  <c r="O79" i="249"/>
  <c r="O89" i="249"/>
  <c r="K127" i="249"/>
  <c r="Q176" i="249"/>
  <c r="O216" i="249"/>
  <c r="E232" i="249"/>
  <c r="M277" i="249"/>
  <c r="M282" i="249" s="1"/>
  <c r="I53" i="267" s="1"/>
  <c r="H53" i="267" s="1"/>
  <c r="K282" i="249"/>
  <c r="M297" i="249"/>
  <c r="M302" i="249" s="1"/>
  <c r="I55" i="267" s="1"/>
  <c r="H55" i="267" s="1"/>
  <c r="K302" i="249"/>
  <c r="M94" i="249"/>
  <c r="M99" i="249" s="1"/>
  <c r="I30" i="267" s="1"/>
  <c r="H30" i="267" s="1"/>
  <c r="K109" i="249"/>
  <c r="O109" i="249"/>
  <c r="M127" i="249"/>
  <c r="I33" i="267" s="1"/>
  <c r="H33" i="267" s="1"/>
  <c r="Q127" i="249"/>
  <c r="Q154" i="249"/>
  <c r="G232" i="249"/>
  <c r="O220" i="249"/>
  <c r="O340" i="249"/>
  <c r="K387" i="249"/>
  <c r="M386" i="249"/>
  <c r="K391" i="249"/>
  <c r="M390" i="249"/>
  <c r="K395" i="249"/>
  <c r="M394" i="249"/>
  <c r="O99" i="249"/>
  <c r="M317" i="249"/>
  <c r="M322" i="249" s="1"/>
  <c r="I57" i="267" s="1"/>
  <c r="H57" i="267" s="1"/>
  <c r="K322" i="249"/>
  <c r="M348" i="249"/>
  <c r="M349" i="249" s="1"/>
  <c r="M351" i="249" s="1"/>
  <c r="K349" i="249"/>
  <c r="K145" i="249"/>
  <c r="K162" i="249"/>
  <c r="M159" i="249"/>
  <c r="O182" i="249"/>
  <c r="O188" i="249"/>
  <c r="O194" i="249"/>
  <c r="O200" i="249"/>
  <c r="O206" i="249"/>
  <c r="O211" i="249"/>
  <c r="M252" i="249"/>
  <c r="I50" i="267" s="1"/>
  <c r="H50" i="267" s="1"/>
  <c r="Q252" i="249"/>
  <c r="K118" i="249"/>
  <c r="K154" i="249"/>
  <c r="K242" i="249"/>
  <c r="M257" i="249"/>
  <c r="M262" i="249" s="1"/>
  <c r="I51" i="267" s="1"/>
  <c r="K262" i="249"/>
  <c r="M173" i="249"/>
  <c r="K182" i="249"/>
  <c r="M180" i="249"/>
  <c r="K188" i="249"/>
  <c r="M186" i="249"/>
  <c r="K194" i="249"/>
  <c r="M192" i="249"/>
  <c r="K200" i="249"/>
  <c r="M198" i="249"/>
  <c r="K206" i="249"/>
  <c r="M204" i="249"/>
  <c r="K211" i="249"/>
  <c r="M210" i="249"/>
  <c r="K216" i="249"/>
  <c r="M215" i="249"/>
  <c r="K220" i="249"/>
  <c r="M219" i="249"/>
  <c r="M223" i="249"/>
  <c r="M242" i="249"/>
  <c r="I49" i="267" s="1"/>
  <c r="H49" i="267" s="1"/>
  <c r="Q242" i="249"/>
  <c r="K376" i="249"/>
  <c r="G398" i="249"/>
  <c r="Q340" i="249"/>
  <c r="Q367" i="249"/>
  <c r="O387" i="249"/>
  <c r="O395" i="249"/>
  <c r="M340" i="249"/>
  <c r="I59" i="267" s="1"/>
  <c r="H59" i="267" s="1"/>
  <c r="O391" i="249"/>
  <c r="E398" i="249"/>
  <c r="O376" i="249"/>
  <c r="K42" i="252" l="1"/>
  <c r="Q36" i="252"/>
  <c r="Q38" i="252"/>
  <c r="Q33" i="252"/>
  <c r="Q34" i="252"/>
  <c r="Q31" i="252"/>
  <c r="Q37" i="252"/>
  <c r="D36" i="253"/>
  <c r="D35" i="253"/>
  <c r="M220" i="249"/>
  <c r="M222" i="249" s="1"/>
  <c r="U20" i="267"/>
  <c r="M211" i="249"/>
  <c r="M213" i="249" s="1"/>
  <c r="U18" i="267"/>
  <c r="M391" i="249"/>
  <c r="M393" i="249" s="1"/>
  <c r="U28" i="267"/>
  <c r="W28" i="267" s="1"/>
  <c r="M224" i="249"/>
  <c r="M226" i="249" s="1"/>
  <c r="U21" i="267"/>
  <c r="W21" i="267" s="1"/>
  <c r="M216" i="249"/>
  <c r="M218" i="249" s="1"/>
  <c r="U19" i="267"/>
  <c r="M395" i="249"/>
  <c r="M397" i="249" s="1"/>
  <c r="U29" i="267"/>
  <c r="W29" i="267" s="1"/>
  <c r="M387" i="249"/>
  <c r="M389" i="249" s="1"/>
  <c r="U27" i="267"/>
  <c r="M228" i="249"/>
  <c r="M230" i="249" s="1"/>
  <c r="U22" i="267"/>
  <c r="E18" i="267"/>
  <c r="D18" i="267"/>
  <c r="O41" i="252"/>
  <c r="I42" i="252"/>
  <c r="Q32" i="252"/>
  <c r="Q35" i="252"/>
  <c r="G42" i="252"/>
  <c r="M312" i="249"/>
  <c r="I56" i="267" s="1"/>
  <c r="H56" i="267" s="1"/>
  <c r="C401" i="249"/>
  <c r="H31" i="267"/>
  <c r="H51" i="267"/>
  <c r="H27" i="267"/>
  <c r="H22" i="267"/>
  <c r="I10" i="267"/>
  <c r="I11" i="267"/>
  <c r="H26" i="267"/>
  <c r="H11" i="267" s="1"/>
  <c r="D32" i="252" s="1"/>
  <c r="M162" i="249"/>
  <c r="I37" i="267" s="1"/>
  <c r="G37" i="267"/>
  <c r="M206" i="249"/>
  <c r="I44" i="267" s="1"/>
  <c r="G44" i="267"/>
  <c r="M194" i="249"/>
  <c r="I42" i="267" s="1"/>
  <c r="G42" i="267"/>
  <c r="M182" i="249"/>
  <c r="I40" i="267" s="1"/>
  <c r="G40" i="267"/>
  <c r="M169" i="249"/>
  <c r="I38" i="267" s="1"/>
  <c r="G38" i="267"/>
  <c r="M358" i="249"/>
  <c r="I60" i="267" s="1"/>
  <c r="G60" i="267"/>
  <c r="M331" i="249"/>
  <c r="I58" i="267" s="1"/>
  <c r="G58" i="267"/>
  <c r="M367" i="249"/>
  <c r="I61" i="267" s="1"/>
  <c r="G61" i="267"/>
  <c r="M136" i="249"/>
  <c r="I34" i="267" s="1"/>
  <c r="G34" i="267"/>
  <c r="M200" i="249"/>
  <c r="I43" i="267" s="1"/>
  <c r="G43" i="267"/>
  <c r="M188" i="249"/>
  <c r="I41" i="267" s="1"/>
  <c r="G41" i="267"/>
  <c r="M176" i="249"/>
  <c r="I39" i="267" s="1"/>
  <c r="G39" i="267"/>
  <c r="M164" i="249"/>
  <c r="M129" i="249"/>
  <c r="M156" i="249"/>
  <c r="M31" i="249"/>
  <c r="M274" i="249"/>
  <c r="M111" i="249"/>
  <c r="M342" i="249"/>
  <c r="M244" i="249"/>
  <c r="M264" i="249"/>
  <c r="M101" i="249"/>
  <c r="M284" i="249"/>
  <c r="M81" i="249"/>
  <c r="G12" i="267"/>
  <c r="M120" i="249"/>
  <c r="M21" i="249"/>
  <c r="M294" i="249"/>
  <c r="M324" i="249"/>
  <c r="M41" i="249"/>
  <c r="M369" i="249"/>
  <c r="M91" i="249"/>
  <c r="M138" i="249"/>
  <c r="M378" i="249"/>
  <c r="M202" i="249"/>
  <c r="G17" i="267"/>
  <c r="M190" i="249"/>
  <c r="M254" i="249"/>
  <c r="M304" i="249"/>
  <c r="M71" i="249"/>
  <c r="M61" i="249"/>
  <c r="G11" i="267"/>
  <c r="M51" i="249"/>
  <c r="M147" i="249"/>
  <c r="I36" i="253"/>
  <c r="I31" i="253"/>
  <c r="D31" i="253"/>
  <c r="I41" i="253"/>
  <c r="F22" i="255"/>
  <c r="E401" i="249"/>
  <c r="O398" i="249"/>
  <c r="Q398" i="249"/>
  <c r="K232" i="249"/>
  <c r="Q232" i="249"/>
  <c r="O232" i="249"/>
  <c r="G401" i="249"/>
  <c r="K398" i="249"/>
  <c r="R39" i="252" l="1"/>
  <c r="G41" i="252"/>
  <c r="U13" i="267"/>
  <c r="W22" i="267"/>
  <c r="W13" i="267" s="1"/>
  <c r="U10" i="267"/>
  <c r="W18" i="267"/>
  <c r="U23" i="267"/>
  <c r="W27" i="267"/>
  <c r="W30" i="267" s="1"/>
  <c r="U30" i="267"/>
  <c r="W19" i="267"/>
  <c r="W11" i="267" s="1"/>
  <c r="U11" i="267"/>
  <c r="U12" i="267"/>
  <c r="W20" i="267"/>
  <c r="W12" i="267" s="1"/>
  <c r="I45" i="267"/>
  <c r="G45" i="267"/>
  <c r="D37" i="253"/>
  <c r="Q42" i="252"/>
  <c r="M360" i="249"/>
  <c r="M184" i="249"/>
  <c r="M208" i="249"/>
  <c r="H41" i="267"/>
  <c r="H58" i="267"/>
  <c r="H13" i="267" s="1"/>
  <c r="D34" i="252" s="1"/>
  <c r="H38" i="267"/>
  <c r="H42" i="267"/>
  <c r="M398" i="249"/>
  <c r="M314" i="249"/>
  <c r="G16" i="267"/>
  <c r="D19" i="252" s="1"/>
  <c r="I12" i="267"/>
  <c r="D20" i="252"/>
  <c r="D15" i="252"/>
  <c r="D14" i="252"/>
  <c r="H39" i="267"/>
  <c r="H61" i="267"/>
  <c r="H60" i="267"/>
  <c r="H44" i="267"/>
  <c r="H12" i="267"/>
  <c r="D33" i="252" s="1"/>
  <c r="H43" i="267"/>
  <c r="I17" i="267"/>
  <c r="H40" i="267"/>
  <c r="I16" i="267"/>
  <c r="M232" i="249"/>
  <c r="M178" i="249"/>
  <c r="M196" i="249"/>
  <c r="I13" i="267"/>
  <c r="I14" i="267"/>
  <c r="H34" i="267"/>
  <c r="H37" i="267"/>
  <c r="I15" i="267"/>
  <c r="H10" i="267"/>
  <c r="M333" i="249"/>
  <c r="M171" i="249"/>
  <c r="I63" i="267"/>
  <c r="G14" i="267"/>
  <c r="G10" i="267"/>
  <c r="G63" i="267"/>
  <c r="G13" i="267"/>
  <c r="G15" i="267"/>
  <c r="I32" i="253"/>
  <c r="I42" i="253"/>
  <c r="L22" i="255"/>
  <c r="M22" i="255" s="1"/>
  <c r="I37" i="253"/>
  <c r="D32" i="253"/>
  <c r="O401" i="249"/>
  <c r="K401" i="249"/>
  <c r="Q401" i="249"/>
  <c r="W10" i="267" l="1"/>
  <c r="W14" i="267" s="1"/>
  <c r="W23" i="267"/>
  <c r="U14" i="267"/>
  <c r="G19" i="253" s="1"/>
  <c r="G18" i="267"/>
  <c r="H45" i="267"/>
  <c r="I18" i="267"/>
  <c r="D31" i="252"/>
  <c r="H41" i="252" s="1"/>
  <c r="M41" i="252"/>
  <c r="I41" i="252"/>
  <c r="K41" i="252"/>
  <c r="M401" i="249"/>
  <c r="J73" i="9" s="1"/>
  <c r="H16" i="267"/>
  <c r="D37" i="252" s="1"/>
  <c r="H63" i="267"/>
  <c r="H15" i="267"/>
  <c r="D36" i="252" s="1"/>
  <c r="D16" i="252"/>
  <c r="D17" i="252"/>
  <c r="H17" i="267"/>
  <c r="D38" i="252" s="1"/>
  <c r="D18" i="252"/>
  <c r="H14" i="267"/>
  <c r="D35" i="252" s="1"/>
  <c r="D13" i="252"/>
  <c r="A4" i="249"/>
  <c r="A2" i="249"/>
  <c r="A1" i="249"/>
  <c r="L26" i="252" l="1"/>
  <c r="N26" i="252"/>
  <c r="H26" i="252"/>
  <c r="H49" i="252" s="1"/>
  <c r="P26" i="252"/>
  <c r="J26" i="252"/>
  <c r="M26" i="252"/>
  <c r="M49" i="252" s="1"/>
  <c r="O26" i="252"/>
  <c r="O49" i="252" s="1"/>
  <c r="I26" i="252"/>
  <c r="I49" i="252" s="1"/>
  <c r="G26" i="252"/>
  <c r="G49" i="252" s="1"/>
  <c r="K26" i="252"/>
  <c r="K49" i="252" s="1"/>
  <c r="J41" i="252"/>
  <c r="L41" i="252"/>
  <c r="P41" i="252"/>
  <c r="N41" i="252"/>
  <c r="H18" i="267"/>
  <c r="K19" i="253"/>
  <c r="Q33" i="248"/>
  <c r="P33" i="248"/>
  <c r="N33" i="248"/>
  <c r="M33" i="248"/>
  <c r="K33" i="248"/>
  <c r="J33" i="248"/>
  <c r="H33" i="248"/>
  <c r="G33" i="248"/>
  <c r="E33" i="248"/>
  <c r="D33" i="248"/>
  <c r="T32" i="248"/>
  <c r="S32" i="248"/>
  <c r="T31" i="248"/>
  <c r="S31" i="248"/>
  <c r="T30" i="248"/>
  <c r="S30" i="248"/>
  <c r="T29" i="248"/>
  <c r="S29" i="248"/>
  <c r="T28" i="248"/>
  <c r="S28" i="248"/>
  <c r="T27" i="248"/>
  <c r="S27" i="248"/>
  <c r="T26" i="248"/>
  <c r="S26" i="248"/>
  <c r="T25" i="248"/>
  <c r="S25" i="248"/>
  <c r="T24" i="248"/>
  <c r="S24" i="248"/>
  <c r="T23" i="248"/>
  <c r="S23" i="248"/>
  <c r="T22" i="248"/>
  <c r="S22" i="248"/>
  <c r="T21" i="248"/>
  <c r="S21" i="248"/>
  <c r="T20" i="248"/>
  <c r="S20" i="248"/>
  <c r="T19" i="248"/>
  <c r="S19" i="248"/>
  <c r="T18" i="248"/>
  <c r="S18" i="248"/>
  <c r="T17" i="248"/>
  <c r="S17" i="248"/>
  <c r="T16" i="248"/>
  <c r="S16" i="248"/>
  <c r="T15" i="248"/>
  <c r="S15" i="248"/>
  <c r="T14" i="248"/>
  <c r="S14" i="248"/>
  <c r="T13" i="248"/>
  <c r="S13" i="248"/>
  <c r="T12" i="248"/>
  <c r="S12" i="248"/>
  <c r="T11" i="248"/>
  <c r="S11" i="248"/>
  <c r="T10" i="248"/>
  <c r="S10" i="248"/>
  <c r="T9" i="248"/>
  <c r="S9" i="248"/>
  <c r="M12" i="253" l="1"/>
  <c r="G12" i="253"/>
  <c r="I12" i="253"/>
  <c r="L49" i="252"/>
  <c r="H12" i="253"/>
  <c r="N49" i="252"/>
  <c r="K12" i="253"/>
  <c r="P49" i="252"/>
  <c r="O12" i="253"/>
  <c r="J49" i="252"/>
  <c r="L12" i="253"/>
  <c r="P12" i="253"/>
  <c r="J12" i="253"/>
  <c r="Q41" i="252"/>
  <c r="N12" i="253"/>
  <c r="Q26" i="252"/>
  <c r="T33" i="248"/>
  <c r="E53" i="248"/>
  <c r="H95" i="9" s="1"/>
  <c r="E59" i="248"/>
  <c r="H101" i="9" s="1"/>
  <c r="E45" i="248"/>
  <c r="E41" i="248"/>
  <c r="E60" i="248"/>
  <c r="H102" i="9" s="1"/>
  <c r="E55" i="248"/>
  <c r="H97" i="9" s="1"/>
  <c r="S33" i="248"/>
  <c r="A4" i="248"/>
  <c r="A2" i="248"/>
  <c r="A1" i="248"/>
  <c r="Q49" i="252" l="1"/>
  <c r="Q12" i="253"/>
  <c r="Q19" i="253" s="1"/>
  <c r="E49" i="248"/>
  <c r="E62" i="248"/>
  <c r="P8" i="232"/>
  <c r="H20" i="21" l="1"/>
  <c r="E30" i="246" l="1"/>
  <c r="D30" i="246"/>
  <c r="N28" i="246"/>
  <c r="K28" i="246"/>
  <c r="J28" i="246"/>
  <c r="N27" i="246"/>
  <c r="K27" i="246"/>
  <c r="G27" i="246" s="1"/>
  <c r="H27" i="246" s="1"/>
  <c r="N26" i="246"/>
  <c r="K26" i="246"/>
  <c r="G26" i="246" s="1"/>
  <c r="H26" i="246" s="1"/>
  <c r="N25" i="246"/>
  <c r="K25" i="246"/>
  <c r="G25" i="246" s="1"/>
  <c r="H25" i="246" s="1"/>
  <c r="N24" i="246"/>
  <c r="K24" i="246"/>
  <c r="G24" i="246" s="1"/>
  <c r="H24" i="246" s="1"/>
  <c r="N23" i="246"/>
  <c r="K23" i="246"/>
  <c r="J23" i="246"/>
  <c r="L22" i="246"/>
  <c r="K22" i="246"/>
  <c r="J22" i="246"/>
  <c r="F22" i="246"/>
  <c r="N21" i="246"/>
  <c r="K21" i="246"/>
  <c r="J21" i="246"/>
  <c r="F21" i="246"/>
  <c r="N20" i="246"/>
  <c r="K20" i="246"/>
  <c r="J20" i="246"/>
  <c r="F20" i="246"/>
  <c r="N19" i="246"/>
  <c r="K19" i="246"/>
  <c r="J19" i="246"/>
  <c r="F19" i="246"/>
  <c r="N18" i="246"/>
  <c r="K18" i="246"/>
  <c r="J18" i="246"/>
  <c r="F18" i="246"/>
  <c r="N17" i="246"/>
  <c r="K17" i="246"/>
  <c r="J17" i="246"/>
  <c r="F17" i="246"/>
  <c r="N16" i="246"/>
  <c r="K16" i="246"/>
  <c r="J16" i="246"/>
  <c r="F16" i="246"/>
  <c r="N15" i="246"/>
  <c r="K15" i="246"/>
  <c r="J15" i="246"/>
  <c r="F15" i="246"/>
  <c r="N14" i="246"/>
  <c r="K14" i="246"/>
  <c r="J14" i="246"/>
  <c r="F14" i="246"/>
  <c r="N13" i="246"/>
  <c r="K13" i="246"/>
  <c r="J13" i="246"/>
  <c r="F13" i="246"/>
  <c r="N12" i="246"/>
  <c r="K12" i="246"/>
  <c r="J12" i="246"/>
  <c r="F12" i="246"/>
  <c r="N11" i="246"/>
  <c r="K11" i="246"/>
  <c r="J11" i="246"/>
  <c r="F11" i="246"/>
  <c r="N10" i="246"/>
  <c r="K10" i="246"/>
  <c r="J10" i="246"/>
  <c r="F10" i="246"/>
  <c r="N9" i="246"/>
  <c r="K9" i="246"/>
  <c r="J9" i="246"/>
  <c r="F9" i="246"/>
  <c r="N8" i="246"/>
  <c r="K8" i="246"/>
  <c r="J8" i="246"/>
  <c r="F8" i="246"/>
  <c r="O25" i="246" l="1"/>
  <c r="P25" i="246" s="1"/>
  <c r="O27" i="246"/>
  <c r="P27" i="246" s="1"/>
  <c r="G22" i="26"/>
  <c r="O28" i="246"/>
  <c r="P28" i="246" s="1"/>
  <c r="G28" i="246"/>
  <c r="H28" i="246" s="1"/>
  <c r="M23" i="246"/>
  <c r="G23" i="246"/>
  <c r="H23" i="246" s="1"/>
  <c r="O23" i="246"/>
  <c r="P23" i="246" s="1"/>
  <c r="O24" i="246"/>
  <c r="O26" i="246"/>
  <c r="P26" i="246" s="1"/>
  <c r="O8" i="246"/>
  <c r="P8" i="246" s="1"/>
  <c r="G8" i="246"/>
  <c r="M9" i="246"/>
  <c r="O9" i="246"/>
  <c r="P9" i="246" s="1"/>
  <c r="G9" i="246"/>
  <c r="H9" i="246" s="1"/>
  <c r="G10" i="246"/>
  <c r="H10" i="246" s="1"/>
  <c r="O10" i="246"/>
  <c r="P10" i="246" s="1"/>
  <c r="G11" i="246"/>
  <c r="H11" i="246" s="1"/>
  <c r="O11" i="246"/>
  <c r="P11" i="246" s="1"/>
  <c r="M12" i="246"/>
  <c r="O12" i="246"/>
  <c r="P12" i="246" s="1"/>
  <c r="G12" i="246"/>
  <c r="H12" i="246" s="1"/>
  <c r="O13" i="246"/>
  <c r="P13" i="246" s="1"/>
  <c r="G13" i="246"/>
  <c r="H13" i="246" s="1"/>
  <c r="M14" i="246"/>
  <c r="G14" i="246"/>
  <c r="H14" i="246" s="1"/>
  <c r="O14" i="246"/>
  <c r="P14" i="246" s="1"/>
  <c r="M15" i="246"/>
  <c r="G15" i="246"/>
  <c r="H15" i="246" s="1"/>
  <c r="O15" i="246"/>
  <c r="P15" i="246" s="1"/>
  <c r="O16" i="246"/>
  <c r="G16" i="246"/>
  <c r="H16" i="246" s="1"/>
  <c r="O17" i="246"/>
  <c r="P17" i="246" s="1"/>
  <c r="G17" i="246"/>
  <c r="H17" i="246" s="1"/>
  <c r="G18" i="246"/>
  <c r="H18" i="246" s="1"/>
  <c r="O18" i="246"/>
  <c r="P18" i="246" s="1"/>
  <c r="G19" i="246"/>
  <c r="H19" i="246" s="1"/>
  <c r="O19" i="246"/>
  <c r="P19" i="246" s="1"/>
  <c r="O20" i="246"/>
  <c r="P20" i="246" s="1"/>
  <c r="G20" i="246"/>
  <c r="H20" i="246" s="1"/>
  <c r="M21" i="246"/>
  <c r="O21" i="246"/>
  <c r="P21" i="246" s="1"/>
  <c r="G21" i="246"/>
  <c r="H21" i="246" s="1"/>
  <c r="M22" i="246"/>
  <c r="G22" i="246"/>
  <c r="H22" i="246" s="1"/>
  <c r="H15" i="229"/>
  <c r="C22" i="54"/>
  <c r="M24" i="246"/>
  <c r="M28" i="246"/>
  <c r="M27" i="246"/>
  <c r="M19" i="246"/>
  <c r="M8" i="246"/>
  <c r="M26" i="246"/>
  <c r="M25" i="246"/>
  <c r="M10" i="246"/>
  <c r="M18" i="246"/>
  <c r="M11" i="246"/>
  <c r="M20" i="246"/>
  <c r="L30" i="246"/>
  <c r="N22" i="246"/>
  <c r="O22" i="246" s="1"/>
  <c r="F30" i="246"/>
  <c r="M13" i="246"/>
  <c r="M16" i="246"/>
  <c r="M17" i="246"/>
  <c r="Q19" i="246" l="1"/>
  <c r="Q20" i="246"/>
  <c r="Q28" i="246"/>
  <c r="R28" i="246" s="1"/>
  <c r="Q25" i="246"/>
  <c r="R25" i="246" s="1"/>
  <c r="Q27" i="246"/>
  <c r="R27" i="246" s="1"/>
  <c r="Q17" i="246"/>
  <c r="R17" i="246" s="1"/>
  <c r="S17" i="246" s="1"/>
  <c r="T17" i="246" s="1"/>
  <c r="Q12" i="246"/>
  <c r="R12" i="246" s="1"/>
  <c r="S12" i="246" s="1"/>
  <c r="T12" i="246" s="1"/>
  <c r="Q18" i="246"/>
  <c r="R18" i="246" s="1"/>
  <c r="S18" i="246" s="1"/>
  <c r="T18" i="246" s="1"/>
  <c r="Q23" i="246"/>
  <c r="R23" i="246" s="1"/>
  <c r="S23" i="246" s="1"/>
  <c r="T23" i="246" s="1"/>
  <c r="Q9" i="246"/>
  <c r="R9" i="246" s="1"/>
  <c r="S9" i="246" s="1"/>
  <c r="T9" i="246" s="1"/>
  <c r="Q11" i="246"/>
  <c r="R11" i="246" s="1"/>
  <c r="S11" i="246" s="1"/>
  <c r="T11" i="246" s="1"/>
  <c r="Q14" i="246"/>
  <c r="R14" i="246" s="1"/>
  <c r="S14" i="246" s="1"/>
  <c r="T14" i="246" s="1"/>
  <c r="Q10" i="246"/>
  <c r="R10" i="246" s="1"/>
  <c r="S10" i="246" s="1"/>
  <c r="T10" i="246" s="1"/>
  <c r="Q15" i="246"/>
  <c r="R15" i="246" s="1"/>
  <c r="S15" i="246" s="1"/>
  <c r="T15" i="246" s="1"/>
  <c r="Q8" i="246"/>
  <c r="R8" i="246" s="1"/>
  <c r="S8" i="246" s="1"/>
  <c r="T8" i="246" s="1"/>
  <c r="H8" i="246"/>
  <c r="H30" i="246" s="1"/>
  <c r="G30" i="246"/>
  <c r="Q26" i="246"/>
  <c r="R26" i="246" s="1"/>
  <c r="Q13" i="246"/>
  <c r="R13" i="246" s="1"/>
  <c r="S13" i="246" s="1"/>
  <c r="T13" i="246" s="1"/>
  <c r="Q21" i="246"/>
  <c r="R21" i="246" s="1"/>
  <c r="S21" i="246" s="1"/>
  <c r="T21" i="246" s="1"/>
  <c r="R19" i="246"/>
  <c r="R20" i="246"/>
  <c r="P16" i="246"/>
  <c r="C26" i="54"/>
  <c r="P24" i="246"/>
  <c r="H25" i="229"/>
  <c r="M30" i="246"/>
  <c r="N30" i="246"/>
  <c r="D46" i="261" s="1"/>
  <c r="O30" i="246"/>
  <c r="G24" i="26" l="1"/>
  <c r="K53" i="268"/>
  <c r="Q16" i="246"/>
  <c r="R16" i="246" s="1"/>
  <c r="S16" i="246" s="1"/>
  <c r="T16" i="246" s="1"/>
  <c r="Q24" i="246"/>
  <c r="R24" i="246" s="1"/>
  <c r="S24" i="246" s="1"/>
  <c r="T24" i="246" s="1"/>
  <c r="U13" i="246"/>
  <c r="V13" i="246" s="1"/>
  <c r="U10" i="246"/>
  <c r="V10" i="246" s="1"/>
  <c r="U17" i="246"/>
  <c r="V17" i="246" s="1"/>
  <c r="U8" i="246"/>
  <c r="V8" i="246" s="1"/>
  <c r="U14" i="246"/>
  <c r="V14" i="246" s="1"/>
  <c r="U23" i="246"/>
  <c r="V23" i="246" s="1"/>
  <c r="U21" i="246"/>
  <c r="V21" i="246" s="1"/>
  <c r="U12" i="246"/>
  <c r="V12" i="246" s="1"/>
  <c r="U11" i="246"/>
  <c r="V11" i="246" s="1"/>
  <c r="U18" i="246"/>
  <c r="V18" i="246" s="1"/>
  <c r="U15" i="246"/>
  <c r="V15" i="246" s="1"/>
  <c r="U9" i="246"/>
  <c r="V9" i="246" s="1"/>
  <c r="S20" i="246"/>
  <c r="T20" i="246" s="1"/>
  <c r="S28" i="246"/>
  <c r="T28" i="246" s="1"/>
  <c r="S27" i="246"/>
  <c r="T27" i="246" s="1"/>
  <c r="S19" i="246"/>
  <c r="T19" i="246" s="1"/>
  <c r="S26" i="246"/>
  <c r="T26" i="246" s="1"/>
  <c r="S25" i="246"/>
  <c r="T25" i="246" s="1"/>
  <c r="P22" i="246"/>
  <c r="Q22" i="246" l="1"/>
  <c r="R22" i="246" s="1"/>
  <c r="S22" i="246" s="1"/>
  <c r="T22" i="246" s="1"/>
  <c r="W9" i="246"/>
  <c r="X9" i="246" s="1"/>
  <c r="W12" i="246"/>
  <c r="X12" i="246" s="1"/>
  <c r="W8" i="246"/>
  <c r="X8" i="246" s="1"/>
  <c r="W15" i="246"/>
  <c r="X15" i="246" s="1"/>
  <c r="W21" i="246"/>
  <c r="X21" i="246" s="1"/>
  <c r="W17" i="246"/>
  <c r="X17" i="246" s="1"/>
  <c r="W18" i="246"/>
  <c r="X18" i="246" s="1"/>
  <c r="W23" i="246"/>
  <c r="X23" i="246" s="1"/>
  <c r="W10" i="246"/>
  <c r="X10" i="246" s="1"/>
  <c r="W11" i="246"/>
  <c r="X11" i="246" s="1"/>
  <c r="W14" i="246"/>
  <c r="X14" i="246" s="1"/>
  <c r="W13" i="246"/>
  <c r="X13" i="246" s="1"/>
  <c r="U24" i="246"/>
  <c r="V24" i="246" s="1"/>
  <c r="U16" i="246"/>
  <c r="V16" i="246" s="1"/>
  <c r="U19" i="246"/>
  <c r="V19" i="246" s="1"/>
  <c r="U20" i="246"/>
  <c r="V20" i="246" s="1"/>
  <c r="U25" i="246"/>
  <c r="V25" i="246" s="1"/>
  <c r="U27" i="246"/>
  <c r="V27" i="246" s="1"/>
  <c r="U26" i="246"/>
  <c r="V26" i="246" s="1"/>
  <c r="U28" i="246"/>
  <c r="V28" i="246" s="1"/>
  <c r="P30" i="246"/>
  <c r="Y11" i="246" l="1"/>
  <c r="Z11" i="246" s="1"/>
  <c r="Y17" i="246"/>
  <c r="Z17" i="246" s="1"/>
  <c r="Y12" i="246"/>
  <c r="Z12" i="246" s="1"/>
  <c r="Y10" i="246"/>
  <c r="Z10" i="246" s="1"/>
  <c r="Y21" i="246"/>
  <c r="Z21" i="246" s="1"/>
  <c r="Y9" i="246"/>
  <c r="Z9" i="246" s="1"/>
  <c r="Y13" i="246"/>
  <c r="Z13" i="246" s="1"/>
  <c r="Y23" i="246"/>
  <c r="Z23" i="246" s="1"/>
  <c r="Y15" i="246"/>
  <c r="Z15" i="246" s="1"/>
  <c r="Y14" i="246"/>
  <c r="Z14" i="246" s="1"/>
  <c r="Y18" i="246"/>
  <c r="Z18" i="246" s="1"/>
  <c r="Y8" i="246"/>
  <c r="Z8" i="246" s="1"/>
  <c r="W28" i="246"/>
  <c r="X28" i="246" s="1"/>
  <c r="W20" i="246"/>
  <c r="X20" i="246" s="1"/>
  <c r="W26" i="246"/>
  <c r="X26" i="246" s="1"/>
  <c r="W19" i="246"/>
  <c r="X19" i="246" s="1"/>
  <c r="W27" i="246"/>
  <c r="X27" i="246" s="1"/>
  <c r="W16" i="246"/>
  <c r="X16" i="246" s="1"/>
  <c r="W25" i="246"/>
  <c r="X25" i="246" s="1"/>
  <c r="W24" i="246"/>
  <c r="X24" i="246" s="1"/>
  <c r="U22" i="246"/>
  <c r="V22" i="246" s="1"/>
  <c r="Q30" i="246"/>
  <c r="Y16" i="246" l="1"/>
  <c r="Z16" i="246" s="1"/>
  <c r="Y20" i="246"/>
  <c r="Z20" i="246" s="1"/>
  <c r="Y27" i="246"/>
  <c r="Z27" i="246" s="1"/>
  <c r="Y28" i="246"/>
  <c r="Z28" i="246" s="1"/>
  <c r="Y24" i="246"/>
  <c r="Z24" i="246" s="1"/>
  <c r="Y19" i="246"/>
  <c r="Z19" i="246" s="1"/>
  <c r="Y25" i="246"/>
  <c r="Z25" i="246" s="1"/>
  <c r="Y26" i="246"/>
  <c r="Z26" i="246" s="1"/>
  <c r="W22" i="246"/>
  <c r="X22" i="246" s="1"/>
  <c r="R30" i="246"/>
  <c r="Y22" i="246" l="1"/>
  <c r="Z22" i="246" s="1"/>
  <c r="S30" i="246"/>
  <c r="T30" i="246" l="1"/>
  <c r="U30" i="246" l="1"/>
  <c r="V30" i="246" l="1"/>
  <c r="W30" i="246" l="1"/>
  <c r="X30" i="246" l="1"/>
  <c r="H69" i="226"/>
  <c r="F842" i="247"/>
  <c r="F844" i="247" s="1"/>
  <c r="E842" i="247"/>
  <c r="E844" i="247" s="1"/>
  <c r="M840" i="247"/>
  <c r="M842" i="247" s="1"/>
  <c r="M844" i="247" s="1"/>
  <c r="K840" i="247"/>
  <c r="I840" i="247"/>
  <c r="G840" i="247"/>
  <c r="G842" i="247" s="1"/>
  <c r="G844" i="247" s="1"/>
  <c r="F835" i="247"/>
  <c r="E835" i="247"/>
  <c r="M833" i="247"/>
  <c r="K833" i="247"/>
  <c r="I833" i="247"/>
  <c r="G833" i="247"/>
  <c r="M832" i="247"/>
  <c r="K832" i="247"/>
  <c r="I832" i="247"/>
  <c r="G832" i="247"/>
  <c r="M831" i="247"/>
  <c r="K831" i="247"/>
  <c r="I831" i="247"/>
  <c r="G831" i="247"/>
  <c r="M830" i="247"/>
  <c r="K830" i="247"/>
  <c r="I830" i="247"/>
  <c r="G830" i="247"/>
  <c r="M829" i="247"/>
  <c r="K829" i="247"/>
  <c r="I829" i="247"/>
  <c r="G829" i="247"/>
  <c r="M828" i="247"/>
  <c r="K828" i="247"/>
  <c r="I828" i="247"/>
  <c r="G828" i="247"/>
  <c r="M827" i="247"/>
  <c r="K827" i="247"/>
  <c r="I827" i="247"/>
  <c r="G827" i="247"/>
  <c r="M826" i="247"/>
  <c r="K826" i="247"/>
  <c r="I826" i="247"/>
  <c r="G826" i="247"/>
  <c r="M825" i="247"/>
  <c r="K825" i="247"/>
  <c r="I825" i="247"/>
  <c r="G825" i="247"/>
  <c r="M824" i="247"/>
  <c r="K824" i="247"/>
  <c r="I824" i="247"/>
  <c r="G824" i="247"/>
  <c r="M823" i="247"/>
  <c r="K823" i="247"/>
  <c r="I823" i="247"/>
  <c r="G823" i="247"/>
  <c r="M822" i="247"/>
  <c r="K822" i="247"/>
  <c r="I822" i="247"/>
  <c r="G822" i="247"/>
  <c r="M821" i="247"/>
  <c r="K821" i="247"/>
  <c r="I821" i="247"/>
  <c r="G821" i="247"/>
  <c r="M820" i="247"/>
  <c r="K820" i="247"/>
  <c r="I820" i="247"/>
  <c r="G820" i="247"/>
  <c r="M819" i="247"/>
  <c r="K819" i="247"/>
  <c r="I819" i="247"/>
  <c r="G819" i="247"/>
  <c r="M818" i="247"/>
  <c r="K818" i="247"/>
  <c r="I818" i="247"/>
  <c r="G818" i="247"/>
  <c r="M817" i="247"/>
  <c r="K817" i="247"/>
  <c r="I817" i="247"/>
  <c r="G817" i="247"/>
  <c r="M816" i="247"/>
  <c r="K816" i="247"/>
  <c r="I816" i="247"/>
  <c r="G816" i="247"/>
  <c r="M815" i="247"/>
  <c r="K815" i="247"/>
  <c r="I815" i="247"/>
  <c r="G815" i="247"/>
  <c r="M814" i="247"/>
  <c r="K814" i="247"/>
  <c r="I814" i="247"/>
  <c r="G814" i="247"/>
  <c r="M813" i="247"/>
  <c r="K813" i="247"/>
  <c r="I813" i="247"/>
  <c r="G813" i="247"/>
  <c r="M812" i="247"/>
  <c r="K812" i="247"/>
  <c r="I812" i="247"/>
  <c r="G812" i="247"/>
  <c r="M811" i="247"/>
  <c r="K811" i="247"/>
  <c r="I811" i="247"/>
  <c r="G811" i="247"/>
  <c r="M810" i="247"/>
  <c r="K810" i="247"/>
  <c r="I810" i="247"/>
  <c r="G810" i="247"/>
  <c r="M809" i="247"/>
  <c r="K809" i="247"/>
  <c r="I809" i="247"/>
  <c r="G809" i="247"/>
  <c r="M808" i="247"/>
  <c r="K808" i="247"/>
  <c r="I808" i="247"/>
  <c r="G808" i="247"/>
  <c r="M807" i="247"/>
  <c r="K807" i="247"/>
  <c r="I807" i="247"/>
  <c r="G807" i="247"/>
  <c r="M806" i="247"/>
  <c r="K806" i="247"/>
  <c r="I806" i="247"/>
  <c r="G806" i="247"/>
  <c r="M805" i="247"/>
  <c r="K805" i="247"/>
  <c r="I805" i="247"/>
  <c r="G805" i="247"/>
  <c r="M804" i="247"/>
  <c r="K804" i="247"/>
  <c r="I804" i="247"/>
  <c r="G804" i="247"/>
  <c r="M803" i="247"/>
  <c r="K803" i="247"/>
  <c r="I803" i="247"/>
  <c r="G803" i="247"/>
  <c r="M802" i="247"/>
  <c r="K802" i="247"/>
  <c r="I802" i="247"/>
  <c r="G802" i="247"/>
  <c r="F796" i="247"/>
  <c r="E796" i="247"/>
  <c r="F795" i="247"/>
  <c r="E795" i="247"/>
  <c r="M793" i="247"/>
  <c r="K793" i="247"/>
  <c r="I793" i="247"/>
  <c r="G793" i="247"/>
  <c r="M792" i="247"/>
  <c r="K792" i="247"/>
  <c r="I792" i="247"/>
  <c r="G792" i="247"/>
  <c r="M791" i="247"/>
  <c r="K791" i="247"/>
  <c r="I791" i="247"/>
  <c r="G791" i="247"/>
  <c r="M790" i="247"/>
  <c r="K790" i="247"/>
  <c r="I790" i="247"/>
  <c r="G790" i="247"/>
  <c r="M789" i="247"/>
  <c r="K789" i="247"/>
  <c r="I789" i="247"/>
  <c r="G789" i="247"/>
  <c r="M788" i="247"/>
  <c r="K788" i="247"/>
  <c r="I788" i="247"/>
  <c r="G788" i="247"/>
  <c r="M787" i="247"/>
  <c r="K787" i="247"/>
  <c r="I787" i="247"/>
  <c r="G787" i="247"/>
  <c r="M786" i="247"/>
  <c r="K786" i="247"/>
  <c r="I786" i="247"/>
  <c r="G786" i="247"/>
  <c r="M785" i="247"/>
  <c r="K785" i="247"/>
  <c r="I785" i="247"/>
  <c r="G785" i="247"/>
  <c r="M784" i="247"/>
  <c r="K784" i="247"/>
  <c r="I784" i="247"/>
  <c r="G784" i="247"/>
  <c r="M783" i="247"/>
  <c r="K783" i="247"/>
  <c r="I783" i="247"/>
  <c r="G783" i="247"/>
  <c r="M782" i="247"/>
  <c r="K782" i="247"/>
  <c r="I782" i="247"/>
  <c r="G782" i="247"/>
  <c r="M781" i="247"/>
  <c r="K781" i="247"/>
  <c r="I781" i="247"/>
  <c r="G781" i="247"/>
  <c r="M780" i="247"/>
  <c r="K780" i="247"/>
  <c r="I780" i="247"/>
  <c r="G780" i="247"/>
  <c r="M779" i="247"/>
  <c r="K779" i="247"/>
  <c r="I779" i="247"/>
  <c r="G779" i="247"/>
  <c r="M778" i="247"/>
  <c r="K778" i="247"/>
  <c r="I778" i="247"/>
  <c r="G778" i="247"/>
  <c r="M777" i="247"/>
  <c r="K777" i="247"/>
  <c r="I777" i="247"/>
  <c r="G777" i="247"/>
  <c r="M776" i="247"/>
  <c r="K776" i="247"/>
  <c r="I776" i="247"/>
  <c r="G776" i="247"/>
  <c r="M775" i="247"/>
  <c r="K775" i="247"/>
  <c r="I775" i="247"/>
  <c r="G775" i="247"/>
  <c r="M774" i="247"/>
  <c r="K774" i="247"/>
  <c r="I774" i="247"/>
  <c r="G774" i="247"/>
  <c r="M773" i="247"/>
  <c r="K773" i="247"/>
  <c r="I773" i="247"/>
  <c r="G773" i="247"/>
  <c r="M772" i="247"/>
  <c r="K772" i="247"/>
  <c r="I772" i="247"/>
  <c r="G772" i="247"/>
  <c r="M771" i="247"/>
  <c r="K771" i="247"/>
  <c r="I771" i="247"/>
  <c r="G771" i="247"/>
  <c r="M770" i="247"/>
  <c r="K770" i="247"/>
  <c r="I770" i="247"/>
  <c r="G770" i="247"/>
  <c r="M769" i="247"/>
  <c r="K769" i="247"/>
  <c r="I769" i="247"/>
  <c r="G769" i="247"/>
  <c r="M768" i="247"/>
  <c r="K768" i="247"/>
  <c r="I768" i="247"/>
  <c r="G768" i="247"/>
  <c r="M767" i="247"/>
  <c r="K767" i="247"/>
  <c r="I767" i="247"/>
  <c r="G767" i="247"/>
  <c r="M766" i="247"/>
  <c r="K766" i="247"/>
  <c r="I766" i="247"/>
  <c r="G766" i="247"/>
  <c r="M765" i="247"/>
  <c r="K765" i="247"/>
  <c r="I765" i="247"/>
  <c r="G765" i="247"/>
  <c r="M764" i="247"/>
  <c r="K764" i="247"/>
  <c r="I764" i="247"/>
  <c r="G764" i="247"/>
  <c r="M763" i="247"/>
  <c r="K763" i="247"/>
  <c r="I763" i="247"/>
  <c r="G763" i="247"/>
  <c r="M762" i="247"/>
  <c r="K762" i="247"/>
  <c r="I762" i="247"/>
  <c r="G762" i="247"/>
  <c r="M761" i="247"/>
  <c r="K761" i="247"/>
  <c r="I761" i="247"/>
  <c r="G761" i="247"/>
  <c r="M760" i="247"/>
  <c r="K760" i="247"/>
  <c r="I760" i="247"/>
  <c r="G760" i="247"/>
  <c r="M759" i="247"/>
  <c r="K759" i="247"/>
  <c r="I759" i="247"/>
  <c r="G759" i="247"/>
  <c r="M758" i="247"/>
  <c r="K758" i="247"/>
  <c r="I758" i="247"/>
  <c r="G758" i="247"/>
  <c r="M757" i="247"/>
  <c r="K757" i="247"/>
  <c r="I757" i="247"/>
  <c r="G757" i="247"/>
  <c r="M756" i="247"/>
  <c r="K756" i="247"/>
  <c r="I756" i="247"/>
  <c r="G756" i="247"/>
  <c r="M755" i="247"/>
  <c r="K755" i="247"/>
  <c r="I755" i="247"/>
  <c r="G755" i="247"/>
  <c r="M754" i="247"/>
  <c r="K754" i="247"/>
  <c r="I754" i="247"/>
  <c r="G754" i="247"/>
  <c r="M753" i="247"/>
  <c r="K753" i="247"/>
  <c r="I753" i="247"/>
  <c r="G753" i="247"/>
  <c r="M752" i="247"/>
  <c r="K752" i="247"/>
  <c r="I752" i="247"/>
  <c r="G752" i="247"/>
  <c r="M751" i="247"/>
  <c r="K751" i="247"/>
  <c r="I751" i="247"/>
  <c r="G751" i="247"/>
  <c r="M750" i="247"/>
  <c r="K750" i="247"/>
  <c r="I750" i="247"/>
  <c r="G750" i="247"/>
  <c r="M749" i="247"/>
  <c r="K749" i="247"/>
  <c r="I749" i="247"/>
  <c r="G749" i="247"/>
  <c r="M748" i="247"/>
  <c r="K748" i="247"/>
  <c r="I748" i="247"/>
  <c r="G748" i="247"/>
  <c r="M747" i="247"/>
  <c r="K747" i="247"/>
  <c r="I747" i="247"/>
  <c r="G747" i="247"/>
  <c r="M746" i="247"/>
  <c r="K746" i="247"/>
  <c r="I746" i="247"/>
  <c r="G746" i="247"/>
  <c r="M745" i="247"/>
  <c r="K745" i="247"/>
  <c r="I745" i="247"/>
  <c r="G745" i="247"/>
  <c r="M744" i="247"/>
  <c r="K744" i="247"/>
  <c r="I744" i="247"/>
  <c r="G744" i="247"/>
  <c r="M743" i="247"/>
  <c r="K743" i="247"/>
  <c r="I743" i="247"/>
  <c r="G743" i="247"/>
  <c r="M742" i="247"/>
  <c r="K742" i="247"/>
  <c r="I742" i="247"/>
  <c r="G742" i="247"/>
  <c r="M741" i="247"/>
  <c r="K741" i="247"/>
  <c r="I741" i="247"/>
  <c r="G741" i="247"/>
  <c r="M740" i="247"/>
  <c r="K740" i="247"/>
  <c r="I740" i="247"/>
  <c r="G740" i="247"/>
  <c r="M739" i="247"/>
  <c r="K739" i="247"/>
  <c r="I739" i="247"/>
  <c r="G739" i="247"/>
  <c r="M738" i="247"/>
  <c r="K738" i="247"/>
  <c r="I738" i="247"/>
  <c r="G738" i="247"/>
  <c r="M737" i="247"/>
  <c r="K737" i="247"/>
  <c r="I737" i="247"/>
  <c r="G737" i="247"/>
  <c r="M736" i="247"/>
  <c r="K736" i="247"/>
  <c r="I736" i="247"/>
  <c r="G736" i="247"/>
  <c r="M735" i="247"/>
  <c r="K735" i="247"/>
  <c r="I735" i="247"/>
  <c r="G735" i="247"/>
  <c r="M734" i="247"/>
  <c r="K734" i="247"/>
  <c r="I734" i="247"/>
  <c r="G734" i="247"/>
  <c r="M733" i="247"/>
  <c r="K733" i="247"/>
  <c r="I733" i="247"/>
  <c r="G733" i="247"/>
  <c r="M732" i="247"/>
  <c r="K732" i="247"/>
  <c r="I732" i="247"/>
  <c r="G732" i="247"/>
  <c r="M731" i="247"/>
  <c r="K731" i="247"/>
  <c r="I731" i="247"/>
  <c r="G731" i="247"/>
  <c r="M730" i="247"/>
  <c r="K730" i="247"/>
  <c r="I730" i="247"/>
  <c r="G730" i="247"/>
  <c r="M729" i="247"/>
  <c r="K729" i="247"/>
  <c r="I729" i="247"/>
  <c r="G729" i="247"/>
  <c r="M728" i="247"/>
  <c r="K728" i="247"/>
  <c r="I728" i="247"/>
  <c r="G728" i="247"/>
  <c r="M727" i="247"/>
  <c r="K727" i="247"/>
  <c r="I727" i="247"/>
  <c r="G727" i="247"/>
  <c r="M726" i="247"/>
  <c r="K726" i="247"/>
  <c r="I726" i="247"/>
  <c r="G726" i="247"/>
  <c r="M725" i="247"/>
  <c r="K725" i="247"/>
  <c r="I725" i="247"/>
  <c r="G725" i="247"/>
  <c r="M724" i="247"/>
  <c r="K724" i="247"/>
  <c r="I724" i="247"/>
  <c r="G724" i="247"/>
  <c r="M723" i="247"/>
  <c r="K723" i="247"/>
  <c r="I723" i="247"/>
  <c r="G723" i="247"/>
  <c r="M722" i="247"/>
  <c r="K722" i="247"/>
  <c r="I722" i="247"/>
  <c r="G722" i="247"/>
  <c r="M721" i="247"/>
  <c r="K721" i="247"/>
  <c r="I721" i="247"/>
  <c r="G721" i="247"/>
  <c r="M720" i="247"/>
  <c r="K720" i="247"/>
  <c r="I720" i="247"/>
  <c r="G720" i="247"/>
  <c r="M719" i="247"/>
  <c r="K719" i="247"/>
  <c r="I719" i="247"/>
  <c r="G719" i="247"/>
  <c r="M718" i="247"/>
  <c r="K718" i="247"/>
  <c r="I718" i="247"/>
  <c r="G718" i="247"/>
  <c r="M717" i="247"/>
  <c r="K717" i="247"/>
  <c r="I717" i="247"/>
  <c r="G717" i="247"/>
  <c r="M716" i="247"/>
  <c r="K716" i="247"/>
  <c r="I716" i="247"/>
  <c r="G716" i="247"/>
  <c r="M715" i="247"/>
  <c r="K715" i="247"/>
  <c r="I715" i="247"/>
  <c r="G715" i="247"/>
  <c r="M714" i="247"/>
  <c r="K714" i="247"/>
  <c r="I714" i="247"/>
  <c r="G714" i="247"/>
  <c r="F709" i="247"/>
  <c r="F711" i="247" s="1"/>
  <c r="E709" i="247"/>
  <c r="E711" i="247" s="1"/>
  <c r="M707" i="247"/>
  <c r="K707" i="247"/>
  <c r="I707" i="247"/>
  <c r="G707" i="247"/>
  <c r="M706" i="247"/>
  <c r="K706" i="247"/>
  <c r="I706" i="247"/>
  <c r="G706" i="247"/>
  <c r="M705" i="247"/>
  <c r="K705" i="247"/>
  <c r="I705" i="247"/>
  <c r="G705" i="247"/>
  <c r="M704" i="247"/>
  <c r="K704" i="247"/>
  <c r="I704" i="247"/>
  <c r="G704" i="247"/>
  <c r="M703" i="247"/>
  <c r="K703" i="247"/>
  <c r="I703" i="247"/>
  <c r="G703" i="247"/>
  <c r="M702" i="247"/>
  <c r="K702" i="247"/>
  <c r="I702" i="247"/>
  <c r="G702" i="247"/>
  <c r="M701" i="247"/>
  <c r="K701" i="247"/>
  <c r="I701" i="247"/>
  <c r="G701" i="247"/>
  <c r="M700" i="247"/>
  <c r="K700" i="247"/>
  <c r="I700" i="247"/>
  <c r="G700" i="247"/>
  <c r="M699" i="247"/>
  <c r="K699" i="247"/>
  <c r="I699" i="247"/>
  <c r="G699" i="247"/>
  <c r="M698" i="247"/>
  <c r="K698" i="247"/>
  <c r="I698" i="247"/>
  <c r="G698" i="247"/>
  <c r="M697" i="247"/>
  <c r="K697" i="247"/>
  <c r="I697" i="247"/>
  <c r="G697" i="247"/>
  <c r="M696" i="247"/>
  <c r="K696" i="247"/>
  <c r="I696" i="247"/>
  <c r="G696" i="247"/>
  <c r="M695" i="247"/>
  <c r="K695" i="247"/>
  <c r="I695" i="247"/>
  <c r="G695" i="247"/>
  <c r="M694" i="247"/>
  <c r="K694" i="247"/>
  <c r="I694" i="247"/>
  <c r="G694" i="247"/>
  <c r="F689" i="247"/>
  <c r="E689" i="247"/>
  <c r="M687" i="247"/>
  <c r="K687" i="247"/>
  <c r="I687" i="247"/>
  <c r="G687" i="247"/>
  <c r="M686" i="247"/>
  <c r="K686" i="247"/>
  <c r="I686" i="247"/>
  <c r="G686" i="247"/>
  <c r="M685" i="247"/>
  <c r="K685" i="247"/>
  <c r="I685" i="247"/>
  <c r="G685" i="247"/>
  <c r="M684" i="247"/>
  <c r="K684" i="247"/>
  <c r="I684" i="247"/>
  <c r="G684" i="247"/>
  <c r="M683" i="247"/>
  <c r="K683" i="247"/>
  <c r="I683" i="247"/>
  <c r="G683" i="247"/>
  <c r="M682" i="247"/>
  <c r="K682" i="247"/>
  <c r="I682" i="247"/>
  <c r="G682" i="247"/>
  <c r="M681" i="247"/>
  <c r="K681" i="247"/>
  <c r="I681" i="247"/>
  <c r="G681" i="247"/>
  <c r="M680" i="247"/>
  <c r="K680" i="247"/>
  <c r="I680" i="247"/>
  <c r="G680" i="247"/>
  <c r="M679" i="247"/>
  <c r="K679" i="247"/>
  <c r="I679" i="247"/>
  <c r="G679" i="247"/>
  <c r="M678" i="247"/>
  <c r="K678" i="247"/>
  <c r="I678" i="247"/>
  <c r="G678" i="247"/>
  <c r="M677" i="247"/>
  <c r="K677" i="247"/>
  <c r="I677" i="247"/>
  <c r="G677" i="247"/>
  <c r="M676" i="247"/>
  <c r="K676" i="247"/>
  <c r="I676" i="247"/>
  <c r="G676" i="247"/>
  <c r="M675" i="247"/>
  <c r="K675" i="247"/>
  <c r="I675" i="247"/>
  <c r="G675" i="247"/>
  <c r="M674" i="247"/>
  <c r="K674" i="247"/>
  <c r="I674" i="247"/>
  <c r="G674" i="247"/>
  <c r="M673" i="247"/>
  <c r="K673" i="247"/>
  <c r="I673" i="247"/>
  <c r="G673" i="247"/>
  <c r="M672" i="247"/>
  <c r="K672" i="247"/>
  <c r="I672" i="247"/>
  <c r="G672" i="247"/>
  <c r="M671" i="247"/>
  <c r="K671" i="247"/>
  <c r="I671" i="247"/>
  <c r="G671" i="247"/>
  <c r="M670" i="247"/>
  <c r="K670" i="247"/>
  <c r="I670" i="247"/>
  <c r="G670" i="247"/>
  <c r="M669" i="247"/>
  <c r="K669" i="247"/>
  <c r="I669" i="247"/>
  <c r="G669" i="247"/>
  <c r="M668" i="247"/>
  <c r="K668" i="247"/>
  <c r="I668" i="247"/>
  <c r="G668" i="247"/>
  <c r="M667" i="247"/>
  <c r="K667" i="247"/>
  <c r="I667" i="247"/>
  <c r="G667" i="247"/>
  <c r="M666" i="247"/>
  <c r="K666" i="247"/>
  <c r="I666" i="247"/>
  <c r="G666" i="247"/>
  <c r="M665" i="247"/>
  <c r="K665" i="247"/>
  <c r="I665" i="247"/>
  <c r="G665" i="247"/>
  <c r="M664" i="247"/>
  <c r="K664" i="247"/>
  <c r="I664" i="247"/>
  <c r="G664" i="247"/>
  <c r="M663" i="247"/>
  <c r="K663" i="247"/>
  <c r="I663" i="247"/>
  <c r="G663" i="247"/>
  <c r="M662" i="247"/>
  <c r="K662" i="247"/>
  <c r="I662" i="247"/>
  <c r="G662" i="247"/>
  <c r="M661" i="247"/>
  <c r="K661" i="247"/>
  <c r="I661" i="247"/>
  <c r="G661" i="247"/>
  <c r="M660" i="247"/>
  <c r="K660" i="247"/>
  <c r="I660" i="247"/>
  <c r="G660" i="247"/>
  <c r="M659" i="247"/>
  <c r="K659" i="247"/>
  <c r="I659" i="247"/>
  <c r="G659" i="247"/>
  <c r="M658" i="247"/>
  <c r="K658" i="247"/>
  <c r="I658" i="247"/>
  <c r="G658" i="247"/>
  <c r="M657" i="247"/>
  <c r="K657" i="247"/>
  <c r="I657" i="247"/>
  <c r="G657" i="247"/>
  <c r="M656" i="247"/>
  <c r="K656" i="247"/>
  <c r="I656" i="247"/>
  <c r="G656" i="247"/>
  <c r="M655" i="247"/>
  <c r="K655" i="247"/>
  <c r="I655" i="247"/>
  <c r="G655" i="247"/>
  <c r="M654" i="247"/>
  <c r="K654" i="247"/>
  <c r="I654" i="247"/>
  <c r="G654" i="247"/>
  <c r="M653" i="247"/>
  <c r="K653" i="247"/>
  <c r="I653" i="247"/>
  <c r="G653" i="247"/>
  <c r="M652" i="247"/>
  <c r="K652" i="247"/>
  <c r="I652" i="247"/>
  <c r="G652" i="247"/>
  <c r="M651" i="247"/>
  <c r="K651" i="247"/>
  <c r="I651" i="247"/>
  <c r="G651" i="247"/>
  <c r="M650" i="247"/>
  <c r="K650" i="247"/>
  <c r="I650" i="247"/>
  <c r="G650" i="247"/>
  <c r="M649" i="247"/>
  <c r="K649" i="247"/>
  <c r="I649" i="247"/>
  <c r="G649" i="247"/>
  <c r="M648" i="247"/>
  <c r="K648" i="247"/>
  <c r="I648" i="247"/>
  <c r="G648" i="247"/>
  <c r="M647" i="247"/>
  <c r="K647" i="247"/>
  <c r="I647" i="247"/>
  <c r="G647" i="247"/>
  <c r="M646" i="247"/>
  <c r="K646" i="247"/>
  <c r="I646" i="247"/>
  <c r="G646" i="247"/>
  <c r="M645" i="247"/>
  <c r="K645" i="247"/>
  <c r="I645" i="247"/>
  <c r="G645" i="247"/>
  <c r="M644" i="247"/>
  <c r="K644" i="247"/>
  <c r="I644" i="247"/>
  <c r="G644" i="247"/>
  <c r="M643" i="247"/>
  <c r="K643" i="247"/>
  <c r="I643" i="247"/>
  <c r="G643" i="247"/>
  <c r="M642" i="247"/>
  <c r="K642" i="247"/>
  <c r="I642" i="247"/>
  <c r="G642" i="247"/>
  <c r="M641" i="247"/>
  <c r="K641" i="247"/>
  <c r="I641" i="247"/>
  <c r="G641" i="247"/>
  <c r="M640" i="247"/>
  <c r="K640" i="247"/>
  <c r="I640" i="247"/>
  <c r="G640" i="247"/>
  <c r="M639" i="247"/>
  <c r="K639" i="247"/>
  <c r="I639" i="247"/>
  <c r="G639" i="247"/>
  <c r="M638" i="247"/>
  <c r="K638" i="247"/>
  <c r="I638" i="247"/>
  <c r="G638" i="247"/>
  <c r="M637" i="247"/>
  <c r="K637" i="247"/>
  <c r="I637" i="247"/>
  <c r="G637" i="247"/>
  <c r="M636" i="247"/>
  <c r="K636" i="247"/>
  <c r="I636" i="247"/>
  <c r="G636" i="247"/>
  <c r="M635" i="247"/>
  <c r="K635" i="247"/>
  <c r="I635" i="247"/>
  <c r="G635" i="247"/>
  <c r="M634" i="247"/>
  <c r="K634" i="247"/>
  <c r="I634" i="247"/>
  <c r="G634" i="247"/>
  <c r="M633" i="247"/>
  <c r="K633" i="247"/>
  <c r="I633" i="247"/>
  <c r="G633" i="247"/>
  <c r="M632" i="247"/>
  <c r="K632" i="247"/>
  <c r="I632" i="247"/>
  <c r="G632" i="247"/>
  <c r="M631" i="247"/>
  <c r="K631" i="247"/>
  <c r="I631" i="247"/>
  <c r="G631" i="247"/>
  <c r="M630" i="247"/>
  <c r="K630" i="247"/>
  <c r="I630" i="247"/>
  <c r="G630" i="247"/>
  <c r="M629" i="247"/>
  <c r="K629" i="247"/>
  <c r="I629" i="247"/>
  <c r="G629" i="247"/>
  <c r="M628" i="247"/>
  <c r="K628" i="247"/>
  <c r="I628" i="247"/>
  <c r="G628" i="247"/>
  <c r="M627" i="247"/>
  <c r="K627" i="247"/>
  <c r="I627" i="247"/>
  <c r="G627" i="247"/>
  <c r="M626" i="247"/>
  <c r="K626" i="247"/>
  <c r="I626" i="247"/>
  <c r="G626" i="247"/>
  <c r="M625" i="247"/>
  <c r="K625" i="247"/>
  <c r="I625" i="247"/>
  <c r="G625" i="247"/>
  <c r="M624" i="247"/>
  <c r="K624" i="247"/>
  <c r="I624" i="247"/>
  <c r="G624" i="247"/>
  <c r="M623" i="247"/>
  <c r="K623" i="247"/>
  <c r="I623" i="247"/>
  <c r="G623" i="247"/>
  <c r="M622" i="247"/>
  <c r="K622" i="247"/>
  <c r="I622" i="247"/>
  <c r="G622" i="247"/>
  <c r="M621" i="247"/>
  <c r="K621" i="247"/>
  <c r="I621" i="247"/>
  <c r="G621" i="247"/>
  <c r="M620" i="247"/>
  <c r="K620" i="247"/>
  <c r="I620" i="247"/>
  <c r="G620" i="247"/>
  <c r="M619" i="247"/>
  <c r="K619" i="247"/>
  <c r="I619" i="247"/>
  <c r="G619" i="247"/>
  <c r="M618" i="247"/>
  <c r="K618" i="247"/>
  <c r="I618" i="247"/>
  <c r="G618" i="247"/>
  <c r="M617" i="247"/>
  <c r="K617" i="247"/>
  <c r="I617" i="247"/>
  <c r="G617" i="247"/>
  <c r="M616" i="247"/>
  <c r="K616" i="247"/>
  <c r="I616" i="247"/>
  <c r="G616" i="247"/>
  <c r="M615" i="247"/>
  <c r="K615" i="247"/>
  <c r="I615" i="247"/>
  <c r="G615" i="247"/>
  <c r="M614" i="247"/>
  <c r="K614" i="247"/>
  <c r="I614" i="247"/>
  <c r="G614" i="247"/>
  <c r="M613" i="247"/>
  <c r="K613" i="247"/>
  <c r="I613" i="247"/>
  <c r="G613" i="247"/>
  <c r="M612" i="247"/>
  <c r="K612" i="247"/>
  <c r="I612" i="247"/>
  <c r="G612" i="247"/>
  <c r="M611" i="247"/>
  <c r="K611" i="247"/>
  <c r="I611" i="247"/>
  <c r="G611" i="247"/>
  <c r="M610" i="247"/>
  <c r="K610" i="247"/>
  <c r="I610" i="247"/>
  <c r="G610" i="247"/>
  <c r="M609" i="247"/>
  <c r="K609" i="247"/>
  <c r="I609" i="247"/>
  <c r="G609" i="247"/>
  <c r="M608" i="247"/>
  <c r="K608" i="247"/>
  <c r="I608" i="247"/>
  <c r="G608" i="247"/>
  <c r="M607" i="247"/>
  <c r="K607" i="247"/>
  <c r="I607" i="247"/>
  <c r="G607" i="247"/>
  <c r="M606" i="247"/>
  <c r="K606" i="247"/>
  <c r="I606" i="247"/>
  <c r="G606" i="247"/>
  <c r="M605" i="247"/>
  <c r="K605" i="247"/>
  <c r="I605" i="247"/>
  <c r="G605" i="247"/>
  <c r="M604" i="247"/>
  <c r="K604" i="247"/>
  <c r="I604" i="247"/>
  <c r="G604" i="247"/>
  <c r="M603" i="247"/>
  <c r="K603" i="247"/>
  <c r="I603" i="247"/>
  <c r="G603" i="247"/>
  <c r="M602" i="247"/>
  <c r="K602" i="247"/>
  <c r="I602" i="247"/>
  <c r="G602" i="247"/>
  <c r="M601" i="247"/>
  <c r="K601" i="247"/>
  <c r="I601" i="247"/>
  <c r="G601" i="247"/>
  <c r="M600" i="247"/>
  <c r="K600" i="247"/>
  <c r="I600" i="247"/>
  <c r="G600" i="247"/>
  <c r="M599" i="247"/>
  <c r="K599" i="247"/>
  <c r="I599" i="247"/>
  <c r="G599" i="247"/>
  <c r="M598" i="247"/>
  <c r="K598" i="247"/>
  <c r="I598" i="247"/>
  <c r="G598" i="247"/>
  <c r="M597" i="247"/>
  <c r="K597" i="247"/>
  <c r="I597" i="247"/>
  <c r="G597" i="247"/>
  <c r="M596" i="247"/>
  <c r="K596" i="247"/>
  <c r="I596" i="247"/>
  <c r="G596" i="247"/>
  <c r="M595" i="247"/>
  <c r="K595" i="247"/>
  <c r="I595" i="247"/>
  <c r="G595" i="247"/>
  <c r="M594" i="247"/>
  <c r="K594" i="247"/>
  <c r="I594" i="247"/>
  <c r="G594" i="247"/>
  <c r="M593" i="247"/>
  <c r="K593" i="247"/>
  <c r="I593" i="247"/>
  <c r="G593" i="247"/>
  <c r="M592" i="247"/>
  <c r="K592" i="247"/>
  <c r="I592" i="247"/>
  <c r="G592" i="247"/>
  <c r="M591" i="247"/>
  <c r="K591" i="247"/>
  <c r="I591" i="247"/>
  <c r="G591" i="247"/>
  <c r="M590" i="247"/>
  <c r="K590" i="247"/>
  <c r="I590" i="247"/>
  <c r="G590" i="247"/>
  <c r="M589" i="247"/>
  <c r="K589" i="247"/>
  <c r="I589" i="247"/>
  <c r="G589" i="247"/>
  <c r="M588" i="247"/>
  <c r="K588" i="247"/>
  <c r="I588" i="247"/>
  <c r="G588" i="247"/>
  <c r="M587" i="247"/>
  <c r="K587" i="247"/>
  <c r="I587" i="247"/>
  <c r="G587" i="247"/>
  <c r="M586" i="247"/>
  <c r="K586" i="247"/>
  <c r="I586" i="247"/>
  <c r="G586" i="247"/>
  <c r="M585" i="247"/>
  <c r="K585" i="247"/>
  <c r="I585" i="247"/>
  <c r="G585" i="247"/>
  <c r="M584" i="247"/>
  <c r="K584" i="247"/>
  <c r="I584" i="247"/>
  <c r="G584" i="247"/>
  <c r="M583" i="247"/>
  <c r="K583" i="247"/>
  <c r="I583" i="247"/>
  <c r="G583" i="247"/>
  <c r="M582" i="247"/>
  <c r="K582" i="247"/>
  <c r="I582" i="247"/>
  <c r="G582" i="247"/>
  <c r="M581" i="247"/>
  <c r="K581" i="247"/>
  <c r="I581" i="247"/>
  <c r="G581" i="247"/>
  <c r="M580" i="247"/>
  <c r="K580" i="247"/>
  <c r="I580" i="247"/>
  <c r="G580" i="247"/>
  <c r="M579" i="247"/>
  <c r="K579" i="247"/>
  <c r="I579" i="247"/>
  <c r="G579" i="247"/>
  <c r="M578" i="247"/>
  <c r="K578" i="247"/>
  <c r="I578" i="247"/>
  <c r="G578" i="247"/>
  <c r="M577" i="247"/>
  <c r="K577" i="247"/>
  <c r="I577" i="247"/>
  <c r="G577" i="247"/>
  <c r="M576" i="247"/>
  <c r="K576" i="247"/>
  <c r="I576" i="247"/>
  <c r="G576" i="247"/>
  <c r="M575" i="247"/>
  <c r="K575" i="247"/>
  <c r="I575" i="247"/>
  <c r="G575" i="247"/>
  <c r="M574" i="247"/>
  <c r="K574" i="247"/>
  <c r="I574" i="247"/>
  <c r="G574" i="247"/>
  <c r="M573" i="247"/>
  <c r="K573" i="247"/>
  <c r="I573" i="247"/>
  <c r="G573" i="247"/>
  <c r="M572" i="247"/>
  <c r="K572" i="247"/>
  <c r="I572" i="247"/>
  <c r="G572" i="247"/>
  <c r="M571" i="247"/>
  <c r="K571" i="247"/>
  <c r="I571" i="247"/>
  <c r="G571" i="247"/>
  <c r="M570" i="247"/>
  <c r="K570" i="247"/>
  <c r="I570" i="247"/>
  <c r="G570" i="247"/>
  <c r="M569" i="247"/>
  <c r="K569" i="247"/>
  <c r="I569" i="247"/>
  <c r="G569" i="247"/>
  <c r="M568" i="247"/>
  <c r="K568" i="247"/>
  <c r="I568" i="247"/>
  <c r="G568" i="247"/>
  <c r="M567" i="247"/>
  <c r="K567" i="247"/>
  <c r="I567" i="247"/>
  <c r="G567" i="247"/>
  <c r="M566" i="247"/>
  <c r="K566" i="247"/>
  <c r="I566" i="247"/>
  <c r="G566" i="247"/>
  <c r="M565" i="247"/>
  <c r="K565" i="247"/>
  <c r="I565" i="247"/>
  <c r="G565" i="247"/>
  <c r="M564" i="247"/>
  <c r="K564" i="247"/>
  <c r="I564" i="247"/>
  <c r="G564" i="247"/>
  <c r="M563" i="247"/>
  <c r="K563" i="247"/>
  <c r="I563" i="247"/>
  <c r="G563" i="247"/>
  <c r="M562" i="247"/>
  <c r="K562" i="247"/>
  <c r="I562" i="247"/>
  <c r="G562" i="247"/>
  <c r="M561" i="247"/>
  <c r="K561" i="247"/>
  <c r="I561" i="247"/>
  <c r="G561" i="247"/>
  <c r="M560" i="247"/>
  <c r="K560" i="247"/>
  <c r="I560" i="247"/>
  <c r="G560" i="247"/>
  <c r="M559" i="247"/>
  <c r="K559" i="247"/>
  <c r="I559" i="247"/>
  <c r="G559" i="247"/>
  <c r="M558" i="247"/>
  <c r="K558" i="247"/>
  <c r="I558" i="247"/>
  <c r="G558" i="247"/>
  <c r="M557" i="247"/>
  <c r="K557" i="247"/>
  <c r="I557" i="247"/>
  <c r="G557" i="247"/>
  <c r="M556" i="247"/>
  <c r="K556" i="247"/>
  <c r="I556" i="247"/>
  <c r="G556" i="247"/>
  <c r="M555" i="247"/>
  <c r="K555" i="247"/>
  <c r="I555" i="247"/>
  <c r="G555" i="247"/>
  <c r="M554" i="247"/>
  <c r="K554" i="247"/>
  <c r="I554" i="247"/>
  <c r="G554" i="247"/>
  <c r="M553" i="247"/>
  <c r="K553" i="247"/>
  <c r="I553" i="247"/>
  <c r="G553" i="247"/>
  <c r="M552" i="247"/>
  <c r="K552" i="247"/>
  <c r="I552" i="247"/>
  <c r="G552" i="247"/>
  <c r="M551" i="247"/>
  <c r="K551" i="247"/>
  <c r="I551" i="247"/>
  <c r="G551" i="247"/>
  <c r="M550" i="247"/>
  <c r="K550" i="247"/>
  <c r="I550" i="247"/>
  <c r="G550" i="247"/>
  <c r="M549" i="247"/>
  <c r="K549" i="247"/>
  <c r="I549" i="247"/>
  <c r="G549" i="247"/>
  <c r="M548" i="247"/>
  <c r="K548" i="247"/>
  <c r="I548" i="247"/>
  <c r="G548" i="247"/>
  <c r="M547" i="247"/>
  <c r="K547" i="247"/>
  <c r="I547" i="247"/>
  <c r="G547" i="247"/>
  <c r="M546" i="247"/>
  <c r="K546" i="247"/>
  <c r="I546" i="247"/>
  <c r="G546" i="247"/>
  <c r="M545" i="247"/>
  <c r="K545" i="247"/>
  <c r="I545" i="247"/>
  <c r="G545" i="247"/>
  <c r="M544" i="247"/>
  <c r="K544" i="247"/>
  <c r="I544" i="247"/>
  <c r="G544" i="247"/>
  <c r="M543" i="247"/>
  <c r="K543" i="247"/>
  <c r="I543" i="247"/>
  <c r="G543" i="247"/>
  <c r="M542" i="247"/>
  <c r="K542" i="247"/>
  <c r="I542" i="247"/>
  <c r="G542" i="247"/>
  <c r="M541" i="247"/>
  <c r="K541" i="247"/>
  <c r="I541" i="247"/>
  <c r="G541" i="247"/>
  <c r="M540" i="247"/>
  <c r="K540" i="247"/>
  <c r="I540" i="247"/>
  <c r="G540" i="247"/>
  <c r="M539" i="247"/>
  <c r="K539" i="247"/>
  <c r="I539" i="247"/>
  <c r="G539" i="247"/>
  <c r="M538" i="247"/>
  <c r="K538" i="247"/>
  <c r="I538" i="247"/>
  <c r="G538" i="247"/>
  <c r="M537" i="247"/>
  <c r="K537" i="247"/>
  <c r="I537" i="247"/>
  <c r="G537" i="247"/>
  <c r="M536" i="247"/>
  <c r="K536" i="247"/>
  <c r="I536" i="247"/>
  <c r="G536" i="247"/>
  <c r="M535" i="247"/>
  <c r="K535" i="247"/>
  <c r="I535" i="247"/>
  <c r="G535" i="247"/>
  <c r="M534" i="247"/>
  <c r="K534" i="247"/>
  <c r="I534" i="247"/>
  <c r="G534" i="247"/>
  <c r="M533" i="247"/>
  <c r="K533" i="247"/>
  <c r="I533" i="247"/>
  <c r="G533" i="247"/>
  <c r="M532" i="247"/>
  <c r="K532" i="247"/>
  <c r="I532" i="247"/>
  <c r="G532" i="247"/>
  <c r="M531" i="247"/>
  <c r="K531" i="247"/>
  <c r="I531" i="247"/>
  <c r="G531" i="247"/>
  <c r="M530" i="247"/>
  <c r="K530" i="247"/>
  <c r="I530" i="247"/>
  <c r="G530" i="247"/>
  <c r="M529" i="247"/>
  <c r="K529" i="247"/>
  <c r="I529" i="247"/>
  <c r="G529" i="247"/>
  <c r="M528" i="247"/>
  <c r="K528" i="247"/>
  <c r="I528" i="247"/>
  <c r="G528" i="247"/>
  <c r="M527" i="247"/>
  <c r="K527" i="247"/>
  <c r="I527" i="247"/>
  <c r="G527" i="247"/>
  <c r="M526" i="247"/>
  <c r="K526" i="247"/>
  <c r="I526" i="247"/>
  <c r="G526" i="247"/>
  <c r="M525" i="247"/>
  <c r="K525" i="247"/>
  <c r="I525" i="247"/>
  <c r="G525" i="247"/>
  <c r="M524" i="247"/>
  <c r="K524" i="247"/>
  <c r="I524" i="247"/>
  <c r="G524" i="247"/>
  <c r="M523" i="247"/>
  <c r="K523" i="247"/>
  <c r="I523" i="247"/>
  <c r="G523" i="247"/>
  <c r="M522" i="247"/>
  <c r="K522" i="247"/>
  <c r="I522" i="247"/>
  <c r="G522" i="247"/>
  <c r="M521" i="247"/>
  <c r="K521" i="247"/>
  <c r="I521" i="247"/>
  <c r="G521" i="247"/>
  <c r="M520" i="247"/>
  <c r="K520" i="247"/>
  <c r="I520" i="247"/>
  <c r="G520" i="247"/>
  <c r="M519" i="247"/>
  <c r="K519" i="247"/>
  <c r="I519" i="247"/>
  <c r="G519" i="247"/>
  <c r="M518" i="247"/>
  <c r="K518" i="247"/>
  <c r="I518" i="247"/>
  <c r="G518" i="247"/>
  <c r="M517" i="247"/>
  <c r="K517" i="247"/>
  <c r="I517" i="247"/>
  <c r="G517" i="247"/>
  <c r="M516" i="247"/>
  <c r="K516" i="247"/>
  <c r="I516" i="247"/>
  <c r="G516" i="247"/>
  <c r="M515" i="247"/>
  <c r="K515" i="247"/>
  <c r="I515" i="247"/>
  <c r="G515" i="247"/>
  <c r="M514" i="247"/>
  <c r="K514" i="247"/>
  <c r="I514" i="247"/>
  <c r="G514" i="247"/>
  <c r="M513" i="247"/>
  <c r="K513" i="247"/>
  <c r="I513" i="247"/>
  <c r="G513" i="247"/>
  <c r="M512" i="247"/>
  <c r="K512" i="247"/>
  <c r="I512" i="247"/>
  <c r="G512" i="247"/>
  <c r="M511" i="247"/>
  <c r="K511" i="247"/>
  <c r="I511" i="247"/>
  <c r="G511" i="247"/>
  <c r="M510" i="247"/>
  <c r="K510" i="247"/>
  <c r="I510" i="247"/>
  <c r="G510" i="247"/>
  <c r="M509" i="247"/>
  <c r="K509" i="247"/>
  <c r="I509" i="247"/>
  <c r="G509" i="247"/>
  <c r="M508" i="247"/>
  <c r="K508" i="247"/>
  <c r="I508" i="247"/>
  <c r="G508" i="247"/>
  <c r="M507" i="247"/>
  <c r="K507" i="247"/>
  <c r="I507" i="247"/>
  <c r="G507" i="247"/>
  <c r="M506" i="247"/>
  <c r="K506" i="247"/>
  <c r="I506" i="247"/>
  <c r="G506" i="247"/>
  <c r="M505" i="247"/>
  <c r="K505" i="247"/>
  <c r="I505" i="247"/>
  <c r="G505" i="247"/>
  <c r="M504" i="247"/>
  <c r="K504" i="247"/>
  <c r="I504" i="247"/>
  <c r="G504" i="247"/>
  <c r="M503" i="247"/>
  <c r="K503" i="247"/>
  <c r="I503" i="247"/>
  <c r="G503" i="247"/>
  <c r="M502" i="247"/>
  <c r="K502" i="247"/>
  <c r="I502" i="247"/>
  <c r="G502" i="247"/>
  <c r="M501" i="247"/>
  <c r="K501" i="247"/>
  <c r="I501" i="247"/>
  <c r="G501" i="247"/>
  <c r="M500" i="247"/>
  <c r="K500" i="247"/>
  <c r="I500" i="247"/>
  <c r="G500" i="247"/>
  <c r="M499" i="247"/>
  <c r="K499" i="247"/>
  <c r="I499" i="247"/>
  <c r="G499" i="247"/>
  <c r="M498" i="247"/>
  <c r="K498" i="247"/>
  <c r="I498" i="247"/>
  <c r="G498" i="247"/>
  <c r="M497" i="247"/>
  <c r="K497" i="247"/>
  <c r="I497" i="247"/>
  <c r="G497" i="247"/>
  <c r="M496" i="247"/>
  <c r="K496" i="247"/>
  <c r="I496" i="247"/>
  <c r="G496" i="247"/>
  <c r="M495" i="247"/>
  <c r="K495" i="247"/>
  <c r="I495" i="247"/>
  <c r="G495" i="247"/>
  <c r="M494" i="247"/>
  <c r="K494" i="247"/>
  <c r="I494" i="247"/>
  <c r="G494" i="247"/>
  <c r="M493" i="247"/>
  <c r="K493" i="247"/>
  <c r="I493" i="247"/>
  <c r="G493" i="247"/>
  <c r="M492" i="247"/>
  <c r="K492" i="247"/>
  <c r="I492" i="247"/>
  <c r="G492" i="247"/>
  <c r="M491" i="247"/>
  <c r="K491" i="247"/>
  <c r="I491" i="247"/>
  <c r="G491" i="247"/>
  <c r="M490" i="247"/>
  <c r="K490" i="247"/>
  <c r="I490" i="247"/>
  <c r="G490" i="247"/>
  <c r="M489" i="247"/>
  <c r="K489" i="247"/>
  <c r="I489" i="247"/>
  <c r="G489" i="247"/>
  <c r="M488" i="247"/>
  <c r="K488" i="247"/>
  <c r="I488" i="247"/>
  <c r="G488" i="247"/>
  <c r="M487" i="247"/>
  <c r="K487" i="247"/>
  <c r="I487" i="247"/>
  <c r="G487" i="247"/>
  <c r="M486" i="247"/>
  <c r="K486" i="247"/>
  <c r="I486" i="247"/>
  <c r="G486" i="247"/>
  <c r="M485" i="247"/>
  <c r="K485" i="247"/>
  <c r="I485" i="247"/>
  <c r="G485" i="247"/>
  <c r="M484" i="247"/>
  <c r="K484" i="247"/>
  <c r="I484" i="247"/>
  <c r="G484" i="247"/>
  <c r="M483" i="247"/>
  <c r="K483" i="247"/>
  <c r="I483" i="247"/>
  <c r="G483" i="247"/>
  <c r="M482" i="247"/>
  <c r="K482" i="247"/>
  <c r="I482" i="247"/>
  <c r="G482" i="247"/>
  <c r="M481" i="247"/>
  <c r="K481" i="247"/>
  <c r="I481" i="247"/>
  <c r="G481" i="247"/>
  <c r="M480" i="247"/>
  <c r="K480" i="247"/>
  <c r="I480" i="247"/>
  <c r="G480" i="247"/>
  <c r="M479" i="247"/>
  <c r="K479" i="247"/>
  <c r="I479" i="247"/>
  <c r="G479" i="247"/>
  <c r="M478" i="247"/>
  <c r="K478" i="247"/>
  <c r="I478" i="247"/>
  <c r="G478" i="247"/>
  <c r="M477" i="247"/>
  <c r="K477" i="247"/>
  <c r="I477" i="247"/>
  <c r="G477" i="247"/>
  <c r="M476" i="247"/>
  <c r="K476" i="247"/>
  <c r="I476" i="247"/>
  <c r="G476" i="247"/>
  <c r="M475" i="247"/>
  <c r="K475" i="247"/>
  <c r="I475" i="247"/>
  <c r="G475" i="247"/>
  <c r="M474" i="247"/>
  <c r="K474" i="247"/>
  <c r="I474" i="247"/>
  <c r="G474" i="247"/>
  <c r="M473" i="247"/>
  <c r="K473" i="247"/>
  <c r="I473" i="247"/>
  <c r="G473" i="247"/>
  <c r="M472" i="247"/>
  <c r="K472" i="247"/>
  <c r="I472" i="247"/>
  <c r="G472" i="247"/>
  <c r="M471" i="247"/>
  <c r="K471" i="247"/>
  <c r="I471" i="247"/>
  <c r="G471" i="247"/>
  <c r="M470" i="247"/>
  <c r="K470" i="247"/>
  <c r="I470" i="247"/>
  <c r="G470" i="247"/>
  <c r="M469" i="247"/>
  <c r="K469" i="247"/>
  <c r="I469" i="247"/>
  <c r="G469" i="247"/>
  <c r="M468" i="247"/>
  <c r="K468" i="247"/>
  <c r="I468" i="247"/>
  <c r="G468" i="247"/>
  <c r="M467" i="247"/>
  <c r="K467" i="247"/>
  <c r="I467" i="247"/>
  <c r="G467" i="247"/>
  <c r="M466" i="247"/>
  <c r="K466" i="247"/>
  <c r="I466" i="247"/>
  <c r="G466" i="247"/>
  <c r="M465" i="247"/>
  <c r="K465" i="247"/>
  <c r="I465" i="247"/>
  <c r="G465" i="247"/>
  <c r="M464" i="247"/>
  <c r="K464" i="247"/>
  <c r="I464" i="247"/>
  <c r="G464" i="247"/>
  <c r="M463" i="247"/>
  <c r="K463" i="247"/>
  <c r="I463" i="247"/>
  <c r="G463" i="247"/>
  <c r="M462" i="247"/>
  <c r="K462" i="247"/>
  <c r="I462" i="247"/>
  <c r="G462" i="247"/>
  <c r="M461" i="247"/>
  <c r="K461" i="247"/>
  <c r="I461" i="247"/>
  <c r="G461" i="247"/>
  <c r="M460" i="247"/>
  <c r="K460" i="247"/>
  <c r="I460" i="247"/>
  <c r="G460" i="247"/>
  <c r="M459" i="247"/>
  <c r="K459" i="247"/>
  <c r="I459" i="247"/>
  <c r="G459" i="247"/>
  <c r="M458" i="247"/>
  <c r="K458" i="247"/>
  <c r="I458" i="247"/>
  <c r="G458" i="247"/>
  <c r="M457" i="247"/>
  <c r="K457" i="247"/>
  <c r="I457" i="247"/>
  <c r="G457" i="247"/>
  <c r="M456" i="247"/>
  <c r="K456" i="247"/>
  <c r="I456" i="247"/>
  <c r="G456" i="247"/>
  <c r="M455" i="247"/>
  <c r="K455" i="247"/>
  <c r="I455" i="247"/>
  <c r="G455" i="247"/>
  <c r="M454" i="247"/>
  <c r="K454" i="247"/>
  <c r="I454" i="247"/>
  <c r="G454" i="247"/>
  <c r="M453" i="247"/>
  <c r="K453" i="247"/>
  <c r="I453" i="247"/>
  <c r="G453" i="247"/>
  <c r="M452" i="247"/>
  <c r="K452" i="247"/>
  <c r="I452" i="247"/>
  <c r="G452" i="247"/>
  <c r="M451" i="247"/>
  <c r="K451" i="247"/>
  <c r="I451" i="247"/>
  <c r="G451" i="247"/>
  <c r="M450" i="247"/>
  <c r="K450" i="247"/>
  <c r="I450" i="247"/>
  <c r="G450" i="247"/>
  <c r="M449" i="247"/>
  <c r="K449" i="247"/>
  <c r="I449" i="247"/>
  <c r="G449" i="247"/>
  <c r="M448" i="247"/>
  <c r="K448" i="247"/>
  <c r="I448" i="247"/>
  <c r="G448" i="247"/>
  <c r="M447" i="247"/>
  <c r="K447" i="247"/>
  <c r="I447" i="247"/>
  <c r="G447" i="247"/>
  <c r="M446" i="247"/>
  <c r="K446" i="247"/>
  <c r="I446" i="247"/>
  <c r="G446" i="247"/>
  <c r="M445" i="247"/>
  <c r="K445" i="247"/>
  <c r="I445" i="247"/>
  <c r="G445" i="247"/>
  <c r="M444" i="247"/>
  <c r="K444" i="247"/>
  <c r="I444" i="247"/>
  <c r="G444" i="247"/>
  <c r="M443" i="247"/>
  <c r="K443" i="247"/>
  <c r="I443" i="247"/>
  <c r="G443" i="247"/>
  <c r="M442" i="247"/>
  <c r="K442" i="247"/>
  <c r="I442" i="247"/>
  <c r="G442" i="247"/>
  <c r="M441" i="247"/>
  <c r="K441" i="247"/>
  <c r="I441" i="247"/>
  <c r="G441" i="247"/>
  <c r="M440" i="247"/>
  <c r="K440" i="247"/>
  <c r="I440" i="247"/>
  <c r="G440" i="247"/>
  <c r="M439" i="247"/>
  <c r="K439" i="247"/>
  <c r="I439" i="247"/>
  <c r="G439" i="247"/>
  <c r="M438" i="247"/>
  <c r="K438" i="247"/>
  <c r="I438" i="247"/>
  <c r="G438" i="247"/>
  <c r="M437" i="247"/>
  <c r="K437" i="247"/>
  <c r="I437" i="247"/>
  <c r="G437" i="247"/>
  <c r="M436" i="247"/>
  <c r="K436" i="247"/>
  <c r="I436" i="247"/>
  <c r="G436" i="247"/>
  <c r="M435" i="247"/>
  <c r="K435" i="247"/>
  <c r="I435" i="247"/>
  <c r="G435" i="247"/>
  <c r="M434" i="247"/>
  <c r="K434" i="247"/>
  <c r="I434" i="247"/>
  <c r="G434" i="247"/>
  <c r="M433" i="247"/>
  <c r="K433" i="247"/>
  <c r="I433" i="247"/>
  <c r="G433" i="247"/>
  <c r="M432" i="247"/>
  <c r="K432" i="247"/>
  <c r="I432" i="247"/>
  <c r="G432" i="247"/>
  <c r="M431" i="247"/>
  <c r="K431" i="247"/>
  <c r="I431" i="247"/>
  <c r="G431" i="247"/>
  <c r="M430" i="247"/>
  <c r="K430" i="247"/>
  <c r="I430" i="247"/>
  <c r="G430" i="247"/>
  <c r="M429" i="247"/>
  <c r="K429" i="247"/>
  <c r="I429" i="247"/>
  <c r="G429" i="247"/>
  <c r="M428" i="247"/>
  <c r="K428" i="247"/>
  <c r="I428" i="247"/>
  <c r="G428" i="247"/>
  <c r="M427" i="247"/>
  <c r="K427" i="247"/>
  <c r="I427" i="247"/>
  <c r="G427" i="247"/>
  <c r="M426" i="247"/>
  <c r="K426" i="247"/>
  <c r="I426" i="247"/>
  <c r="G426" i="247"/>
  <c r="M425" i="247"/>
  <c r="K425" i="247"/>
  <c r="I425" i="247"/>
  <c r="G425" i="247"/>
  <c r="M424" i="247"/>
  <c r="K424" i="247"/>
  <c r="I424" i="247"/>
  <c r="G424" i="247"/>
  <c r="M423" i="247"/>
  <c r="K423" i="247"/>
  <c r="I423" i="247"/>
  <c r="G423" i="247"/>
  <c r="M422" i="247"/>
  <c r="K422" i="247"/>
  <c r="I422" i="247"/>
  <c r="G422" i="247"/>
  <c r="M421" i="247"/>
  <c r="K421" i="247"/>
  <c r="I421" i="247"/>
  <c r="G421" i="247"/>
  <c r="M420" i="247"/>
  <c r="K420" i="247"/>
  <c r="I420" i="247"/>
  <c r="G420" i="247"/>
  <c r="M419" i="247"/>
  <c r="K419" i="247"/>
  <c r="I419" i="247"/>
  <c r="G419" i="247"/>
  <c r="M418" i="247"/>
  <c r="K418" i="247"/>
  <c r="I418" i="247"/>
  <c r="G418" i="247"/>
  <c r="M417" i="247"/>
  <c r="K417" i="247"/>
  <c r="I417" i="247"/>
  <c r="G417" i="247"/>
  <c r="M416" i="247"/>
  <c r="K416" i="247"/>
  <c r="I416" i="247"/>
  <c r="G416" i="247"/>
  <c r="M415" i="247"/>
  <c r="K415" i="247"/>
  <c r="I415" i="247"/>
  <c r="G415" i="247"/>
  <c r="M414" i="247"/>
  <c r="K414" i="247"/>
  <c r="I414" i="247"/>
  <c r="G414" i="247"/>
  <c r="M413" i="247"/>
  <c r="K413" i="247"/>
  <c r="I413" i="247"/>
  <c r="G413" i="247"/>
  <c r="M412" i="247"/>
  <c r="K412" i="247"/>
  <c r="I412" i="247"/>
  <c r="G412" i="247"/>
  <c r="M411" i="247"/>
  <c r="K411" i="247"/>
  <c r="I411" i="247"/>
  <c r="G411" i="247"/>
  <c r="M410" i="247"/>
  <c r="K410" i="247"/>
  <c r="I410" i="247"/>
  <c r="G410" i="247"/>
  <c r="M409" i="247"/>
  <c r="K409" i="247"/>
  <c r="I409" i="247"/>
  <c r="G409" i="247"/>
  <c r="M408" i="247"/>
  <c r="K408" i="247"/>
  <c r="I408" i="247"/>
  <c r="G408" i="247"/>
  <c r="M407" i="247"/>
  <c r="K407" i="247"/>
  <c r="I407" i="247"/>
  <c r="G407" i="247"/>
  <c r="M406" i="247"/>
  <c r="K406" i="247"/>
  <c r="I406" i="247"/>
  <c r="G406" i="247"/>
  <c r="M405" i="247"/>
  <c r="K405" i="247"/>
  <c r="I405" i="247"/>
  <c r="G405" i="247"/>
  <c r="M404" i="247"/>
  <c r="K404" i="247"/>
  <c r="I404" i="247"/>
  <c r="G404" i="247"/>
  <c r="M403" i="247"/>
  <c r="K403" i="247"/>
  <c r="I403" i="247"/>
  <c r="G403" i="247"/>
  <c r="M402" i="247"/>
  <c r="K402" i="247"/>
  <c r="I402" i="247"/>
  <c r="G402" i="247"/>
  <c r="M401" i="247"/>
  <c r="K401" i="247"/>
  <c r="I401" i="247"/>
  <c r="G401" i="247"/>
  <c r="M400" i="247"/>
  <c r="K400" i="247"/>
  <c r="I400" i="247"/>
  <c r="G400" i="247"/>
  <c r="M399" i="247"/>
  <c r="K399" i="247"/>
  <c r="I399" i="247"/>
  <c r="G399" i="247"/>
  <c r="M398" i="247"/>
  <c r="K398" i="247"/>
  <c r="I398" i="247"/>
  <c r="G398" i="247"/>
  <c r="M397" i="247"/>
  <c r="K397" i="247"/>
  <c r="I397" i="247"/>
  <c r="G397" i="247"/>
  <c r="M396" i="247"/>
  <c r="K396" i="247"/>
  <c r="I396" i="247"/>
  <c r="G396" i="247"/>
  <c r="M395" i="247"/>
  <c r="K395" i="247"/>
  <c r="I395" i="247"/>
  <c r="G395" i="247"/>
  <c r="M394" i="247"/>
  <c r="K394" i="247"/>
  <c r="I394" i="247"/>
  <c r="G394" i="247"/>
  <c r="M393" i="247"/>
  <c r="K393" i="247"/>
  <c r="I393" i="247"/>
  <c r="G393" i="247"/>
  <c r="M392" i="247"/>
  <c r="K392" i="247"/>
  <c r="I392" i="247"/>
  <c r="G392" i="247"/>
  <c r="M391" i="247"/>
  <c r="K391" i="247"/>
  <c r="I391" i="247"/>
  <c r="G391" i="247"/>
  <c r="M390" i="247"/>
  <c r="K390" i="247"/>
  <c r="I390" i="247"/>
  <c r="G390" i="247"/>
  <c r="M389" i="247"/>
  <c r="K389" i="247"/>
  <c r="I389" i="247"/>
  <c r="G389" i="247"/>
  <c r="M388" i="247"/>
  <c r="K388" i="247"/>
  <c r="I388" i="247"/>
  <c r="G388" i="247"/>
  <c r="M387" i="247"/>
  <c r="K387" i="247"/>
  <c r="I387" i="247"/>
  <c r="G387" i="247"/>
  <c r="M386" i="247"/>
  <c r="K386" i="247"/>
  <c r="I386" i="247"/>
  <c r="G386" i="247"/>
  <c r="M385" i="247"/>
  <c r="K385" i="247"/>
  <c r="I385" i="247"/>
  <c r="G385" i="247"/>
  <c r="M384" i="247"/>
  <c r="K384" i="247"/>
  <c r="I384" i="247"/>
  <c r="G384" i="247"/>
  <c r="M383" i="247"/>
  <c r="K383" i="247"/>
  <c r="I383" i="247"/>
  <c r="G383" i="247"/>
  <c r="M382" i="247"/>
  <c r="K382" i="247"/>
  <c r="I382" i="247"/>
  <c r="G382" i="247"/>
  <c r="M381" i="247"/>
  <c r="K381" i="247"/>
  <c r="I381" i="247"/>
  <c r="G381" i="247"/>
  <c r="M380" i="247"/>
  <c r="K380" i="247"/>
  <c r="I380" i="247"/>
  <c r="G380" i="247"/>
  <c r="M379" i="247"/>
  <c r="K379" i="247"/>
  <c r="I379" i="247"/>
  <c r="G379" i="247"/>
  <c r="M378" i="247"/>
  <c r="K378" i="247"/>
  <c r="I378" i="247"/>
  <c r="G378" i="247"/>
  <c r="M377" i="247"/>
  <c r="K377" i="247"/>
  <c r="I377" i="247"/>
  <c r="G377" i="247"/>
  <c r="M376" i="247"/>
  <c r="K376" i="247"/>
  <c r="I376" i="247"/>
  <c r="G376" i="247"/>
  <c r="M375" i="247"/>
  <c r="K375" i="247"/>
  <c r="I375" i="247"/>
  <c r="G375" i="247"/>
  <c r="M374" i="247"/>
  <c r="K374" i="247"/>
  <c r="I374" i="247"/>
  <c r="G374" i="247"/>
  <c r="M373" i="247"/>
  <c r="K373" i="247"/>
  <c r="I373" i="247"/>
  <c r="G373" i="247"/>
  <c r="M372" i="247"/>
  <c r="K372" i="247"/>
  <c r="I372" i="247"/>
  <c r="G372" i="247"/>
  <c r="M371" i="247"/>
  <c r="K371" i="247"/>
  <c r="I371" i="247"/>
  <c r="G371" i="247"/>
  <c r="M370" i="247"/>
  <c r="K370" i="247"/>
  <c r="I370" i="247"/>
  <c r="G370" i="247"/>
  <c r="M369" i="247"/>
  <c r="K369" i="247"/>
  <c r="I369" i="247"/>
  <c r="G369" i="247"/>
  <c r="M368" i="247"/>
  <c r="K368" i="247"/>
  <c r="I368" i="247"/>
  <c r="G368" i="247"/>
  <c r="M367" i="247"/>
  <c r="K367" i="247"/>
  <c r="I367" i="247"/>
  <c r="G367" i="247"/>
  <c r="M366" i="247"/>
  <c r="K366" i="247"/>
  <c r="I366" i="247"/>
  <c r="G366" i="247"/>
  <c r="M365" i="247"/>
  <c r="K365" i="247"/>
  <c r="I365" i="247"/>
  <c r="G365" i="247"/>
  <c r="M364" i="247"/>
  <c r="K364" i="247"/>
  <c r="I364" i="247"/>
  <c r="G364" i="247"/>
  <c r="M363" i="247"/>
  <c r="K363" i="247"/>
  <c r="I363" i="247"/>
  <c r="G363" i="247"/>
  <c r="M362" i="247"/>
  <c r="K362" i="247"/>
  <c r="I362" i="247"/>
  <c r="G362" i="247"/>
  <c r="M361" i="247"/>
  <c r="K361" i="247"/>
  <c r="I361" i="247"/>
  <c r="G361" i="247"/>
  <c r="M360" i="247"/>
  <c r="K360" i="247"/>
  <c r="I360" i="247"/>
  <c r="G360" i="247"/>
  <c r="M359" i="247"/>
  <c r="K359" i="247"/>
  <c r="I359" i="247"/>
  <c r="G359" i="247"/>
  <c r="M358" i="247"/>
  <c r="K358" i="247"/>
  <c r="I358" i="247"/>
  <c r="G358" i="247"/>
  <c r="M357" i="247"/>
  <c r="K357" i="247"/>
  <c r="I357" i="247"/>
  <c r="G357" i="247"/>
  <c r="M356" i="247"/>
  <c r="K356" i="247"/>
  <c r="I356" i="247"/>
  <c r="G356" i="247"/>
  <c r="M355" i="247"/>
  <c r="K355" i="247"/>
  <c r="I355" i="247"/>
  <c r="G355" i="247"/>
  <c r="M354" i="247"/>
  <c r="K354" i="247"/>
  <c r="I354" i="247"/>
  <c r="G354" i="247"/>
  <c r="M353" i="247"/>
  <c r="K353" i="247"/>
  <c r="I353" i="247"/>
  <c r="G353" i="247"/>
  <c r="M352" i="247"/>
  <c r="K352" i="247"/>
  <c r="I352" i="247"/>
  <c r="G352" i="247"/>
  <c r="M351" i="247"/>
  <c r="K351" i="247"/>
  <c r="I351" i="247"/>
  <c r="G351" i="247"/>
  <c r="M350" i="247"/>
  <c r="K350" i="247"/>
  <c r="I350" i="247"/>
  <c r="G350" i="247"/>
  <c r="M349" i="247"/>
  <c r="K349" i="247"/>
  <c r="I349" i="247"/>
  <c r="G349" i="247"/>
  <c r="M348" i="247"/>
  <c r="K348" i="247"/>
  <c r="I348" i="247"/>
  <c r="G348" i="247"/>
  <c r="M347" i="247"/>
  <c r="K347" i="247"/>
  <c r="I347" i="247"/>
  <c r="G347" i="247"/>
  <c r="M346" i="247"/>
  <c r="K346" i="247"/>
  <c r="I346" i="247"/>
  <c r="G346" i="247"/>
  <c r="M345" i="247"/>
  <c r="K345" i="247"/>
  <c r="I345" i="247"/>
  <c r="G345" i="247"/>
  <c r="M344" i="247"/>
  <c r="K344" i="247"/>
  <c r="I344" i="247"/>
  <c r="G344" i="247"/>
  <c r="M343" i="247"/>
  <c r="K343" i="247"/>
  <c r="I343" i="247"/>
  <c r="G343" i="247"/>
  <c r="M342" i="247"/>
  <c r="K342" i="247"/>
  <c r="I342" i="247"/>
  <c r="G342" i="247"/>
  <c r="M341" i="247"/>
  <c r="K341" i="247"/>
  <c r="I341" i="247"/>
  <c r="G341" i="247"/>
  <c r="M340" i="247"/>
  <c r="K340" i="247"/>
  <c r="I340" i="247"/>
  <c r="G340" i="247"/>
  <c r="M339" i="247"/>
  <c r="K339" i="247"/>
  <c r="I339" i="247"/>
  <c r="G339" i="247"/>
  <c r="M338" i="247"/>
  <c r="K338" i="247"/>
  <c r="I338" i="247"/>
  <c r="G338" i="247"/>
  <c r="M337" i="247"/>
  <c r="K337" i="247"/>
  <c r="I337" i="247"/>
  <c r="G337" i="247"/>
  <c r="M336" i="247"/>
  <c r="K336" i="247"/>
  <c r="I336" i="247"/>
  <c r="G336" i="247"/>
  <c r="M335" i="247"/>
  <c r="K335" i="247"/>
  <c r="I335" i="247"/>
  <c r="G335" i="247"/>
  <c r="M334" i="247"/>
  <c r="K334" i="247"/>
  <c r="I334" i="247"/>
  <c r="G334" i="247"/>
  <c r="M333" i="247"/>
  <c r="K333" i="247"/>
  <c r="I333" i="247"/>
  <c r="G333" i="247"/>
  <c r="M332" i="247"/>
  <c r="K332" i="247"/>
  <c r="I332" i="247"/>
  <c r="G332" i="247"/>
  <c r="M331" i="247"/>
  <c r="K331" i="247"/>
  <c r="I331" i="247"/>
  <c r="G331" i="247"/>
  <c r="M330" i="247"/>
  <c r="K330" i="247"/>
  <c r="I330" i="247"/>
  <c r="G330" i="247"/>
  <c r="M329" i="247"/>
  <c r="K329" i="247"/>
  <c r="I329" i="247"/>
  <c r="G329" i="247"/>
  <c r="M328" i="247"/>
  <c r="K328" i="247"/>
  <c r="I328" i="247"/>
  <c r="G328" i="247"/>
  <c r="M327" i="247"/>
  <c r="K327" i="247"/>
  <c r="I327" i="247"/>
  <c r="G327" i="247"/>
  <c r="M326" i="247"/>
  <c r="K326" i="247"/>
  <c r="I326" i="247"/>
  <c r="G326" i="247"/>
  <c r="M325" i="247"/>
  <c r="K325" i="247"/>
  <c r="I325" i="247"/>
  <c r="G325" i="247"/>
  <c r="M324" i="247"/>
  <c r="K324" i="247"/>
  <c r="I324" i="247"/>
  <c r="G324" i="247"/>
  <c r="M323" i="247"/>
  <c r="K323" i="247"/>
  <c r="I323" i="247"/>
  <c r="G323" i="247"/>
  <c r="M322" i="247"/>
  <c r="K322" i="247"/>
  <c r="I322" i="247"/>
  <c r="G322" i="247"/>
  <c r="M321" i="247"/>
  <c r="K321" i="247"/>
  <c r="I321" i="247"/>
  <c r="G321" i="247"/>
  <c r="M320" i="247"/>
  <c r="K320" i="247"/>
  <c r="I320" i="247"/>
  <c r="G320" i="247"/>
  <c r="M319" i="247"/>
  <c r="K319" i="247"/>
  <c r="I319" i="247"/>
  <c r="G319" i="247"/>
  <c r="M318" i="247"/>
  <c r="K318" i="247"/>
  <c r="I318" i="247"/>
  <c r="G318" i="247"/>
  <c r="M317" i="247"/>
  <c r="K317" i="247"/>
  <c r="I317" i="247"/>
  <c r="G317" i="247"/>
  <c r="M316" i="247"/>
  <c r="K316" i="247"/>
  <c r="I316" i="247"/>
  <c r="G316" i="247"/>
  <c r="M315" i="247"/>
  <c r="K315" i="247"/>
  <c r="I315" i="247"/>
  <c r="G315" i="247"/>
  <c r="M314" i="247"/>
  <c r="K314" i="247"/>
  <c r="I314" i="247"/>
  <c r="G314" i="247"/>
  <c r="M313" i="247"/>
  <c r="K313" i="247"/>
  <c r="I313" i="247"/>
  <c r="G313" i="247"/>
  <c r="M312" i="247"/>
  <c r="K312" i="247"/>
  <c r="I312" i="247"/>
  <c r="G312" i="247"/>
  <c r="M311" i="247"/>
  <c r="K311" i="247"/>
  <c r="I311" i="247"/>
  <c r="G311" i="247"/>
  <c r="M310" i="247"/>
  <c r="K310" i="247"/>
  <c r="I310" i="247"/>
  <c r="G310" i="247"/>
  <c r="M309" i="247"/>
  <c r="K309" i="247"/>
  <c r="I309" i="247"/>
  <c r="G309" i="247"/>
  <c r="M308" i="247"/>
  <c r="K308" i="247"/>
  <c r="I308" i="247"/>
  <c r="G308" i="247"/>
  <c r="M307" i="247"/>
  <c r="K307" i="247"/>
  <c r="I307" i="247"/>
  <c r="G307" i="247"/>
  <c r="M306" i="247"/>
  <c r="K306" i="247"/>
  <c r="I306" i="247"/>
  <c r="G306" i="247"/>
  <c r="M305" i="247"/>
  <c r="K305" i="247"/>
  <c r="I305" i="247"/>
  <c r="G305" i="247"/>
  <c r="M304" i="247"/>
  <c r="K304" i="247"/>
  <c r="I304" i="247"/>
  <c r="G304" i="247"/>
  <c r="M303" i="247"/>
  <c r="K303" i="247"/>
  <c r="I303" i="247"/>
  <c r="G303" i="247"/>
  <c r="M302" i="247"/>
  <c r="K302" i="247"/>
  <c r="I302" i="247"/>
  <c r="G302" i="247"/>
  <c r="M301" i="247"/>
  <c r="K301" i="247"/>
  <c r="I301" i="247"/>
  <c r="G301" i="247"/>
  <c r="M300" i="247"/>
  <c r="K300" i="247"/>
  <c r="I300" i="247"/>
  <c r="G300" i="247"/>
  <c r="M299" i="247"/>
  <c r="K299" i="247"/>
  <c r="I299" i="247"/>
  <c r="G299" i="247"/>
  <c r="M298" i="247"/>
  <c r="K298" i="247"/>
  <c r="I298" i="247"/>
  <c r="G298" i="247"/>
  <c r="M297" i="247"/>
  <c r="K297" i="247"/>
  <c r="I297" i="247"/>
  <c r="G297" i="247"/>
  <c r="M296" i="247"/>
  <c r="K296" i="247"/>
  <c r="I296" i="247"/>
  <c r="G296" i="247"/>
  <c r="M295" i="247"/>
  <c r="K295" i="247"/>
  <c r="I295" i="247"/>
  <c r="G295" i="247"/>
  <c r="M294" i="247"/>
  <c r="K294" i="247"/>
  <c r="I294" i="247"/>
  <c r="G294" i="247"/>
  <c r="M293" i="247"/>
  <c r="K293" i="247"/>
  <c r="I293" i="247"/>
  <c r="G293" i="247"/>
  <c r="M292" i="247"/>
  <c r="K292" i="247"/>
  <c r="I292" i="247"/>
  <c r="G292" i="247"/>
  <c r="M291" i="247"/>
  <c r="K291" i="247"/>
  <c r="I291" i="247"/>
  <c r="G291" i="247"/>
  <c r="M290" i="247"/>
  <c r="K290" i="247"/>
  <c r="I290" i="247"/>
  <c r="G290" i="247"/>
  <c r="M289" i="247"/>
  <c r="K289" i="247"/>
  <c r="I289" i="247"/>
  <c r="G289" i="247"/>
  <c r="M288" i="247"/>
  <c r="K288" i="247"/>
  <c r="I288" i="247"/>
  <c r="G288" i="247"/>
  <c r="M287" i="247"/>
  <c r="K287" i="247"/>
  <c r="I287" i="247"/>
  <c r="G287" i="247"/>
  <c r="M286" i="247"/>
  <c r="K286" i="247"/>
  <c r="I286" i="247"/>
  <c r="G286" i="247"/>
  <c r="M285" i="247"/>
  <c r="K285" i="247"/>
  <c r="I285" i="247"/>
  <c r="G285" i="247"/>
  <c r="M284" i="247"/>
  <c r="K284" i="247"/>
  <c r="I284" i="247"/>
  <c r="G284" i="247"/>
  <c r="M283" i="247"/>
  <c r="K283" i="247"/>
  <c r="I283" i="247"/>
  <c r="G283" i="247"/>
  <c r="M282" i="247"/>
  <c r="K282" i="247"/>
  <c r="I282" i="247"/>
  <c r="G282" i="247"/>
  <c r="M281" i="247"/>
  <c r="K281" i="247"/>
  <c r="I281" i="247"/>
  <c r="G281" i="247"/>
  <c r="M280" i="247"/>
  <c r="K280" i="247"/>
  <c r="I280" i="247"/>
  <c r="G280" i="247"/>
  <c r="M279" i="247"/>
  <c r="K279" i="247"/>
  <c r="I279" i="247"/>
  <c r="G279" i="247"/>
  <c r="M278" i="247"/>
  <c r="K278" i="247"/>
  <c r="I278" i="247"/>
  <c r="G278" i="247"/>
  <c r="M277" i="247"/>
  <c r="K277" i="247"/>
  <c r="I277" i="247"/>
  <c r="G277" i="247"/>
  <c r="M276" i="247"/>
  <c r="K276" i="247"/>
  <c r="I276" i="247"/>
  <c r="G276" i="247"/>
  <c r="M275" i="247"/>
  <c r="K275" i="247"/>
  <c r="I275" i="247"/>
  <c r="G275" i="247"/>
  <c r="M274" i="247"/>
  <c r="K274" i="247"/>
  <c r="I274" i="247"/>
  <c r="G274" i="247"/>
  <c r="M273" i="247"/>
  <c r="K273" i="247"/>
  <c r="I273" i="247"/>
  <c r="G273" i="247"/>
  <c r="M272" i="247"/>
  <c r="K272" i="247"/>
  <c r="I272" i="247"/>
  <c r="G272" i="247"/>
  <c r="M271" i="247"/>
  <c r="K271" i="247"/>
  <c r="I271" i="247"/>
  <c r="G271" i="247"/>
  <c r="M270" i="247"/>
  <c r="K270" i="247"/>
  <c r="I270" i="247"/>
  <c r="G270" i="247"/>
  <c r="M269" i="247"/>
  <c r="K269" i="247"/>
  <c r="I269" i="247"/>
  <c r="G269" i="247"/>
  <c r="M268" i="247"/>
  <c r="K268" i="247"/>
  <c r="I268" i="247"/>
  <c r="G268" i="247"/>
  <c r="M267" i="247"/>
  <c r="K267" i="247"/>
  <c r="I267" i="247"/>
  <c r="G267" i="247"/>
  <c r="M266" i="247"/>
  <c r="K266" i="247"/>
  <c r="I266" i="247"/>
  <c r="G266" i="247"/>
  <c r="M265" i="247"/>
  <c r="K265" i="247"/>
  <c r="I265" i="247"/>
  <c r="G265" i="247"/>
  <c r="M264" i="247"/>
  <c r="K264" i="247"/>
  <c r="I264" i="247"/>
  <c r="G264" i="247"/>
  <c r="M263" i="247"/>
  <c r="K263" i="247"/>
  <c r="I263" i="247"/>
  <c r="G263" i="247"/>
  <c r="M262" i="247"/>
  <c r="K262" i="247"/>
  <c r="I262" i="247"/>
  <c r="G262" i="247"/>
  <c r="M261" i="247"/>
  <c r="K261" i="247"/>
  <c r="I261" i="247"/>
  <c r="G261" i="247"/>
  <c r="M260" i="247"/>
  <c r="K260" i="247"/>
  <c r="I260" i="247"/>
  <c r="G260" i="247"/>
  <c r="M259" i="247"/>
  <c r="K259" i="247"/>
  <c r="I259" i="247"/>
  <c r="G259" i="247"/>
  <c r="M258" i="247"/>
  <c r="K258" i="247"/>
  <c r="I258" i="247"/>
  <c r="G258" i="247"/>
  <c r="M257" i="247"/>
  <c r="K257" i="247"/>
  <c r="I257" i="247"/>
  <c r="G257" i="247"/>
  <c r="M256" i="247"/>
  <c r="K256" i="247"/>
  <c r="I256" i="247"/>
  <c r="G256" i="247"/>
  <c r="M255" i="247"/>
  <c r="K255" i="247"/>
  <c r="I255" i="247"/>
  <c r="G255" i="247"/>
  <c r="M254" i="247"/>
  <c r="K254" i="247"/>
  <c r="I254" i="247"/>
  <c r="G254" i="247"/>
  <c r="M253" i="247"/>
  <c r="K253" i="247"/>
  <c r="I253" i="247"/>
  <c r="G253" i="247"/>
  <c r="M252" i="247"/>
  <c r="K252" i="247"/>
  <c r="I252" i="247"/>
  <c r="G252" i="247"/>
  <c r="M251" i="247"/>
  <c r="K251" i="247"/>
  <c r="I251" i="247"/>
  <c r="G251" i="247"/>
  <c r="M250" i="247"/>
  <c r="K250" i="247"/>
  <c r="I250" i="247"/>
  <c r="G250" i="247"/>
  <c r="M249" i="247"/>
  <c r="K249" i="247"/>
  <c r="I249" i="247"/>
  <c r="G249" i="247"/>
  <c r="M248" i="247"/>
  <c r="K248" i="247"/>
  <c r="I248" i="247"/>
  <c r="G248" i="247"/>
  <c r="M247" i="247"/>
  <c r="K247" i="247"/>
  <c r="I247" i="247"/>
  <c r="G247" i="247"/>
  <c r="M246" i="247"/>
  <c r="K246" i="247"/>
  <c r="I246" i="247"/>
  <c r="G246" i="247"/>
  <c r="M245" i="247"/>
  <c r="K245" i="247"/>
  <c r="I245" i="247"/>
  <c r="G245" i="247"/>
  <c r="M244" i="247"/>
  <c r="K244" i="247"/>
  <c r="I244" i="247"/>
  <c r="G244" i="247"/>
  <c r="M243" i="247"/>
  <c r="K243" i="247"/>
  <c r="I243" i="247"/>
  <c r="G243" i="247"/>
  <c r="M242" i="247"/>
  <c r="K242" i="247"/>
  <c r="I242" i="247"/>
  <c r="G242" i="247"/>
  <c r="M241" i="247"/>
  <c r="K241" i="247"/>
  <c r="I241" i="247"/>
  <c r="G241" i="247"/>
  <c r="M240" i="247"/>
  <c r="K240" i="247"/>
  <c r="I240" i="247"/>
  <c r="G240" i="247"/>
  <c r="M239" i="247"/>
  <c r="K239" i="247"/>
  <c r="I239" i="247"/>
  <c r="G239" i="247"/>
  <c r="M238" i="247"/>
  <c r="K238" i="247"/>
  <c r="I238" i="247"/>
  <c r="G238" i="247"/>
  <c r="M237" i="247"/>
  <c r="K237" i="247"/>
  <c r="I237" i="247"/>
  <c r="G237" i="247"/>
  <c r="M236" i="247"/>
  <c r="K236" i="247"/>
  <c r="I236" i="247"/>
  <c r="G236" i="247"/>
  <c r="M235" i="247"/>
  <c r="K235" i="247"/>
  <c r="I235" i="247"/>
  <c r="G235" i="247"/>
  <c r="M234" i="247"/>
  <c r="K234" i="247"/>
  <c r="I234" i="247"/>
  <c r="G234" i="247"/>
  <c r="M233" i="247"/>
  <c r="K233" i="247"/>
  <c r="I233" i="247"/>
  <c r="G233" i="247"/>
  <c r="M232" i="247"/>
  <c r="K232" i="247"/>
  <c r="I232" i="247"/>
  <c r="G232" i="247"/>
  <c r="M231" i="247"/>
  <c r="K231" i="247"/>
  <c r="I231" i="247"/>
  <c r="G231" i="247"/>
  <c r="M230" i="247"/>
  <c r="K230" i="247"/>
  <c r="I230" i="247"/>
  <c r="G230" i="247"/>
  <c r="M229" i="247"/>
  <c r="K229" i="247"/>
  <c r="I229" i="247"/>
  <c r="G229" i="247"/>
  <c r="M228" i="247"/>
  <c r="K228" i="247"/>
  <c r="I228" i="247"/>
  <c r="G228" i="247"/>
  <c r="M227" i="247"/>
  <c r="K227" i="247"/>
  <c r="I227" i="247"/>
  <c r="G227" i="247"/>
  <c r="M226" i="247"/>
  <c r="K226" i="247"/>
  <c r="I226" i="247"/>
  <c r="G226" i="247"/>
  <c r="M225" i="247"/>
  <c r="K225" i="247"/>
  <c r="I225" i="247"/>
  <c r="G225" i="247"/>
  <c r="M224" i="247"/>
  <c r="K224" i="247"/>
  <c r="I224" i="247"/>
  <c r="G224" i="247"/>
  <c r="M223" i="247"/>
  <c r="K223" i="247"/>
  <c r="I223" i="247"/>
  <c r="G223" i="247"/>
  <c r="M222" i="247"/>
  <c r="K222" i="247"/>
  <c r="I222" i="247"/>
  <c r="G222" i="247"/>
  <c r="M221" i="247"/>
  <c r="K221" i="247"/>
  <c r="I221" i="247"/>
  <c r="G221" i="247"/>
  <c r="M220" i="247"/>
  <c r="K220" i="247"/>
  <c r="I220" i="247"/>
  <c r="G220" i="247"/>
  <c r="M219" i="247"/>
  <c r="K219" i="247"/>
  <c r="I219" i="247"/>
  <c r="G219" i="247"/>
  <c r="M218" i="247"/>
  <c r="K218" i="247"/>
  <c r="I218" i="247"/>
  <c r="G218" i="247"/>
  <c r="M217" i="247"/>
  <c r="K217" i="247"/>
  <c r="I217" i="247"/>
  <c r="G217" i="247"/>
  <c r="M216" i="247"/>
  <c r="K216" i="247"/>
  <c r="I216" i="247"/>
  <c r="G216" i="247"/>
  <c r="M215" i="247"/>
  <c r="K215" i="247"/>
  <c r="I215" i="247"/>
  <c r="G215" i="247"/>
  <c r="M214" i="247"/>
  <c r="K214" i="247"/>
  <c r="I214" i="247"/>
  <c r="G214" i="247"/>
  <c r="M213" i="247"/>
  <c r="K213" i="247"/>
  <c r="I213" i="247"/>
  <c r="G213" i="247"/>
  <c r="M212" i="247"/>
  <c r="K212" i="247"/>
  <c r="I212" i="247"/>
  <c r="G212" i="247"/>
  <c r="M211" i="247"/>
  <c r="K211" i="247"/>
  <c r="I211" i="247"/>
  <c r="G211" i="247"/>
  <c r="M210" i="247"/>
  <c r="K210" i="247"/>
  <c r="I210" i="247"/>
  <c r="G210" i="247"/>
  <c r="M209" i="247"/>
  <c r="K209" i="247"/>
  <c r="I209" i="247"/>
  <c r="G209" i="247"/>
  <c r="M208" i="247"/>
  <c r="K208" i="247"/>
  <c r="I208" i="247"/>
  <c r="G208" i="247"/>
  <c r="M207" i="247"/>
  <c r="K207" i="247"/>
  <c r="I207" i="247"/>
  <c r="G207" i="247"/>
  <c r="M206" i="247"/>
  <c r="K206" i="247"/>
  <c r="I206" i="247"/>
  <c r="G206" i="247"/>
  <c r="M205" i="247"/>
  <c r="K205" i="247"/>
  <c r="I205" i="247"/>
  <c r="G205" i="247"/>
  <c r="M204" i="247"/>
  <c r="K204" i="247"/>
  <c r="I204" i="247"/>
  <c r="G204" i="247"/>
  <c r="M203" i="247"/>
  <c r="K203" i="247"/>
  <c r="I203" i="247"/>
  <c r="G203" i="247"/>
  <c r="M202" i="247"/>
  <c r="K202" i="247"/>
  <c r="I202" i="247"/>
  <c r="G202" i="247"/>
  <c r="M201" i="247"/>
  <c r="K201" i="247"/>
  <c r="I201" i="247"/>
  <c r="G201" i="247"/>
  <c r="M200" i="247"/>
  <c r="K200" i="247"/>
  <c r="I200" i="247"/>
  <c r="G200" i="247"/>
  <c r="M199" i="247"/>
  <c r="K199" i="247"/>
  <c r="I199" i="247"/>
  <c r="G199" i="247"/>
  <c r="M198" i="247"/>
  <c r="K198" i="247"/>
  <c r="I198" i="247"/>
  <c r="G198" i="247"/>
  <c r="M197" i="247"/>
  <c r="K197" i="247"/>
  <c r="I197" i="247"/>
  <c r="G197" i="247"/>
  <c r="M196" i="247"/>
  <c r="K196" i="247"/>
  <c r="I196" i="247"/>
  <c r="G196" i="247"/>
  <c r="M195" i="247"/>
  <c r="K195" i="247"/>
  <c r="I195" i="247"/>
  <c r="G195" i="247"/>
  <c r="M194" i="247"/>
  <c r="K194" i="247"/>
  <c r="I194" i="247"/>
  <c r="G194" i="247"/>
  <c r="M193" i="247"/>
  <c r="K193" i="247"/>
  <c r="I193" i="247"/>
  <c r="G193" i="247"/>
  <c r="M192" i="247"/>
  <c r="K192" i="247"/>
  <c r="I192" i="247"/>
  <c r="G192" i="247"/>
  <c r="M191" i="247"/>
  <c r="K191" i="247"/>
  <c r="I191" i="247"/>
  <c r="G191" i="247"/>
  <c r="M190" i="247"/>
  <c r="K190" i="247"/>
  <c r="I190" i="247"/>
  <c r="G190" i="247"/>
  <c r="M189" i="247"/>
  <c r="K189" i="247"/>
  <c r="I189" i="247"/>
  <c r="G189" i="247"/>
  <c r="M188" i="247"/>
  <c r="K188" i="247"/>
  <c r="I188" i="247"/>
  <c r="G188" i="247"/>
  <c r="M187" i="247"/>
  <c r="K187" i="247"/>
  <c r="I187" i="247"/>
  <c r="G187" i="247"/>
  <c r="M186" i="247"/>
  <c r="K186" i="247"/>
  <c r="I186" i="247"/>
  <c r="G186" i="247"/>
  <c r="M185" i="247"/>
  <c r="K185" i="247"/>
  <c r="I185" i="247"/>
  <c r="G185" i="247"/>
  <c r="M184" i="247"/>
  <c r="K184" i="247"/>
  <c r="I184" i="247"/>
  <c r="G184" i="247"/>
  <c r="M183" i="247"/>
  <c r="K183" i="247"/>
  <c r="I183" i="247"/>
  <c r="G183" i="247"/>
  <c r="M182" i="247"/>
  <c r="K182" i="247"/>
  <c r="I182" i="247"/>
  <c r="G182" i="247"/>
  <c r="M181" i="247"/>
  <c r="K181" i="247"/>
  <c r="I181" i="247"/>
  <c r="G181" i="247"/>
  <c r="M180" i="247"/>
  <c r="K180" i="247"/>
  <c r="I180" i="247"/>
  <c r="G180" i="247"/>
  <c r="M179" i="247"/>
  <c r="K179" i="247"/>
  <c r="I179" i="247"/>
  <c r="G179" i="247"/>
  <c r="M178" i="247"/>
  <c r="K178" i="247"/>
  <c r="I178" i="247"/>
  <c r="G178" i="247"/>
  <c r="M177" i="247"/>
  <c r="K177" i="247"/>
  <c r="I177" i="247"/>
  <c r="G177" i="247"/>
  <c r="M176" i="247"/>
  <c r="K176" i="247"/>
  <c r="I176" i="247"/>
  <c r="G176" i="247"/>
  <c r="M175" i="247"/>
  <c r="K175" i="247"/>
  <c r="I175" i="247"/>
  <c r="G175" i="247"/>
  <c r="M174" i="247"/>
  <c r="K174" i="247"/>
  <c r="I174" i="247"/>
  <c r="G174" i="247"/>
  <c r="M173" i="247"/>
  <c r="K173" i="247"/>
  <c r="I173" i="247"/>
  <c r="G173" i="247"/>
  <c r="M172" i="247"/>
  <c r="K172" i="247"/>
  <c r="I172" i="247"/>
  <c r="G172" i="247"/>
  <c r="M171" i="247"/>
  <c r="K171" i="247"/>
  <c r="I171" i="247"/>
  <c r="G171" i="247"/>
  <c r="M170" i="247"/>
  <c r="K170" i="247"/>
  <c r="I170" i="247"/>
  <c r="G170" i="247"/>
  <c r="M169" i="247"/>
  <c r="K169" i="247"/>
  <c r="I169" i="247"/>
  <c r="G169" i="247"/>
  <c r="M168" i="247"/>
  <c r="K168" i="247"/>
  <c r="I168" i="247"/>
  <c r="G168" i="247"/>
  <c r="M167" i="247"/>
  <c r="K167" i="247"/>
  <c r="I167" i="247"/>
  <c r="G167" i="247"/>
  <c r="M166" i="247"/>
  <c r="K166" i="247"/>
  <c r="I166" i="247"/>
  <c r="G166" i="247"/>
  <c r="M165" i="247"/>
  <c r="K165" i="247"/>
  <c r="I165" i="247"/>
  <c r="G165" i="247"/>
  <c r="M164" i="247"/>
  <c r="K164" i="247"/>
  <c r="I164" i="247"/>
  <c r="G164" i="247"/>
  <c r="M163" i="247"/>
  <c r="K163" i="247"/>
  <c r="I163" i="247"/>
  <c r="G163" i="247"/>
  <c r="M162" i="247"/>
  <c r="K162" i="247"/>
  <c r="I162" i="247"/>
  <c r="G162" i="247"/>
  <c r="M161" i="247"/>
  <c r="K161" i="247"/>
  <c r="I161" i="247"/>
  <c r="G161" i="247"/>
  <c r="M160" i="247"/>
  <c r="K160" i="247"/>
  <c r="I160" i="247"/>
  <c r="G160" i="247"/>
  <c r="M159" i="247"/>
  <c r="K159" i="247"/>
  <c r="I159" i="247"/>
  <c r="G159" i="247"/>
  <c r="M158" i="247"/>
  <c r="K158" i="247"/>
  <c r="I158" i="247"/>
  <c r="G158" i="247"/>
  <c r="M157" i="247"/>
  <c r="K157" i="247"/>
  <c r="I157" i="247"/>
  <c r="G157" i="247"/>
  <c r="M156" i="247"/>
  <c r="K156" i="247"/>
  <c r="I156" i="247"/>
  <c r="G156" i="247"/>
  <c r="M155" i="247"/>
  <c r="K155" i="247"/>
  <c r="I155" i="247"/>
  <c r="G155" i="247"/>
  <c r="M154" i="247"/>
  <c r="K154" i="247"/>
  <c r="I154" i="247"/>
  <c r="G154" i="247"/>
  <c r="M153" i="247"/>
  <c r="K153" i="247"/>
  <c r="I153" i="247"/>
  <c r="G153" i="247"/>
  <c r="M152" i="247"/>
  <c r="K152" i="247"/>
  <c r="I152" i="247"/>
  <c r="G152" i="247"/>
  <c r="M151" i="247"/>
  <c r="K151" i="247"/>
  <c r="I151" i="247"/>
  <c r="G151" i="247"/>
  <c r="M150" i="247"/>
  <c r="K150" i="247"/>
  <c r="I150" i="247"/>
  <c r="G150" i="247"/>
  <c r="M149" i="247"/>
  <c r="K149" i="247"/>
  <c r="I149" i="247"/>
  <c r="G149" i="247"/>
  <c r="M148" i="247"/>
  <c r="K148" i="247"/>
  <c r="I148" i="247"/>
  <c r="G148" i="247"/>
  <c r="M147" i="247"/>
  <c r="K147" i="247"/>
  <c r="I147" i="247"/>
  <c r="G147" i="247"/>
  <c r="M146" i="247"/>
  <c r="K146" i="247"/>
  <c r="I146" i="247"/>
  <c r="G146" i="247"/>
  <c r="M145" i="247"/>
  <c r="K145" i="247"/>
  <c r="I145" i="247"/>
  <c r="G145" i="247"/>
  <c r="M144" i="247"/>
  <c r="K144" i="247"/>
  <c r="I144" i="247"/>
  <c r="G144" i="247"/>
  <c r="M143" i="247"/>
  <c r="K143" i="247"/>
  <c r="I143" i="247"/>
  <c r="G143" i="247"/>
  <c r="M142" i="247"/>
  <c r="K142" i="247"/>
  <c r="I142" i="247"/>
  <c r="G142" i="247"/>
  <c r="M141" i="247"/>
  <c r="K141" i="247"/>
  <c r="I141" i="247"/>
  <c r="G141" i="247"/>
  <c r="M140" i="247"/>
  <c r="K140" i="247"/>
  <c r="I140" i="247"/>
  <c r="G140" i="247"/>
  <c r="M139" i="247"/>
  <c r="K139" i="247"/>
  <c r="I139" i="247"/>
  <c r="G139" i="247"/>
  <c r="M138" i="247"/>
  <c r="K138" i="247"/>
  <c r="I138" i="247"/>
  <c r="G138" i="247"/>
  <c r="M137" i="247"/>
  <c r="K137" i="247"/>
  <c r="I137" i="247"/>
  <c r="G137" i="247"/>
  <c r="M136" i="247"/>
  <c r="K136" i="247"/>
  <c r="I136" i="247"/>
  <c r="G136" i="247"/>
  <c r="M135" i="247"/>
  <c r="K135" i="247"/>
  <c r="I135" i="247"/>
  <c r="G135" i="247"/>
  <c r="M134" i="247"/>
  <c r="K134" i="247"/>
  <c r="I134" i="247"/>
  <c r="G134" i="247"/>
  <c r="M133" i="247"/>
  <c r="K133" i="247"/>
  <c r="I133" i="247"/>
  <c r="G133" i="247"/>
  <c r="M132" i="247"/>
  <c r="K132" i="247"/>
  <c r="I132" i="247"/>
  <c r="G132" i="247"/>
  <c r="M131" i="247"/>
  <c r="K131" i="247"/>
  <c r="I131" i="247"/>
  <c r="G131" i="247"/>
  <c r="M130" i="247"/>
  <c r="K130" i="247"/>
  <c r="I130" i="247"/>
  <c r="G130" i="247"/>
  <c r="M129" i="247"/>
  <c r="K129" i="247"/>
  <c r="I129" i="247"/>
  <c r="G129" i="247"/>
  <c r="M128" i="247"/>
  <c r="K128" i="247"/>
  <c r="I128" i="247"/>
  <c r="G128" i="247"/>
  <c r="M127" i="247"/>
  <c r="K127" i="247"/>
  <c r="I127" i="247"/>
  <c r="G127" i="247"/>
  <c r="M126" i="247"/>
  <c r="K126" i="247"/>
  <c r="I126" i="247"/>
  <c r="G126" i="247"/>
  <c r="M125" i="247"/>
  <c r="K125" i="247"/>
  <c r="I125" i="247"/>
  <c r="G125" i="247"/>
  <c r="M124" i="247"/>
  <c r="K124" i="247"/>
  <c r="I124" i="247"/>
  <c r="G124" i="247"/>
  <c r="M123" i="247"/>
  <c r="K123" i="247"/>
  <c r="I123" i="247"/>
  <c r="G123" i="247"/>
  <c r="M122" i="247"/>
  <c r="K122" i="247"/>
  <c r="I122" i="247"/>
  <c r="G122" i="247"/>
  <c r="M121" i="247"/>
  <c r="K121" i="247"/>
  <c r="I121" i="247"/>
  <c r="G121" i="247"/>
  <c r="M120" i="247"/>
  <c r="K120" i="247"/>
  <c r="I120" i="247"/>
  <c r="G120" i="247"/>
  <c r="M119" i="247"/>
  <c r="K119" i="247"/>
  <c r="I119" i="247"/>
  <c r="G119" i="247"/>
  <c r="M118" i="247"/>
  <c r="K118" i="247"/>
  <c r="I118" i="247"/>
  <c r="G118" i="247"/>
  <c r="M117" i="247"/>
  <c r="K117" i="247"/>
  <c r="I117" i="247"/>
  <c r="G117" i="247"/>
  <c r="M116" i="247"/>
  <c r="K116" i="247"/>
  <c r="I116" i="247"/>
  <c r="G116" i="247"/>
  <c r="M115" i="247"/>
  <c r="K115" i="247"/>
  <c r="I115" i="247"/>
  <c r="G115" i="247"/>
  <c r="M114" i="247"/>
  <c r="K114" i="247"/>
  <c r="I114" i="247"/>
  <c r="G114" i="247"/>
  <c r="M113" i="247"/>
  <c r="K113" i="247"/>
  <c r="I113" i="247"/>
  <c r="G113" i="247"/>
  <c r="M112" i="247"/>
  <c r="K112" i="247"/>
  <c r="I112" i="247"/>
  <c r="G112" i="247"/>
  <c r="M111" i="247"/>
  <c r="K111" i="247"/>
  <c r="I111" i="247"/>
  <c r="G111" i="247"/>
  <c r="M110" i="247"/>
  <c r="K110" i="247"/>
  <c r="I110" i="247"/>
  <c r="G110" i="247"/>
  <c r="M109" i="247"/>
  <c r="K109" i="247"/>
  <c r="I109" i="247"/>
  <c r="G109" i="247"/>
  <c r="M108" i="247"/>
  <c r="K108" i="247"/>
  <c r="I108" i="247"/>
  <c r="G108" i="247"/>
  <c r="M107" i="247"/>
  <c r="K107" i="247"/>
  <c r="I107" i="247"/>
  <c r="G107" i="247"/>
  <c r="M106" i="247"/>
  <c r="K106" i="247"/>
  <c r="I106" i="247"/>
  <c r="G106" i="247"/>
  <c r="M105" i="247"/>
  <c r="K105" i="247"/>
  <c r="I105" i="247"/>
  <c r="G105" i="247"/>
  <c r="M104" i="247"/>
  <c r="K104" i="247"/>
  <c r="I104" i="247"/>
  <c r="G104" i="247"/>
  <c r="M103" i="247"/>
  <c r="K103" i="247"/>
  <c r="I103" i="247"/>
  <c r="G103" i="247"/>
  <c r="M102" i="247"/>
  <c r="K102" i="247"/>
  <c r="I102" i="247"/>
  <c r="G102" i="247"/>
  <c r="M101" i="247"/>
  <c r="K101" i="247"/>
  <c r="I101" i="247"/>
  <c r="G101" i="247"/>
  <c r="M100" i="247"/>
  <c r="K100" i="247"/>
  <c r="I100" i="247"/>
  <c r="G100" i="247"/>
  <c r="M99" i="247"/>
  <c r="K99" i="247"/>
  <c r="I99" i="247"/>
  <c r="G99" i="247"/>
  <c r="M98" i="247"/>
  <c r="K98" i="247"/>
  <c r="I98" i="247"/>
  <c r="G98" i="247"/>
  <c r="M97" i="247"/>
  <c r="K97" i="247"/>
  <c r="I97" i="247"/>
  <c r="G97" i="247"/>
  <c r="M96" i="247"/>
  <c r="K96" i="247"/>
  <c r="I96" i="247"/>
  <c r="G96" i="247"/>
  <c r="M95" i="247"/>
  <c r="K95" i="247"/>
  <c r="I95" i="247"/>
  <c r="G95" i="247"/>
  <c r="M94" i="247"/>
  <c r="K94" i="247"/>
  <c r="I94" i="247"/>
  <c r="G94" i="247"/>
  <c r="M93" i="247"/>
  <c r="K93" i="247"/>
  <c r="I93" i="247"/>
  <c r="G93" i="247"/>
  <c r="M92" i="247"/>
  <c r="K92" i="247"/>
  <c r="I92" i="247"/>
  <c r="G92" i="247"/>
  <c r="M91" i="247"/>
  <c r="K91" i="247"/>
  <c r="I91" i="247"/>
  <c r="G91" i="247"/>
  <c r="M90" i="247"/>
  <c r="K90" i="247"/>
  <c r="I90" i="247"/>
  <c r="G90" i="247"/>
  <c r="M89" i="247"/>
  <c r="K89" i="247"/>
  <c r="I89" i="247"/>
  <c r="G89" i="247"/>
  <c r="M88" i="247"/>
  <c r="K88" i="247"/>
  <c r="I88" i="247"/>
  <c r="G88" i="247"/>
  <c r="M87" i="247"/>
  <c r="K87" i="247"/>
  <c r="I87" i="247"/>
  <c r="G87" i="247"/>
  <c r="M86" i="247"/>
  <c r="K86" i="247"/>
  <c r="I86" i="247"/>
  <c r="G86" i="247"/>
  <c r="M85" i="247"/>
  <c r="K85" i="247"/>
  <c r="I85" i="247"/>
  <c r="G85" i="247"/>
  <c r="M84" i="247"/>
  <c r="K84" i="247"/>
  <c r="I84" i="247"/>
  <c r="G84" i="247"/>
  <c r="M83" i="247"/>
  <c r="K83" i="247"/>
  <c r="I83" i="247"/>
  <c r="G83" i="247"/>
  <c r="M82" i="247"/>
  <c r="K82" i="247"/>
  <c r="I82" i="247"/>
  <c r="G82" i="247"/>
  <c r="M81" i="247"/>
  <c r="K81" i="247"/>
  <c r="I81" i="247"/>
  <c r="G81" i="247"/>
  <c r="M80" i="247"/>
  <c r="K80" i="247"/>
  <c r="I80" i="247"/>
  <c r="G80" i="247"/>
  <c r="M79" i="247"/>
  <c r="K79" i="247"/>
  <c r="I79" i="247"/>
  <c r="G79" i="247"/>
  <c r="M78" i="247"/>
  <c r="K78" i="247"/>
  <c r="I78" i="247"/>
  <c r="G78" i="247"/>
  <c r="M77" i="247"/>
  <c r="K77" i="247"/>
  <c r="I77" i="247"/>
  <c r="G77" i="247"/>
  <c r="M76" i="247"/>
  <c r="K76" i="247"/>
  <c r="I76" i="247"/>
  <c r="G76" i="247"/>
  <c r="M75" i="247"/>
  <c r="K75" i="247"/>
  <c r="I75" i="247"/>
  <c r="G75" i="247"/>
  <c r="M74" i="247"/>
  <c r="K74" i="247"/>
  <c r="I74" i="247"/>
  <c r="G74" i="247"/>
  <c r="M73" i="247"/>
  <c r="K73" i="247"/>
  <c r="I73" i="247"/>
  <c r="G73" i="247"/>
  <c r="M72" i="247"/>
  <c r="K72" i="247"/>
  <c r="I72" i="247"/>
  <c r="G72" i="247"/>
  <c r="M71" i="247"/>
  <c r="K71" i="247"/>
  <c r="I71" i="247"/>
  <c r="G71" i="247"/>
  <c r="M70" i="247"/>
  <c r="K70" i="247"/>
  <c r="I70" i="247"/>
  <c r="G70" i="247"/>
  <c r="M69" i="247"/>
  <c r="K69" i="247"/>
  <c r="I69" i="247"/>
  <c r="G69" i="247"/>
  <c r="M68" i="247"/>
  <c r="K68" i="247"/>
  <c r="I68" i="247"/>
  <c r="G68" i="247"/>
  <c r="M67" i="247"/>
  <c r="K67" i="247"/>
  <c r="I67" i="247"/>
  <c r="G67" i="247"/>
  <c r="M66" i="247"/>
  <c r="K66" i="247"/>
  <c r="I66" i="247"/>
  <c r="G66" i="247"/>
  <c r="M65" i="247"/>
  <c r="K65" i="247"/>
  <c r="I65" i="247"/>
  <c r="G65" i="247"/>
  <c r="M64" i="247"/>
  <c r="K64" i="247"/>
  <c r="I64" i="247"/>
  <c r="G64" i="247"/>
  <c r="M63" i="247"/>
  <c r="K63" i="247"/>
  <c r="I63" i="247"/>
  <c r="G63" i="247"/>
  <c r="M62" i="247"/>
  <c r="K62" i="247"/>
  <c r="I62" i="247"/>
  <c r="G62" i="247"/>
  <c r="M61" i="247"/>
  <c r="K61" i="247"/>
  <c r="I61" i="247"/>
  <c r="G61" i="247"/>
  <c r="M60" i="247"/>
  <c r="K60" i="247"/>
  <c r="I60" i="247"/>
  <c r="G60" i="247"/>
  <c r="M59" i="247"/>
  <c r="K59" i="247"/>
  <c r="I59" i="247"/>
  <c r="G59" i="247"/>
  <c r="M58" i="247"/>
  <c r="K58" i="247"/>
  <c r="I58" i="247"/>
  <c r="G58" i="247"/>
  <c r="M57" i="247"/>
  <c r="K57" i="247"/>
  <c r="I57" i="247"/>
  <c r="G57" i="247"/>
  <c r="M56" i="247"/>
  <c r="K56" i="247"/>
  <c r="I56" i="247"/>
  <c r="G56" i="247"/>
  <c r="M55" i="247"/>
  <c r="K55" i="247"/>
  <c r="I55" i="247"/>
  <c r="G55" i="247"/>
  <c r="M54" i="247"/>
  <c r="K54" i="247"/>
  <c r="I54" i="247"/>
  <c r="G54" i="247"/>
  <c r="M53" i="247"/>
  <c r="K53" i="247"/>
  <c r="I53" i="247"/>
  <c r="G53" i="247"/>
  <c r="M52" i="247"/>
  <c r="K52" i="247"/>
  <c r="I52" i="247"/>
  <c r="G52" i="247"/>
  <c r="M51" i="247"/>
  <c r="K51" i="247"/>
  <c r="I51" i="247"/>
  <c r="G51" i="247"/>
  <c r="M50" i="247"/>
  <c r="K50" i="247"/>
  <c r="I50" i="247"/>
  <c r="G50" i="247"/>
  <c r="M49" i="247"/>
  <c r="K49" i="247"/>
  <c r="I49" i="247"/>
  <c r="G49" i="247"/>
  <c r="M48" i="247"/>
  <c r="K48" i="247"/>
  <c r="I48" i="247"/>
  <c r="G48" i="247"/>
  <c r="M47" i="247"/>
  <c r="K47" i="247"/>
  <c r="I47" i="247"/>
  <c r="G47" i="247"/>
  <c r="M46" i="247"/>
  <c r="K46" i="247"/>
  <c r="I46" i="247"/>
  <c r="G46" i="247"/>
  <c r="M45" i="247"/>
  <c r="K45" i="247"/>
  <c r="I45" i="247"/>
  <c r="G45" i="247"/>
  <c r="M44" i="247"/>
  <c r="K44" i="247"/>
  <c r="I44" i="247"/>
  <c r="G44" i="247"/>
  <c r="M43" i="247"/>
  <c r="K43" i="247"/>
  <c r="I43" i="247"/>
  <c r="G43" i="247"/>
  <c r="M42" i="247"/>
  <c r="K42" i="247"/>
  <c r="I42" i="247"/>
  <c r="G42" i="247"/>
  <c r="M41" i="247"/>
  <c r="K41" i="247"/>
  <c r="I41" i="247"/>
  <c r="G41" i="247"/>
  <c r="M40" i="247"/>
  <c r="K40" i="247"/>
  <c r="I40" i="247"/>
  <c r="G40" i="247"/>
  <c r="M39" i="247"/>
  <c r="K39" i="247"/>
  <c r="I39" i="247"/>
  <c r="G39" i="247"/>
  <c r="M38" i="247"/>
  <c r="K38" i="247"/>
  <c r="I38" i="247"/>
  <c r="G38" i="247"/>
  <c r="M37" i="247"/>
  <c r="K37" i="247"/>
  <c r="I37" i="247"/>
  <c r="G37" i="247"/>
  <c r="M36" i="247"/>
  <c r="K36" i="247"/>
  <c r="I36" i="247"/>
  <c r="G36" i="247"/>
  <c r="M35" i="247"/>
  <c r="K35" i="247"/>
  <c r="I35" i="247"/>
  <c r="G35" i="247"/>
  <c r="M34" i="247"/>
  <c r="K34" i="247"/>
  <c r="I34" i="247"/>
  <c r="G34" i="247"/>
  <c r="M33" i="247"/>
  <c r="K33" i="247"/>
  <c r="I33" i="247"/>
  <c r="G33" i="247"/>
  <c r="M32" i="247"/>
  <c r="K32" i="247"/>
  <c r="I32" i="247"/>
  <c r="G32" i="247"/>
  <c r="M31" i="247"/>
  <c r="K31" i="247"/>
  <c r="I31" i="247"/>
  <c r="G31" i="247"/>
  <c r="M30" i="247"/>
  <c r="K30" i="247"/>
  <c r="I30" i="247"/>
  <c r="G30" i="247"/>
  <c r="M29" i="247"/>
  <c r="K29" i="247"/>
  <c r="I29" i="247"/>
  <c r="G29" i="247"/>
  <c r="M28" i="247"/>
  <c r="K28" i="247"/>
  <c r="I28" i="247"/>
  <c r="G28" i="247"/>
  <c r="M27" i="247"/>
  <c r="K27" i="247"/>
  <c r="I27" i="247"/>
  <c r="G27" i="247"/>
  <c r="M26" i="247"/>
  <c r="K26" i="247"/>
  <c r="I26" i="247"/>
  <c r="G26" i="247"/>
  <c r="M25" i="247"/>
  <c r="K25" i="247"/>
  <c r="I25" i="247"/>
  <c r="G25" i="247"/>
  <c r="M24" i="247"/>
  <c r="K24" i="247"/>
  <c r="I24" i="247"/>
  <c r="G24" i="247"/>
  <c r="F19" i="247"/>
  <c r="E19" i="247"/>
  <c r="M17" i="247"/>
  <c r="K17" i="247"/>
  <c r="I17" i="247"/>
  <c r="G17" i="247"/>
  <c r="M16" i="247"/>
  <c r="K16" i="247"/>
  <c r="I16" i="247"/>
  <c r="G16" i="247"/>
  <c r="M15" i="247"/>
  <c r="K15" i="247"/>
  <c r="I15" i="247"/>
  <c r="G15" i="247"/>
  <c r="M14" i="247"/>
  <c r="K14" i="247"/>
  <c r="I14" i="247"/>
  <c r="G14" i="247"/>
  <c r="M13" i="247"/>
  <c r="K13" i="247"/>
  <c r="I13" i="247"/>
  <c r="G13" i="247"/>
  <c r="M12" i="247"/>
  <c r="K12" i="247"/>
  <c r="I12" i="247"/>
  <c r="G12" i="247"/>
  <c r="M11" i="247"/>
  <c r="K11" i="247"/>
  <c r="I11" i="247"/>
  <c r="G11" i="247"/>
  <c r="M10" i="247"/>
  <c r="K10" i="247"/>
  <c r="I10" i="247"/>
  <c r="G10" i="247"/>
  <c r="N25" i="247" l="1"/>
  <c r="O25" i="247" s="1"/>
  <c r="P25" i="247" s="1"/>
  <c r="Q25" i="247" s="1"/>
  <c r="R25" i="247" s="1"/>
  <c r="S25" i="247" s="1"/>
  <c r="T25" i="247" s="1"/>
  <c r="U25" i="247" s="1"/>
  <c r="V25" i="247" s="1"/>
  <c r="W25" i="247" s="1"/>
  <c r="X25" i="247" s="1"/>
  <c r="Y25" i="247" s="1"/>
  <c r="N26" i="247"/>
  <c r="O26" i="247" s="1"/>
  <c r="P26" i="247" s="1"/>
  <c r="Q26" i="247" s="1"/>
  <c r="R26" i="247" s="1"/>
  <c r="S26" i="247" s="1"/>
  <c r="T26" i="247" s="1"/>
  <c r="U26" i="247" s="1"/>
  <c r="V26" i="247" s="1"/>
  <c r="W26" i="247" s="1"/>
  <c r="X26" i="247" s="1"/>
  <c r="Y26" i="247" s="1"/>
  <c r="N30" i="247"/>
  <c r="O30" i="247" s="1"/>
  <c r="P30" i="247" s="1"/>
  <c r="Q30" i="247" s="1"/>
  <c r="R30" i="247" s="1"/>
  <c r="S30" i="247" s="1"/>
  <c r="T30" i="247" s="1"/>
  <c r="U30" i="247" s="1"/>
  <c r="V30" i="247" s="1"/>
  <c r="W30" i="247" s="1"/>
  <c r="X30" i="247" s="1"/>
  <c r="Y30" i="247" s="1"/>
  <c r="N31" i="247"/>
  <c r="O31" i="247" s="1"/>
  <c r="P31" i="247" s="1"/>
  <c r="Q31" i="247" s="1"/>
  <c r="R31" i="247" s="1"/>
  <c r="S31" i="247" s="1"/>
  <c r="T31" i="247" s="1"/>
  <c r="U31" i="247" s="1"/>
  <c r="V31" i="247" s="1"/>
  <c r="W31" i="247" s="1"/>
  <c r="X31" i="247" s="1"/>
  <c r="Y31" i="247" s="1"/>
  <c r="N37" i="247"/>
  <c r="O37" i="247" s="1"/>
  <c r="P37" i="247" s="1"/>
  <c r="Q37" i="247" s="1"/>
  <c r="R37" i="247" s="1"/>
  <c r="S37" i="247" s="1"/>
  <c r="T37" i="247" s="1"/>
  <c r="U37" i="247" s="1"/>
  <c r="V37" i="247" s="1"/>
  <c r="W37" i="247" s="1"/>
  <c r="X37" i="247" s="1"/>
  <c r="Y37" i="247" s="1"/>
  <c r="N41" i="247"/>
  <c r="O41" i="247" s="1"/>
  <c r="P41" i="247" s="1"/>
  <c r="Q41" i="247" s="1"/>
  <c r="R41" i="247" s="1"/>
  <c r="S41" i="247" s="1"/>
  <c r="T41" i="247" s="1"/>
  <c r="U41" i="247" s="1"/>
  <c r="V41" i="247" s="1"/>
  <c r="W41" i="247" s="1"/>
  <c r="X41" i="247" s="1"/>
  <c r="Y41" i="247" s="1"/>
  <c r="N42" i="247"/>
  <c r="O42" i="247" s="1"/>
  <c r="P42" i="247" s="1"/>
  <c r="Q42" i="247" s="1"/>
  <c r="R42" i="247" s="1"/>
  <c r="S42" i="247" s="1"/>
  <c r="T42" i="247" s="1"/>
  <c r="U42" i="247" s="1"/>
  <c r="V42" i="247" s="1"/>
  <c r="W42" i="247" s="1"/>
  <c r="X42" i="247" s="1"/>
  <c r="Y42" i="247" s="1"/>
  <c r="N46" i="247"/>
  <c r="O46" i="247" s="1"/>
  <c r="P46" i="247" s="1"/>
  <c r="Q46" i="247" s="1"/>
  <c r="R46" i="247" s="1"/>
  <c r="S46" i="247" s="1"/>
  <c r="T46" i="247" s="1"/>
  <c r="U46" i="247" s="1"/>
  <c r="V46" i="247" s="1"/>
  <c r="W46" i="247" s="1"/>
  <c r="X46" i="247" s="1"/>
  <c r="Y46" i="247" s="1"/>
  <c r="N49" i="247"/>
  <c r="O49" i="247" s="1"/>
  <c r="P49" i="247" s="1"/>
  <c r="Q49" i="247" s="1"/>
  <c r="R49" i="247" s="1"/>
  <c r="S49" i="247" s="1"/>
  <c r="T49" i="247" s="1"/>
  <c r="U49" i="247" s="1"/>
  <c r="V49" i="247" s="1"/>
  <c r="W49" i="247" s="1"/>
  <c r="X49" i="247" s="1"/>
  <c r="Y49" i="247" s="1"/>
  <c r="N50" i="247"/>
  <c r="O50" i="247" s="1"/>
  <c r="P50" i="247" s="1"/>
  <c r="Q50" i="247" s="1"/>
  <c r="R50" i="247" s="1"/>
  <c r="S50" i="247" s="1"/>
  <c r="T50" i="247" s="1"/>
  <c r="U50" i="247" s="1"/>
  <c r="V50" i="247" s="1"/>
  <c r="W50" i="247" s="1"/>
  <c r="X50" i="247" s="1"/>
  <c r="Y50" i="247" s="1"/>
  <c r="N55" i="247"/>
  <c r="O55" i="247" s="1"/>
  <c r="P55" i="247" s="1"/>
  <c r="Q55" i="247" s="1"/>
  <c r="R55" i="247" s="1"/>
  <c r="S55" i="247" s="1"/>
  <c r="T55" i="247" s="1"/>
  <c r="U55" i="247" s="1"/>
  <c r="V55" i="247" s="1"/>
  <c r="W55" i="247" s="1"/>
  <c r="X55" i="247" s="1"/>
  <c r="Y55" i="247" s="1"/>
  <c r="N57" i="247"/>
  <c r="O57" i="247" s="1"/>
  <c r="P57" i="247" s="1"/>
  <c r="Q57" i="247" s="1"/>
  <c r="R57" i="247" s="1"/>
  <c r="S57" i="247" s="1"/>
  <c r="T57" i="247" s="1"/>
  <c r="U57" i="247" s="1"/>
  <c r="V57" i="247" s="1"/>
  <c r="W57" i="247" s="1"/>
  <c r="X57" i="247" s="1"/>
  <c r="Y57" i="247" s="1"/>
  <c r="N58" i="247"/>
  <c r="O58" i="247" s="1"/>
  <c r="P58" i="247" s="1"/>
  <c r="Q58" i="247" s="1"/>
  <c r="R58" i="247" s="1"/>
  <c r="S58" i="247" s="1"/>
  <c r="T58" i="247" s="1"/>
  <c r="U58" i="247" s="1"/>
  <c r="V58" i="247" s="1"/>
  <c r="W58" i="247" s="1"/>
  <c r="X58" i="247" s="1"/>
  <c r="Y58" i="247" s="1"/>
  <c r="N62" i="247"/>
  <c r="O62" i="247" s="1"/>
  <c r="P62" i="247" s="1"/>
  <c r="Q62" i="247" s="1"/>
  <c r="R62" i="247" s="1"/>
  <c r="S62" i="247" s="1"/>
  <c r="T62" i="247" s="1"/>
  <c r="U62" i="247" s="1"/>
  <c r="V62" i="247" s="1"/>
  <c r="W62" i="247" s="1"/>
  <c r="X62" i="247" s="1"/>
  <c r="Y62" i="247" s="1"/>
  <c r="N65" i="247"/>
  <c r="O65" i="247" s="1"/>
  <c r="P65" i="247" s="1"/>
  <c r="Q65" i="247" s="1"/>
  <c r="R65" i="247" s="1"/>
  <c r="S65" i="247" s="1"/>
  <c r="T65" i="247" s="1"/>
  <c r="U65" i="247" s="1"/>
  <c r="V65" i="247" s="1"/>
  <c r="W65" i="247" s="1"/>
  <c r="X65" i="247" s="1"/>
  <c r="Y65" i="247" s="1"/>
  <c r="N66" i="247"/>
  <c r="O66" i="247" s="1"/>
  <c r="P66" i="247" s="1"/>
  <c r="Q66" i="247" s="1"/>
  <c r="R66" i="247" s="1"/>
  <c r="S66" i="247" s="1"/>
  <c r="T66" i="247" s="1"/>
  <c r="U66" i="247" s="1"/>
  <c r="V66" i="247" s="1"/>
  <c r="W66" i="247" s="1"/>
  <c r="X66" i="247" s="1"/>
  <c r="Y66" i="247" s="1"/>
  <c r="N73" i="247"/>
  <c r="O73" i="247" s="1"/>
  <c r="P73" i="247" s="1"/>
  <c r="Q73" i="247" s="1"/>
  <c r="R73" i="247" s="1"/>
  <c r="S73" i="247" s="1"/>
  <c r="T73" i="247" s="1"/>
  <c r="U73" i="247" s="1"/>
  <c r="V73" i="247" s="1"/>
  <c r="W73" i="247" s="1"/>
  <c r="X73" i="247" s="1"/>
  <c r="Y73" i="247" s="1"/>
  <c r="N74" i="247"/>
  <c r="O74" i="247" s="1"/>
  <c r="P74" i="247" s="1"/>
  <c r="Q74" i="247" s="1"/>
  <c r="R74" i="247" s="1"/>
  <c r="S74" i="247" s="1"/>
  <c r="T74" i="247" s="1"/>
  <c r="U74" i="247" s="1"/>
  <c r="V74" i="247" s="1"/>
  <c r="W74" i="247" s="1"/>
  <c r="X74" i="247" s="1"/>
  <c r="Y74" i="247" s="1"/>
  <c r="N78" i="247"/>
  <c r="O78" i="247" s="1"/>
  <c r="P78" i="247" s="1"/>
  <c r="Q78" i="247" s="1"/>
  <c r="R78" i="247" s="1"/>
  <c r="S78" i="247" s="1"/>
  <c r="T78" i="247" s="1"/>
  <c r="U78" i="247" s="1"/>
  <c r="V78" i="247" s="1"/>
  <c r="W78" i="247" s="1"/>
  <c r="X78" i="247" s="1"/>
  <c r="Y78" i="247" s="1"/>
  <c r="N79" i="247"/>
  <c r="O79" i="247" s="1"/>
  <c r="P79" i="247" s="1"/>
  <c r="Q79" i="247" s="1"/>
  <c r="R79" i="247" s="1"/>
  <c r="S79" i="247" s="1"/>
  <c r="T79" i="247" s="1"/>
  <c r="U79" i="247" s="1"/>
  <c r="V79" i="247" s="1"/>
  <c r="W79" i="247" s="1"/>
  <c r="X79" i="247" s="1"/>
  <c r="Y79" i="247" s="1"/>
  <c r="N81" i="247"/>
  <c r="O81" i="247" s="1"/>
  <c r="P81" i="247" s="1"/>
  <c r="Q81" i="247" s="1"/>
  <c r="R81" i="247" s="1"/>
  <c r="S81" i="247" s="1"/>
  <c r="T81" i="247" s="1"/>
  <c r="U81" i="247" s="1"/>
  <c r="V81" i="247" s="1"/>
  <c r="W81" i="247" s="1"/>
  <c r="X81" i="247" s="1"/>
  <c r="Y81" i="247" s="1"/>
  <c r="N82" i="247"/>
  <c r="O82" i="247" s="1"/>
  <c r="P82" i="247" s="1"/>
  <c r="Q82" i="247" s="1"/>
  <c r="R82" i="247" s="1"/>
  <c r="S82" i="247" s="1"/>
  <c r="T82" i="247" s="1"/>
  <c r="U82" i="247" s="1"/>
  <c r="V82" i="247" s="1"/>
  <c r="W82" i="247" s="1"/>
  <c r="X82" i="247" s="1"/>
  <c r="Y82" i="247" s="1"/>
  <c r="N83" i="247"/>
  <c r="O83" i="247" s="1"/>
  <c r="P83" i="247" s="1"/>
  <c r="Q83" i="247" s="1"/>
  <c r="R83" i="247" s="1"/>
  <c r="S83" i="247" s="1"/>
  <c r="T83" i="247" s="1"/>
  <c r="U83" i="247" s="1"/>
  <c r="V83" i="247" s="1"/>
  <c r="W83" i="247" s="1"/>
  <c r="X83" i="247" s="1"/>
  <c r="Y83" i="247" s="1"/>
  <c r="N87" i="247"/>
  <c r="O87" i="247" s="1"/>
  <c r="P87" i="247" s="1"/>
  <c r="Q87" i="247" s="1"/>
  <c r="R87" i="247" s="1"/>
  <c r="S87" i="247" s="1"/>
  <c r="T87" i="247" s="1"/>
  <c r="U87" i="247" s="1"/>
  <c r="V87" i="247" s="1"/>
  <c r="W87" i="247" s="1"/>
  <c r="X87" i="247" s="1"/>
  <c r="Y87" i="247" s="1"/>
  <c r="N89" i="247"/>
  <c r="O89" i="247" s="1"/>
  <c r="P89" i="247" s="1"/>
  <c r="Q89" i="247" s="1"/>
  <c r="R89" i="247" s="1"/>
  <c r="S89" i="247" s="1"/>
  <c r="T89" i="247" s="1"/>
  <c r="U89" i="247" s="1"/>
  <c r="V89" i="247" s="1"/>
  <c r="W89" i="247" s="1"/>
  <c r="X89" i="247" s="1"/>
  <c r="Y89" i="247" s="1"/>
  <c r="N90" i="247"/>
  <c r="O90" i="247" s="1"/>
  <c r="P90" i="247" s="1"/>
  <c r="Q90" i="247" s="1"/>
  <c r="R90" i="247" s="1"/>
  <c r="S90" i="247" s="1"/>
  <c r="T90" i="247" s="1"/>
  <c r="U90" i="247" s="1"/>
  <c r="V90" i="247" s="1"/>
  <c r="W90" i="247" s="1"/>
  <c r="X90" i="247" s="1"/>
  <c r="Y90" i="247" s="1"/>
  <c r="N94" i="247"/>
  <c r="O94" i="247" s="1"/>
  <c r="P94" i="247" s="1"/>
  <c r="Q94" i="247" s="1"/>
  <c r="R94" i="247" s="1"/>
  <c r="S94" i="247" s="1"/>
  <c r="T94" i="247" s="1"/>
  <c r="U94" i="247" s="1"/>
  <c r="V94" i="247" s="1"/>
  <c r="W94" i="247" s="1"/>
  <c r="X94" i="247" s="1"/>
  <c r="Y94" i="247" s="1"/>
  <c r="N95" i="247"/>
  <c r="O95" i="247" s="1"/>
  <c r="P95" i="247" s="1"/>
  <c r="Q95" i="247" s="1"/>
  <c r="R95" i="247" s="1"/>
  <c r="S95" i="247" s="1"/>
  <c r="T95" i="247" s="1"/>
  <c r="U95" i="247" s="1"/>
  <c r="V95" i="247" s="1"/>
  <c r="W95" i="247" s="1"/>
  <c r="X95" i="247" s="1"/>
  <c r="Y95" i="247" s="1"/>
  <c r="N97" i="247"/>
  <c r="O97" i="247" s="1"/>
  <c r="P97" i="247" s="1"/>
  <c r="Q97" i="247" s="1"/>
  <c r="R97" i="247" s="1"/>
  <c r="S97" i="247" s="1"/>
  <c r="T97" i="247" s="1"/>
  <c r="U97" i="247" s="1"/>
  <c r="V97" i="247" s="1"/>
  <c r="W97" i="247" s="1"/>
  <c r="X97" i="247" s="1"/>
  <c r="Y97" i="247" s="1"/>
  <c r="N98" i="247"/>
  <c r="O98" i="247" s="1"/>
  <c r="P98" i="247" s="1"/>
  <c r="Q98" i="247" s="1"/>
  <c r="R98" i="247" s="1"/>
  <c r="S98" i="247" s="1"/>
  <c r="T98" i="247" s="1"/>
  <c r="U98" i="247" s="1"/>
  <c r="V98" i="247" s="1"/>
  <c r="W98" i="247" s="1"/>
  <c r="X98" i="247" s="1"/>
  <c r="Y98" i="247" s="1"/>
  <c r="N105" i="247"/>
  <c r="O105" i="247" s="1"/>
  <c r="P105" i="247" s="1"/>
  <c r="Q105" i="247" s="1"/>
  <c r="R105" i="247" s="1"/>
  <c r="S105" i="247" s="1"/>
  <c r="T105" i="247" s="1"/>
  <c r="U105" i="247" s="1"/>
  <c r="V105" i="247" s="1"/>
  <c r="W105" i="247" s="1"/>
  <c r="X105" i="247" s="1"/>
  <c r="Y105" i="247" s="1"/>
  <c r="N106" i="247"/>
  <c r="O106" i="247" s="1"/>
  <c r="P106" i="247" s="1"/>
  <c r="Q106" i="247" s="1"/>
  <c r="R106" i="247" s="1"/>
  <c r="S106" i="247" s="1"/>
  <c r="T106" i="247" s="1"/>
  <c r="U106" i="247" s="1"/>
  <c r="V106" i="247" s="1"/>
  <c r="W106" i="247" s="1"/>
  <c r="X106" i="247" s="1"/>
  <c r="Y106" i="247" s="1"/>
  <c r="N110" i="247"/>
  <c r="O110" i="247" s="1"/>
  <c r="P110" i="247" s="1"/>
  <c r="Q110" i="247" s="1"/>
  <c r="R110" i="247" s="1"/>
  <c r="S110" i="247" s="1"/>
  <c r="T110" i="247" s="1"/>
  <c r="U110" i="247" s="1"/>
  <c r="V110" i="247" s="1"/>
  <c r="W110" i="247" s="1"/>
  <c r="X110" i="247" s="1"/>
  <c r="Y110" i="247" s="1"/>
  <c r="N111" i="247"/>
  <c r="O111" i="247" s="1"/>
  <c r="P111" i="247" s="1"/>
  <c r="Q111" i="247" s="1"/>
  <c r="R111" i="247" s="1"/>
  <c r="S111" i="247" s="1"/>
  <c r="T111" i="247" s="1"/>
  <c r="U111" i="247" s="1"/>
  <c r="V111" i="247" s="1"/>
  <c r="W111" i="247" s="1"/>
  <c r="X111" i="247" s="1"/>
  <c r="Y111" i="247" s="1"/>
  <c r="N113" i="247"/>
  <c r="O113" i="247" s="1"/>
  <c r="P113" i="247" s="1"/>
  <c r="Q113" i="247" s="1"/>
  <c r="R113" i="247" s="1"/>
  <c r="S113" i="247" s="1"/>
  <c r="T113" i="247" s="1"/>
  <c r="U113" i="247" s="1"/>
  <c r="V113" i="247" s="1"/>
  <c r="W113" i="247" s="1"/>
  <c r="X113" i="247" s="1"/>
  <c r="Y113" i="247" s="1"/>
  <c r="N115" i="247"/>
  <c r="O115" i="247" s="1"/>
  <c r="P115" i="247" s="1"/>
  <c r="Q115" i="247" s="1"/>
  <c r="R115" i="247" s="1"/>
  <c r="S115" i="247" s="1"/>
  <c r="T115" i="247" s="1"/>
  <c r="U115" i="247" s="1"/>
  <c r="V115" i="247" s="1"/>
  <c r="W115" i="247" s="1"/>
  <c r="X115" i="247" s="1"/>
  <c r="Y115" i="247" s="1"/>
  <c r="N119" i="247"/>
  <c r="O119" i="247" s="1"/>
  <c r="P119" i="247" s="1"/>
  <c r="Q119" i="247" s="1"/>
  <c r="R119" i="247" s="1"/>
  <c r="S119" i="247" s="1"/>
  <c r="T119" i="247" s="1"/>
  <c r="U119" i="247" s="1"/>
  <c r="V119" i="247" s="1"/>
  <c r="W119" i="247" s="1"/>
  <c r="X119" i="247" s="1"/>
  <c r="Y119" i="247" s="1"/>
  <c r="N121" i="247"/>
  <c r="O121" i="247" s="1"/>
  <c r="P121" i="247" s="1"/>
  <c r="Q121" i="247" s="1"/>
  <c r="R121" i="247" s="1"/>
  <c r="S121" i="247" s="1"/>
  <c r="T121" i="247" s="1"/>
  <c r="U121" i="247" s="1"/>
  <c r="V121" i="247" s="1"/>
  <c r="W121" i="247" s="1"/>
  <c r="X121" i="247" s="1"/>
  <c r="Y121" i="247" s="1"/>
  <c r="N127" i="247"/>
  <c r="O127" i="247" s="1"/>
  <c r="P127" i="247" s="1"/>
  <c r="Q127" i="247" s="1"/>
  <c r="R127" i="247" s="1"/>
  <c r="S127" i="247" s="1"/>
  <c r="T127" i="247" s="1"/>
  <c r="U127" i="247" s="1"/>
  <c r="V127" i="247" s="1"/>
  <c r="W127" i="247" s="1"/>
  <c r="X127" i="247" s="1"/>
  <c r="Y127" i="247" s="1"/>
  <c r="N133" i="247"/>
  <c r="O133" i="247" s="1"/>
  <c r="P133" i="247" s="1"/>
  <c r="Q133" i="247" s="1"/>
  <c r="R133" i="247" s="1"/>
  <c r="S133" i="247" s="1"/>
  <c r="T133" i="247" s="1"/>
  <c r="U133" i="247" s="1"/>
  <c r="V133" i="247" s="1"/>
  <c r="W133" i="247" s="1"/>
  <c r="X133" i="247" s="1"/>
  <c r="Y133" i="247" s="1"/>
  <c r="N134" i="247"/>
  <c r="O134" i="247" s="1"/>
  <c r="P134" i="247" s="1"/>
  <c r="Q134" i="247" s="1"/>
  <c r="R134" i="247" s="1"/>
  <c r="S134" i="247" s="1"/>
  <c r="T134" i="247" s="1"/>
  <c r="U134" i="247" s="1"/>
  <c r="V134" i="247" s="1"/>
  <c r="W134" i="247" s="1"/>
  <c r="X134" i="247" s="1"/>
  <c r="Y134" i="247" s="1"/>
  <c r="N137" i="247"/>
  <c r="O137" i="247" s="1"/>
  <c r="P137" i="247" s="1"/>
  <c r="Q137" i="247" s="1"/>
  <c r="R137" i="247" s="1"/>
  <c r="S137" i="247" s="1"/>
  <c r="T137" i="247" s="1"/>
  <c r="U137" i="247" s="1"/>
  <c r="V137" i="247" s="1"/>
  <c r="W137" i="247" s="1"/>
  <c r="X137" i="247" s="1"/>
  <c r="Y137" i="247" s="1"/>
  <c r="N145" i="247"/>
  <c r="O145" i="247" s="1"/>
  <c r="P145" i="247" s="1"/>
  <c r="Q145" i="247" s="1"/>
  <c r="R145" i="247" s="1"/>
  <c r="S145" i="247" s="1"/>
  <c r="T145" i="247" s="1"/>
  <c r="U145" i="247" s="1"/>
  <c r="V145" i="247" s="1"/>
  <c r="W145" i="247" s="1"/>
  <c r="X145" i="247" s="1"/>
  <c r="Y145" i="247" s="1"/>
  <c r="N147" i="247"/>
  <c r="O147" i="247" s="1"/>
  <c r="P147" i="247" s="1"/>
  <c r="Q147" i="247" s="1"/>
  <c r="R147" i="247" s="1"/>
  <c r="S147" i="247" s="1"/>
  <c r="T147" i="247" s="1"/>
  <c r="U147" i="247" s="1"/>
  <c r="V147" i="247" s="1"/>
  <c r="W147" i="247" s="1"/>
  <c r="X147" i="247" s="1"/>
  <c r="Y147" i="247" s="1"/>
  <c r="N149" i="247"/>
  <c r="O149" i="247" s="1"/>
  <c r="P149" i="247" s="1"/>
  <c r="Q149" i="247" s="1"/>
  <c r="R149" i="247" s="1"/>
  <c r="S149" i="247" s="1"/>
  <c r="T149" i="247" s="1"/>
  <c r="U149" i="247" s="1"/>
  <c r="V149" i="247" s="1"/>
  <c r="W149" i="247" s="1"/>
  <c r="X149" i="247" s="1"/>
  <c r="Y149" i="247" s="1"/>
  <c r="N151" i="247"/>
  <c r="O151" i="247" s="1"/>
  <c r="P151" i="247" s="1"/>
  <c r="Q151" i="247" s="1"/>
  <c r="R151" i="247" s="1"/>
  <c r="S151" i="247" s="1"/>
  <c r="T151" i="247" s="1"/>
  <c r="U151" i="247" s="1"/>
  <c r="V151" i="247" s="1"/>
  <c r="W151" i="247" s="1"/>
  <c r="X151" i="247" s="1"/>
  <c r="Y151" i="247" s="1"/>
  <c r="N152" i="247"/>
  <c r="O152" i="247" s="1"/>
  <c r="P152" i="247" s="1"/>
  <c r="Q152" i="247" s="1"/>
  <c r="R152" i="247" s="1"/>
  <c r="S152" i="247" s="1"/>
  <c r="T152" i="247" s="1"/>
  <c r="U152" i="247" s="1"/>
  <c r="V152" i="247" s="1"/>
  <c r="W152" i="247" s="1"/>
  <c r="X152" i="247" s="1"/>
  <c r="Y152" i="247" s="1"/>
  <c r="N153" i="247"/>
  <c r="O153" i="247" s="1"/>
  <c r="P153" i="247" s="1"/>
  <c r="Q153" i="247" s="1"/>
  <c r="R153" i="247" s="1"/>
  <c r="S153" i="247" s="1"/>
  <c r="T153" i="247" s="1"/>
  <c r="U153" i="247" s="1"/>
  <c r="V153" i="247" s="1"/>
  <c r="W153" i="247" s="1"/>
  <c r="X153" i="247" s="1"/>
  <c r="Y153" i="247" s="1"/>
  <c r="N161" i="247"/>
  <c r="O161" i="247" s="1"/>
  <c r="P161" i="247" s="1"/>
  <c r="Q161" i="247" s="1"/>
  <c r="R161" i="247" s="1"/>
  <c r="S161" i="247" s="1"/>
  <c r="T161" i="247" s="1"/>
  <c r="U161" i="247" s="1"/>
  <c r="V161" i="247" s="1"/>
  <c r="W161" i="247" s="1"/>
  <c r="X161" i="247" s="1"/>
  <c r="Y161" i="247" s="1"/>
  <c r="N163" i="247"/>
  <c r="O163" i="247" s="1"/>
  <c r="P163" i="247" s="1"/>
  <c r="Q163" i="247" s="1"/>
  <c r="R163" i="247" s="1"/>
  <c r="S163" i="247" s="1"/>
  <c r="T163" i="247" s="1"/>
  <c r="U163" i="247" s="1"/>
  <c r="V163" i="247" s="1"/>
  <c r="W163" i="247" s="1"/>
  <c r="X163" i="247" s="1"/>
  <c r="Y163" i="247" s="1"/>
  <c r="N167" i="247"/>
  <c r="N168" i="247"/>
  <c r="O168" i="247" s="1"/>
  <c r="P168" i="247" s="1"/>
  <c r="Q168" i="247" s="1"/>
  <c r="R168" i="247" s="1"/>
  <c r="S168" i="247" s="1"/>
  <c r="T168" i="247" s="1"/>
  <c r="U168" i="247" s="1"/>
  <c r="V168" i="247" s="1"/>
  <c r="W168" i="247" s="1"/>
  <c r="X168" i="247" s="1"/>
  <c r="Y168" i="247" s="1"/>
  <c r="N175" i="247"/>
  <c r="O175" i="247" s="1"/>
  <c r="P175" i="247" s="1"/>
  <c r="Q175" i="247" s="1"/>
  <c r="R175" i="247" s="1"/>
  <c r="S175" i="247" s="1"/>
  <c r="T175" i="247" s="1"/>
  <c r="U175" i="247" s="1"/>
  <c r="V175" i="247" s="1"/>
  <c r="W175" i="247" s="1"/>
  <c r="X175" i="247" s="1"/>
  <c r="Y175" i="247" s="1"/>
  <c r="N179" i="247"/>
  <c r="O179" i="247" s="1"/>
  <c r="P179" i="247" s="1"/>
  <c r="Q179" i="247" s="1"/>
  <c r="R179" i="247" s="1"/>
  <c r="S179" i="247" s="1"/>
  <c r="T179" i="247" s="1"/>
  <c r="U179" i="247" s="1"/>
  <c r="V179" i="247" s="1"/>
  <c r="W179" i="247" s="1"/>
  <c r="X179" i="247" s="1"/>
  <c r="Y179" i="247" s="1"/>
  <c r="N181" i="247"/>
  <c r="O181" i="247" s="1"/>
  <c r="P181" i="247" s="1"/>
  <c r="Q181" i="247" s="1"/>
  <c r="R181" i="247" s="1"/>
  <c r="S181" i="247" s="1"/>
  <c r="T181" i="247" s="1"/>
  <c r="U181" i="247" s="1"/>
  <c r="V181" i="247" s="1"/>
  <c r="W181" i="247" s="1"/>
  <c r="X181" i="247" s="1"/>
  <c r="Y181" i="247" s="1"/>
  <c r="N183" i="247"/>
  <c r="O183" i="247" s="1"/>
  <c r="P183" i="247" s="1"/>
  <c r="Q183" i="247" s="1"/>
  <c r="R183" i="247" s="1"/>
  <c r="S183" i="247" s="1"/>
  <c r="T183" i="247" s="1"/>
  <c r="U183" i="247" s="1"/>
  <c r="V183" i="247" s="1"/>
  <c r="W183" i="247" s="1"/>
  <c r="X183" i="247" s="1"/>
  <c r="Y183" i="247" s="1"/>
  <c r="N185" i="247"/>
  <c r="O185" i="247" s="1"/>
  <c r="P185" i="247" s="1"/>
  <c r="Q185" i="247" s="1"/>
  <c r="R185" i="247" s="1"/>
  <c r="S185" i="247" s="1"/>
  <c r="T185" i="247" s="1"/>
  <c r="U185" i="247" s="1"/>
  <c r="V185" i="247" s="1"/>
  <c r="W185" i="247" s="1"/>
  <c r="X185" i="247" s="1"/>
  <c r="Y185" i="247" s="1"/>
  <c r="N187" i="247"/>
  <c r="O187" i="247" s="1"/>
  <c r="P187" i="247" s="1"/>
  <c r="Q187" i="247" s="1"/>
  <c r="R187" i="247" s="1"/>
  <c r="S187" i="247" s="1"/>
  <c r="T187" i="247" s="1"/>
  <c r="U187" i="247" s="1"/>
  <c r="V187" i="247" s="1"/>
  <c r="W187" i="247" s="1"/>
  <c r="X187" i="247" s="1"/>
  <c r="Y187" i="247" s="1"/>
  <c r="N188" i="247"/>
  <c r="O188" i="247" s="1"/>
  <c r="P188" i="247" s="1"/>
  <c r="Q188" i="247" s="1"/>
  <c r="R188" i="247" s="1"/>
  <c r="S188" i="247" s="1"/>
  <c r="T188" i="247" s="1"/>
  <c r="U188" i="247" s="1"/>
  <c r="V188" i="247" s="1"/>
  <c r="W188" i="247" s="1"/>
  <c r="X188" i="247" s="1"/>
  <c r="Y188" i="247" s="1"/>
  <c r="N192" i="247"/>
  <c r="O192" i="247" s="1"/>
  <c r="P192" i="247" s="1"/>
  <c r="Q192" i="247" s="1"/>
  <c r="R192" i="247" s="1"/>
  <c r="S192" i="247" s="1"/>
  <c r="T192" i="247" s="1"/>
  <c r="U192" i="247" s="1"/>
  <c r="V192" i="247" s="1"/>
  <c r="W192" i="247" s="1"/>
  <c r="X192" i="247" s="1"/>
  <c r="Y192" i="247" s="1"/>
  <c r="N195" i="247"/>
  <c r="O195" i="247" s="1"/>
  <c r="P195" i="247" s="1"/>
  <c r="Q195" i="247" s="1"/>
  <c r="R195" i="247" s="1"/>
  <c r="S195" i="247" s="1"/>
  <c r="T195" i="247" s="1"/>
  <c r="U195" i="247" s="1"/>
  <c r="V195" i="247" s="1"/>
  <c r="W195" i="247" s="1"/>
  <c r="X195" i="247" s="1"/>
  <c r="Y195" i="247" s="1"/>
  <c r="N200" i="247"/>
  <c r="O200" i="247" s="1"/>
  <c r="P200" i="247" s="1"/>
  <c r="Q200" i="247" s="1"/>
  <c r="R200" i="247" s="1"/>
  <c r="S200" i="247" s="1"/>
  <c r="T200" i="247" s="1"/>
  <c r="U200" i="247" s="1"/>
  <c r="V200" i="247" s="1"/>
  <c r="W200" i="247" s="1"/>
  <c r="X200" i="247" s="1"/>
  <c r="Y200" i="247" s="1"/>
  <c r="N204" i="247"/>
  <c r="O204" i="247" s="1"/>
  <c r="P204" i="247" s="1"/>
  <c r="Q204" i="247" s="1"/>
  <c r="R204" i="247" s="1"/>
  <c r="S204" i="247" s="1"/>
  <c r="T204" i="247" s="1"/>
  <c r="U204" i="247" s="1"/>
  <c r="V204" i="247" s="1"/>
  <c r="W204" i="247" s="1"/>
  <c r="X204" i="247" s="1"/>
  <c r="Y204" i="247" s="1"/>
  <c r="N211" i="247"/>
  <c r="O211" i="247" s="1"/>
  <c r="P211" i="247" s="1"/>
  <c r="Q211" i="247" s="1"/>
  <c r="R211" i="247" s="1"/>
  <c r="S211" i="247" s="1"/>
  <c r="T211" i="247" s="1"/>
  <c r="U211" i="247" s="1"/>
  <c r="V211" i="247" s="1"/>
  <c r="W211" i="247" s="1"/>
  <c r="X211" i="247" s="1"/>
  <c r="Y211" i="247" s="1"/>
  <c r="N212" i="247"/>
  <c r="O212" i="247" s="1"/>
  <c r="P212" i="247" s="1"/>
  <c r="Q212" i="247" s="1"/>
  <c r="R212" i="247" s="1"/>
  <c r="S212" i="247" s="1"/>
  <c r="T212" i="247" s="1"/>
  <c r="U212" i="247" s="1"/>
  <c r="V212" i="247" s="1"/>
  <c r="W212" i="247" s="1"/>
  <c r="X212" i="247" s="1"/>
  <c r="Y212" i="247" s="1"/>
  <c r="N219" i="247"/>
  <c r="O219" i="247" s="1"/>
  <c r="P219" i="247" s="1"/>
  <c r="Q219" i="247" s="1"/>
  <c r="R219" i="247" s="1"/>
  <c r="S219" i="247" s="1"/>
  <c r="T219" i="247" s="1"/>
  <c r="U219" i="247" s="1"/>
  <c r="V219" i="247" s="1"/>
  <c r="W219" i="247" s="1"/>
  <c r="X219" i="247" s="1"/>
  <c r="Y219" i="247" s="1"/>
  <c r="N220" i="247"/>
  <c r="O220" i="247" s="1"/>
  <c r="P220" i="247" s="1"/>
  <c r="Q220" i="247" s="1"/>
  <c r="R220" i="247" s="1"/>
  <c r="S220" i="247" s="1"/>
  <c r="T220" i="247" s="1"/>
  <c r="U220" i="247" s="1"/>
  <c r="V220" i="247" s="1"/>
  <c r="W220" i="247" s="1"/>
  <c r="X220" i="247" s="1"/>
  <c r="Y220" i="247" s="1"/>
  <c r="N224" i="247"/>
  <c r="O224" i="247" s="1"/>
  <c r="P224" i="247" s="1"/>
  <c r="Q224" i="247" s="1"/>
  <c r="R224" i="247" s="1"/>
  <c r="S224" i="247" s="1"/>
  <c r="T224" i="247" s="1"/>
  <c r="U224" i="247" s="1"/>
  <c r="V224" i="247" s="1"/>
  <c r="W224" i="247" s="1"/>
  <c r="X224" i="247" s="1"/>
  <c r="Y224" i="247" s="1"/>
  <c r="N227" i="247"/>
  <c r="O227" i="247" s="1"/>
  <c r="P227" i="247" s="1"/>
  <c r="Q227" i="247" s="1"/>
  <c r="R227" i="247" s="1"/>
  <c r="S227" i="247" s="1"/>
  <c r="T227" i="247" s="1"/>
  <c r="U227" i="247" s="1"/>
  <c r="V227" i="247" s="1"/>
  <c r="W227" i="247" s="1"/>
  <c r="X227" i="247" s="1"/>
  <c r="Y227" i="247" s="1"/>
  <c r="N232" i="247"/>
  <c r="O232" i="247" s="1"/>
  <c r="P232" i="247" s="1"/>
  <c r="Q232" i="247" s="1"/>
  <c r="R232" i="247" s="1"/>
  <c r="S232" i="247" s="1"/>
  <c r="T232" i="247" s="1"/>
  <c r="U232" i="247" s="1"/>
  <c r="V232" i="247" s="1"/>
  <c r="W232" i="247" s="1"/>
  <c r="X232" i="247" s="1"/>
  <c r="Y232" i="247" s="1"/>
  <c r="N245" i="247"/>
  <c r="O245" i="247" s="1"/>
  <c r="P245" i="247" s="1"/>
  <c r="Q245" i="247" s="1"/>
  <c r="R245" i="247" s="1"/>
  <c r="S245" i="247" s="1"/>
  <c r="T245" i="247" s="1"/>
  <c r="U245" i="247" s="1"/>
  <c r="V245" i="247" s="1"/>
  <c r="W245" i="247" s="1"/>
  <c r="X245" i="247" s="1"/>
  <c r="Y245" i="247" s="1"/>
  <c r="N250" i="247"/>
  <c r="O250" i="247" s="1"/>
  <c r="P250" i="247" s="1"/>
  <c r="Q250" i="247" s="1"/>
  <c r="R250" i="247" s="1"/>
  <c r="S250" i="247" s="1"/>
  <c r="T250" i="247" s="1"/>
  <c r="U250" i="247" s="1"/>
  <c r="V250" i="247" s="1"/>
  <c r="W250" i="247" s="1"/>
  <c r="X250" i="247" s="1"/>
  <c r="Y250" i="247" s="1"/>
  <c r="N252" i="247"/>
  <c r="O252" i="247" s="1"/>
  <c r="P252" i="247" s="1"/>
  <c r="Q252" i="247" s="1"/>
  <c r="R252" i="247" s="1"/>
  <c r="S252" i="247" s="1"/>
  <c r="T252" i="247" s="1"/>
  <c r="U252" i="247" s="1"/>
  <c r="V252" i="247" s="1"/>
  <c r="W252" i="247" s="1"/>
  <c r="X252" i="247" s="1"/>
  <c r="Y252" i="247" s="1"/>
  <c r="N261" i="247"/>
  <c r="O261" i="247" s="1"/>
  <c r="P261" i="247" s="1"/>
  <c r="Q261" i="247" s="1"/>
  <c r="R261" i="247" s="1"/>
  <c r="S261" i="247" s="1"/>
  <c r="T261" i="247" s="1"/>
  <c r="U261" i="247" s="1"/>
  <c r="V261" i="247" s="1"/>
  <c r="W261" i="247" s="1"/>
  <c r="X261" i="247" s="1"/>
  <c r="Y261" i="247" s="1"/>
  <c r="N266" i="247"/>
  <c r="O266" i="247" s="1"/>
  <c r="P266" i="247" s="1"/>
  <c r="Q266" i="247" s="1"/>
  <c r="R266" i="247" s="1"/>
  <c r="S266" i="247" s="1"/>
  <c r="T266" i="247" s="1"/>
  <c r="U266" i="247" s="1"/>
  <c r="V266" i="247" s="1"/>
  <c r="W266" i="247" s="1"/>
  <c r="X266" i="247" s="1"/>
  <c r="Y266" i="247" s="1"/>
  <c r="N267" i="247"/>
  <c r="O267" i="247" s="1"/>
  <c r="P267" i="247" s="1"/>
  <c r="Q267" i="247" s="1"/>
  <c r="R267" i="247" s="1"/>
  <c r="S267" i="247" s="1"/>
  <c r="T267" i="247" s="1"/>
  <c r="U267" i="247" s="1"/>
  <c r="V267" i="247" s="1"/>
  <c r="W267" i="247" s="1"/>
  <c r="X267" i="247" s="1"/>
  <c r="Y267" i="247" s="1"/>
  <c r="N268" i="247"/>
  <c r="O268" i="247" s="1"/>
  <c r="P268" i="247" s="1"/>
  <c r="Q268" i="247" s="1"/>
  <c r="R268" i="247" s="1"/>
  <c r="S268" i="247" s="1"/>
  <c r="T268" i="247" s="1"/>
  <c r="U268" i="247" s="1"/>
  <c r="V268" i="247" s="1"/>
  <c r="W268" i="247" s="1"/>
  <c r="X268" i="247" s="1"/>
  <c r="Y268" i="247" s="1"/>
  <c r="N277" i="247"/>
  <c r="O277" i="247" s="1"/>
  <c r="P277" i="247" s="1"/>
  <c r="Q277" i="247" s="1"/>
  <c r="R277" i="247" s="1"/>
  <c r="S277" i="247" s="1"/>
  <c r="T277" i="247" s="1"/>
  <c r="U277" i="247" s="1"/>
  <c r="V277" i="247" s="1"/>
  <c r="W277" i="247" s="1"/>
  <c r="X277" i="247" s="1"/>
  <c r="Y277" i="247" s="1"/>
  <c r="N279" i="247"/>
  <c r="O279" i="247" s="1"/>
  <c r="P279" i="247" s="1"/>
  <c r="Q279" i="247" s="1"/>
  <c r="R279" i="247" s="1"/>
  <c r="S279" i="247" s="1"/>
  <c r="T279" i="247" s="1"/>
  <c r="U279" i="247" s="1"/>
  <c r="V279" i="247" s="1"/>
  <c r="W279" i="247" s="1"/>
  <c r="X279" i="247" s="1"/>
  <c r="Y279" i="247" s="1"/>
  <c r="N280" i="247"/>
  <c r="O280" i="247" s="1"/>
  <c r="P280" i="247" s="1"/>
  <c r="Q280" i="247" s="1"/>
  <c r="R280" i="247" s="1"/>
  <c r="S280" i="247" s="1"/>
  <c r="T280" i="247" s="1"/>
  <c r="U280" i="247" s="1"/>
  <c r="V280" i="247" s="1"/>
  <c r="W280" i="247" s="1"/>
  <c r="X280" i="247" s="1"/>
  <c r="Y280" i="247" s="1"/>
  <c r="N282" i="247"/>
  <c r="O282" i="247" s="1"/>
  <c r="P282" i="247" s="1"/>
  <c r="Q282" i="247" s="1"/>
  <c r="R282" i="247" s="1"/>
  <c r="S282" i="247" s="1"/>
  <c r="T282" i="247" s="1"/>
  <c r="U282" i="247" s="1"/>
  <c r="V282" i="247" s="1"/>
  <c r="W282" i="247" s="1"/>
  <c r="X282" i="247" s="1"/>
  <c r="Y282" i="247" s="1"/>
  <c r="N283" i="247"/>
  <c r="O283" i="247" s="1"/>
  <c r="P283" i="247" s="1"/>
  <c r="Q283" i="247" s="1"/>
  <c r="R283" i="247" s="1"/>
  <c r="S283" i="247" s="1"/>
  <c r="T283" i="247" s="1"/>
  <c r="U283" i="247" s="1"/>
  <c r="V283" i="247" s="1"/>
  <c r="W283" i="247" s="1"/>
  <c r="X283" i="247" s="1"/>
  <c r="Y283" i="247" s="1"/>
  <c r="N284" i="247"/>
  <c r="O284" i="247" s="1"/>
  <c r="P284" i="247" s="1"/>
  <c r="Q284" i="247" s="1"/>
  <c r="R284" i="247" s="1"/>
  <c r="S284" i="247" s="1"/>
  <c r="T284" i="247" s="1"/>
  <c r="U284" i="247" s="1"/>
  <c r="V284" i="247" s="1"/>
  <c r="W284" i="247" s="1"/>
  <c r="X284" i="247" s="1"/>
  <c r="Y284" i="247" s="1"/>
  <c r="N285" i="247"/>
  <c r="O285" i="247" s="1"/>
  <c r="P285" i="247" s="1"/>
  <c r="Q285" i="247" s="1"/>
  <c r="R285" i="247" s="1"/>
  <c r="S285" i="247" s="1"/>
  <c r="T285" i="247" s="1"/>
  <c r="U285" i="247" s="1"/>
  <c r="V285" i="247" s="1"/>
  <c r="W285" i="247" s="1"/>
  <c r="X285" i="247" s="1"/>
  <c r="Y285" i="247" s="1"/>
  <c r="N289" i="247"/>
  <c r="O289" i="247" s="1"/>
  <c r="P289" i="247" s="1"/>
  <c r="Q289" i="247" s="1"/>
  <c r="R289" i="247" s="1"/>
  <c r="S289" i="247" s="1"/>
  <c r="T289" i="247" s="1"/>
  <c r="U289" i="247" s="1"/>
  <c r="V289" i="247" s="1"/>
  <c r="W289" i="247" s="1"/>
  <c r="X289" i="247" s="1"/>
  <c r="Y289" i="247" s="1"/>
  <c r="N291" i="247"/>
  <c r="O291" i="247" s="1"/>
  <c r="P291" i="247" s="1"/>
  <c r="Q291" i="247" s="1"/>
  <c r="R291" i="247" s="1"/>
  <c r="S291" i="247" s="1"/>
  <c r="T291" i="247" s="1"/>
  <c r="U291" i="247" s="1"/>
  <c r="V291" i="247" s="1"/>
  <c r="W291" i="247" s="1"/>
  <c r="X291" i="247" s="1"/>
  <c r="Y291" i="247" s="1"/>
  <c r="N295" i="247"/>
  <c r="O295" i="247" s="1"/>
  <c r="P295" i="247" s="1"/>
  <c r="Q295" i="247" s="1"/>
  <c r="R295" i="247" s="1"/>
  <c r="S295" i="247" s="1"/>
  <c r="T295" i="247" s="1"/>
  <c r="U295" i="247" s="1"/>
  <c r="V295" i="247" s="1"/>
  <c r="W295" i="247" s="1"/>
  <c r="X295" i="247" s="1"/>
  <c r="Y295" i="247" s="1"/>
  <c r="N296" i="247"/>
  <c r="O296" i="247" s="1"/>
  <c r="P296" i="247" s="1"/>
  <c r="Q296" i="247" s="1"/>
  <c r="R296" i="247" s="1"/>
  <c r="S296" i="247" s="1"/>
  <c r="T296" i="247" s="1"/>
  <c r="U296" i="247" s="1"/>
  <c r="V296" i="247" s="1"/>
  <c r="W296" i="247" s="1"/>
  <c r="X296" i="247" s="1"/>
  <c r="Y296" i="247" s="1"/>
  <c r="N299" i="247"/>
  <c r="O299" i="247" s="1"/>
  <c r="P299" i="247" s="1"/>
  <c r="Q299" i="247" s="1"/>
  <c r="R299" i="247" s="1"/>
  <c r="S299" i="247" s="1"/>
  <c r="T299" i="247" s="1"/>
  <c r="U299" i="247" s="1"/>
  <c r="V299" i="247" s="1"/>
  <c r="W299" i="247" s="1"/>
  <c r="X299" i="247" s="1"/>
  <c r="Y299" i="247" s="1"/>
  <c r="N300" i="247"/>
  <c r="O300" i="247" s="1"/>
  <c r="P300" i="247" s="1"/>
  <c r="Q300" i="247" s="1"/>
  <c r="R300" i="247" s="1"/>
  <c r="S300" i="247" s="1"/>
  <c r="T300" i="247" s="1"/>
  <c r="U300" i="247" s="1"/>
  <c r="V300" i="247" s="1"/>
  <c r="W300" i="247" s="1"/>
  <c r="X300" i="247" s="1"/>
  <c r="Y300" i="247" s="1"/>
  <c r="N301" i="247"/>
  <c r="O301" i="247" s="1"/>
  <c r="P301" i="247" s="1"/>
  <c r="Q301" i="247" s="1"/>
  <c r="R301" i="247" s="1"/>
  <c r="S301" i="247" s="1"/>
  <c r="T301" i="247" s="1"/>
  <c r="U301" i="247" s="1"/>
  <c r="V301" i="247" s="1"/>
  <c r="W301" i="247" s="1"/>
  <c r="X301" i="247" s="1"/>
  <c r="Y301" i="247" s="1"/>
  <c r="N303" i="247"/>
  <c r="O303" i="247" s="1"/>
  <c r="P303" i="247" s="1"/>
  <c r="Q303" i="247" s="1"/>
  <c r="R303" i="247" s="1"/>
  <c r="S303" i="247" s="1"/>
  <c r="T303" i="247" s="1"/>
  <c r="U303" i="247" s="1"/>
  <c r="V303" i="247" s="1"/>
  <c r="W303" i="247" s="1"/>
  <c r="X303" i="247" s="1"/>
  <c r="Y303" i="247" s="1"/>
  <c r="N307" i="247"/>
  <c r="O307" i="247" s="1"/>
  <c r="P307" i="247" s="1"/>
  <c r="Q307" i="247" s="1"/>
  <c r="R307" i="247" s="1"/>
  <c r="S307" i="247" s="1"/>
  <c r="T307" i="247" s="1"/>
  <c r="U307" i="247" s="1"/>
  <c r="V307" i="247" s="1"/>
  <c r="W307" i="247" s="1"/>
  <c r="X307" i="247" s="1"/>
  <c r="Y307" i="247" s="1"/>
  <c r="N308" i="247"/>
  <c r="O308" i="247" s="1"/>
  <c r="P308" i="247" s="1"/>
  <c r="Q308" i="247" s="1"/>
  <c r="R308" i="247" s="1"/>
  <c r="S308" i="247" s="1"/>
  <c r="T308" i="247" s="1"/>
  <c r="U308" i="247" s="1"/>
  <c r="V308" i="247" s="1"/>
  <c r="W308" i="247" s="1"/>
  <c r="X308" i="247" s="1"/>
  <c r="Y308" i="247" s="1"/>
  <c r="N309" i="247"/>
  <c r="O309" i="247" s="1"/>
  <c r="P309" i="247" s="1"/>
  <c r="Q309" i="247" s="1"/>
  <c r="R309" i="247" s="1"/>
  <c r="S309" i="247" s="1"/>
  <c r="T309" i="247" s="1"/>
  <c r="U309" i="247" s="1"/>
  <c r="V309" i="247" s="1"/>
  <c r="W309" i="247" s="1"/>
  <c r="X309" i="247" s="1"/>
  <c r="Y309" i="247" s="1"/>
  <c r="N310" i="247"/>
  <c r="O310" i="247" s="1"/>
  <c r="P310" i="247" s="1"/>
  <c r="Q310" i="247" s="1"/>
  <c r="R310" i="247" s="1"/>
  <c r="S310" i="247" s="1"/>
  <c r="T310" i="247" s="1"/>
  <c r="U310" i="247" s="1"/>
  <c r="V310" i="247" s="1"/>
  <c r="W310" i="247" s="1"/>
  <c r="X310" i="247" s="1"/>
  <c r="Y310" i="247" s="1"/>
  <c r="N311" i="247"/>
  <c r="O311" i="247" s="1"/>
  <c r="P311" i="247" s="1"/>
  <c r="Q311" i="247" s="1"/>
  <c r="R311" i="247" s="1"/>
  <c r="S311" i="247" s="1"/>
  <c r="T311" i="247" s="1"/>
  <c r="U311" i="247" s="1"/>
  <c r="V311" i="247" s="1"/>
  <c r="W311" i="247" s="1"/>
  <c r="X311" i="247" s="1"/>
  <c r="Y311" i="247" s="1"/>
  <c r="N312" i="247"/>
  <c r="O312" i="247" s="1"/>
  <c r="P312" i="247" s="1"/>
  <c r="Q312" i="247" s="1"/>
  <c r="R312" i="247" s="1"/>
  <c r="S312" i="247" s="1"/>
  <c r="T312" i="247" s="1"/>
  <c r="U312" i="247" s="1"/>
  <c r="V312" i="247" s="1"/>
  <c r="W312" i="247" s="1"/>
  <c r="X312" i="247" s="1"/>
  <c r="Y312" i="247" s="1"/>
  <c r="N313" i="247"/>
  <c r="O313" i="247" s="1"/>
  <c r="P313" i="247" s="1"/>
  <c r="Q313" i="247" s="1"/>
  <c r="R313" i="247" s="1"/>
  <c r="S313" i="247" s="1"/>
  <c r="T313" i="247" s="1"/>
  <c r="U313" i="247" s="1"/>
  <c r="V313" i="247" s="1"/>
  <c r="W313" i="247" s="1"/>
  <c r="X313" i="247" s="1"/>
  <c r="Y313" i="247" s="1"/>
  <c r="N314" i="247"/>
  <c r="O314" i="247" s="1"/>
  <c r="P314" i="247" s="1"/>
  <c r="Q314" i="247" s="1"/>
  <c r="R314" i="247" s="1"/>
  <c r="S314" i="247" s="1"/>
  <c r="T314" i="247" s="1"/>
  <c r="U314" i="247" s="1"/>
  <c r="V314" i="247" s="1"/>
  <c r="W314" i="247" s="1"/>
  <c r="X314" i="247" s="1"/>
  <c r="Y314" i="247" s="1"/>
  <c r="N315" i="247"/>
  <c r="O315" i="247" s="1"/>
  <c r="P315" i="247" s="1"/>
  <c r="Q315" i="247" s="1"/>
  <c r="R315" i="247" s="1"/>
  <c r="S315" i="247" s="1"/>
  <c r="T315" i="247" s="1"/>
  <c r="U315" i="247" s="1"/>
  <c r="V315" i="247" s="1"/>
  <c r="W315" i="247" s="1"/>
  <c r="X315" i="247" s="1"/>
  <c r="Y315" i="247" s="1"/>
  <c r="N316" i="247"/>
  <c r="O316" i="247" s="1"/>
  <c r="P316" i="247" s="1"/>
  <c r="Q316" i="247" s="1"/>
  <c r="R316" i="247" s="1"/>
  <c r="S316" i="247" s="1"/>
  <c r="T316" i="247" s="1"/>
  <c r="U316" i="247" s="1"/>
  <c r="V316" i="247" s="1"/>
  <c r="W316" i="247" s="1"/>
  <c r="X316" i="247" s="1"/>
  <c r="Y316" i="247" s="1"/>
  <c r="N317" i="247"/>
  <c r="O317" i="247" s="1"/>
  <c r="P317" i="247" s="1"/>
  <c r="Q317" i="247" s="1"/>
  <c r="R317" i="247" s="1"/>
  <c r="S317" i="247" s="1"/>
  <c r="T317" i="247" s="1"/>
  <c r="U317" i="247" s="1"/>
  <c r="V317" i="247" s="1"/>
  <c r="W317" i="247" s="1"/>
  <c r="X317" i="247" s="1"/>
  <c r="Y317" i="247" s="1"/>
  <c r="N318" i="247"/>
  <c r="O318" i="247" s="1"/>
  <c r="P318" i="247" s="1"/>
  <c r="Q318" i="247" s="1"/>
  <c r="R318" i="247" s="1"/>
  <c r="S318" i="247" s="1"/>
  <c r="T318" i="247" s="1"/>
  <c r="U318" i="247" s="1"/>
  <c r="V318" i="247" s="1"/>
  <c r="W318" i="247" s="1"/>
  <c r="X318" i="247" s="1"/>
  <c r="Y318" i="247" s="1"/>
  <c r="N319" i="247"/>
  <c r="O319" i="247" s="1"/>
  <c r="P319" i="247" s="1"/>
  <c r="Q319" i="247" s="1"/>
  <c r="R319" i="247" s="1"/>
  <c r="S319" i="247" s="1"/>
  <c r="T319" i="247" s="1"/>
  <c r="U319" i="247" s="1"/>
  <c r="V319" i="247" s="1"/>
  <c r="W319" i="247" s="1"/>
  <c r="X319" i="247" s="1"/>
  <c r="Y319" i="247" s="1"/>
  <c r="N320" i="247"/>
  <c r="O320" i="247" s="1"/>
  <c r="P320" i="247" s="1"/>
  <c r="Q320" i="247" s="1"/>
  <c r="R320" i="247" s="1"/>
  <c r="S320" i="247" s="1"/>
  <c r="T320" i="247" s="1"/>
  <c r="U320" i="247" s="1"/>
  <c r="V320" i="247" s="1"/>
  <c r="W320" i="247" s="1"/>
  <c r="X320" i="247" s="1"/>
  <c r="Y320" i="247" s="1"/>
  <c r="N321" i="247"/>
  <c r="O321" i="247" s="1"/>
  <c r="P321" i="247" s="1"/>
  <c r="Q321" i="247" s="1"/>
  <c r="R321" i="247" s="1"/>
  <c r="S321" i="247" s="1"/>
  <c r="T321" i="247" s="1"/>
  <c r="U321" i="247" s="1"/>
  <c r="V321" i="247" s="1"/>
  <c r="W321" i="247" s="1"/>
  <c r="X321" i="247" s="1"/>
  <c r="Y321" i="247" s="1"/>
  <c r="N322" i="247"/>
  <c r="O322" i="247" s="1"/>
  <c r="P322" i="247" s="1"/>
  <c r="Q322" i="247" s="1"/>
  <c r="R322" i="247" s="1"/>
  <c r="S322" i="247" s="1"/>
  <c r="T322" i="247" s="1"/>
  <c r="U322" i="247" s="1"/>
  <c r="V322" i="247" s="1"/>
  <c r="W322" i="247" s="1"/>
  <c r="X322" i="247" s="1"/>
  <c r="Y322" i="247" s="1"/>
  <c r="N323" i="247"/>
  <c r="O323" i="247" s="1"/>
  <c r="P323" i="247" s="1"/>
  <c r="Q323" i="247" s="1"/>
  <c r="R323" i="247" s="1"/>
  <c r="S323" i="247" s="1"/>
  <c r="T323" i="247" s="1"/>
  <c r="U323" i="247" s="1"/>
  <c r="V323" i="247" s="1"/>
  <c r="W323" i="247" s="1"/>
  <c r="X323" i="247" s="1"/>
  <c r="Y323" i="247" s="1"/>
  <c r="N324" i="247"/>
  <c r="O324" i="247" s="1"/>
  <c r="P324" i="247" s="1"/>
  <c r="Q324" i="247" s="1"/>
  <c r="R324" i="247" s="1"/>
  <c r="S324" i="247" s="1"/>
  <c r="T324" i="247" s="1"/>
  <c r="U324" i="247" s="1"/>
  <c r="V324" i="247" s="1"/>
  <c r="W324" i="247" s="1"/>
  <c r="X324" i="247" s="1"/>
  <c r="Y324" i="247" s="1"/>
  <c r="N325" i="247"/>
  <c r="O325" i="247" s="1"/>
  <c r="P325" i="247" s="1"/>
  <c r="Q325" i="247" s="1"/>
  <c r="R325" i="247" s="1"/>
  <c r="S325" i="247" s="1"/>
  <c r="T325" i="247" s="1"/>
  <c r="U325" i="247" s="1"/>
  <c r="V325" i="247" s="1"/>
  <c r="W325" i="247" s="1"/>
  <c r="X325" i="247" s="1"/>
  <c r="Y325" i="247" s="1"/>
  <c r="N326" i="247"/>
  <c r="O326" i="247" s="1"/>
  <c r="P326" i="247" s="1"/>
  <c r="Q326" i="247" s="1"/>
  <c r="R326" i="247" s="1"/>
  <c r="S326" i="247" s="1"/>
  <c r="T326" i="247" s="1"/>
  <c r="U326" i="247" s="1"/>
  <c r="V326" i="247" s="1"/>
  <c r="W326" i="247" s="1"/>
  <c r="X326" i="247" s="1"/>
  <c r="Y326" i="247" s="1"/>
  <c r="N327" i="247"/>
  <c r="O327" i="247" s="1"/>
  <c r="P327" i="247" s="1"/>
  <c r="Q327" i="247" s="1"/>
  <c r="R327" i="247" s="1"/>
  <c r="S327" i="247" s="1"/>
  <c r="T327" i="247" s="1"/>
  <c r="U327" i="247" s="1"/>
  <c r="V327" i="247" s="1"/>
  <c r="W327" i="247" s="1"/>
  <c r="X327" i="247" s="1"/>
  <c r="Y327" i="247" s="1"/>
  <c r="N328" i="247"/>
  <c r="O328" i="247" s="1"/>
  <c r="P328" i="247" s="1"/>
  <c r="Q328" i="247" s="1"/>
  <c r="R328" i="247" s="1"/>
  <c r="S328" i="247" s="1"/>
  <c r="T328" i="247" s="1"/>
  <c r="U328" i="247" s="1"/>
  <c r="V328" i="247" s="1"/>
  <c r="W328" i="247" s="1"/>
  <c r="X328" i="247" s="1"/>
  <c r="Y328" i="247" s="1"/>
  <c r="N329" i="247"/>
  <c r="O329" i="247" s="1"/>
  <c r="P329" i="247" s="1"/>
  <c r="Q329" i="247" s="1"/>
  <c r="R329" i="247" s="1"/>
  <c r="S329" i="247" s="1"/>
  <c r="T329" i="247" s="1"/>
  <c r="U329" i="247" s="1"/>
  <c r="V329" i="247" s="1"/>
  <c r="W329" i="247" s="1"/>
  <c r="X329" i="247" s="1"/>
  <c r="Y329" i="247" s="1"/>
  <c r="N330" i="247"/>
  <c r="O330" i="247" s="1"/>
  <c r="P330" i="247" s="1"/>
  <c r="Q330" i="247" s="1"/>
  <c r="R330" i="247" s="1"/>
  <c r="S330" i="247" s="1"/>
  <c r="T330" i="247" s="1"/>
  <c r="U330" i="247" s="1"/>
  <c r="V330" i="247" s="1"/>
  <c r="W330" i="247" s="1"/>
  <c r="X330" i="247" s="1"/>
  <c r="Y330" i="247" s="1"/>
  <c r="N331" i="247"/>
  <c r="O331" i="247" s="1"/>
  <c r="P331" i="247" s="1"/>
  <c r="Q331" i="247" s="1"/>
  <c r="R331" i="247" s="1"/>
  <c r="S331" i="247" s="1"/>
  <c r="T331" i="247" s="1"/>
  <c r="U331" i="247" s="1"/>
  <c r="V331" i="247" s="1"/>
  <c r="W331" i="247" s="1"/>
  <c r="X331" i="247" s="1"/>
  <c r="Y331" i="247" s="1"/>
  <c r="N332" i="247"/>
  <c r="O332" i="247" s="1"/>
  <c r="P332" i="247" s="1"/>
  <c r="Q332" i="247" s="1"/>
  <c r="R332" i="247" s="1"/>
  <c r="S332" i="247" s="1"/>
  <c r="T332" i="247" s="1"/>
  <c r="U332" i="247" s="1"/>
  <c r="V332" i="247" s="1"/>
  <c r="W332" i="247" s="1"/>
  <c r="X332" i="247" s="1"/>
  <c r="Y332" i="247" s="1"/>
  <c r="N333" i="247"/>
  <c r="O333" i="247" s="1"/>
  <c r="P333" i="247" s="1"/>
  <c r="Q333" i="247" s="1"/>
  <c r="R333" i="247" s="1"/>
  <c r="S333" i="247" s="1"/>
  <c r="T333" i="247" s="1"/>
  <c r="U333" i="247" s="1"/>
  <c r="V333" i="247" s="1"/>
  <c r="W333" i="247" s="1"/>
  <c r="X333" i="247" s="1"/>
  <c r="Y333" i="247" s="1"/>
  <c r="N334" i="247"/>
  <c r="O334" i="247" s="1"/>
  <c r="P334" i="247" s="1"/>
  <c r="Q334" i="247" s="1"/>
  <c r="R334" i="247" s="1"/>
  <c r="S334" i="247" s="1"/>
  <c r="T334" i="247" s="1"/>
  <c r="U334" i="247" s="1"/>
  <c r="V334" i="247" s="1"/>
  <c r="W334" i="247" s="1"/>
  <c r="X334" i="247" s="1"/>
  <c r="Y334" i="247" s="1"/>
  <c r="N335" i="247"/>
  <c r="O335" i="247" s="1"/>
  <c r="P335" i="247" s="1"/>
  <c r="Q335" i="247" s="1"/>
  <c r="R335" i="247" s="1"/>
  <c r="S335" i="247" s="1"/>
  <c r="T335" i="247" s="1"/>
  <c r="U335" i="247" s="1"/>
  <c r="V335" i="247" s="1"/>
  <c r="W335" i="247" s="1"/>
  <c r="X335" i="247" s="1"/>
  <c r="Y335" i="247" s="1"/>
  <c r="N336" i="247"/>
  <c r="O336" i="247" s="1"/>
  <c r="P336" i="247" s="1"/>
  <c r="Q336" i="247" s="1"/>
  <c r="R336" i="247" s="1"/>
  <c r="S336" i="247" s="1"/>
  <c r="T336" i="247" s="1"/>
  <c r="U336" i="247" s="1"/>
  <c r="V336" i="247" s="1"/>
  <c r="W336" i="247" s="1"/>
  <c r="X336" i="247" s="1"/>
  <c r="Y336" i="247" s="1"/>
  <c r="N337" i="247"/>
  <c r="O337" i="247" s="1"/>
  <c r="P337" i="247" s="1"/>
  <c r="Q337" i="247" s="1"/>
  <c r="R337" i="247" s="1"/>
  <c r="S337" i="247" s="1"/>
  <c r="T337" i="247" s="1"/>
  <c r="U337" i="247" s="1"/>
  <c r="V337" i="247" s="1"/>
  <c r="W337" i="247" s="1"/>
  <c r="X337" i="247" s="1"/>
  <c r="Y337" i="247" s="1"/>
  <c r="N338" i="247"/>
  <c r="O338" i="247" s="1"/>
  <c r="P338" i="247" s="1"/>
  <c r="Q338" i="247" s="1"/>
  <c r="R338" i="247" s="1"/>
  <c r="S338" i="247" s="1"/>
  <c r="T338" i="247" s="1"/>
  <c r="U338" i="247" s="1"/>
  <c r="V338" i="247" s="1"/>
  <c r="W338" i="247" s="1"/>
  <c r="X338" i="247" s="1"/>
  <c r="Y338" i="247" s="1"/>
  <c r="N339" i="247"/>
  <c r="O339" i="247" s="1"/>
  <c r="P339" i="247" s="1"/>
  <c r="Q339" i="247" s="1"/>
  <c r="R339" i="247" s="1"/>
  <c r="S339" i="247" s="1"/>
  <c r="T339" i="247" s="1"/>
  <c r="U339" i="247" s="1"/>
  <c r="V339" i="247" s="1"/>
  <c r="W339" i="247" s="1"/>
  <c r="X339" i="247" s="1"/>
  <c r="Y339" i="247" s="1"/>
  <c r="N340" i="247"/>
  <c r="O340" i="247" s="1"/>
  <c r="P340" i="247" s="1"/>
  <c r="Q340" i="247" s="1"/>
  <c r="R340" i="247" s="1"/>
  <c r="S340" i="247" s="1"/>
  <c r="T340" i="247" s="1"/>
  <c r="U340" i="247" s="1"/>
  <c r="V340" i="247" s="1"/>
  <c r="W340" i="247" s="1"/>
  <c r="X340" i="247" s="1"/>
  <c r="Y340" i="247" s="1"/>
  <c r="N341" i="247"/>
  <c r="O341" i="247" s="1"/>
  <c r="P341" i="247" s="1"/>
  <c r="Q341" i="247" s="1"/>
  <c r="R341" i="247" s="1"/>
  <c r="S341" i="247" s="1"/>
  <c r="T341" i="247" s="1"/>
  <c r="U341" i="247" s="1"/>
  <c r="V341" i="247" s="1"/>
  <c r="W341" i="247" s="1"/>
  <c r="X341" i="247" s="1"/>
  <c r="Y341" i="247" s="1"/>
  <c r="N342" i="247"/>
  <c r="O342" i="247" s="1"/>
  <c r="P342" i="247" s="1"/>
  <c r="Q342" i="247" s="1"/>
  <c r="R342" i="247" s="1"/>
  <c r="S342" i="247" s="1"/>
  <c r="T342" i="247" s="1"/>
  <c r="U342" i="247" s="1"/>
  <c r="V342" i="247" s="1"/>
  <c r="W342" i="247" s="1"/>
  <c r="X342" i="247" s="1"/>
  <c r="Y342" i="247" s="1"/>
  <c r="N343" i="247"/>
  <c r="O343" i="247" s="1"/>
  <c r="P343" i="247" s="1"/>
  <c r="Q343" i="247" s="1"/>
  <c r="R343" i="247" s="1"/>
  <c r="S343" i="247" s="1"/>
  <c r="T343" i="247" s="1"/>
  <c r="U343" i="247" s="1"/>
  <c r="V343" i="247" s="1"/>
  <c r="W343" i="247" s="1"/>
  <c r="X343" i="247" s="1"/>
  <c r="Y343" i="247" s="1"/>
  <c r="N344" i="247"/>
  <c r="O344" i="247" s="1"/>
  <c r="P344" i="247" s="1"/>
  <c r="Q344" i="247" s="1"/>
  <c r="R344" i="247" s="1"/>
  <c r="S344" i="247" s="1"/>
  <c r="T344" i="247" s="1"/>
  <c r="U344" i="247" s="1"/>
  <c r="V344" i="247" s="1"/>
  <c r="W344" i="247" s="1"/>
  <c r="X344" i="247" s="1"/>
  <c r="Y344" i="247" s="1"/>
  <c r="N345" i="247"/>
  <c r="O345" i="247" s="1"/>
  <c r="P345" i="247" s="1"/>
  <c r="Q345" i="247" s="1"/>
  <c r="R345" i="247" s="1"/>
  <c r="S345" i="247" s="1"/>
  <c r="T345" i="247" s="1"/>
  <c r="U345" i="247" s="1"/>
  <c r="V345" i="247" s="1"/>
  <c r="W345" i="247" s="1"/>
  <c r="X345" i="247" s="1"/>
  <c r="Y345" i="247" s="1"/>
  <c r="N346" i="247"/>
  <c r="O346" i="247" s="1"/>
  <c r="P346" i="247" s="1"/>
  <c r="Q346" i="247" s="1"/>
  <c r="R346" i="247" s="1"/>
  <c r="S346" i="247" s="1"/>
  <c r="T346" i="247" s="1"/>
  <c r="U346" i="247" s="1"/>
  <c r="V346" i="247" s="1"/>
  <c r="W346" i="247" s="1"/>
  <c r="X346" i="247" s="1"/>
  <c r="Y346" i="247" s="1"/>
  <c r="N347" i="247"/>
  <c r="O347" i="247" s="1"/>
  <c r="P347" i="247" s="1"/>
  <c r="Q347" i="247" s="1"/>
  <c r="R347" i="247" s="1"/>
  <c r="S347" i="247" s="1"/>
  <c r="T347" i="247" s="1"/>
  <c r="U347" i="247" s="1"/>
  <c r="V347" i="247" s="1"/>
  <c r="W347" i="247" s="1"/>
  <c r="X347" i="247" s="1"/>
  <c r="Y347" i="247" s="1"/>
  <c r="N348" i="247"/>
  <c r="O348" i="247" s="1"/>
  <c r="P348" i="247" s="1"/>
  <c r="Q348" i="247" s="1"/>
  <c r="R348" i="247" s="1"/>
  <c r="S348" i="247" s="1"/>
  <c r="T348" i="247" s="1"/>
  <c r="U348" i="247" s="1"/>
  <c r="V348" i="247" s="1"/>
  <c r="W348" i="247" s="1"/>
  <c r="X348" i="247" s="1"/>
  <c r="Y348" i="247" s="1"/>
  <c r="N349" i="247"/>
  <c r="O349" i="247" s="1"/>
  <c r="P349" i="247" s="1"/>
  <c r="Q349" i="247" s="1"/>
  <c r="R349" i="247" s="1"/>
  <c r="S349" i="247" s="1"/>
  <c r="T349" i="247" s="1"/>
  <c r="U349" i="247" s="1"/>
  <c r="V349" i="247" s="1"/>
  <c r="W349" i="247" s="1"/>
  <c r="X349" i="247" s="1"/>
  <c r="Y349" i="247" s="1"/>
  <c r="N350" i="247"/>
  <c r="O350" i="247" s="1"/>
  <c r="P350" i="247" s="1"/>
  <c r="Q350" i="247" s="1"/>
  <c r="R350" i="247" s="1"/>
  <c r="S350" i="247" s="1"/>
  <c r="T350" i="247" s="1"/>
  <c r="U350" i="247" s="1"/>
  <c r="V350" i="247" s="1"/>
  <c r="W350" i="247" s="1"/>
  <c r="X350" i="247" s="1"/>
  <c r="Y350" i="247" s="1"/>
  <c r="N351" i="247"/>
  <c r="O351" i="247" s="1"/>
  <c r="P351" i="247" s="1"/>
  <c r="Q351" i="247" s="1"/>
  <c r="R351" i="247" s="1"/>
  <c r="S351" i="247" s="1"/>
  <c r="T351" i="247" s="1"/>
  <c r="U351" i="247" s="1"/>
  <c r="V351" i="247" s="1"/>
  <c r="W351" i="247" s="1"/>
  <c r="X351" i="247" s="1"/>
  <c r="Y351" i="247" s="1"/>
  <c r="N352" i="247"/>
  <c r="O352" i="247" s="1"/>
  <c r="P352" i="247" s="1"/>
  <c r="Q352" i="247" s="1"/>
  <c r="R352" i="247" s="1"/>
  <c r="S352" i="247" s="1"/>
  <c r="T352" i="247" s="1"/>
  <c r="U352" i="247" s="1"/>
  <c r="V352" i="247" s="1"/>
  <c r="W352" i="247" s="1"/>
  <c r="X352" i="247" s="1"/>
  <c r="Y352" i="247" s="1"/>
  <c r="N353" i="247"/>
  <c r="O353" i="247" s="1"/>
  <c r="P353" i="247" s="1"/>
  <c r="Q353" i="247" s="1"/>
  <c r="R353" i="247" s="1"/>
  <c r="S353" i="247" s="1"/>
  <c r="T353" i="247" s="1"/>
  <c r="U353" i="247" s="1"/>
  <c r="V353" i="247" s="1"/>
  <c r="W353" i="247" s="1"/>
  <c r="X353" i="247" s="1"/>
  <c r="Y353" i="247" s="1"/>
  <c r="N354" i="247"/>
  <c r="O354" i="247" s="1"/>
  <c r="P354" i="247" s="1"/>
  <c r="Q354" i="247" s="1"/>
  <c r="R354" i="247" s="1"/>
  <c r="S354" i="247" s="1"/>
  <c r="T354" i="247" s="1"/>
  <c r="U354" i="247" s="1"/>
  <c r="V354" i="247" s="1"/>
  <c r="W354" i="247" s="1"/>
  <c r="X354" i="247" s="1"/>
  <c r="Y354" i="247" s="1"/>
  <c r="N355" i="247"/>
  <c r="O355" i="247" s="1"/>
  <c r="P355" i="247" s="1"/>
  <c r="Q355" i="247" s="1"/>
  <c r="R355" i="247" s="1"/>
  <c r="S355" i="247" s="1"/>
  <c r="T355" i="247" s="1"/>
  <c r="U355" i="247" s="1"/>
  <c r="V355" i="247" s="1"/>
  <c r="W355" i="247" s="1"/>
  <c r="X355" i="247" s="1"/>
  <c r="Y355" i="247" s="1"/>
  <c r="N356" i="247"/>
  <c r="O356" i="247" s="1"/>
  <c r="P356" i="247" s="1"/>
  <c r="Q356" i="247" s="1"/>
  <c r="R356" i="247" s="1"/>
  <c r="S356" i="247" s="1"/>
  <c r="T356" i="247" s="1"/>
  <c r="U356" i="247" s="1"/>
  <c r="V356" i="247" s="1"/>
  <c r="W356" i="247" s="1"/>
  <c r="X356" i="247" s="1"/>
  <c r="Y356" i="247" s="1"/>
  <c r="N357" i="247"/>
  <c r="O357" i="247" s="1"/>
  <c r="P357" i="247" s="1"/>
  <c r="Q357" i="247" s="1"/>
  <c r="R357" i="247" s="1"/>
  <c r="S357" i="247" s="1"/>
  <c r="T357" i="247" s="1"/>
  <c r="U357" i="247" s="1"/>
  <c r="V357" i="247" s="1"/>
  <c r="W357" i="247" s="1"/>
  <c r="X357" i="247" s="1"/>
  <c r="Y357" i="247" s="1"/>
  <c r="N358" i="247"/>
  <c r="O358" i="247" s="1"/>
  <c r="P358" i="247" s="1"/>
  <c r="Q358" i="247" s="1"/>
  <c r="R358" i="247" s="1"/>
  <c r="S358" i="247" s="1"/>
  <c r="T358" i="247" s="1"/>
  <c r="U358" i="247" s="1"/>
  <c r="V358" i="247" s="1"/>
  <c r="W358" i="247" s="1"/>
  <c r="X358" i="247" s="1"/>
  <c r="Y358" i="247" s="1"/>
  <c r="N359" i="247"/>
  <c r="O359" i="247" s="1"/>
  <c r="P359" i="247" s="1"/>
  <c r="Q359" i="247" s="1"/>
  <c r="R359" i="247" s="1"/>
  <c r="S359" i="247" s="1"/>
  <c r="T359" i="247" s="1"/>
  <c r="U359" i="247" s="1"/>
  <c r="V359" i="247" s="1"/>
  <c r="W359" i="247" s="1"/>
  <c r="X359" i="247" s="1"/>
  <c r="Y359" i="247" s="1"/>
  <c r="N360" i="247"/>
  <c r="O360" i="247" s="1"/>
  <c r="P360" i="247" s="1"/>
  <c r="Q360" i="247" s="1"/>
  <c r="R360" i="247" s="1"/>
  <c r="S360" i="247" s="1"/>
  <c r="T360" i="247" s="1"/>
  <c r="U360" i="247" s="1"/>
  <c r="V360" i="247" s="1"/>
  <c r="W360" i="247" s="1"/>
  <c r="X360" i="247" s="1"/>
  <c r="Y360" i="247" s="1"/>
  <c r="N361" i="247"/>
  <c r="O361" i="247" s="1"/>
  <c r="P361" i="247" s="1"/>
  <c r="Q361" i="247" s="1"/>
  <c r="R361" i="247" s="1"/>
  <c r="S361" i="247" s="1"/>
  <c r="T361" i="247" s="1"/>
  <c r="U361" i="247" s="1"/>
  <c r="V361" i="247" s="1"/>
  <c r="W361" i="247" s="1"/>
  <c r="X361" i="247" s="1"/>
  <c r="Y361" i="247" s="1"/>
  <c r="N362" i="247"/>
  <c r="O362" i="247" s="1"/>
  <c r="P362" i="247" s="1"/>
  <c r="Q362" i="247" s="1"/>
  <c r="R362" i="247" s="1"/>
  <c r="S362" i="247" s="1"/>
  <c r="T362" i="247" s="1"/>
  <c r="U362" i="247" s="1"/>
  <c r="V362" i="247" s="1"/>
  <c r="W362" i="247" s="1"/>
  <c r="X362" i="247" s="1"/>
  <c r="Y362" i="247" s="1"/>
  <c r="N363" i="247"/>
  <c r="O363" i="247" s="1"/>
  <c r="P363" i="247" s="1"/>
  <c r="Q363" i="247" s="1"/>
  <c r="R363" i="247" s="1"/>
  <c r="S363" i="247" s="1"/>
  <c r="T363" i="247" s="1"/>
  <c r="U363" i="247" s="1"/>
  <c r="V363" i="247" s="1"/>
  <c r="W363" i="247" s="1"/>
  <c r="X363" i="247" s="1"/>
  <c r="Y363" i="247" s="1"/>
  <c r="N364" i="247"/>
  <c r="O364" i="247" s="1"/>
  <c r="P364" i="247" s="1"/>
  <c r="Q364" i="247" s="1"/>
  <c r="R364" i="247" s="1"/>
  <c r="S364" i="247" s="1"/>
  <c r="T364" i="247" s="1"/>
  <c r="U364" i="247" s="1"/>
  <c r="V364" i="247" s="1"/>
  <c r="W364" i="247" s="1"/>
  <c r="X364" i="247" s="1"/>
  <c r="Y364" i="247" s="1"/>
  <c r="N365" i="247"/>
  <c r="O365" i="247" s="1"/>
  <c r="P365" i="247" s="1"/>
  <c r="Q365" i="247" s="1"/>
  <c r="R365" i="247" s="1"/>
  <c r="S365" i="247" s="1"/>
  <c r="T365" i="247" s="1"/>
  <c r="U365" i="247" s="1"/>
  <c r="V365" i="247" s="1"/>
  <c r="W365" i="247" s="1"/>
  <c r="X365" i="247" s="1"/>
  <c r="Y365" i="247" s="1"/>
  <c r="N366" i="247"/>
  <c r="O366" i="247" s="1"/>
  <c r="P366" i="247" s="1"/>
  <c r="Q366" i="247" s="1"/>
  <c r="R366" i="247" s="1"/>
  <c r="S366" i="247" s="1"/>
  <c r="T366" i="247" s="1"/>
  <c r="U366" i="247" s="1"/>
  <c r="V366" i="247" s="1"/>
  <c r="W366" i="247" s="1"/>
  <c r="X366" i="247" s="1"/>
  <c r="Y366" i="247" s="1"/>
  <c r="N367" i="247"/>
  <c r="O367" i="247" s="1"/>
  <c r="P367" i="247" s="1"/>
  <c r="Q367" i="247" s="1"/>
  <c r="R367" i="247" s="1"/>
  <c r="S367" i="247" s="1"/>
  <c r="T367" i="247" s="1"/>
  <c r="U367" i="247" s="1"/>
  <c r="V367" i="247" s="1"/>
  <c r="W367" i="247" s="1"/>
  <c r="X367" i="247" s="1"/>
  <c r="Y367" i="247" s="1"/>
  <c r="N368" i="247"/>
  <c r="O368" i="247" s="1"/>
  <c r="P368" i="247" s="1"/>
  <c r="Q368" i="247" s="1"/>
  <c r="R368" i="247" s="1"/>
  <c r="S368" i="247" s="1"/>
  <c r="T368" i="247" s="1"/>
  <c r="U368" i="247" s="1"/>
  <c r="V368" i="247" s="1"/>
  <c r="W368" i="247" s="1"/>
  <c r="X368" i="247" s="1"/>
  <c r="Y368" i="247" s="1"/>
  <c r="N369" i="247"/>
  <c r="O369" i="247" s="1"/>
  <c r="P369" i="247" s="1"/>
  <c r="Q369" i="247" s="1"/>
  <c r="R369" i="247" s="1"/>
  <c r="S369" i="247" s="1"/>
  <c r="T369" i="247" s="1"/>
  <c r="U369" i="247" s="1"/>
  <c r="V369" i="247" s="1"/>
  <c r="W369" i="247" s="1"/>
  <c r="X369" i="247" s="1"/>
  <c r="Y369" i="247" s="1"/>
  <c r="N370" i="247"/>
  <c r="O370" i="247" s="1"/>
  <c r="P370" i="247" s="1"/>
  <c r="Q370" i="247" s="1"/>
  <c r="R370" i="247" s="1"/>
  <c r="S370" i="247" s="1"/>
  <c r="T370" i="247" s="1"/>
  <c r="U370" i="247" s="1"/>
  <c r="V370" i="247" s="1"/>
  <c r="W370" i="247" s="1"/>
  <c r="X370" i="247" s="1"/>
  <c r="Y370" i="247" s="1"/>
  <c r="N371" i="247"/>
  <c r="O371" i="247" s="1"/>
  <c r="P371" i="247" s="1"/>
  <c r="Q371" i="247" s="1"/>
  <c r="R371" i="247" s="1"/>
  <c r="S371" i="247" s="1"/>
  <c r="T371" i="247" s="1"/>
  <c r="U371" i="247" s="1"/>
  <c r="V371" i="247" s="1"/>
  <c r="W371" i="247" s="1"/>
  <c r="X371" i="247" s="1"/>
  <c r="Y371" i="247" s="1"/>
  <c r="N372" i="247"/>
  <c r="O372" i="247" s="1"/>
  <c r="P372" i="247" s="1"/>
  <c r="Q372" i="247" s="1"/>
  <c r="R372" i="247" s="1"/>
  <c r="S372" i="247" s="1"/>
  <c r="T372" i="247" s="1"/>
  <c r="U372" i="247" s="1"/>
  <c r="V372" i="247" s="1"/>
  <c r="W372" i="247" s="1"/>
  <c r="X372" i="247" s="1"/>
  <c r="Y372" i="247" s="1"/>
  <c r="N373" i="247"/>
  <c r="O373" i="247" s="1"/>
  <c r="P373" i="247" s="1"/>
  <c r="Q373" i="247" s="1"/>
  <c r="R373" i="247" s="1"/>
  <c r="S373" i="247" s="1"/>
  <c r="T373" i="247" s="1"/>
  <c r="U373" i="247" s="1"/>
  <c r="V373" i="247" s="1"/>
  <c r="W373" i="247" s="1"/>
  <c r="X373" i="247" s="1"/>
  <c r="Y373" i="247" s="1"/>
  <c r="N374" i="247"/>
  <c r="O374" i="247" s="1"/>
  <c r="P374" i="247" s="1"/>
  <c r="Q374" i="247" s="1"/>
  <c r="R374" i="247" s="1"/>
  <c r="S374" i="247" s="1"/>
  <c r="T374" i="247" s="1"/>
  <c r="U374" i="247" s="1"/>
  <c r="V374" i="247" s="1"/>
  <c r="W374" i="247" s="1"/>
  <c r="X374" i="247" s="1"/>
  <c r="Y374" i="247" s="1"/>
  <c r="N375" i="247"/>
  <c r="O375" i="247" s="1"/>
  <c r="P375" i="247" s="1"/>
  <c r="Q375" i="247" s="1"/>
  <c r="R375" i="247" s="1"/>
  <c r="S375" i="247" s="1"/>
  <c r="T375" i="247" s="1"/>
  <c r="U375" i="247" s="1"/>
  <c r="V375" i="247" s="1"/>
  <c r="W375" i="247" s="1"/>
  <c r="X375" i="247" s="1"/>
  <c r="Y375" i="247" s="1"/>
  <c r="N376" i="247"/>
  <c r="O376" i="247" s="1"/>
  <c r="P376" i="247" s="1"/>
  <c r="Q376" i="247" s="1"/>
  <c r="R376" i="247" s="1"/>
  <c r="S376" i="247" s="1"/>
  <c r="T376" i="247" s="1"/>
  <c r="U376" i="247" s="1"/>
  <c r="V376" i="247" s="1"/>
  <c r="W376" i="247" s="1"/>
  <c r="X376" i="247" s="1"/>
  <c r="Y376" i="247" s="1"/>
  <c r="N377" i="247"/>
  <c r="O377" i="247" s="1"/>
  <c r="P377" i="247" s="1"/>
  <c r="Q377" i="247" s="1"/>
  <c r="R377" i="247" s="1"/>
  <c r="S377" i="247" s="1"/>
  <c r="T377" i="247" s="1"/>
  <c r="U377" i="247" s="1"/>
  <c r="V377" i="247" s="1"/>
  <c r="W377" i="247" s="1"/>
  <c r="X377" i="247" s="1"/>
  <c r="Y377" i="247" s="1"/>
  <c r="N378" i="247"/>
  <c r="O378" i="247" s="1"/>
  <c r="P378" i="247" s="1"/>
  <c r="Q378" i="247" s="1"/>
  <c r="R378" i="247" s="1"/>
  <c r="S378" i="247" s="1"/>
  <c r="T378" i="247" s="1"/>
  <c r="U378" i="247" s="1"/>
  <c r="V378" i="247" s="1"/>
  <c r="W378" i="247" s="1"/>
  <c r="X378" i="247" s="1"/>
  <c r="Y378" i="247" s="1"/>
  <c r="N379" i="247"/>
  <c r="O379" i="247" s="1"/>
  <c r="P379" i="247" s="1"/>
  <c r="Q379" i="247" s="1"/>
  <c r="R379" i="247" s="1"/>
  <c r="S379" i="247" s="1"/>
  <c r="T379" i="247" s="1"/>
  <c r="U379" i="247" s="1"/>
  <c r="V379" i="247" s="1"/>
  <c r="W379" i="247" s="1"/>
  <c r="X379" i="247" s="1"/>
  <c r="Y379" i="247" s="1"/>
  <c r="N380" i="247"/>
  <c r="O380" i="247" s="1"/>
  <c r="P380" i="247" s="1"/>
  <c r="Q380" i="247" s="1"/>
  <c r="R380" i="247" s="1"/>
  <c r="S380" i="247" s="1"/>
  <c r="T380" i="247" s="1"/>
  <c r="U380" i="247" s="1"/>
  <c r="V380" i="247" s="1"/>
  <c r="W380" i="247" s="1"/>
  <c r="X380" i="247" s="1"/>
  <c r="Y380" i="247" s="1"/>
  <c r="N381" i="247"/>
  <c r="O381" i="247" s="1"/>
  <c r="P381" i="247" s="1"/>
  <c r="Q381" i="247" s="1"/>
  <c r="R381" i="247" s="1"/>
  <c r="S381" i="247" s="1"/>
  <c r="T381" i="247" s="1"/>
  <c r="U381" i="247" s="1"/>
  <c r="V381" i="247" s="1"/>
  <c r="W381" i="247" s="1"/>
  <c r="X381" i="247" s="1"/>
  <c r="Y381" i="247" s="1"/>
  <c r="N382" i="247"/>
  <c r="O382" i="247" s="1"/>
  <c r="P382" i="247" s="1"/>
  <c r="Q382" i="247" s="1"/>
  <c r="R382" i="247" s="1"/>
  <c r="S382" i="247" s="1"/>
  <c r="T382" i="247" s="1"/>
  <c r="U382" i="247" s="1"/>
  <c r="V382" i="247" s="1"/>
  <c r="W382" i="247" s="1"/>
  <c r="X382" i="247" s="1"/>
  <c r="Y382" i="247" s="1"/>
  <c r="N383" i="247"/>
  <c r="O383" i="247" s="1"/>
  <c r="P383" i="247" s="1"/>
  <c r="Q383" i="247" s="1"/>
  <c r="R383" i="247" s="1"/>
  <c r="S383" i="247" s="1"/>
  <c r="T383" i="247" s="1"/>
  <c r="U383" i="247" s="1"/>
  <c r="V383" i="247" s="1"/>
  <c r="W383" i="247" s="1"/>
  <c r="X383" i="247" s="1"/>
  <c r="Y383" i="247" s="1"/>
  <c r="N384" i="247"/>
  <c r="O384" i="247" s="1"/>
  <c r="P384" i="247" s="1"/>
  <c r="Q384" i="247" s="1"/>
  <c r="R384" i="247" s="1"/>
  <c r="S384" i="247" s="1"/>
  <c r="T384" i="247" s="1"/>
  <c r="U384" i="247" s="1"/>
  <c r="V384" i="247" s="1"/>
  <c r="W384" i="247" s="1"/>
  <c r="X384" i="247" s="1"/>
  <c r="Y384" i="247" s="1"/>
  <c r="N385" i="247"/>
  <c r="O385" i="247" s="1"/>
  <c r="P385" i="247" s="1"/>
  <c r="Q385" i="247" s="1"/>
  <c r="R385" i="247" s="1"/>
  <c r="S385" i="247" s="1"/>
  <c r="T385" i="247" s="1"/>
  <c r="U385" i="247" s="1"/>
  <c r="V385" i="247" s="1"/>
  <c r="W385" i="247" s="1"/>
  <c r="X385" i="247" s="1"/>
  <c r="Y385" i="247" s="1"/>
  <c r="N386" i="247"/>
  <c r="O386" i="247" s="1"/>
  <c r="P386" i="247" s="1"/>
  <c r="Q386" i="247" s="1"/>
  <c r="R386" i="247" s="1"/>
  <c r="S386" i="247" s="1"/>
  <c r="T386" i="247" s="1"/>
  <c r="U386" i="247" s="1"/>
  <c r="V386" i="247" s="1"/>
  <c r="W386" i="247" s="1"/>
  <c r="X386" i="247" s="1"/>
  <c r="Y386" i="247" s="1"/>
  <c r="N387" i="247"/>
  <c r="O387" i="247" s="1"/>
  <c r="P387" i="247" s="1"/>
  <c r="Q387" i="247" s="1"/>
  <c r="R387" i="247" s="1"/>
  <c r="S387" i="247" s="1"/>
  <c r="T387" i="247" s="1"/>
  <c r="U387" i="247" s="1"/>
  <c r="V387" i="247" s="1"/>
  <c r="W387" i="247" s="1"/>
  <c r="X387" i="247" s="1"/>
  <c r="Y387" i="247" s="1"/>
  <c r="N388" i="247"/>
  <c r="O388" i="247" s="1"/>
  <c r="P388" i="247" s="1"/>
  <c r="Q388" i="247" s="1"/>
  <c r="R388" i="247" s="1"/>
  <c r="S388" i="247" s="1"/>
  <c r="T388" i="247" s="1"/>
  <c r="U388" i="247" s="1"/>
  <c r="V388" i="247" s="1"/>
  <c r="W388" i="247" s="1"/>
  <c r="X388" i="247" s="1"/>
  <c r="Y388" i="247" s="1"/>
  <c r="N389" i="247"/>
  <c r="O389" i="247" s="1"/>
  <c r="P389" i="247" s="1"/>
  <c r="Q389" i="247" s="1"/>
  <c r="R389" i="247" s="1"/>
  <c r="S389" i="247" s="1"/>
  <c r="T389" i="247" s="1"/>
  <c r="U389" i="247" s="1"/>
  <c r="V389" i="247" s="1"/>
  <c r="W389" i="247" s="1"/>
  <c r="X389" i="247" s="1"/>
  <c r="Y389" i="247" s="1"/>
  <c r="N390" i="247"/>
  <c r="O390" i="247" s="1"/>
  <c r="P390" i="247" s="1"/>
  <c r="Q390" i="247" s="1"/>
  <c r="R390" i="247" s="1"/>
  <c r="S390" i="247" s="1"/>
  <c r="T390" i="247" s="1"/>
  <c r="U390" i="247" s="1"/>
  <c r="V390" i="247" s="1"/>
  <c r="W390" i="247" s="1"/>
  <c r="X390" i="247" s="1"/>
  <c r="Y390" i="247" s="1"/>
  <c r="N391" i="247"/>
  <c r="O391" i="247" s="1"/>
  <c r="P391" i="247" s="1"/>
  <c r="Q391" i="247" s="1"/>
  <c r="R391" i="247" s="1"/>
  <c r="S391" i="247" s="1"/>
  <c r="T391" i="247" s="1"/>
  <c r="U391" i="247" s="1"/>
  <c r="V391" i="247" s="1"/>
  <c r="W391" i="247" s="1"/>
  <c r="X391" i="247" s="1"/>
  <c r="Y391" i="247" s="1"/>
  <c r="N392" i="247"/>
  <c r="O392" i="247" s="1"/>
  <c r="P392" i="247" s="1"/>
  <c r="Q392" i="247" s="1"/>
  <c r="R392" i="247" s="1"/>
  <c r="S392" i="247" s="1"/>
  <c r="T392" i="247" s="1"/>
  <c r="U392" i="247" s="1"/>
  <c r="V392" i="247" s="1"/>
  <c r="W392" i="247" s="1"/>
  <c r="X392" i="247" s="1"/>
  <c r="Y392" i="247" s="1"/>
  <c r="N393" i="247"/>
  <c r="N394" i="247"/>
  <c r="O394" i="247" s="1"/>
  <c r="P394" i="247" s="1"/>
  <c r="Q394" i="247" s="1"/>
  <c r="R394" i="247" s="1"/>
  <c r="S394" i="247" s="1"/>
  <c r="T394" i="247" s="1"/>
  <c r="U394" i="247" s="1"/>
  <c r="V394" i="247" s="1"/>
  <c r="W394" i="247" s="1"/>
  <c r="X394" i="247" s="1"/>
  <c r="Y394" i="247" s="1"/>
  <c r="N395" i="247"/>
  <c r="O395" i="247" s="1"/>
  <c r="P395" i="247" s="1"/>
  <c r="Q395" i="247" s="1"/>
  <c r="R395" i="247" s="1"/>
  <c r="S395" i="247" s="1"/>
  <c r="T395" i="247" s="1"/>
  <c r="U395" i="247" s="1"/>
  <c r="V395" i="247" s="1"/>
  <c r="W395" i="247" s="1"/>
  <c r="X395" i="247" s="1"/>
  <c r="Y395" i="247" s="1"/>
  <c r="N396" i="247"/>
  <c r="O396" i="247" s="1"/>
  <c r="P396" i="247" s="1"/>
  <c r="Q396" i="247" s="1"/>
  <c r="R396" i="247" s="1"/>
  <c r="S396" i="247" s="1"/>
  <c r="T396" i="247" s="1"/>
  <c r="U396" i="247" s="1"/>
  <c r="V396" i="247" s="1"/>
  <c r="W396" i="247" s="1"/>
  <c r="X396" i="247" s="1"/>
  <c r="Y396" i="247" s="1"/>
  <c r="N397" i="247"/>
  <c r="O397" i="247" s="1"/>
  <c r="P397" i="247" s="1"/>
  <c r="Q397" i="247" s="1"/>
  <c r="R397" i="247" s="1"/>
  <c r="S397" i="247" s="1"/>
  <c r="T397" i="247" s="1"/>
  <c r="U397" i="247" s="1"/>
  <c r="V397" i="247" s="1"/>
  <c r="W397" i="247" s="1"/>
  <c r="X397" i="247" s="1"/>
  <c r="Y397" i="247" s="1"/>
  <c r="N398" i="247"/>
  <c r="O398" i="247" s="1"/>
  <c r="P398" i="247" s="1"/>
  <c r="Q398" i="247" s="1"/>
  <c r="R398" i="247" s="1"/>
  <c r="S398" i="247" s="1"/>
  <c r="T398" i="247" s="1"/>
  <c r="U398" i="247" s="1"/>
  <c r="V398" i="247" s="1"/>
  <c r="W398" i="247" s="1"/>
  <c r="X398" i="247" s="1"/>
  <c r="Y398" i="247" s="1"/>
  <c r="N399" i="247"/>
  <c r="O399" i="247" s="1"/>
  <c r="P399" i="247" s="1"/>
  <c r="Q399" i="247" s="1"/>
  <c r="R399" i="247" s="1"/>
  <c r="S399" i="247" s="1"/>
  <c r="T399" i="247" s="1"/>
  <c r="U399" i="247" s="1"/>
  <c r="V399" i="247" s="1"/>
  <c r="W399" i="247" s="1"/>
  <c r="X399" i="247" s="1"/>
  <c r="Y399" i="247" s="1"/>
  <c r="N400" i="247"/>
  <c r="O400" i="247" s="1"/>
  <c r="P400" i="247" s="1"/>
  <c r="Q400" i="247" s="1"/>
  <c r="R400" i="247" s="1"/>
  <c r="S400" i="247" s="1"/>
  <c r="T400" i="247" s="1"/>
  <c r="U400" i="247" s="1"/>
  <c r="V400" i="247" s="1"/>
  <c r="W400" i="247" s="1"/>
  <c r="X400" i="247" s="1"/>
  <c r="Y400" i="247" s="1"/>
  <c r="N401" i="247"/>
  <c r="O401" i="247" s="1"/>
  <c r="P401" i="247" s="1"/>
  <c r="Q401" i="247" s="1"/>
  <c r="R401" i="247" s="1"/>
  <c r="S401" i="247" s="1"/>
  <c r="T401" i="247" s="1"/>
  <c r="U401" i="247" s="1"/>
  <c r="V401" i="247" s="1"/>
  <c r="W401" i="247" s="1"/>
  <c r="X401" i="247" s="1"/>
  <c r="Y401" i="247" s="1"/>
  <c r="N402" i="247"/>
  <c r="O402" i="247" s="1"/>
  <c r="P402" i="247" s="1"/>
  <c r="Q402" i="247" s="1"/>
  <c r="R402" i="247" s="1"/>
  <c r="S402" i="247" s="1"/>
  <c r="T402" i="247" s="1"/>
  <c r="U402" i="247" s="1"/>
  <c r="V402" i="247" s="1"/>
  <c r="W402" i="247" s="1"/>
  <c r="X402" i="247" s="1"/>
  <c r="Y402" i="247" s="1"/>
  <c r="N403" i="247"/>
  <c r="O403" i="247" s="1"/>
  <c r="P403" i="247" s="1"/>
  <c r="Q403" i="247" s="1"/>
  <c r="R403" i="247" s="1"/>
  <c r="S403" i="247" s="1"/>
  <c r="T403" i="247" s="1"/>
  <c r="U403" i="247" s="1"/>
  <c r="V403" i="247" s="1"/>
  <c r="W403" i="247" s="1"/>
  <c r="X403" i="247" s="1"/>
  <c r="Y403" i="247" s="1"/>
  <c r="N404" i="247"/>
  <c r="O404" i="247" s="1"/>
  <c r="P404" i="247" s="1"/>
  <c r="Q404" i="247" s="1"/>
  <c r="R404" i="247" s="1"/>
  <c r="S404" i="247" s="1"/>
  <c r="T404" i="247" s="1"/>
  <c r="U404" i="247" s="1"/>
  <c r="V404" i="247" s="1"/>
  <c r="W404" i="247" s="1"/>
  <c r="X404" i="247" s="1"/>
  <c r="Y404" i="247" s="1"/>
  <c r="N405" i="247"/>
  <c r="O405" i="247" s="1"/>
  <c r="P405" i="247" s="1"/>
  <c r="Q405" i="247" s="1"/>
  <c r="R405" i="247" s="1"/>
  <c r="S405" i="247" s="1"/>
  <c r="T405" i="247" s="1"/>
  <c r="U405" i="247" s="1"/>
  <c r="V405" i="247" s="1"/>
  <c r="W405" i="247" s="1"/>
  <c r="X405" i="247" s="1"/>
  <c r="Y405" i="247" s="1"/>
  <c r="N406" i="247"/>
  <c r="O406" i="247" s="1"/>
  <c r="P406" i="247" s="1"/>
  <c r="Q406" i="247" s="1"/>
  <c r="R406" i="247" s="1"/>
  <c r="S406" i="247" s="1"/>
  <c r="T406" i="247" s="1"/>
  <c r="U406" i="247" s="1"/>
  <c r="V406" i="247" s="1"/>
  <c r="W406" i="247" s="1"/>
  <c r="X406" i="247" s="1"/>
  <c r="Y406" i="247" s="1"/>
  <c r="N407" i="247"/>
  <c r="O407" i="247" s="1"/>
  <c r="P407" i="247" s="1"/>
  <c r="Q407" i="247" s="1"/>
  <c r="R407" i="247" s="1"/>
  <c r="S407" i="247" s="1"/>
  <c r="T407" i="247" s="1"/>
  <c r="U407" i="247" s="1"/>
  <c r="V407" i="247" s="1"/>
  <c r="W407" i="247" s="1"/>
  <c r="X407" i="247" s="1"/>
  <c r="Y407" i="247" s="1"/>
  <c r="N408" i="247"/>
  <c r="O408" i="247" s="1"/>
  <c r="P408" i="247" s="1"/>
  <c r="Q408" i="247" s="1"/>
  <c r="R408" i="247" s="1"/>
  <c r="S408" i="247" s="1"/>
  <c r="T408" i="247" s="1"/>
  <c r="U408" i="247" s="1"/>
  <c r="V408" i="247" s="1"/>
  <c r="W408" i="247" s="1"/>
  <c r="X408" i="247" s="1"/>
  <c r="Y408" i="247" s="1"/>
  <c r="N409" i="247"/>
  <c r="O409" i="247" s="1"/>
  <c r="P409" i="247" s="1"/>
  <c r="Q409" i="247" s="1"/>
  <c r="R409" i="247" s="1"/>
  <c r="S409" i="247" s="1"/>
  <c r="T409" i="247" s="1"/>
  <c r="U409" i="247" s="1"/>
  <c r="V409" i="247" s="1"/>
  <c r="W409" i="247" s="1"/>
  <c r="X409" i="247" s="1"/>
  <c r="Y409" i="247" s="1"/>
  <c r="N410" i="247"/>
  <c r="O410" i="247" s="1"/>
  <c r="P410" i="247" s="1"/>
  <c r="Q410" i="247" s="1"/>
  <c r="R410" i="247" s="1"/>
  <c r="S410" i="247" s="1"/>
  <c r="T410" i="247" s="1"/>
  <c r="U410" i="247" s="1"/>
  <c r="V410" i="247" s="1"/>
  <c r="W410" i="247" s="1"/>
  <c r="X410" i="247" s="1"/>
  <c r="Y410" i="247" s="1"/>
  <c r="N411" i="247"/>
  <c r="O411" i="247" s="1"/>
  <c r="P411" i="247" s="1"/>
  <c r="Q411" i="247" s="1"/>
  <c r="R411" i="247" s="1"/>
  <c r="S411" i="247" s="1"/>
  <c r="T411" i="247" s="1"/>
  <c r="U411" i="247" s="1"/>
  <c r="V411" i="247" s="1"/>
  <c r="W411" i="247" s="1"/>
  <c r="X411" i="247" s="1"/>
  <c r="Y411" i="247" s="1"/>
  <c r="N412" i="247"/>
  <c r="O412" i="247" s="1"/>
  <c r="P412" i="247" s="1"/>
  <c r="Q412" i="247" s="1"/>
  <c r="R412" i="247" s="1"/>
  <c r="S412" i="247" s="1"/>
  <c r="T412" i="247" s="1"/>
  <c r="U412" i="247" s="1"/>
  <c r="V412" i="247" s="1"/>
  <c r="W412" i="247" s="1"/>
  <c r="X412" i="247" s="1"/>
  <c r="Y412" i="247" s="1"/>
  <c r="N413" i="247"/>
  <c r="O413" i="247" s="1"/>
  <c r="P413" i="247" s="1"/>
  <c r="Q413" i="247" s="1"/>
  <c r="R413" i="247" s="1"/>
  <c r="S413" i="247" s="1"/>
  <c r="T413" i="247" s="1"/>
  <c r="U413" i="247" s="1"/>
  <c r="V413" i="247" s="1"/>
  <c r="W413" i="247" s="1"/>
  <c r="X413" i="247" s="1"/>
  <c r="Y413" i="247" s="1"/>
  <c r="N414" i="247"/>
  <c r="O414" i="247" s="1"/>
  <c r="P414" i="247" s="1"/>
  <c r="Q414" i="247" s="1"/>
  <c r="R414" i="247" s="1"/>
  <c r="S414" i="247" s="1"/>
  <c r="T414" i="247" s="1"/>
  <c r="U414" i="247" s="1"/>
  <c r="V414" i="247" s="1"/>
  <c r="W414" i="247" s="1"/>
  <c r="X414" i="247" s="1"/>
  <c r="Y414" i="247" s="1"/>
  <c r="N415" i="247"/>
  <c r="O415" i="247" s="1"/>
  <c r="P415" i="247" s="1"/>
  <c r="Q415" i="247" s="1"/>
  <c r="R415" i="247" s="1"/>
  <c r="S415" i="247" s="1"/>
  <c r="T415" i="247" s="1"/>
  <c r="U415" i="247" s="1"/>
  <c r="V415" i="247" s="1"/>
  <c r="W415" i="247" s="1"/>
  <c r="X415" i="247" s="1"/>
  <c r="Y415" i="247" s="1"/>
  <c r="N416" i="247"/>
  <c r="O416" i="247" s="1"/>
  <c r="P416" i="247" s="1"/>
  <c r="Q416" i="247" s="1"/>
  <c r="R416" i="247" s="1"/>
  <c r="S416" i="247" s="1"/>
  <c r="T416" i="247" s="1"/>
  <c r="U416" i="247" s="1"/>
  <c r="V416" i="247" s="1"/>
  <c r="W416" i="247" s="1"/>
  <c r="X416" i="247" s="1"/>
  <c r="Y416" i="247" s="1"/>
  <c r="N417" i="247"/>
  <c r="O417" i="247" s="1"/>
  <c r="P417" i="247" s="1"/>
  <c r="Q417" i="247" s="1"/>
  <c r="R417" i="247" s="1"/>
  <c r="S417" i="247" s="1"/>
  <c r="T417" i="247" s="1"/>
  <c r="U417" i="247" s="1"/>
  <c r="V417" i="247" s="1"/>
  <c r="W417" i="247" s="1"/>
  <c r="X417" i="247" s="1"/>
  <c r="Y417" i="247" s="1"/>
  <c r="N418" i="247"/>
  <c r="O418" i="247" s="1"/>
  <c r="P418" i="247" s="1"/>
  <c r="Q418" i="247" s="1"/>
  <c r="R418" i="247" s="1"/>
  <c r="S418" i="247" s="1"/>
  <c r="T418" i="247" s="1"/>
  <c r="U418" i="247" s="1"/>
  <c r="V418" i="247" s="1"/>
  <c r="W418" i="247" s="1"/>
  <c r="X418" i="247" s="1"/>
  <c r="Y418" i="247" s="1"/>
  <c r="N419" i="247"/>
  <c r="O419" i="247" s="1"/>
  <c r="P419" i="247" s="1"/>
  <c r="Q419" i="247" s="1"/>
  <c r="R419" i="247" s="1"/>
  <c r="S419" i="247" s="1"/>
  <c r="T419" i="247" s="1"/>
  <c r="U419" i="247" s="1"/>
  <c r="V419" i="247" s="1"/>
  <c r="W419" i="247" s="1"/>
  <c r="X419" i="247" s="1"/>
  <c r="Y419" i="247" s="1"/>
  <c r="N420" i="247"/>
  <c r="O420" i="247" s="1"/>
  <c r="P420" i="247" s="1"/>
  <c r="Q420" i="247" s="1"/>
  <c r="R420" i="247" s="1"/>
  <c r="S420" i="247" s="1"/>
  <c r="T420" i="247" s="1"/>
  <c r="U420" i="247" s="1"/>
  <c r="V420" i="247" s="1"/>
  <c r="W420" i="247" s="1"/>
  <c r="X420" i="247" s="1"/>
  <c r="Y420" i="247" s="1"/>
  <c r="N421" i="247"/>
  <c r="O421" i="247" s="1"/>
  <c r="P421" i="247" s="1"/>
  <c r="Q421" i="247" s="1"/>
  <c r="R421" i="247" s="1"/>
  <c r="S421" i="247" s="1"/>
  <c r="T421" i="247" s="1"/>
  <c r="U421" i="247" s="1"/>
  <c r="V421" i="247" s="1"/>
  <c r="W421" i="247" s="1"/>
  <c r="X421" i="247" s="1"/>
  <c r="Y421" i="247" s="1"/>
  <c r="N422" i="247"/>
  <c r="O422" i="247" s="1"/>
  <c r="P422" i="247" s="1"/>
  <c r="Q422" i="247" s="1"/>
  <c r="R422" i="247" s="1"/>
  <c r="S422" i="247" s="1"/>
  <c r="T422" i="247" s="1"/>
  <c r="U422" i="247" s="1"/>
  <c r="V422" i="247" s="1"/>
  <c r="W422" i="247" s="1"/>
  <c r="X422" i="247" s="1"/>
  <c r="Y422" i="247" s="1"/>
  <c r="N423" i="247"/>
  <c r="O423" i="247" s="1"/>
  <c r="P423" i="247" s="1"/>
  <c r="Q423" i="247" s="1"/>
  <c r="R423" i="247" s="1"/>
  <c r="S423" i="247" s="1"/>
  <c r="T423" i="247" s="1"/>
  <c r="U423" i="247" s="1"/>
  <c r="V423" i="247" s="1"/>
  <c r="W423" i="247" s="1"/>
  <c r="X423" i="247" s="1"/>
  <c r="Y423" i="247" s="1"/>
  <c r="N424" i="247"/>
  <c r="O424" i="247" s="1"/>
  <c r="P424" i="247" s="1"/>
  <c r="Q424" i="247" s="1"/>
  <c r="R424" i="247" s="1"/>
  <c r="S424" i="247" s="1"/>
  <c r="T424" i="247" s="1"/>
  <c r="U424" i="247" s="1"/>
  <c r="V424" i="247" s="1"/>
  <c r="W424" i="247" s="1"/>
  <c r="X424" i="247" s="1"/>
  <c r="Y424" i="247" s="1"/>
  <c r="N425" i="247"/>
  <c r="O425" i="247" s="1"/>
  <c r="P425" i="247" s="1"/>
  <c r="Q425" i="247" s="1"/>
  <c r="R425" i="247" s="1"/>
  <c r="S425" i="247" s="1"/>
  <c r="T425" i="247" s="1"/>
  <c r="U425" i="247" s="1"/>
  <c r="V425" i="247" s="1"/>
  <c r="W425" i="247" s="1"/>
  <c r="X425" i="247" s="1"/>
  <c r="Y425" i="247" s="1"/>
  <c r="N426" i="247"/>
  <c r="O426" i="247" s="1"/>
  <c r="P426" i="247" s="1"/>
  <c r="Q426" i="247" s="1"/>
  <c r="R426" i="247" s="1"/>
  <c r="S426" i="247" s="1"/>
  <c r="T426" i="247" s="1"/>
  <c r="U426" i="247" s="1"/>
  <c r="V426" i="247" s="1"/>
  <c r="W426" i="247" s="1"/>
  <c r="X426" i="247" s="1"/>
  <c r="Y426" i="247" s="1"/>
  <c r="N427" i="247"/>
  <c r="O427" i="247" s="1"/>
  <c r="P427" i="247" s="1"/>
  <c r="Q427" i="247" s="1"/>
  <c r="R427" i="247" s="1"/>
  <c r="S427" i="247" s="1"/>
  <c r="T427" i="247" s="1"/>
  <c r="U427" i="247" s="1"/>
  <c r="V427" i="247" s="1"/>
  <c r="W427" i="247" s="1"/>
  <c r="X427" i="247" s="1"/>
  <c r="Y427" i="247" s="1"/>
  <c r="N428" i="247"/>
  <c r="O428" i="247" s="1"/>
  <c r="P428" i="247" s="1"/>
  <c r="Q428" i="247" s="1"/>
  <c r="R428" i="247" s="1"/>
  <c r="S428" i="247" s="1"/>
  <c r="T428" i="247" s="1"/>
  <c r="U428" i="247" s="1"/>
  <c r="V428" i="247" s="1"/>
  <c r="W428" i="247" s="1"/>
  <c r="X428" i="247" s="1"/>
  <c r="Y428" i="247" s="1"/>
  <c r="N429" i="247"/>
  <c r="O429" i="247" s="1"/>
  <c r="P429" i="247" s="1"/>
  <c r="Q429" i="247" s="1"/>
  <c r="R429" i="247" s="1"/>
  <c r="S429" i="247" s="1"/>
  <c r="T429" i="247" s="1"/>
  <c r="U429" i="247" s="1"/>
  <c r="V429" i="247" s="1"/>
  <c r="W429" i="247" s="1"/>
  <c r="X429" i="247" s="1"/>
  <c r="Y429" i="247" s="1"/>
  <c r="N430" i="247"/>
  <c r="O430" i="247" s="1"/>
  <c r="P430" i="247" s="1"/>
  <c r="Q430" i="247" s="1"/>
  <c r="R430" i="247" s="1"/>
  <c r="S430" i="247" s="1"/>
  <c r="T430" i="247" s="1"/>
  <c r="U430" i="247" s="1"/>
  <c r="V430" i="247" s="1"/>
  <c r="W430" i="247" s="1"/>
  <c r="X430" i="247" s="1"/>
  <c r="Y430" i="247" s="1"/>
  <c r="N431" i="247"/>
  <c r="O431" i="247" s="1"/>
  <c r="P431" i="247" s="1"/>
  <c r="Q431" i="247" s="1"/>
  <c r="R431" i="247" s="1"/>
  <c r="S431" i="247" s="1"/>
  <c r="T431" i="247" s="1"/>
  <c r="U431" i="247" s="1"/>
  <c r="V431" i="247" s="1"/>
  <c r="W431" i="247" s="1"/>
  <c r="X431" i="247" s="1"/>
  <c r="Y431" i="247" s="1"/>
  <c r="N432" i="247"/>
  <c r="O432" i="247" s="1"/>
  <c r="P432" i="247" s="1"/>
  <c r="Q432" i="247" s="1"/>
  <c r="R432" i="247" s="1"/>
  <c r="S432" i="247" s="1"/>
  <c r="T432" i="247" s="1"/>
  <c r="U432" i="247" s="1"/>
  <c r="V432" i="247" s="1"/>
  <c r="W432" i="247" s="1"/>
  <c r="X432" i="247" s="1"/>
  <c r="Y432" i="247" s="1"/>
  <c r="N433" i="247"/>
  <c r="O433" i="247" s="1"/>
  <c r="P433" i="247" s="1"/>
  <c r="Q433" i="247" s="1"/>
  <c r="R433" i="247" s="1"/>
  <c r="S433" i="247" s="1"/>
  <c r="T433" i="247" s="1"/>
  <c r="U433" i="247" s="1"/>
  <c r="V433" i="247" s="1"/>
  <c r="W433" i="247" s="1"/>
  <c r="X433" i="247" s="1"/>
  <c r="Y433" i="247" s="1"/>
  <c r="N434" i="247"/>
  <c r="O434" i="247" s="1"/>
  <c r="P434" i="247" s="1"/>
  <c r="Q434" i="247" s="1"/>
  <c r="R434" i="247" s="1"/>
  <c r="S434" i="247" s="1"/>
  <c r="T434" i="247" s="1"/>
  <c r="U434" i="247" s="1"/>
  <c r="V434" i="247" s="1"/>
  <c r="W434" i="247" s="1"/>
  <c r="X434" i="247" s="1"/>
  <c r="Y434" i="247" s="1"/>
  <c r="N435" i="247"/>
  <c r="O435" i="247" s="1"/>
  <c r="P435" i="247" s="1"/>
  <c r="Q435" i="247" s="1"/>
  <c r="R435" i="247" s="1"/>
  <c r="S435" i="247" s="1"/>
  <c r="T435" i="247" s="1"/>
  <c r="U435" i="247" s="1"/>
  <c r="V435" i="247" s="1"/>
  <c r="W435" i="247" s="1"/>
  <c r="X435" i="247" s="1"/>
  <c r="Y435" i="247" s="1"/>
  <c r="N436" i="247"/>
  <c r="O436" i="247" s="1"/>
  <c r="P436" i="247" s="1"/>
  <c r="Q436" i="247" s="1"/>
  <c r="R436" i="247" s="1"/>
  <c r="S436" i="247" s="1"/>
  <c r="T436" i="247" s="1"/>
  <c r="U436" i="247" s="1"/>
  <c r="V436" i="247" s="1"/>
  <c r="W436" i="247" s="1"/>
  <c r="X436" i="247" s="1"/>
  <c r="Y436" i="247" s="1"/>
  <c r="N437" i="247"/>
  <c r="O437" i="247" s="1"/>
  <c r="P437" i="247" s="1"/>
  <c r="Q437" i="247" s="1"/>
  <c r="R437" i="247" s="1"/>
  <c r="S437" i="247" s="1"/>
  <c r="T437" i="247" s="1"/>
  <c r="U437" i="247" s="1"/>
  <c r="V437" i="247" s="1"/>
  <c r="W437" i="247" s="1"/>
  <c r="X437" i="247" s="1"/>
  <c r="Y437" i="247" s="1"/>
  <c r="N438" i="247"/>
  <c r="O438" i="247" s="1"/>
  <c r="P438" i="247" s="1"/>
  <c r="Q438" i="247" s="1"/>
  <c r="R438" i="247" s="1"/>
  <c r="S438" i="247" s="1"/>
  <c r="T438" i="247" s="1"/>
  <c r="U438" i="247" s="1"/>
  <c r="V438" i="247" s="1"/>
  <c r="W438" i="247" s="1"/>
  <c r="X438" i="247" s="1"/>
  <c r="Y438" i="247" s="1"/>
  <c r="N439" i="247"/>
  <c r="O439" i="247" s="1"/>
  <c r="P439" i="247" s="1"/>
  <c r="Q439" i="247" s="1"/>
  <c r="R439" i="247" s="1"/>
  <c r="S439" i="247" s="1"/>
  <c r="T439" i="247" s="1"/>
  <c r="U439" i="247" s="1"/>
  <c r="V439" i="247" s="1"/>
  <c r="W439" i="247" s="1"/>
  <c r="X439" i="247" s="1"/>
  <c r="Y439" i="247" s="1"/>
  <c r="N440" i="247"/>
  <c r="O440" i="247" s="1"/>
  <c r="P440" i="247" s="1"/>
  <c r="Q440" i="247" s="1"/>
  <c r="R440" i="247" s="1"/>
  <c r="S440" i="247" s="1"/>
  <c r="T440" i="247" s="1"/>
  <c r="U440" i="247" s="1"/>
  <c r="V440" i="247" s="1"/>
  <c r="W440" i="247" s="1"/>
  <c r="X440" i="247" s="1"/>
  <c r="Y440" i="247" s="1"/>
  <c r="N441" i="247"/>
  <c r="O441" i="247" s="1"/>
  <c r="P441" i="247" s="1"/>
  <c r="Q441" i="247" s="1"/>
  <c r="R441" i="247" s="1"/>
  <c r="S441" i="247" s="1"/>
  <c r="T441" i="247" s="1"/>
  <c r="U441" i="247" s="1"/>
  <c r="V441" i="247" s="1"/>
  <c r="W441" i="247" s="1"/>
  <c r="X441" i="247" s="1"/>
  <c r="Y441" i="247" s="1"/>
  <c r="N694" i="247"/>
  <c r="N696" i="247"/>
  <c r="O696" i="247" s="1"/>
  <c r="P696" i="247" s="1"/>
  <c r="Q696" i="247" s="1"/>
  <c r="R696" i="247" s="1"/>
  <c r="S696" i="247" s="1"/>
  <c r="T696" i="247" s="1"/>
  <c r="U696" i="247" s="1"/>
  <c r="V696" i="247" s="1"/>
  <c r="W696" i="247" s="1"/>
  <c r="X696" i="247" s="1"/>
  <c r="Y696" i="247" s="1"/>
  <c r="N697" i="247"/>
  <c r="O697" i="247" s="1"/>
  <c r="P697" i="247" s="1"/>
  <c r="Q697" i="247" s="1"/>
  <c r="R697" i="247" s="1"/>
  <c r="S697" i="247" s="1"/>
  <c r="T697" i="247" s="1"/>
  <c r="U697" i="247" s="1"/>
  <c r="V697" i="247" s="1"/>
  <c r="W697" i="247" s="1"/>
  <c r="X697" i="247" s="1"/>
  <c r="Y697" i="247" s="1"/>
  <c r="N698" i="247"/>
  <c r="O698" i="247" s="1"/>
  <c r="P698" i="247" s="1"/>
  <c r="Q698" i="247" s="1"/>
  <c r="R698" i="247" s="1"/>
  <c r="S698" i="247" s="1"/>
  <c r="T698" i="247" s="1"/>
  <c r="U698" i="247" s="1"/>
  <c r="V698" i="247" s="1"/>
  <c r="W698" i="247" s="1"/>
  <c r="X698" i="247" s="1"/>
  <c r="Y698" i="247" s="1"/>
  <c r="N704" i="247"/>
  <c r="O704" i="247" s="1"/>
  <c r="P704" i="247" s="1"/>
  <c r="Q704" i="247" s="1"/>
  <c r="R704" i="247" s="1"/>
  <c r="S704" i="247" s="1"/>
  <c r="T704" i="247" s="1"/>
  <c r="U704" i="247" s="1"/>
  <c r="V704" i="247" s="1"/>
  <c r="W704" i="247" s="1"/>
  <c r="X704" i="247" s="1"/>
  <c r="Y704" i="247" s="1"/>
  <c r="N705" i="247"/>
  <c r="O705" i="247" s="1"/>
  <c r="P705" i="247" s="1"/>
  <c r="Q705" i="247" s="1"/>
  <c r="R705" i="247" s="1"/>
  <c r="S705" i="247" s="1"/>
  <c r="T705" i="247" s="1"/>
  <c r="U705" i="247" s="1"/>
  <c r="V705" i="247" s="1"/>
  <c r="W705" i="247" s="1"/>
  <c r="X705" i="247" s="1"/>
  <c r="Y705" i="247" s="1"/>
  <c r="N707" i="247"/>
  <c r="O707" i="247" s="1"/>
  <c r="P707" i="247" s="1"/>
  <c r="Q707" i="247" s="1"/>
  <c r="R707" i="247" s="1"/>
  <c r="S707" i="247" s="1"/>
  <c r="T707" i="247" s="1"/>
  <c r="U707" i="247" s="1"/>
  <c r="V707" i="247" s="1"/>
  <c r="W707" i="247" s="1"/>
  <c r="X707" i="247" s="1"/>
  <c r="Y707" i="247" s="1"/>
  <c r="L24" i="247"/>
  <c r="N24" i="247"/>
  <c r="L27" i="247"/>
  <c r="N27" i="247"/>
  <c r="O27" i="247" s="1"/>
  <c r="P27" i="247" s="1"/>
  <c r="Q27" i="247" s="1"/>
  <c r="R27" i="247" s="1"/>
  <c r="S27" i="247" s="1"/>
  <c r="T27" i="247" s="1"/>
  <c r="U27" i="247" s="1"/>
  <c r="V27" i="247" s="1"/>
  <c r="W27" i="247" s="1"/>
  <c r="X27" i="247" s="1"/>
  <c r="Y27" i="247" s="1"/>
  <c r="L28" i="247"/>
  <c r="N28" i="247"/>
  <c r="O28" i="247" s="1"/>
  <c r="P28" i="247" s="1"/>
  <c r="Q28" i="247" s="1"/>
  <c r="R28" i="247" s="1"/>
  <c r="S28" i="247" s="1"/>
  <c r="T28" i="247" s="1"/>
  <c r="U28" i="247" s="1"/>
  <c r="V28" i="247" s="1"/>
  <c r="W28" i="247" s="1"/>
  <c r="X28" i="247" s="1"/>
  <c r="Y28" i="247" s="1"/>
  <c r="L29" i="247"/>
  <c r="N29" i="247"/>
  <c r="O29" i="247" s="1"/>
  <c r="P29" i="247" s="1"/>
  <c r="Q29" i="247" s="1"/>
  <c r="R29" i="247" s="1"/>
  <c r="S29" i="247" s="1"/>
  <c r="T29" i="247" s="1"/>
  <c r="U29" i="247" s="1"/>
  <c r="V29" i="247" s="1"/>
  <c r="W29" i="247" s="1"/>
  <c r="X29" i="247" s="1"/>
  <c r="Y29" i="247" s="1"/>
  <c r="L33" i="247"/>
  <c r="N33" i="247"/>
  <c r="O33" i="247" s="1"/>
  <c r="P33" i="247" s="1"/>
  <c r="Q33" i="247" s="1"/>
  <c r="R33" i="247" s="1"/>
  <c r="S33" i="247" s="1"/>
  <c r="T33" i="247" s="1"/>
  <c r="U33" i="247" s="1"/>
  <c r="V33" i="247" s="1"/>
  <c r="W33" i="247" s="1"/>
  <c r="X33" i="247" s="1"/>
  <c r="Y33" i="247" s="1"/>
  <c r="L35" i="247"/>
  <c r="N35" i="247"/>
  <c r="O35" i="247" s="1"/>
  <c r="P35" i="247" s="1"/>
  <c r="Q35" i="247" s="1"/>
  <c r="R35" i="247" s="1"/>
  <c r="S35" i="247" s="1"/>
  <c r="T35" i="247" s="1"/>
  <c r="U35" i="247" s="1"/>
  <c r="V35" i="247" s="1"/>
  <c r="W35" i="247" s="1"/>
  <c r="X35" i="247" s="1"/>
  <c r="Y35" i="247" s="1"/>
  <c r="L39" i="247"/>
  <c r="N39" i="247"/>
  <c r="O39" i="247" s="1"/>
  <c r="P39" i="247" s="1"/>
  <c r="Q39" i="247" s="1"/>
  <c r="R39" i="247" s="1"/>
  <c r="S39" i="247" s="1"/>
  <c r="T39" i="247" s="1"/>
  <c r="U39" i="247" s="1"/>
  <c r="V39" i="247" s="1"/>
  <c r="W39" i="247" s="1"/>
  <c r="X39" i="247" s="1"/>
  <c r="Y39" i="247" s="1"/>
  <c r="L40" i="247"/>
  <c r="N40" i="247"/>
  <c r="O40" i="247" s="1"/>
  <c r="P40" i="247" s="1"/>
  <c r="Q40" i="247" s="1"/>
  <c r="R40" i="247" s="1"/>
  <c r="S40" i="247" s="1"/>
  <c r="T40" i="247" s="1"/>
  <c r="U40" i="247" s="1"/>
  <c r="V40" i="247" s="1"/>
  <c r="W40" i="247" s="1"/>
  <c r="X40" i="247" s="1"/>
  <c r="Y40" i="247" s="1"/>
  <c r="L43" i="247"/>
  <c r="N43" i="247"/>
  <c r="O43" i="247" s="1"/>
  <c r="P43" i="247" s="1"/>
  <c r="Q43" i="247" s="1"/>
  <c r="R43" i="247" s="1"/>
  <c r="S43" i="247" s="1"/>
  <c r="T43" i="247" s="1"/>
  <c r="U43" i="247" s="1"/>
  <c r="V43" i="247" s="1"/>
  <c r="W43" i="247" s="1"/>
  <c r="X43" i="247" s="1"/>
  <c r="Y43" i="247" s="1"/>
  <c r="L47" i="247"/>
  <c r="N47" i="247"/>
  <c r="O47" i="247" s="1"/>
  <c r="P47" i="247" s="1"/>
  <c r="Q47" i="247" s="1"/>
  <c r="R47" i="247" s="1"/>
  <c r="S47" i="247" s="1"/>
  <c r="T47" i="247" s="1"/>
  <c r="U47" i="247" s="1"/>
  <c r="V47" i="247" s="1"/>
  <c r="W47" i="247" s="1"/>
  <c r="X47" i="247" s="1"/>
  <c r="Y47" i="247" s="1"/>
  <c r="L48" i="247"/>
  <c r="N48" i="247"/>
  <c r="O48" i="247" s="1"/>
  <c r="P48" i="247" s="1"/>
  <c r="Q48" i="247" s="1"/>
  <c r="R48" i="247" s="1"/>
  <c r="S48" i="247" s="1"/>
  <c r="T48" i="247" s="1"/>
  <c r="U48" i="247" s="1"/>
  <c r="V48" i="247" s="1"/>
  <c r="W48" i="247" s="1"/>
  <c r="X48" i="247" s="1"/>
  <c r="Y48" i="247" s="1"/>
  <c r="L51" i="247"/>
  <c r="N51" i="247"/>
  <c r="O51" i="247" s="1"/>
  <c r="P51" i="247" s="1"/>
  <c r="Q51" i="247" s="1"/>
  <c r="R51" i="247" s="1"/>
  <c r="S51" i="247" s="1"/>
  <c r="T51" i="247" s="1"/>
  <c r="U51" i="247" s="1"/>
  <c r="V51" i="247" s="1"/>
  <c r="W51" i="247" s="1"/>
  <c r="X51" i="247" s="1"/>
  <c r="Y51" i="247" s="1"/>
  <c r="L52" i="247"/>
  <c r="N52" i="247"/>
  <c r="O52" i="247" s="1"/>
  <c r="P52" i="247" s="1"/>
  <c r="Q52" i="247" s="1"/>
  <c r="R52" i="247" s="1"/>
  <c r="S52" i="247" s="1"/>
  <c r="T52" i="247" s="1"/>
  <c r="U52" i="247" s="1"/>
  <c r="V52" i="247" s="1"/>
  <c r="W52" i="247" s="1"/>
  <c r="X52" i="247" s="1"/>
  <c r="Y52" i="247" s="1"/>
  <c r="L54" i="247"/>
  <c r="N54" i="247"/>
  <c r="O54" i="247" s="1"/>
  <c r="P54" i="247" s="1"/>
  <c r="Q54" i="247" s="1"/>
  <c r="R54" i="247" s="1"/>
  <c r="S54" i="247" s="1"/>
  <c r="T54" i="247" s="1"/>
  <c r="U54" i="247" s="1"/>
  <c r="V54" i="247" s="1"/>
  <c r="W54" i="247" s="1"/>
  <c r="X54" i="247" s="1"/>
  <c r="Y54" i="247" s="1"/>
  <c r="L56" i="247"/>
  <c r="N56" i="247"/>
  <c r="O56" i="247" s="1"/>
  <c r="P56" i="247" s="1"/>
  <c r="Q56" i="247" s="1"/>
  <c r="R56" i="247" s="1"/>
  <c r="S56" i="247" s="1"/>
  <c r="T56" i="247" s="1"/>
  <c r="U56" i="247" s="1"/>
  <c r="V56" i="247" s="1"/>
  <c r="W56" i="247" s="1"/>
  <c r="X56" i="247" s="1"/>
  <c r="Y56" i="247" s="1"/>
  <c r="L59" i="247"/>
  <c r="N59" i="247"/>
  <c r="O59" i="247" s="1"/>
  <c r="P59" i="247" s="1"/>
  <c r="Q59" i="247" s="1"/>
  <c r="R59" i="247" s="1"/>
  <c r="S59" i="247" s="1"/>
  <c r="T59" i="247" s="1"/>
  <c r="U59" i="247" s="1"/>
  <c r="V59" i="247" s="1"/>
  <c r="W59" i="247" s="1"/>
  <c r="X59" i="247" s="1"/>
  <c r="Y59" i="247" s="1"/>
  <c r="L60" i="247"/>
  <c r="N60" i="247"/>
  <c r="O60" i="247" s="1"/>
  <c r="P60" i="247" s="1"/>
  <c r="Q60" i="247" s="1"/>
  <c r="R60" i="247" s="1"/>
  <c r="S60" i="247" s="1"/>
  <c r="T60" i="247" s="1"/>
  <c r="U60" i="247" s="1"/>
  <c r="V60" i="247" s="1"/>
  <c r="W60" i="247" s="1"/>
  <c r="X60" i="247" s="1"/>
  <c r="Y60" i="247" s="1"/>
  <c r="L61" i="247"/>
  <c r="N61" i="247"/>
  <c r="O61" i="247" s="1"/>
  <c r="P61" i="247" s="1"/>
  <c r="Q61" i="247" s="1"/>
  <c r="R61" i="247" s="1"/>
  <c r="S61" i="247" s="1"/>
  <c r="T61" i="247" s="1"/>
  <c r="U61" i="247" s="1"/>
  <c r="V61" i="247" s="1"/>
  <c r="W61" i="247" s="1"/>
  <c r="X61" i="247" s="1"/>
  <c r="Y61" i="247" s="1"/>
  <c r="L63" i="247"/>
  <c r="N63" i="247"/>
  <c r="O63" i="247" s="1"/>
  <c r="P63" i="247" s="1"/>
  <c r="Q63" i="247" s="1"/>
  <c r="R63" i="247" s="1"/>
  <c r="S63" i="247" s="1"/>
  <c r="T63" i="247" s="1"/>
  <c r="U63" i="247" s="1"/>
  <c r="V63" i="247" s="1"/>
  <c r="W63" i="247" s="1"/>
  <c r="X63" i="247" s="1"/>
  <c r="Y63" i="247" s="1"/>
  <c r="L64" i="247"/>
  <c r="N64" i="247"/>
  <c r="O64" i="247" s="1"/>
  <c r="P64" i="247" s="1"/>
  <c r="Q64" i="247" s="1"/>
  <c r="R64" i="247" s="1"/>
  <c r="S64" i="247" s="1"/>
  <c r="T64" i="247" s="1"/>
  <c r="U64" i="247" s="1"/>
  <c r="V64" i="247" s="1"/>
  <c r="W64" i="247" s="1"/>
  <c r="X64" i="247" s="1"/>
  <c r="Y64" i="247" s="1"/>
  <c r="L67" i="247"/>
  <c r="N67" i="247"/>
  <c r="O67" i="247" s="1"/>
  <c r="P67" i="247" s="1"/>
  <c r="Q67" i="247" s="1"/>
  <c r="R67" i="247" s="1"/>
  <c r="S67" i="247" s="1"/>
  <c r="T67" i="247" s="1"/>
  <c r="U67" i="247" s="1"/>
  <c r="V67" i="247" s="1"/>
  <c r="W67" i="247" s="1"/>
  <c r="X67" i="247" s="1"/>
  <c r="Y67" i="247" s="1"/>
  <c r="L68" i="247"/>
  <c r="N68" i="247"/>
  <c r="O68" i="247" s="1"/>
  <c r="P68" i="247" s="1"/>
  <c r="Q68" i="247" s="1"/>
  <c r="R68" i="247" s="1"/>
  <c r="S68" i="247" s="1"/>
  <c r="T68" i="247" s="1"/>
  <c r="U68" i="247" s="1"/>
  <c r="V68" i="247" s="1"/>
  <c r="W68" i="247" s="1"/>
  <c r="X68" i="247" s="1"/>
  <c r="Y68" i="247" s="1"/>
  <c r="L69" i="247"/>
  <c r="N69" i="247"/>
  <c r="O69" i="247" s="1"/>
  <c r="P69" i="247" s="1"/>
  <c r="Q69" i="247" s="1"/>
  <c r="R69" i="247" s="1"/>
  <c r="S69" i="247" s="1"/>
  <c r="T69" i="247" s="1"/>
  <c r="U69" i="247" s="1"/>
  <c r="V69" i="247" s="1"/>
  <c r="W69" i="247" s="1"/>
  <c r="X69" i="247" s="1"/>
  <c r="Y69" i="247" s="1"/>
  <c r="L71" i="247"/>
  <c r="N71" i="247"/>
  <c r="O71" i="247" s="1"/>
  <c r="P71" i="247" s="1"/>
  <c r="Q71" i="247" s="1"/>
  <c r="R71" i="247" s="1"/>
  <c r="S71" i="247" s="1"/>
  <c r="T71" i="247" s="1"/>
  <c r="U71" i="247" s="1"/>
  <c r="V71" i="247" s="1"/>
  <c r="W71" i="247" s="1"/>
  <c r="X71" i="247" s="1"/>
  <c r="Y71" i="247" s="1"/>
  <c r="L72" i="247"/>
  <c r="N72" i="247"/>
  <c r="O72" i="247" s="1"/>
  <c r="P72" i="247" s="1"/>
  <c r="Q72" i="247" s="1"/>
  <c r="R72" i="247" s="1"/>
  <c r="S72" i="247" s="1"/>
  <c r="T72" i="247" s="1"/>
  <c r="U72" i="247" s="1"/>
  <c r="V72" i="247" s="1"/>
  <c r="W72" i="247" s="1"/>
  <c r="X72" i="247" s="1"/>
  <c r="Y72" i="247" s="1"/>
  <c r="L75" i="247"/>
  <c r="N75" i="247"/>
  <c r="O75" i="247" s="1"/>
  <c r="P75" i="247" s="1"/>
  <c r="Q75" i="247" s="1"/>
  <c r="R75" i="247" s="1"/>
  <c r="S75" i="247" s="1"/>
  <c r="T75" i="247" s="1"/>
  <c r="U75" i="247" s="1"/>
  <c r="V75" i="247" s="1"/>
  <c r="W75" i="247" s="1"/>
  <c r="X75" i="247" s="1"/>
  <c r="Y75" i="247" s="1"/>
  <c r="L76" i="247"/>
  <c r="N76" i="247"/>
  <c r="O76" i="247" s="1"/>
  <c r="P76" i="247" s="1"/>
  <c r="Q76" i="247" s="1"/>
  <c r="R76" i="247" s="1"/>
  <c r="S76" i="247" s="1"/>
  <c r="T76" i="247" s="1"/>
  <c r="U76" i="247" s="1"/>
  <c r="V76" i="247" s="1"/>
  <c r="W76" i="247" s="1"/>
  <c r="X76" i="247" s="1"/>
  <c r="Y76" i="247" s="1"/>
  <c r="L77" i="247"/>
  <c r="N77" i="247"/>
  <c r="O77" i="247" s="1"/>
  <c r="P77" i="247" s="1"/>
  <c r="Q77" i="247" s="1"/>
  <c r="R77" i="247" s="1"/>
  <c r="S77" i="247" s="1"/>
  <c r="T77" i="247" s="1"/>
  <c r="U77" i="247" s="1"/>
  <c r="V77" i="247" s="1"/>
  <c r="W77" i="247" s="1"/>
  <c r="X77" i="247" s="1"/>
  <c r="Y77" i="247" s="1"/>
  <c r="L84" i="247"/>
  <c r="N84" i="247"/>
  <c r="O84" i="247" s="1"/>
  <c r="P84" i="247" s="1"/>
  <c r="Q84" i="247" s="1"/>
  <c r="R84" i="247" s="1"/>
  <c r="S84" i="247" s="1"/>
  <c r="T84" i="247" s="1"/>
  <c r="U84" i="247" s="1"/>
  <c r="V84" i="247" s="1"/>
  <c r="W84" i="247" s="1"/>
  <c r="X84" i="247" s="1"/>
  <c r="Y84" i="247" s="1"/>
  <c r="L85" i="247"/>
  <c r="N85" i="247"/>
  <c r="O85" i="247" s="1"/>
  <c r="P85" i="247" s="1"/>
  <c r="Q85" i="247" s="1"/>
  <c r="R85" i="247" s="1"/>
  <c r="S85" i="247" s="1"/>
  <c r="T85" i="247" s="1"/>
  <c r="U85" i="247" s="1"/>
  <c r="V85" i="247" s="1"/>
  <c r="W85" i="247" s="1"/>
  <c r="X85" i="247" s="1"/>
  <c r="Y85" i="247" s="1"/>
  <c r="L88" i="247"/>
  <c r="N88" i="247"/>
  <c r="O88" i="247" s="1"/>
  <c r="P88" i="247" s="1"/>
  <c r="Q88" i="247" s="1"/>
  <c r="R88" i="247" s="1"/>
  <c r="S88" i="247" s="1"/>
  <c r="T88" i="247" s="1"/>
  <c r="U88" i="247" s="1"/>
  <c r="V88" i="247" s="1"/>
  <c r="W88" i="247" s="1"/>
  <c r="X88" i="247" s="1"/>
  <c r="Y88" i="247" s="1"/>
  <c r="L91" i="247"/>
  <c r="N91" i="247"/>
  <c r="O91" i="247" s="1"/>
  <c r="P91" i="247" s="1"/>
  <c r="Q91" i="247" s="1"/>
  <c r="R91" i="247" s="1"/>
  <c r="S91" i="247" s="1"/>
  <c r="T91" i="247" s="1"/>
  <c r="U91" i="247" s="1"/>
  <c r="V91" i="247" s="1"/>
  <c r="W91" i="247" s="1"/>
  <c r="X91" i="247" s="1"/>
  <c r="Y91" i="247" s="1"/>
  <c r="L92" i="247"/>
  <c r="N92" i="247"/>
  <c r="O92" i="247" s="1"/>
  <c r="P92" i="247" s="1"/>
  <c r="Q92" i="247" s="1"/>
  <c r="R92" i="247" s="1"/>
  <c r="S92" i="247" s="1"/>
  <c r="T92" i="247" s="1"/>
  <c r="U92" i="247" s="1"/>
  <c r="V92" i="247" s="1"/>
  <c r="W92" i="247" s="1"/>
  <c r="X92" i="247" s="1"/>
  <c r="Y92" i="247" s="1"/>
  <c r="L93" i="247"/>
  <c r="N93" i="247"/>
  <c r="O93" i="247" s="1"/>
  <c r="P93" i="247" s="1"/>
  <c r="Q93" i="247" s="1"/>
  <c r="R93" i="247" s="1"/>
  <c r="S93" i="247" s="1"/>
  <c r="T93" i="247" s="1"/>
  <c r="U93" i="247" s="1"/>
  <c r="V93" i="247" s="1"/>
  <c r="W93" i="247" s="1"/>
  <c r="X93" i="247" s="1"/>
  <c r="Y93" i="247" s="1"/>
  <c r="L96" i="247"/>
  <c r="N96" i="247"/>
  <c r="O96" i="247" s="1"/>
  <c r="P96" i="247" s="1"/>
  <c r="Q96" i="247" s="1"/>
  <c r="R96" i="247" s="1"/>
  <c r="S96" i="247" s="1"/>
  <c r="T96" i="247" s="1"/>
  <c r="U96" i="247" s="1"/>
  <c r="V96" i="247" s="1"/>
  <c r="W96" i="247" s="1"/>
  <c r="X96" i="247" s="1"/>
  <c r="Y96" i="247" s="1"/>
  <c r="L100" i="247"/>
  <c r="N100" i="247"/>
  <c r="O100" i="247" s="1"/>
  <c r="P100" i="247" s="1"/>
  <c r="Q100" i="247" s="1"/>
  <c r="R100" i="247" s="1"/>
  <c r="S100" i="247" s="1"/>
  <c r="T100" i="247" s="1"/>
  <c r="U100" i="247" s="1"/>
  <c r="V100" i="247" s="1"/>
  <c r="W100" i="247" s="1"/>
  <c r="X100" i="247" s="1"/>
  <c r="Y100" i="247" s="1"/>
  <c r="L101" i="247"/>
  <c r="N101" i="247"/>
  <c r="O101" i="247" s="1"/>
  <c r="P101" i="247" s="1"/>
  <c r="Q101" i="247" s="1"/>
  <c r="R101" i="247" s="1"/>
  <c r="S101" i="247" s="1"/>
  <c r="T101" i="247" s="1"/>
  <c r="U101" i="247" s="1"/>
  <c r="V101" i="247" s="1"/>
  <c r="W101" i="247" s="1"/>
  <c r="X101" i="247" s="1"/>
  <c r="Y101" i="247" s="1"/>
  <c r="L103" i="247"/>
  <c r="N103" i="247"/>
  <c r="O103" i="247" s="1"/>
  <c r="P103" i="247" s="1"/>
  <c r="Q103" i="247" s="1"/>
  <c r="R103" i="247" s="1"/>
  <c r="S103" i="247" s="1"/>
  <c r="T103" i="247" s="1"/>
  <c r="U103" i="247" s="1"/>
  <c r="V103" i="247" s="1"/>
  <c r="W103" i="247" s="1"/>
  <c r="X103" i="247" s="1"/>
  <c r="Y103" i="247" s="1"/>
  <c r="L104" i="247"/>
  <c r="N104" i="247"/>
  <c r="O104" i="247" s="1"/>
  <c r="P104" i="247" s="1"/>
  <c r="Q104" i="247" s="1"/>
  <c r="R104" i="247" s="1"/>
  <c r="S104" i="247" s="1"/>
  <c r="T104" i="247" s="1"/>
  <c r="U104" i="247" s="1"/>
  <c r="V104" i="247" s="1"/>
  <c r="W104" i="247" s="1"/>
  <c r="X104" i="247" s="1"/>
  <c r="Y104" i="247" s="1"/>
  <c r="L107" i="247"/>
  <c r="N107" i="247"/>
  <c r="O107" i="247" s="1"/>
  <c r="P107" i="247" s="1"/>
  <c r="Q107" i="247" s="1"/>
  <c r="R107" i="247" s="1"/>
  <c r="S107" i="247" s="1"/>
  <c r="T107" i="247" s="1"/>
  <c r="U107" i="247" s="1"/>
  <c r="V107" i="247" s="1"/>
  <c r="W107" i="247" s="1"/>
  <c r="X107" i="247" s="1"/>
  <c r="Y107" i="247" s="1"/>
  <c r="L109" i="247"/>
  <c r="N109" i="247"/>
  <c r="O109" i="247" s="1"/>
  <c r="P109" i="247" s="1"/>
  <c r="Q109" i="247" s="1"/>
  <c r="R109" i="247" s="1"/>
  <c r="S109" i="247" s="1"/>
  <c r="T109" i="247" s="1"/>
  <c r="U109" i="247" s="1"/>
  <c r="V109" i="247" s="1"/>
  <c r="W109" i="247" s="1"/>
  <c r="X109" i="247" s="1"/>
  <c r="Y109" i="247" s="1"/>
  <c r="L116" i="247"/>
  <c r="N116" i="247"/>
  <c r="O116" i="247" s="1"/>
  <c r="P116" i="247" s="1"/>
  <c r="Q116" i="247" s="1"/>
  <c r="R116" i="247" s="1"/>
  <c r="S116" i="247" s="1"/>
  <c r="T116" i="247" s="1"/>
  <c r="U116" i="247" s="1"/>
  <c r="V116" i="247" s="1"/>
  <c r="W116" i="247" s="1"/>
  <c r="X116" i="247" s="1"/>
  <c r="Y116" i="247" s="1"/>
  <c r="L118" i="247"/>
  <c r="N118" i="247"/>
  <c r="O118" i="247" s="1"/>
  <c r="P118" i="247" s="1"/>
  <c r="Q118" i="247" s="1"/>
  <c r="R118" i="247" s="1"/>
  <c r="S118" i="247" s="1"/>
  <c r="T118" i="247" s="1"/>
  <c r="U118" i="247" s="1"/>
  <c r="V118" i="247" s="1"/>
  <c r="W118" i="247" s="1"/>
  <c r="X118" i="247" s="1"/>
  <c r="Y118" i="247" s="1"/>
  <c r="L120" i="247"/>
  <c r="N120" i="247"/>
  <c r="O120" i="247" s="1"/>
  <c r="P120" i="247" s="1"/>
  <c r="Q120" i="247" s="1"/>
  <c r="R120" i="247" s="1"/>
  <c r="S120" i="247" s="1"/>
  <c r="T120" i="247" s="1"/>
  <c r="U120" i="247" s="1"/>
  <c r="V120" i="247" s="1"/>
  <c r="W120" i="247" s="1"/>
  <c r="X120" i="247" s="1"/>
  <c r="Y120" i="247" s="1"/>
  <c r="L122" i="247"/>
  <c r="N122" i="247"/>
  <c r="O122" i="247" s="1"/>
  <c r="P122" i="247" s="1"/>
  <c r="Q122" i="247" s="1"/>
  <c r="R122" i="247" s="1"/>
  <c r="S122" i="247" s="1"/>
  <c r="T122" i="247" s="1"/>
  <c r="U122" i="247" s="1"/>
  <c r="V122" i="247" s="1"/>
  <c r="W122" i="247" s="1"/>
  <c r="X122" i="247" s="1"/>
  <c r="Y122" i="247" s="1"/>
  <c r="L123" i="247"/>
  <c r="N123" i="247"/>
  <c r="O123" i="247" s="1"/>
  <c r="P123" i="247" s="1"/>
  <c r="Q123" i="247" s="1"/>
  <c r="R123" i="247" s="1"/>
  <c r="S123" i="247" s="1"/>
  <c r="T123" i="247" s="1"/>
  <c r="U123" i="247" s="1"/>
  <c r="V123" i="247" s="1"/>
  <c r="W123" i="247" s="1"/>
  <c r="X123" i="247" s="1"/>
  <c r="Y123" i="247" s="1"/>
  <c r="L125" i="247"/>
  <c r="N125" i="247"/>
  <c r="O125" i="247" s="1"/>
  <c r="P125" i="247" s="1"/>
  <c r="Q125" i="247" s="1"/>
  <c r="R125" i="247" s="1"/>
  <c r="S125" i="247" s="1"/>
  <c r="T125" i="247" s="1"/>
  <c r="U125" i="247" s="1"/>
  <c r="V125" i="247" s="1"/>
  <c r="W125" i="247" s="1"/>
  <c r="X125" i="247" s="1"/>
  <c r="Y125" i="247" s="1"/>
  <c r="L129" i="247"/>
  <c r="N129" i="247"/>
  <c r="O129" i="247" s="1"/>
  <c r="P129" i="247" s="1"/>
  <c r="Q129" i="247" s="1"/>
  <c r="R129" i="247" s="1"/>
  <c r="S129" i="247" s="1"/>
  <c r="T129" i="247" s="1"/>
  <c r="U129" i="247" s="1"/>
  <c r="V129" i="247" s="1"/>
  <c r="W129" i="247" s="1"/>
  <c r="X129" i="247" s="1"/>
  <c r="Y129" i="247" s="1"/>
  <c r="L130" i="247"/>
  <c r="N130" i="247"/>
  <c r="O130" i="247" s="1"/>
  <c r="P130" i="247" s="1"/>
  <c r="Q130" i="247" s="1"/>
  <c r="R130" i="247" s="1"/>
  <c r="S130" i="247" s="1"/>
  <c r="T130" i="247" s="1"/>
  <c r="U130" i="247" s="1"/>
  <c r="V130" i="247" s="1"/>
  <c r="W130" i="247" s="1"/>
  <c r="X130" i="247" s="1"/>
  <c r="Y130" i="247" s="1"/>
  <c r="L131" i="247"/>
  <c r="N131" i="247"/>
  <c r="O131" i="247" s="1"/>
  <c r="P131" i="247" s="1"/>
  <c r="Q131" i="247" s="1"/>
  <c r="R131" i="247" s="1"/>
  <c r="S131" i="247" s="1"/>
  <c r="T131" i="247" s="1"/>
  <c r="U131" i="247" s="1"/>
  <c r="V131" i="247" s="1"/>
  <c r="W131" i="247" s="1"/>
  <c r="X131" i="247" s="1"/>
  <c r="Y131" i="247" s="1"/>
  <c r="L132" i="247"/>
  <c r="N132" i="247"/>
  <c r="O132" i="247" s="1"/>
  <c r="P132" i="247" s="1"/>
  <c r="Q132" i="247" s="1"/>
  <c r="R132" i="247" s="1"/>
  <c r="S132" i="247" s="1"/>
  <c r="T132" i="247" s="1"/>
  <c r="U132" i="247" s="1"/>
  <c r="V132" i="247" s="1"/>
  <c r="W132" i="247" s="1"/>
  <c r="X132" i="247" s="1"/>
  <c r="Y132" i="247" s="1"/>
  <c r="L139" i="247"/>
  <c r="N139" i="247"/>
  <c r="O139" i="247" s="1"/>
  <c r="P139" i="247" s="1"/>
  <c r="Q139" i="247" s="1"/>
  <c r="R139" i="247" s="1"/>
  <c r="S139" i="247" s="1"/>
  <c r="T139" i="247" s="1"/>
  <c r="U139" i="247" s="1"/>
  <c r="V139" i="247" s="1"/>
  <c r="W139" i="247" s="1"/>
  <c r="X139" i="247" s="1"/>
  <c r="Y139" i="247" s="1"/>
  <c r="L140" i="247"/>
  <c r="N140" i="247"/>
  <c r="O140" i="247" s="1"/>
  <c r="P140" i="247" s="1"/>
  <c r="Q140" i="247" s="1"/>
  <c r="R140" i="247" s="1"/>
  <c r="S140" i="247" s="1"/>
  <c r="T140" i="247" s="1"/>
  <c r="U140" i="247" s="1"/>
  <c r="V140" i="247" s="1"/>
  <c r="W140" i="247" s="1"/>
  <c r="X140" i="247" s="1"/>
  <c r="Y140" i="247" s="1"/>
  <c r="L142" i="247"/>
  <c r="N142" i="247"/>
  <c r="O142" i="247" s="1"/>
  <c r="P142" i="247" s="1"/>
  <c r="Q142" i="247" s="1"/>
  <c r="R142" i="247" s="1"/>
  <c r="S142" i="247" s="1"/>
  <c r="T142" i="247" s="1"/>
  <c r="U142" i="247" s="1"/>
  <c r="V142" i="247" s="1"/>
  <c r="W142" i="247" s="1"/>
  <c r="X142" i="247" s="1"/>
  <c r="Y142" i="247" s="1"/>
  <c r="L143" i="247"/>
  <c r="N143" i="247"/>
  <c r="O143" i="247" s="1"/>
  <c r="P143" i="247" s="1"/>
  <c r="Q143" i="247" s="1"/>
  <c r="R143" i="247" s="1"/>
  <c r="S143" i="247" s="1"/>
  <c r="T143" i="247" s="1"/>
  <c r="U143" i="247" s="1"/>
  <c r="V143" i="247" s="1"/>
  <c r="W143" i="247" s="1"/>
  <c r="X143" i="247" s="1"/>
  <c r="Y143" i="247" s="1"/>
  <c r="L146" i="247"/>
  <c r="N146" i="247"/>
  <c r="O146" i="247" s="1"/>
  <c r="P146" i="247" s="1"/>
  <c r="Q146" i="247" s="1"/>
  <c r="R146" i="247" s="1"/>
  <c r="S146" i="247" s="1"/>
  <c r="T146" i="247" s="1"/>
  <c r="U146" i="247" s="1"/>
  <c r="V146" i="247" s="1"/>
  <c r="W146" i="247" s="1"/>
  <c r="X146" i="247" s="1"/>
  <c r="Y146" i="247" s="1"/>
  <c r="L148" i="247"/>
  <c r="N148" i="247"/>
  <c r="O148" i="247" s="1"/>
  <c r="P148" i="247" s="1"/>
  <c r="Q148" i="247" s="1"/>
  <c r="R148" i="247" s="1"/>
  <c r="S148" i="247" s="1"/>
  <c r="T148" i="247" s="1"/>
  <c r="U148" i="247" s="1"/>
  <c r="V148" i="247" s="1"/>
  <c r="W148" i="247" s="1"/>
  <c r="X148" i="247" s="1"/>
  <c r="Y148" i="247" s="1"/>
  <c r="L150" i="247"/>
  <c r="N150" i="247"/>
  <c r="O150" i="247" s="1"/>
  <c r="P150" i="247" s="1"/>
  <c r="Q150" i="247" s="1"/>
  <c r="R150" i="247" s="1"/>
  <c r="S150" i="247" s="1"/>
  <c r="T150" i="247" s="1"/>
  <c r="U150" i="247" s="1"/>
  <c r="V150" i="247" s="1"/>
  <c r="W150" i="247" s="1"/>
  <c r="X150" i="247" s="1"/>
  <c r="Y150" i="247" s="1"/>
  <c r="L155" i="247"/>
  <c r="N155" i="247"/>
  <c r="O155" i="247" s="1"/>
  <c r="P155" i="247" s="1"/>
  <c r="Q155" i="247" s="1"/>
  <c r="R155" i="247" s="1"/>
  <c r="S155" i="247" s="1"/>
  <c r="T155" i="247" s="1"/>
  <c r="U155" i="247" s="1"/>
  <c r="V155" i="247" s="1"/>
  <c r="W155" i="247" s="1"/>
  <c r="X155" i="247" s="1"/>
  <c r="Y155" i="247" s="1"/>
  <c r="L156" i="247"/>
  <c r="N156" i="247"/>
  <c r="O156" i="247" s="1"/>
  <c r="P156" i="247" s="1"/>
  <c r="Q156" i="247" s="1"/>
  <c r="R156" i="247" s="1"/>
  <c r="S156" i="247" s="1"/>
  <c r="T156" i="247" s="1"/>
  <c r="U156" i="247" s="1"/>
  <c r="V156" i="247" s="1"/>
  <c r="W156" i="247" s="1"/>
  <c r="X156" i="247" s="1"/>
  <c r="Y156" i="247" s="1"/>
  <c r="L157" i="247"/>
  <c r="N157" i="247"/>
  <c r="O157" i="247" s="1"/>
  <c r="P157" i="247" s="1"/>
  <c r="Q157" i="247" s="1"/>
  <c r="R157" i="247" s="1"/>
  <c r="S157" i="247" s="1"/>
  <c r="T157" i="247" s="1"/>
  <c r="U157" i="247" s="1"/>
  <c r="V157" i="247" s="1"/>
  <c r="W157" i="247" s="1"/>
  <c r="X157" i="247" s="1"/>
  <c r="Y157" i="247" s="1"/>
  <c r="L159" i="247"/>
  <c r="N159" i="247"/>
  <c r="O159" i="247" s="1"/>
  <c r="P159" i="247" s="1"/>
  <c r="Q159" i="247" s="1"/>
  <c r="R159" i="247" s="1"/>
  <c r="S159" i="247" s="1"/>
  <c r="T159" i="247" s="1"/>
  <c r="U159" i="247" s="1"/>
  <c r="V159" i="247" s="1"/>
  <c r="W159" i="247" s="1"/>
  <c r="X159" i="247" s="1"/>
  <c r="Y159" i="247" s="1"/>
  <c r="L164" i="247"/>
  <c r="N164" i="247"/>
  <c r="O164" i="247" s="1"/>
  <c r="P164" i="247" s="1"/>
  <c r="Q164" i="247" s="1"/>
  <c r="R164" i="247" s="1"/>
  <c r="S164" i="247" s="1"/>
  <c r="T164" i="247" s="1"/>
  <c r="U164" i="247" s="1"/>
  <c r="V164" i="247" s="1"/>
  <c r="W164" i="247" s="1"/>
  <c r="X164" i="247" s="1"/>
  <c r="Y164" i="247" s="1"/>
  <c r="L165" i="247"/>
  <c r="N165" i="247"/>
  <c r="O165" i="247" s="1"/>
  <c r="P165" i="247" s="1"/>
  <c r="Q165" i="247" s="1"/>
  <c r="R165" i="247" s="1"/>
  <c r="S165" i="247" s="1"/>
  <c r="T165" i="247" s="1"/>
  <c r="U165" i="247" s="1"/>
  <c r="V165" i="247" s="1"/>
  <c r="W165" i="247" s="1"/>
  <c r="X165" i="247" s="1"/>
  <c r="Y165" i="247" s="1"/>
  <c r="L166" i="247"/>
  <c r="N166" i="247"/>
  <c r="O166" i="247" s="1"/>
  <c r="P166" i="247" s="1"/>
  <c r="Q166" i="247" s="1"/>
  <c r="R166" i="247" s="1"/>
  <c r="S166" i="247" s="1"/>
  <c r="T166" i="247" s="1"/>
  <c r="U166" i="247" s="1"/>
  <c r="V166" i="247" s="1"/>
  <c r="W166" i="247" s="1"/>
  <c r="X166" i="247" s="1"/>
  <c r="Y166" i="247" s="1"/>
  <c r="L169" i="247"/>
  <c r="N169" i="247"/>
  <c r="O169" i="247" s="1"/>
  <c r="P169" i="247" s="1"/>
  <c r="Q169" i="247" s="1"/>
  <c r="R169" i="247" s="1"/>
  <c r="S169" i="247" s="1"/>
  <c r="T169" i="247" s="1"/>
  <c r="U169" i="247" s="1"/>
  <c r="V169" i="247" s="1"/>
  <c r="W169" i="247" s="1"/>
  <c r="X169" i="247" s="1"/>
  <c r="Y169" i="247" s="1"/>
  <c r="L170" i="247"/>
  <c r="N170" i="247"/>
  <c r="O170" i="247" s="1"/>
  <c r="P170" i="247" s="1"/>
  <c r="Q170" i="247" s="1"/>
  <c r="R170" i="247" s="1"/>
  <c r="S170" i="247" s="1"/>
  <c r="T170" i="247" s="1"/>
  <c r="U170" i="247" s="1"/>
  <c r="V170" i="247" s="1"/>
  <c r="W170" i="247" s="1"/>
  <c r="X170" i="247" s="1"/>
  <c r="Y170" i="247" s="1"/>
  <c r="L171" i="247"/>
  <c r="N171" i="247"/>
  <c r="O171" i="247" s="1"/>
  <c r="P171" i="247" s="1"/>
  <c r="Q171" i="247" s="1"/>
  <c r="R171" i="247" s="1"/>
  <c r="S171" i="247" s="1"/>
  <c r="T171" i="247" s="1"/>
  <c r="U171" i="247" s="1"/>
  <c r="V171" i="247" s="1"/>
  <c r="W171" i="247" s="1"/>
  <c r="X171" i="247" s="1"/>
  <c r="Y171" i="247" s="1"/>
  <c r="L172" i="247"/>
  <c r="N172" i="247"/>
  <c r="O172" i="247" s="1"/>
  <c r="P172" i="247" s="1"/>
  <c r="Q172" i="247" s="1"/>
  <c r="R172" i="247" s="1"/>
  <c r="S172" i="247" s="1"/>
  <c r="T172" i="247" s="1"/>
  <c r="U172" i="247" s="1"/>
  <c r="V172" i="247" s="1"/>
  <c r="W172" i="247" s="1"/>
  <c r="X172" i="247" s="1"/>
  <c r="Y172" i="247" s="1"/>
  <c r="L173" i="247"/>
  <c r="N173" i="247"/>
  <c r="O173" i="247" s="1"/>
  <c r="P173" i="247" s="1"/>
  <c r="Q173" i="247" s="1"/>
  <c r="R173" i="247" s="1"/>
  <c r="S173" i="247" s="1"/>
  <c r="T173" i="247" s="1"/>
  <c r="U173" i="247" s="1"/>
  <c r="V173" i="247" s="1"/>
  <c r="W173" i="247" s="1"/>
  <c r="X173" i="247" s="1"/>
  <c r="Y173" i="247" s="1"/>
  <c r="L174" i="247"/>
  <c r="N174" i="247"/>
  <c r="O174" i="247" s="1"/>
  <c r="P174" i="247" s="1"/>
  <c r="Q174" i="247" s="1"/>
  <c r="R174" i="247" s="1"/>
  <c r="S174" i="247" s="1"/>
  <c r="T174" i="247" s="1"/>
  <c r="U174" i="247" s="1"/>
  <c r="V174" i="247" s="1"/>
  <c r="W174" i="247" s="1"/>
  <c r="X174" i="247" s="1"/>
  <c r="Y174" i="247" s="1"/>
  <c r="L176" i="247"/>
  <c r="N176" i="247"/>
  <c r="O176" i="247" s="1"/>
  <c r="P176" i="247" s="1"/>
  <c r="Q176" i="247" s="1"/>
  <c r="R176" i="247" s="1"/>
  <c r="S176" i="247" s="1"/>
  <c r="T176" i="247" s="1"/>
  <c r="U176" i="247" s="1"/>
  <c r="V176" i="247" s="1"/>
  <c r="W176" i="247" s="1"/>
  <c r="X176" i="247" s="1"/>
  <c r="Y176" i="247" s="1"/>
  <c r="L177" i="247"/>
  <c r="N177" i="247"/>
  <c r="O177" i="247" s="1"/>
  <c r="P177" i="247" s="1"/>
  <c r="Q177" i="247" s="1"/>
  <c r="R177" i="247" s="1"/>
  <c r="S177" i="247" s="1"/>
  <c r="T177" i="247" s="1"/>
  <c r="U177" i="247" s="1"/>
  <c r="V177" i="247" s="1"/>
  <c r="W177" i="247" s="1"/>
  <c r="X177" i="247" s="1"/>
  <c r="Y177" i="247" s="1"/>
  <c r="L180" i="247"/>
  <c r="N180" i="247"/>
  <c r="O180" i="247" s="1"/>
  <c r="P180" i="247" s="1"/>
  <c r="Q180" i="247" s="1"/>
  <c r="R180" i="247" s="1"/>
  <c r="S180" i="247" s="1"/>
  <c r="T180" i="247" s="1"/>
  <c r="U180" i="247" s="1"/>
  <c r="V180" i="247" s="1"/>
  <c r="W180" i="247" s="1"/>
  <c r="X180" i="247" s="1"/>
  <c r="Y180" i="247" s="1"/>
  <c r="L182" i="247"/>
  <c r="N182" i="247"/>
  <c r="O182" i="247" s="1"/>
  <c r="P182" i="247" s="1"/>
  <c r="Q182" i="247" s="1"/>
  <c r="R182" i="247" s="1"/>
  <c r="S182" i="247" s="1"/>
  <c r="T182" i="247" s="1"/>
  <c r="U182" i="247" s="1"/>
  <c r="V182" i="247" s="1"/>
  <c r="W182" i="247" s="1"/>
  <c r="X182" i="247" s="1"/>
  <c r="Y182" i="247" s="1"/>
  <c r="L184" i="247"/>
  <c r="N184" i="247"/>
  <c r="O184" i="247" s="1"/>
  <c r="P184" i="247" s="1"/>
  <c r="Q184" i="247" s="1"/>
  <c r="R184" i="247" s="1"/>
  <c r="S184" i="247" s="1"/>
  <c r="T184" i="247" s="1"/>
  <c r="U184" i="247" s="1"/>
  <c r="V184" i="247" s="1"/>
  <c r="W184" i="247" s="1"/>
  <c r="X184" i="247" s="1"/>
  <c r="Y184" i="247" s="1"/>
  <c r="L186" i="247"/>
  <c r="N186" i="247"/>
  <c r="O186" i="247" s="1"/>
  <c r="P186" i="247" s="1"/>
  <c r="Q186" i="247" s="1"/>
  <c r="R186" i="247" s="1"/>
  <c r="S186" i="247" s="1"/>
  <c r="T186" i="247" s="1"/>
  <c r="U186" i="247" s="1"/>
  <c r="V186" i="247" s="1"/>
  <c r="W186" i="247" s="1"/>
  <c r="X186" i="247" s="1"/>
  <c r="Y186" i="247" s="1"/>
  <c r="L190" i="247"/>
  <c r="N190" i="247"/>
  <c r="O190" i="247" s="1"/>
  <c r="P190" i="247" s="1"/>
  <c r="Q190" i="247" s="1"/>
  <c r="R190" i="247" s="1"/>
  <c r="S190" i="247" s="1"/>
  <c r="T190" i="247" s="1"/>
  <c r="U190" i="247" s="1"/>
  <c r="V190" i="247" s="1"/>
  <c r="W190" i="247" s="1"/>
  <c r="X190" i="247" s="1"/>
  <c r="Y190" i="247" s="1"/>
  <c r="L196" i="247"/>
  <c r="N196" i="247"/>
  <c r="O196" i="247" s="1"/>
  <c r="P196" i="247" s="1"/>
  <c r="Q196" i="247" s="1"/>
  <c r="R196" i="247" s="1"/>
  <c r="S196" i="247" s="1"/>
  <c r="T196" i="247" s="1"/>
  <c r="U196" i="247" s="1"/>
  <c r="V196" i="247" s="1"/>
  <c r="W196" i="247" s="1"/>
  <c r="X196" i="247" s="1"/>
  <c r="Y196" i="247" s="1"/>
  <c r="L198" i="247"/>
  <c r="N198" i="247"/>
  <c r="O198" i="247" s="1"/>
  <c r="P198" i="247" s="1"/>
  <c r="Q198" i="247" s="1"/>
  <c r="R198" i="247" s="1"/>
  <c r="S198" i="247" s="1"/>
  <c r="T198" i="247" s="1"/>
  <c r="U198" i="247" s="1"/>
  <c r="V198" i="247" s="1"/>
  <c r="W198" i="247" s="1"/>
  <c r="X198" i="247" s="1"/>
  <c r="Y198" i="247" s="1"/>
  <c r="L202" i="247"/>
  <c r="N202" i="247"/>
  <c r="O202" i="247" s="1"/>
  <c r="P202" i="247" s="1"/>
  <c r="Q202" i="247" s="1"/>
  <c r="R202" i="247" s="1"/>
  <c r="S202" i="247" s="1"/>
  <c r="T202" i="247" s="1"/>
  <c r="U202" i="247" s="1"/>
  <c r="V202" i="247" s="1"/>
  <c r="W202" i="247" s="1"/>
  <c r="X202" i="247" s="1"/>
  <c r="Y202" i="247" s="1"/>
  <c r="L205" i="247"/>
  <c r="N205" i="247"/>
  <c r="O205" i="247" s="1"/>
  <c r="P205" i="247" s="1"/>
  <c r="Q205" i="247" s="1"/>
  <c r="R205" i="247" s="1"/>
  <c r="S205" i="247" s="1"/>
  <c r="T205" i="247" s="1"/>
  <c r="U205" i="247" s="1"/>
  <c r="V205" i="247" s="1"/>
  <c r="W205" i="247" s="1"/>
  <c r="X205" i="247" s="1"/>
  <c r="Y205" i="247" s="1"/>
  <c r="L207" i="247"/>
  <c r="N207" i="247"/>
  <c r="O207" i="247" s="1"/>
  <c r="P207" i="247" s="1"/>
  <c r="Q207" i="247" s="1"/>
  <c r="R207" i="247" s="1"/>
  <c r="S207" i="247" s="1"/>
  <c r="T207" i="247" s="1"/>
  <c r="U207" i="247" s="1"/>
  <c r="V207" i="247" s="1"/>
  <c r="W207" i="247" s="1"/>
  <c r="X207" i="247" s="1"/>
  <c r="Y207" i="247" s="1"/>
  <c r="L208" i="247"/>
  <c r="N208" i="247"/>
  <c r="O208" i="247" s="1"/>
  <c r="P208" i="247" s="1"/>
  <c r="Q208" i="247" s="1"/>
  <c r="R208" i="247" s="1"/>
  <c r="S208" i="247" s="1"/>
  <c r="T208" i="247" s="1"/>
  <c r="U208" i="247" s="1"/>
  <c r="V208" i="247" s="1"/>
  <c r="W208" i="247" s="1"/>
  <c r="X208" i="247" s="1"/>
  <c r="Y208" i="247" s="1"/>
  <c r="L210" i="247"/>
  <c r="N210" i="247"/>
  <c r="O210" i="247" s="1"/>
  <c r="P210" i="247" s="1"/>
  <c r="Q210" i="247" s="1"/>
  <c r="R210" i="247" s="1"/>
  <c r="S210" i="247" s="1"/>
  <c r="T210" i="247" s="1"/>
  <c r="U210" i="247" s="1"/>
  <c r="V210" i="247" s="1"/>
  <c r="W210" i="247" s="1"/>
  <c r="X210" i="247" s="1"/>
  <c r="Y210" i="247" s="1"/>
  <c r="L213" i="247"/>
  <c r="N213" i="247"/>
  <c r="O213" i="247" s="1"/>
  <c r="P213" i="247" s="1"/>
  <c r="Q213" i="247" s="1"/>
  <c r="R213" i="247" s="1"/>
  <c r="S213" i="247" s="1"/>
  <c r="T213" i="247" s="1"/>
  <c r="U213" i="247" s="1"/>
  <c r="V213" i="247" s="1"/>
  <c r="W213" i="247" s="1"/>
  <c r="X213" i="247" s="1"/>
  <c r="Y213" i="247" s="1"/>
  <c r="L214" i="247"/>
  <c r="N214" i="247"/>
  <c r="O214" i="247" s="1"/>
  <c r="P214" i="247" s="1"/>
  <c r="Q214" i="247" s="1"/>
  <c r="R214" i="247" s="1"/>
  <c r="S214" i="247" s="1"/>
  <c r="T214" i="247" s="1"/>
  <c r="U214" i="247" s="1"/>
  <c r="V214" i="247" s="1"/>
  <c r="W214" i="247" s="1"/>
  <c r="X214" i="247" s="1"/>
  <c r="Y214" i="247" s="1"/>
  <c r="L215" i="247"/>
  <c r="N215" i="247"/>
  <c r="O215" i="247" s="1"/>
  <c r="P215" i="247" s="1"/>
  <c r="Q215" i="247" s="1"/>
  <c r="R215" i="247" s="1"/>
  <c r="S215" i="247" s="1"/>
  <c r="T215" i="247" s="1"/>
  <c r="U215" i="247" s="1"/>
  <c r="V215" i="247" s="1"/>
  <c r="W215" i="247" s="1"/>
  <c r="X215" i="247" s="1"/>
  <c r="Y215" i="247" s="1"/>
  <c r="L217" i="247"/>
  <c r="N217" i="247"/>
  <c r="O217" i="247" s="1"/>
  <c r="P217" i="247" s="1"/>
  <c r="Q217" i="247" s="1"/>
  <c r="R217" i="247" s="1"/>
  <c r="S217" i="247" s="1"/>
  <c r="T217" i="247" s="1"/>
  <c r="U217" i="247" s="1"/>
  <c r="V217" i="247" s="1"/>
  <c r="W217" i="247" s="1"/>
  <c r="X217" i="247" s="1"/>
  <c r="Y217" i="247" s="1"/>
  <c r="L218" i="247"/>
  <c r="N218" i="247"/>
  <c r="O218" i="247" s="1"/>
  <c r="P218" i="247" s="1"/>
  <c r="Q218" i="247" s="1"/>
  <c r="R218" i="247" s="1"/>
  <c r="S218" i="247" s="1"/>
  <c r="T218" i="247" s="1"/>
  <c r="U218" i="247" s="1"/>
  <c r="V218" i="247" s="1"/>
  <c r="W218" i="247" s="1"/>
  <c r="X218" i="247" s="1"/>
  <c r="Y218" i="247" s="1"/>
  <c r="L221" i="247"/>
  <c r="N221" i="247"/>
  <c r="O221" i="247" s="1"/>
  <c r="P221" i="247" s="1"/>
  <c r="Q221" i="247" s="1"/>
  <c r="R221" i="247" s="1"/>
  <c r="S221" i="247" s="1"/>
  <c r="T221" i="247" s="1"/>
  <c r="U221" i="247" s="1"/>
  <c r="V221" i="247" s="1"/>
  <c r="W221" i="247" s="1"/>
  <c r="X221" i="247" s="1"/>
  <c r="Y221" i="247" s="1"/>
  <c r="L222" i="247"/>
  <c r="N222" i="247"/>
  <c r="O222" i="247" s="1"/>
  <c r="P222" i="247" s="1"/>
  <c r="Q222" i="247" s="1"/>
  <c r="R222" i="247" s="1"/>
  <c r="S222" i="247" s="1"/>
  <c r="T222" i="247" s="1"/>
  <c r="U222" i="247" s="1"/>
  <c r="V222" i="247" s="1"/>
  <c r="W222" i="247" s="1"/>
  <c r="X222" i="247" s="1"/>
  <c r="Y222" i="247" s="1"/>
  <c r="L228" i="247"/>
  <c r="N228" i="247"/>
  <c r="O228" i="247" s="1"/>
  <c r="P228" i="247" s="1"/>
  <c r="Q228" i="247" s="1"/>
  <c r="R228" i="247" s="1"/>
  <c r="S228" i="247" s="1"/>
  <c r="T228" i="247" s="1"/>
  <c r="U228" i="247" s="1"/>
  <c r="V228" i="247" s="1"/>
  <c r="W228" i="247" s="1"/>
  <c r="X228" i="247" s="1"/>
  <c r="Y228" i="247" s="1"/>
  <c r="L230" i="247"/>
  <c r="N230" i="247"/>
  <c r="O230" i="247" s="1"/>
  <c r="P230" i="247" s="1"/>
  <c r="Q230" i="247" s="1"/>
  <c r="R230" i="247" s="1"/>
  <c r="S230" i="247" s="1"/>
  <c r="T230" i="247" s="1"/>
  <c r="U230" i="247" s="1"/>
  <c r="V230" i="247" s="1"/>
  <c r="W230" i="247" s="1"/>
  <c r="X230" i="247" s="1"/>
  <c r="Y230" i="247" s="1"/>
  <c r="L233" i="247"/>
  <c r="N233" i="247"/>
  <c r="O233" i="247" s="1"/>
  <c r="P233" i="247" s="1"/>
  <c r="Q233" i="247" s="1"/>
  <c r="R233" i="247" s="1"/>
  <c r="S233" i="247" s="1"/>
  <c r="T233" i="247" s="1"/>
  <c r="U233" i="247" s="1"/>
  <c r="V233" i="247" s="1"/>
  <c r="W233" i="247" s="1"/>
  <c r="X233" i="247" s="1"/>
  <c r="Y233" i="247" s="1"/>
  <c r="L234" i="247"/>
  <c r="N234" i="247"/>
  <c r="O234" i="247" s="1"/>
  <c r="P234" i="247" s="1"/>
  <c r="Q234" i="247" s="1"/>
  <c r="R234" i="247" s="1"/>
  <c r="S234" i="247" s="1"/>
  <c r="T234" i="247" s="1"/>
  <c r="U234" i="247" s="1"/>
  <c r="V234" i="247" s="1"/>
  <c r="W234" i="247" s="1"/>
  <c r="X234" i="247" s="1"/>
  <c r="Y234" i="247" s="1"/>
  <c r="L236" i="247"/>
  <c r="N236" i="247"/>
  <c r="O236" i="247" s="1"/>
  <c r="P236" i="247" s="1"/>
  <c r="Q236" i="247" s="1"/>
  <c r="R236" i="247" s="1"/>
  <c r="S236" i="247" s="1"/>
  <c r="T236" i="247" s="1"/>
  <c r="U236" i="247" s="1"/>
  <c r="V236" i="247" s="1"/>
  <c r="W236" i="247" s="1"/>
  <c r="X236" i="247" s="1"/>
  <c r="Y236" i="247" s="1"/>
  <c r="L237" i="247"/>
  <c r="N237" i="247"/>
  <c r="O237" i="247" s="1"/>
  <c r="P237" i="247" s="1"/>
  <c r="Q237" i="247" s="1"/>
  <c r="R237" i="247" s="1"/>
  <c r="S237" i="247" s="1"/>
  <c r="T237" i="247" s="1"/>
  <c r="U237" i="247" s="1"/>
  <c r="V237" i="247" s="1"/>
  <c r="W237" i="247" s="1"/>
  <c r="X237" i="247" s="1"/>
  <c r="Y237" i="247" s="1"/>
  <c r="L238" i="247"/>
  <c r="N238" i="247"/>
  <c r="O238" i="247" s="1"/>
  <c r="P238" i="247" s="1"/>
  <c r="Q238" i="247" s="1"/>
  <c r="R238" i="247" s="1"/>
  <c r="S238" i="247" s="1"/>
  <c r="T238" i="247" s="1"/>
  <c r="U238" i="247" s="1"/>
  <c r="V238" i="247" s="1"/>
  <c r="W238" i="247" s="1"/>
  <c r="X238" i="247" s="1"/>
  <c r="Y238" i="247" s="1"/>
  <c r="L240" i="247"/>
  <c r="N240" i="247"/>
  <c r="O240" i="247" s="1"/>
  <c r="P240" i="247" s="1"/>
  <c r="Q240" i="247" s="1"/>
  <c r="R240" i="247" s="1"/>
  <c r="S240" i="247" s="1"/>
  <c r="T240" i="247" s="1"/>
  <c r="U240" i="247" s="1"/>
  <c r="V240" i="247" s="1"/>
  <c r="W240" i="247" s="1"/>
  <c r="X240" i="247" s="1"/>
  <c r="Y240" i="247" s="1"/>
  <c r="L241" i="247"/>
  <c r="N241" i="247"/>
  <c r="O241" i="247" s="1"/>
  <c r="P241" i="247" s="1"/>
  <c r="Q241" i="247" s="1"/>
  <c r="R241" i="247" s="1"/>
  <c r="S241" i="247" s="1"/>
  <c r="T241" i="247" s="1"/>
  <c r="U241" i="247" s="1"/>
  <c r="V241" i="247" s="1"/>
  <c r="W241" i="247" s="1"/>
  <c r="X241" i="247" s="1"/>
  <c r="Y241" i="247" s="1"/>
  <c r="L243" i="247"/>
  <c r="N243" i="247"/>
  <c r="O243" i="247" s="1"/>
  <c r="P243" i="247" s="1"/>
  <c r="Q243" i="247" s="1"/>
  <c r="R243" i="247" s="1"/>
  <c r="S243" i="247" s="1"/>
  <c r="T243" i="247" s="1"/>
  <c r="U243" i="247" s="1"/>
  <c r="V243" i="247" s="1"/>
  <c r="W243" i="247" s="1"/>
  <c r="X243" i="247" s="1"/>
  <c r="Y243" i="247" s="1"/>
  <c r="L247" i="247"/>
  <c r="N247" i="247"/>
  <c r="O247" i="247" s="1"/>
  <c r="P247" i="247" s="1"/>
  <c r="Q247" i="247" s="1"/>
  <c r="R247" i="247" s="1"/>
  <c r="S247" i="247" s="1"/>
  <c r="T247" i="247" s="1"/>
  <c r="U247" i="247" s="1"/>
  <c r="V247" i="247" s="1"/>
  <c r="W247" i="247" s="1"/>
  <c r="X247" i="247" s="1"/>
  <c r="Y247" i="247" s="1"/>
  <c r="L253" i="247"/>
  <c r="N253" i="247"/>
  <c r="O253" i="247" s="1"/>
  <c r="P253" i="247" s="1"/>
  <c r="Q253" i="247" s="1"/>
  <c r="R253" i="247" s="1"/>
  <c r="S253" i="247" s="1"/>
  <c r="T253" i="247" s="1"/>
  <c r="U253" i="247" s="1"/>
  <c r="V253" i="247" s="1"/>
  <c r="W253" i="247" s="1"/>
  <c r="X253" i="247" s="1"/>
  <c r="Y253" i="247" s="1"/>
  <c r="L254" i="247"/>
  <c r="N254" i="247"/>
  <c r="O254" i="247" s="1"/>
  <c r="P254" i="247" s="1"/>
  <c r="Q254" i="247" s="1"/>
  <c r="R254" i="247" s="1"/>
  <c r="S254" i="247" s="1"/>
  <c r="T254" i="247" s="1"/>
  <c r="U254" i="247" s="1"/>
  <c r="V254" i="247" s="1"/>
  <c r="W254" i="247" s="1"/>
  <c r="X254" i="247" s="1"/>
  <c r="Y254" i="247" s="1"/>
  <c r="L256" i="247"/>
  <c r="N256" i="247"/>
  <c r="O256" i="247" s="1"/>
  <c r="P256" i="247" s="1"/>
  <c r="Q256" i="247" s="1"/>
  <c r="R256" i="247" s="1"/>
  <c r="S256" i="247" s="1"/>
  <c r="T256" i="247" s="1"/>
  <c r="U256" i="247" s="1"/>
  <c r="V256" i="247" s="1"/>
  <c r="W256" i="247" s="1"/>
  <c r="X256" i="247" s="1"/>
  <c r="Y256" i="247" s="1"/>
  <c r="L257" i="247"/>
  <c r="N257" i="247"/>
  <c r="O257" i="247" s="1"/>
  <c r="P257" i="247" s="1"/>
  <c r="Q257" i="247" s="1"/>
  <c r="R257" i="247" s="1"/>
  <c r="S257" i="247" s="1"/>
  <c r="T257" i="247" s="1"/>
  <c r="U257" i="247" s="1"/>
  <c r="V257" i="247" s="1"/>
  <c r="W257" i="247" s="1"/>
  <c r="X257" i="247" s="1"/>
  <c r="Y257" i="247" s="1"/>
  <c r="L259" i="247"/>
  <c r="N259" i="247"/>
  <c r="O259" i="247" s="1"/>
  <c r="P259" i="247" s="1"/>
  <c r="Q259" i="247" s="1"/>
  <c r="R259" i="247" s="1"/>
  <c r="S259" i="247" s="1"/>
  <c r="T259" i="247" s="1"/>
  <c r="U259" i="247" s="1"/>
  <c r="V259" i="247" s="1"/>
  <c r="W259" i="247" s="1"/>
  <c r="X259" i="247" s="1"/>
  <c r="Y259" i="247" s="1"/>
  <c r="L262" i="247"/>
  <c r="N262" i="247"/>
  <c r="O262" i="247" s="1"/>
  <c r="P262" i="247" s="1"/>
  <c r="Q262" i="247" s="1"/>
  <c r="R262" i="247" s="1"/>
  <c r="S262" i="247" s="1"/>
  <c r="T262" i="247" s="1"/>
  <c r="U262" i="247" s="1"/>
  <c r="V262" i="247" s="1"/>
  <c r="W262" i="247" s="1"/>
  <c r="X262" i="247" s="1"/>
  <c r="Y262" i="247" s="1"/>
  <c r="L264" i="247"/>
  <c r="N264" i="247"/>
  <c r="O264" i="247" s="1"/>
  <c r="P264" i="247" s="1"/>
  <c r="Q264" i="247" s="1"/>
  <c r="R264" i="247" s="1"/>
  <c r="S264" i="247" s="1"/>
  <c r="T264" i="247" s="1"/>
  <c r="U264" i="247" s="1"/>
  <c r="V264" i="247" s="1"/>
  <c r="W264" i="247" s="1"/>
  <c r="X264" i="247" s="1"/>
  <c r="Y264" i="247" s="1"/>
  <c r="L265" i="247"/>
  <c r="N265" i="247"/>
  <c r="O265" i="247" s="1"/>
  <c r="P265" i="247" s="1"/>
  <c r="Q265" i="247" s="1"/>
  <c r="R265" i="247" s="1"/>
  <c r="S265" i="247" s="1"/>
  <c r="T265" i="247" s="1"/>
  <c r="U265" i="247" s="1"/>
  <c r="V265" i="247" s="1"/>
  <c r="W265" i="247" s="1"/>
  <c r="X265" i="247" s="1"/>
  <c r="Y265" i="247" s="1"/>
  <c r="L270" i="247"/>
  <c r="N270" i="247"/>
  <c r="O270" i="247" s="1"/>
  <c r="P270" i="247" s="1"/>
  <c r="Q270" i="247" s="1"/>
  <c r="R270" i="247" s="1"/>
  <c r="S270" i="247" s="1"/>
  <c r="T270" i="247" s="1"/>
  <c r="U270" i="247" s="1"/>
  <c r="V270" i="247" s="1"/>
  <c r="W270" i="247" s="1"/>
  <c r="X270" i="247" s="1"/>
  <c r="Y270" i="247" s="1"/>
  <c r="L271" i="247"/>
  <c r="N271" i="247"/>
  <c r="O271" i="247" s="1"/>
  <c r="P271" i="247" s="1"/>
  <c r="Q271" i="247" s="1"/>
  <c r="R271" i="247" s="1"/>
  <c r="S271" i="247" s="1"/>
  <c r="T271" i="247" s="1"/>
  <c r="U271" i="247" s="1"/>
  <c r="V271" i="247" s="1"/>
  <c r="W271" i="247" s="1"/>
  <c r="X271" i="247" s="1"/>
  <c r="Y271" i="247" s="1"/>
  <c r="L273" i="247"/>
  <c r="N273" i="247"/>
  <c r="O273" i="247" s="1"/>
  <c r="P273" i="247" s="1"/>
  <c r="Q273" i="247" s="1"/>
  <c r="R273" i="247" s="1"/>
  <c r="S273" i="247" s="1"/>
  <c r="T273" i="247" s="1"/>
  <c r="U273" i="247" s="1"/>
  <c r="V273" i="247" s="1"/>
  <c r="W273" i="247" s="1"/>
  <c r="X273" i="247" s="1"/>
  <c r="Y273" i="247" s="1"/>
  <c r="L274" i="247"/>
  <c r="N274" i="247"/>
  <c r="O274" i="247" s="1"/>
  <c r="P274" i="247" s="1"/>
  <c r="Q274" i="247" s="1"/>
  <c r="R274" i="247" s="1"/>
  <c r="S274" i="247" s="1"/>
  <c r="T274" i="247" s="1"/>
  <c r="U274" i="247" s="1"/>
  <c r="V274" i="247" s="1"/>
  <c r="W274" i="247" s="1"/>
  <c r="X274" i="247" s="1"/>
  <c r="Y274" i="247" s="1"/>
  <c r="L281" i="247"/>
  <c r="N281" i="247"/>
  <c r="O281" i="247" s="1"/>
  <c r="P281" i="247" s="1"/>
  <c r="Q281" i="247" s="1"/>
  <c r="R281" i="247" s="1"/>
  <c r="S281" i="247" s="1"/>
  <c r="T281" i="247" s="1"/>
  <c r="U281" i="247" s="1"/>
  <c r="V281" i="247" s="1"/>
  <c r="W281" i="247" s="1"/>
  <c r="X281" i="247" s="1"/>
  <c r="Y281" i="247" s="1"/>
  <c r="L286" i="247"/>
  <c r="N286" i="247"/>
  <c r="O286" i="247" s="1"/>
  <c r="P286" i="247" s="1"/>
  <c r="Q286" i="247" s="1"/>
  <c r="R286" i="247" s="1"/>
  <c r="S286" i="247" s="1"/>
  <c r="T286" i="247" s="1"/>
  <c r="U286" i="247" s="1"/>
  <c r="V286" i="247" s="1"/>
  <c r="W286" i="247" s="1"/>
  <c r="X286" i="247" s="1"/>
  <c r="Y286" i="247" s="1"/>
  <c r="L292" i="247"/>
  <c r="N292" i="247"/>
  <c r="O292" i="247" s="1"/>
  <c r="P292" i="247" s="1"/>
  <c r="Q292" i="247" s="1"/>
  <c r="R292" i="247" s="1"/>
  <c r="S292" i="247" s="1"/>
  <c r="T292" i="247" s="1"/>
  <c r="U292" i="247" s="1"/>
  <c r="V292" i="247" s="1"/>
  <c r="W292" i="247" s="1"/>
  <c r="X292" i="247" s="1"/>
  <c r="Y292" i="247" s="1"/>
  <c r="L293" i="247"/>
  <c r="N293" i="247"/>
  <c r="O293" i="247" s="1"/>
  <c r="P293" i="247" s="1"/>
  <c r="Q293" i="247" s="1"/>
  <c r="R293" i="247" s="1"/>
  <c r="S293" i="247" s="1"/>
  <c r="T293" i="247" s="1"/>
  <c r="U293" i="247" s="1"/>
  <c r="V293" i="247" s="1"/>
  <c r="W293" i="247" s="1"/>
  <c r="X293" i="247" s="1"/>
  <c r="Y293" i="247" s="1"/>
  <c r="L294" i="247"/>
  <c r="N294" i="247"/>
  <c r="O294" i="247" s="1"/>
  <c r="P294" i="247" s="1"/>
  <c r="Q294" i="247" s="1"/>
  <c r="R294" i="247" s="1"/>
  <c r="S294" i="247" s="1"/>
  <c r="T294" i="247" s="1"/>
  <c r="U294" i="247" s="1"/>
  <c r="V294" i="247" s="1"/>
  <c r="W294" i="247" s="1"/>
  <c r="X294" i="247" s="1"/>
  <c r="Y294" i="247" s="1"/>
  <c r="L297" i="247"/>
  <c r="N297" i="247"/>
  <c r="O297" i="247" s="1"/>
  <c r="P297" i="247" s="1"/>
  <c r="Q297" i="247" s="1"/>
  <c r="R297" i="247" s="1"/>
  <c r="S297" i="247" s="1"/>
  <c r="T297" i="247" s="1"/>
  <c r="U297" i="247" s="1"/>
  <c r="V297" i="247" s="1"/>
  <c r="W297" i="247" s="1"/>
  <c r="X297" i="247" s="1"/>
  <c r="Y297" i="247" s="1"/>
  <c r="L304" i="247"/>
  <c r="N304" i="247"/>
  <c r="O304" i="247" s="1"/>
  <c r="P304" i="247" s="1"/>
  <c r="Q304" i="247" s="1"/>
  <c r="R304" i="247" s="1"/>
  <c r="S304" i="247" s="1"/>
  <c r="T304" i="247" s="1"/>
  <c r="U304" i="247" s="1"/>
  <c r="V304" i="247" s="1"/>
  <c r="W304" i="247" s="1"/>
  <c r="X304" i="247" s="1"/>
  <c r="Y304" i="247" s="1"/>
  <c r="N10" i="247"/>
  <c r="O10" i="247" s="1"/>
  <c r="L11" i="247"/>
  <c r="N11" i="247"/>
  <c r="O11" i="247" s="1"/>
  <c r="P11" i="247" s="1"/>
  <c r="Q11" i="247" s="1"/>
  <c r="R11" i="247" s="1"/>
  <c r="S11" i="247" s="1"/>
  <c r="T11" i="247" s="1"/>
  <c r="U11" i="247" s="1"/>
  <c r="V11" i="247" s="1"/>
  <c r="W11" i="247" s="1"/>
  <c r="X11" i="247" s="1"/>
  <c r="Y11" i="247" s="1"/>
  <c r="L12" i="247"/>
  <c r="N12" i="247"/>
  <c r="O12" i="247" s="1"/>
  <c r="P12" i="247" s="1"/>
  <c r="Q12" i="247" s="1"/>
  <c r="R12" i="247" s="1"/>
  <c r="S12" i="247" s="1"/>
  <c r="T12" i="247" s="1"/>
  <c r="U12" i="247" s="1"/>
  <c r="V12" i="247" s="1"/>
  <c r="W12" i="247" s="1"/>
  <c r="X12" i="247" s="1"/>
  <c r="Y12" i="247" s="1"/>
  <c r="L13" i="247"/>
  <c r="N13" i="247"/>
  <c r="O13" i="247" s="1"/>
  <c r="P13" i="247" s="1"/>
  <c r="Q13" i="247" s="1"/>
  <c r="R13" i="247" s="1"/>
  <c r="S13" i="247" s="1"/>
  <c r="T13" i="247" s="1"/>
  <c r="U13" i="247" s="1"/>
  <c r="V13" i="247" s="1"/>
  <c r="W13" i="247" s="1"/>
  <c r="X13" i="247" s="1"/>
  <c r="Y13" i="247" s="1"/>
  <c r="N14" i="247"/>
  <c r="O14" i="247" s="1"/>
  <c r="P14" i="247" s="1"/>
  <c r="Q14" i="247" s="1"/>
  <c r="R14" i="247" s="1"/>
  <c r="S14" i="247" s="1"/>
  <c r="T14" i="247" s="1"/>
  <c r="U14" i="247" s="1"/>
  <c r="V14" i="247" s="1"/>
  <c r="W14" i="247" s="1"/>
  <c r="X14" i="247" s="1"/>
  <c r="Y14" i="247" s="1"/>
  <c r="L15" i="247"/>
  <c r="N15" i="247"/>
  <c r="O15" i="247" s="1"/>
  <c r="P15" i="247" s="1"/>
  <c r="Q15" i="247" s="1"/>
  <c r="R15" i="247" s="1"/>
  <c r="S15" i="247" s="1"/>
  <c r="T15" i="247" s="1"/>
  <c r="U15" i="247" s="1"/>
  <c r="V15" i="247" s="1"/>
  <c r="W15" i="247" s="1"/>
  <c r="X15" i="247" s="1"/>
  <c r="Y15" i="247" s="1"/>
  <c r="L16" i="247"/>
  <c r="N16" i="247"/>
  <c r="O16" i="247" s="1"/>
  <c r="P16" i="247" s="1"/>
  <c r="Q16" i="247" s="1"/>
  <c r="R16" i="247" s="1"/>
  <c r="S16" i="247" s="1"/>
  <c r="T16" i="247" s="1"/>
  <c r="U16" i="247" s="1"/>
  <c r="V16" i="247" s="1"/>
  <c r="W16" i="247" s="1"/>
  <c r="X16" i="247" s="1"/>
  <c r="Y16" i="247" s="1"/>
  <c r="N17" i="247"/>
  <c r="O17" i="247" s="1"/>
  <c r="P17" i="247" s="1"/>
  <c r="Q17" i="247" s="1"/>
  <c r="R17" i="247" s="1"/>
  <c r="S17" i="247" s="1"/>
  <c r="T17" i="247" s="1"/>
  <c r="U17" i="247" s="1"/>
  <c r="V17" i="247" s="1"/>
  <c r="W17" i="247" s="1"/>
  <c r="X17" i="247" s="1"/>
  <c r="Y17" i="247" s="1"/>
  <c r="L695" i="247"/>
  <c r="N695" i="247"/>
  <c r="O695" i="247" s="1"/>
  <c r="P695" i="247" s="1"/>
  <c r="Q695" i="247" s="1"/>
  <c r="R695" i="247" s="1"/>
  <c r="S695" i="247" s="1"/>
  <c r="T695" i="247" s="1"/>
  <c r="U695" i="247" s="1"/>
  <c r="V695" i="247" s="1"/>
  <c r="W695" i="247" s="1"/>
  <c r="X695" i="247" s="1"/>
  <c r="Y695" i="247" s="1"/>
  <c r="L699" i="247"/>
  <c r="N699" i="247"/>
  <c r="O699" i="247" s="1"/>
  <c r="P699" i="247" s="1"/>
  <c r="Q699" i="247" s="1"/>
  <c r="R699" i="247" s="1"/>
  <c r="S699" i="247" s="1"/>
  <c r="T699" i="247" s="1"/>
  <c r="U699" i="247" s="1"/>
  <c r="V699" i="247" s="1"/>
  <c r="W699" i="247" s="1"/>
  <c r="X699" i="247" s="1"/>
  <c r="Y699" i="247" s="1"/>
  <c r="L700" i="247"/>
  <c r="N700" i="247"/>
  <c r="O700" i="247" s="1"/>
  <c r="P700" i="247" s="1"/>
  <c r="Q700" i="247" s="1"/>
  <c r="R700" i="247" s="1"/>
  <c r="S700" i="247" s="1"/>
  <c r="T700" i="247" s="1"/>
  <c r="U700" i="247" s="1"/>
  <c r="V700" i="247" s="1"/>
  <c r="W700" i="247" s="1"/>
  <c r="X700" i="247" s="1"/>
  <c r="Y700" i="247" s="1"/>
  <c r="L701" i="247"/>
  <c r="N701" i="247"/>
  <c r="O701" i="247" s="1"/>
  <c r="P701" i="247" s="1"/>
  <c r="Q701" i="247" s="1"/>
  <c r="R701" i="247" s="1"/>
  <c r="S701" i="247" s="1"/>
  <c r="T701" i="247" s="1"/>
  <c r="U701" i="247" s="1"/>
  <c r="V701" i="247" s="1"/>
  <c r="W701" i="247" s="1"/>
  <c r="X701" i="247" s="1"/>
  <c r="Y701" i="247" s="1"/>
  <c r="L702" i="247"/>
  <c r="N702" i="247"/>
  <c r="O702" i="247" s="1"/>
  <c r="P702" i="247" s="1"/>
  <c r="Q702" i="247" s="1"/>
  <c r="R702" i="247" s="1"/>
  <c r="S702" i="247" s="1"/>
  <c r="T702" i="247" s="1"/>
  <c r="U702" i="247" s="1"/>
  <c r="V702" i="247" s="1"/>
  <c r="W702" i="247" s="1"/>
  <c r="X702" i="247" s="1"/>
  <c r="Y702" i="247" s="1"/>
  <c r="L703" i="247"/>
  <c r="N703" i="247"/>
  <c r="O703" i="247" s="1"/>
  <c r="P703" i="247" s="1"/>
  <c r="Q703" i="247" s="1"/>
  <c r="R703" i="247" s="1"/>
  <c r="S703" i="247" s="1"/>
  <c r="T703" i="247" s="1"/>
  <c r="U703" i="247" s="1"/>
  <c r="V703" i="247" s="1"/>
  <c r="W703" i="247" s="1"/>
  <c r="X703" i="247" s="1"/>
  <c r="Y703" i="247" s="1"/>
  <c r="L706" i="247"/>
  <c r="N706" i="247"/>
  <c r="O706" i="247" s="1"/>
  <c r="P706" i="247" s="1"/>
  <c r="Q706" i="247" s="1"/>
  <c r="R706" i="247" s="1"/>
  <c r="S706" i="247" s="1"/>
  <c r="T706" i="247" s="1"/>
  <c r="U706" i="247" s="1"/>
  <c r="V706" i="247" s="1"/>
  <c r="W706" i="247" s="1"/>
  <c r="X706" i="247" s="1"/>
  <c r="Y706" i="247" s="1"/>
  <c r="L840" i="247"/>
  <c r="L842" i="247" s="1"/>
  <c r="L844" i="247" s="1"/>
  <c r="N840" i="247"/>
  <c r="L32" i="247"/>
  <c r="N32" i="247"/>
  <c r="O32" i="247" s="1"/>
  <c r="P32" i="247" s="1"/>
  <c r="Q32" i="247" s="1"/>
  <c r="R32" i="247" s="1"/>
  <c r="S32" i="247" s="1"/>
  <c r="T32" i="247" s="1"/>
  <c r="U32" i="247" s="1"/>
  <c r="V32" i="247" s="1"/>
  <c r="W32" i="247" s="1"/>
  <c r="X32" i="247" s="1"/>
  <c r="Y32" i="247" s="1"/>
  <c r="L34" i="247"/>
  <c r="N34" i="247"/>
  <c r="O34" i="247" s="1"/>
  <c r="P34" i="247" s="1"/>
  <c r="Q34" i="247" s="1"/>
  <c r="R34" i="247" s="1"/>
  <c r="S34" i="247" s="1"/>
  <c r="T34" i="247" s="1"/>
  <c r="U34" i="247" s="1"/>
  <c r="V34" i="247" s="1"/>
  <c r="W34" i="247" s="1"/>
  <c r="X34" i="247" s="1"/>
  <c r="Y34" i="247" s="1"/>
  <c r="L36" i="247"/>
  <c r="N36" i="247"/>
  <c r="O36" i="247" s="1"/>
  <c r="P36" i="247" s="1"/>
  <c r="Q36" i="247" s="1"/>
  <c r="R36" i="247" s="1"/>
  <c r="S36" i="247" s="1"/>
  <c r="T36" i="247" s="1"/>
  <c r="U36" i="247" s="1"/>
  <c r="V36" i="247" s="1"/>
  <c r="W36" i="247" s="1"/>
  <c r="X36" i="247" s="1"/>
  <c r="Y36" i="247" s="1"/>
  <c r="L38" i="247"/>
  <c r="N38" i="247"/>
  <c r="O38" i="247" s="1"/>
  <c r="P38" i="247" s="1"/>
  <c r="Q38" i="247" s="1"/>
  <c r="R38" i="247" s="1"/>
  <c r="S38" i="247" s="1"/>
  <c r="T38" i="247" s="1"/>
  <c r="U38" i="247" s="1"/>
  <c r="V38" i="247" s="1"/>
  <c r="W38" i="247" s="1"/>
  <c r="X38" i="247" s="1"/>
  <c r="Y38" i="247" s="1"/>
  <c r="L44" i="247"/>
  <c r="N44" i="247"/>
  <c r="O44" i="247" s="1"/>
  <c r="P44" i="247" s="1"/>
  <c r="Q44" i="247" s="1"/>
  <c r="R44" i="247" s="1"/>
  <c r="S44" i="247" s="1"/>
  <c r="T44" i="247" s="1"/>
  <c r="U44" i="247" s="1"/>
  <c r="V44" i="247" s="1"/>
  <c r="W44" i="247" s="1"/>
  <c r="X44" i="247" s="1"/>
  <c r="Y44" i="247" s="1"/>
  <c r="L45" i="247"/>
  <c r="N45" i="247"/>
  <c r="O45" i="247" s="1"/>
  <c r="P45" i="247" s="1"/>
  <c r="Q45" i="247" s="1"/>
  <c r="R45" i="247" s="1"/>
  <c r="S45" i="247" s="1"/>
  <c r="T45" i="247" s="1"/>
  <c r="U45" i="247" s="1"/>
  <c r="V45" i="247" s="1"/>
  <c r="W45" i="247" s="1"/>
  <c r="X45" i="247" s="1"/>
  <c r="Y45" i="247" s="1"/>
  <c r="L53" i="247"/>
  <c r="N53" i="247"/>
  <c r="O53" i="247" s="1"/>
  <c r="P53" i="247" s="1"/>
  <c r="Q53" i="247" s="1"/>
  <c r="R53" i="247" s="1"/>
  <c r="S53" i="247" s="1"/>
  <c r="T53" i="247" s="1"/>
  <c r="U53" i="247" s="1"/>
  <c r="V53" i="247" s="1"/>
  <c r="W53" i="247" s="1"/>
  <c r="X53" i="247" s="1"/>
  <c r="Y53" i="247" s="1"/>
  <c r="L70" i="247"/>
  <c r="N70" i="247"/>
  <c r="O70" i="247" s="1"/>
  <c r="P70" i="247" s="1"/>
  <c r="Q70" i="247" s="1"/>
  <c r="R70" i="247" s="1"/>
  <c r="S70" i="247" s="1"/>
  <c r="T70" i="247" s="1"/>
  <c r="U70" i="247" s="1"/>
  <c r="V70" i="247" s="1"/>
  <c r="W70" i="247" s="1"/>
  <c r="X70" i="247" s="1"/>
  <c r="Y70" i="247" s="1"/>
  <c r="L80" i="247"/>
  <c r="N80" i="247"/>
  <c r="O80" i="247" s="1"/>
  <c r="P80" i="247" s="1"/>
  <c r="Q80" i="247" s="1"/>
  <c r="R80" i="247" s="1"/>
  <c r="S80" i="247" s="1"/>
  <c r="T80" i="247" s="1"/>
  <c r="U80" i="247" s="1"/>
  <c r="V80" i="247" s="1"/>
  <c r="W80" i="247" s="1"/>
  <c r="X80" i="247" s="1"/>
  <c r="Y80" i="247" s="1"/>
  <c r="L86" i="247"/>
  <c r="N86" i="247"/>
  <c r="O86" i="247" s="1"/>
  <c r="P86" i="247" s="1"/>
  <c r="Q86" i="247" s="1"/>
  <c r="R86" i="247" s="1"/>
  <c r="S86" i="247" s="1"/>
  <c r="T86" i="247" s="1"/>
  <c r="U86" i="247" s="1"/>
  <c r="V86" i="247" s="1"/>
  <c r="W86" i="247" s="1"/>
  <c r="X86" i="247" s="1"/>
  <c r="Y86" i="247" s="1"/>
  <c r="L99" i="247"/>
  <c r="N99" i="247"/>
  <c r="O99" i="247" s="1"/>
  <c r="P99" i="247" s="1"/>
  <c r="Q99" i="247" s="1"/>
  <c r="R99" i="247" s="1"/>
  <c r="S99" i="247" s="1"/>
  <c r="T99" i="247" s="1"/>
  <c r="U99" i="247" s="1"/>
  <c r="V99" i="247" s="1"/>
  <c r="W99" i="247" s="1"/>
  <c r="X99" i="247" s="1"/>
  <c r="Y99" i="247" s="1"/>
  <c r="L102" i="247"/>
  <c r="N102" i="247"/>
  <c r="O102" i="247" s="1"/>
  <c r="P102" i="247" s="1"/>
  <c r="Q102" i="247" s="1"/>
  <c r="R102" i="247" s="1"/>
  <c r="S102" i="247" s="1"/>
  <c r="T102" i="247" s="1"/>
  <c r="U102" i="247" s="1"/>
  <c r="V102" i="247" s="1"/>
  <c r="W102" i="247" s="1"/>
  <c r="X102" i="247" s="1"/>
  <c r="Y102" i="247" s="1"/>
  <c r="L108" i="247"/>
  <c r="N108" i="247"/>
  <c r="O108" i="247" s="1"/>
  <c r="P108" i="247" s="1"/>
  <c r="Q108" i="247" s="1"/>
  <c r="R108" i="247" s="1"/>
  <c r="S108" i="247" s="1"/>
  <c r="T108" i="247" s="1"/>
  <c r="U108" i="247" s="1"/>
  <c r="V108" i="247" s="1"/>
  <c r="W108" i="247" s="1"/>
  <c r="X108" i="247" s="1"/>
  <c r="Y108" i="247" s="1"/>
  <c r="L112" i="247"/>
  <c r="N112" i="247"/>
  <c r="O112" i="247" s="1"/>
  <c r="P112" i="247" s="1"/>
  <c r="Q112" i="247" s="1"/>
  <c r="R112" i="247" s="1"/>
  <c r="S112" i="247" s="1"/>
  <c r="T112" i="247" s="1"/>
  <c r="U112" i="247" s="1"/>
  <c r="V112" i="247" s="1"/>
  <c r="W112" i="247" s="1"/>
  <c r="X112" i="247" s="1"/>
  <c r="Y112" i="247" s="1"/>
  <c r="L114" i="247"/>
  <c r="N114" i="247"/>
  <c r="O114" i="247" s="1"/>
  <c r="P114" i="247" s="1"/>
  <c r="Q114" i="247" s="1"/>
  <c r="R114" i="247" s="1"/>
  <c r="S114" i="247" s="1"/>
  <c r="T114" i="247" s="1"/>
  <c r="U114" i="247" s="1"/>
  <c r="V114" i="247" s="1"/>
  <c r="W114" i="247" s="1"/>
  <c r="X114" i="247" s="1"/>
  <c r="Y114" i="247" s="1"/>
  <c r="L117" i="247"/>
  <c r="N117" i="247"/>
  <c r="O117" i="247" s="1"/>
  <c r="P117" i="247" s="1"/>
  <c r="Q117" i="247" s="1"/>
  <c r="R117" i="247" s="1"/>
  <c r="S117" i="247" s="1"/>
  <c r="T117" i="247" s="1"/>
  <c r="U117" i="247" s="1"/>
  <c r="V117" i="247" s="1"/>
  <c r="W117" i="247" s="1"/>
  <c r="X117" i="247" s="1"/>
  <c r="Y117" i="247" s="1"/>
  <c r="L124" i="247"/>
  <c r="N124" i="247"/>
  <c r="O124" i="247" s="1"/>
  <c r="P124" i="247" s="1"/>
  <c r="Q124" i="247" s="1"/>
  <c r="R124" i="247" s="1"/>
  <c r="S124" i="247" s="1"/>
  <c r="T124" i="247" s="1"/>
  <c r="U124" i="247" s="1"/>
  <c r="V124" i="247" s="1"/>
  <c r="W124" i="247" s="1"/>
  <c r="X124" i="247" s="1"/>
  <c r="Y124" i="247" s="1"/>
  <c r="L126" i="247"/>
  <c r="N126" i="247"/>
  <c r="O126" i="247" s="1"/>
  <c r="P126" i="247" s="1"/>
  <c r="Q126" i="247" s="1"/>
  <c r="R126" i="247" s="1"/>
  <c r="S126" i="247" s="1"/>
  <c r="T126" i="247" s="1"/>
  <c r="U126" i="247" s="1"/>
  <c r="V126" i="247" s="1"/>
  <c r="W126" i="247" s="1"/>
  <c r="X126" i="247" s="1"/>
  <c r="Y126" i="247" s="1"/>
  <c r="L128" i="247"/>
  <c r="N128" i="247"/>
  <c r="O128" i="247" s="1"/>
  <c r="P128" i="247" s="1"/>
  <c r="Q128" i="247" s="1"/>
  <c r="R128" i="247" s="1"/>
  <c r="S128" i="247" s="1"/>
  <c r="T128" i="247" s="1"/>
  <c r="U128" i="247" s="1"/>
  <c r="V128" i="247" s="1"/>
  <c r="W128" i="247" s="1"/>
  <c r="X128" i="247" s="1"/>
  <c r="Y128" i="247" s="1"/>
  <c r="L135" i="247"/>
  <c r="N135" i="247"/>
  <c r="O135" i="247" s="1"/>
  <c r="P135" i="247" s="1"/>
  <c r="Q135" i="247" s="1"/>
  <c r="R135" i="247" s="1"/>
  <c r="S135" i="247" s="1"/>
  <c r="T135" i="247" s="1"/>
  <c r="U135" i="247" s="1"/>
  <c r="V135" i="247" s="1"/>
  <c r="W135" i="247" s="1"/>
  <c r="X135" i="247" s="1"/>
  <c r="Y135" i="247" s="1"/>
  <c r="L136" i="247"/>
  <c r="N136" i="247"/>
  <c r="O136" i="247" s="1"/>
  <c r="P136" i="247" s="1"/>
  <c r="Q136" i="247" s="1"/>
  <c r="R136" i="247" s="1"/>
  <c r="S136" i="247" s="1"/>
  <c r="T136" i="247" s="1"/>
  <c r="U136" i="247" s="1"/>
  <c r="V136" i="247" s="1"/>
  <c r="W136" i="247" s="1"/>
  <c r="X136" i="247" s="1"/>
  <c r="Y136" i="247" s="1"/>
  <c r="L138" i="247"/>
  <c r="N138" i="247"/>
  <c r="O138" i="247" s="1"/>
  <c r="P138" i="247" s="1"/>
  <c r="Q138" i="247" s="1"/>
  <c r="R138" i="247" s="1"/>
  <c r="S138" i="247" s="1"/>
  <c r="T138" i="247" s="1"/>
  <c r="U138" i="247" s="1"/>
  <c r="V138" i="247" s="1"/>
  <c r="W138" i="247" s="1"/>
  <c r="X138" i="247" s="1"/>
  <c r="Y138" i="247" s="1"/>
  <c r="L141" i="247"/>
  <c r="N141" i="247"/>
  <c r="O141" i="247" s="1"/>
  <c r="P141" i="247" s="1"/>
  <c r="Q141" i="247" s="1"/>
  <c r="R141" i="247" s="1"/>
  <c r="S141" i="247" s="1"/>
  <c r="T141" i="247" s="1"/>
  <c r="U141" i="247" s="1"/>
  <c r="V141" i="247" s="1"/>
  <c r="W141" i="247" s="1"/>
  <c r="X141" i="247" s="1"/>
  <c r="Y141" i="247" s="1"/>
  <c r="L144" i="247"/>
  <c r="N144" i="247"/>
  <c r="O144" i="247" s="1"/>
  <c r="P144" i="247" s="1"/>
  <c r="Q144" i="247" s="1"/>
  <c r="R144" i="247" s="1"/>
  <c r="S144" i="247" s="1"/>
  <c r="T144" i="247" s="1"/>
  <c r="U144" i="247" s="1"/>
  <c r="V144" i="247" s="1"/>
  <c r="W144" i="247" s="1"/>
  <c r="X144" i="247" s="1"/>
  <c r="Y144" i="247" s="1"/>
  <c r="L154" i="247"/>
  <c r="N154" i="247"/>
  <c r="O154" i="247" s="1"/>
  <c r="P154" i="247" s="1"/>
  <c r="Q154" i="247" s="1"/>
  <c r="R154" i="247" s="1"/>
  <c r="S154" i="247" s="1"/>
  <c r="T154" i="247" s="1"/>
  <c r="U154" i="247" s="1"/>
  <c r="V154" i="247" s="1"/>
  <c r="W154" i="247" s="1"/>
  <c r="X154" i="247" s="1"/>
  <c r="Y154" i="247" s="1"/>
  <c r="L158" i="247"/>
  <c r="N158" i="247"/>
  <c r="O158" i="247" s="1"/>
  <c r="P158" i="247" s="1"/>
  <c r="Q158" i="247" s="1"/>
  <c r="R158" i="247" s="1"/>
  <c r="S158" i="247" s="1"/>
  <c r="T158" i="247" s="1"/>
  <c r="U158" i="247" s="1"/>
  <c r="V158" i="247" s="1"/>
  <c r="W158" i="247" s="1"/>
  <c r="X158" i="247" s="1"/>
  <c r="Y158" i="247" s="1"/>
  <c r="L160" i="247"/>
  <c r="N160" i="247"/>
  <c r="O160" i="247" s="1"/>
  <c r="P160" i="247" s="1"/>
  <c r="Q160" i="247" s="1"/>
  <c r="R160" i="247" s="1"/>
  <c r="S160" i="247" s="1"/>
  <c r="T160" i="247" s="1"/>
  <c r="U160" i="247" s="1"/>
  <c r="V160" i="247" s="1"/>
  <c r="W160" i="247" s="1"/>
  <c r="X160" i="247" s="1"/>
  <c r="Y160" i="247" s="1"/>
  <c r="L162" i="247"/>
  <c r="N162" i="247"/>
  <c r="O162" i="247" s="1"/>
  <c r="P162" i="247" s="1"/>
  <c r="Q162" i="247" s="1"/>
  <c r="R162" i="247" s="1"/>
  <c r="S162" i="247" s="1"/>
  <c r="T162" i="247" s="1"/>
  <c r="U162" i="247" s="1"/>
  <c r="V162" i="247" s="1"/>
  <c r="W162" i="247" s="1"/>
  <c r="X162" i="247" s="1"/>
  <c r="Y162" i="247" s="1"/>
  <c r="L178" i="247"/>
  <c r="N178" i="247"/>
  <c r="O178" i="247" s="1"/>
  <c r="P178" i="247" s="1"/>
  <c r="Q178" i="247" s="1"/>
  <c r="R178" i="247" s="1"/>
  <c r="S178" i="247" s="1"/>
  <c r="T178" i="247" s="1"/>
  <c r="U178" i="247" s="1"/>
  <c r="V178" i="247" s="1"/>
  <c r="W178" i="247" s="1"/>
  <c r="X178" i="247" s="1"/>
  <c r="Y178" i="247" s="1"/>
  <c r="L189" i="247"/>
  <c r="N189" i="247"/>
  <c r="O189" i="247" s="1"/>
  <c r="P189" i="247" s="1"/>
  <c r="Q189" i="247" s="1"/>
  <c r="R189" i="247" s="1"/>
  <c r="S189" i="247" s="1"/>
  <c r="T189" i="247" s="1"/>
  <c r="U189" i="247" s="1"/>
  <c r="V189" i="247" s="1"/>
  <c r="W189" i="247" s="1"/>
  <c r="X189" i="247" s="1"/>
  <c r="Y189" i="247" s="1"/>
  <c r="L191" i="247"/>
  <c r="N191" i="247"/>
  <c r="O191" i="247" s="1"/>
  <c r="P191" i="247" s="1"/>
  <c r="Q191" i="247" s="1"/>
  <c r="R191" i="247" s="1"/>
  <c r="S191" i="247" s="1"/>
  <c r="T191" i="247" s="1"/>
  <c r="U191" i="247" s="1"/>
  <c r="V191" i="247" s="1"/>
  <c r="W191" i="247" s="1"/>
  <c r="X191" i="247" s="1"/>
  <c r="Y191" i="247" s="1"/>
  <c r="L193" i="247"/>
  <c r="N193" i="247"/>
  <c r="O193" i="247" s="1"/>
  <c r="P193" i="247" s="1"/>
  <c r="Q193" i="247" s="1"/>
  <c r="R193" i="247" s="1"/>
  <c r="S193" i="247" s="1"/>
  <c r="T193" i="247" s="1"/>
  <c r="U193" i="247" s="1"/>
  <c r="V193" i="247" s="1"/>
  <c r="W193" i="247" s="1"/>
  <c r="X193" i="247" s="1"/>
  <c r="Y193" i="247" s="1"/>
  <c r="L194" i="247"/>
  <c r="N194" i="247"/>
  <c r="O194" i="247" s="1"/>
  <c r="P194" i="247" s="1"/>
  <c r="Q194" i="247" s="1"/>
  <c r="R194" i="247" s="1"/>
  <c r="S194" i="247" s="1"/>
  <c r="T194" i="247" s="1"/>
  <c r="U194" i="247" s="1"/>
  <c r="V194" i="247" s="1"/>
  <c r="W194" i="247" s="1"/>
  <c r="X194" i="247" s="1"/>
  <c r="Y194" i="247" s="1"/>
  <c r="L197" i="247"/>
  <c r="N197" i="247"/>
  <c r="O197" i="247" s="1"/>
  <c r="P197" i="247" s="1"/>
  <c r="Q197" i="247" s="1"/>
  <c r="R197" i="247" s="1"/>
  <c r="S197" i="247" s="1"/>
  <c r="T197" i="247" s="1"/>
  <c r="U197" i="247" s="1"/>
  <c r="V197" i="247" s="1"/>
  <c r="W197" i="247" s="1"/>
  <c r="X197" i="247" s="1"/>
  <c r="Y197" i="247" s="1"/>
  <c r="L199" i="247"/>
  <c r="N199" i="247"/>
  <c r="O199" i="247" s="1"/>
  <c r="P199" i="247" s="1"/>
  <c r="Q199" i="247" s="1"/>
  <c r="R199" i="247" s="1"/>
  <c r="S199" i="247" s="1"/>
  <c r="T199" i="247" s="1"/>
  <c r="U199" i="247" s="1"/>
  <c r="V199" i="247" s="1"/>
  <c r="W199" i="247" s="1"/>
  <c r="X199" i="247" s="1"/>
  <c r="Y199" i="247" s="1"/>
  <c r="L201" i="247"/>
  <c r="N201" i="247"/>
  <c r="O201" i="247" s="1"/>
  <c r="P201" i="247" s="1"/>
  <c r="Q201" i="247" s="1"/>
  <c r="R201" i="247" s="1"/>
  <c r="S201" i="247" s="1"/>
  <c r="T201" i="247" s="1"/>
  <c r="U201" i="247" s="1"/>
  <c r="V201" i="247" s="1"/>
  <c r="W201" i="247" s="1"/>
  <c r="X201" i="247" s="1"/>
  <c r="Y201" i="247" s="1"/>
  <c r="L203" i="247"/>
  <c r="N203" i="247"/>
  <c r="O203" i="247" s="1"/>
  <c r="P203" i="247" s="1"/>
  <c r="Q203" i="247" s="1"/>
  <c r="R203" i="247" s="1"/>
  <c r="S203" i="247" s="1"/>
  <c r="T203" i="247" s="1"/>
  <c r="U203" i="247" s="1"/>
  <c r="V203" i="247" s="1"/>
  <c r="W203" i="247" s="1"/>
  <c r="X203" i="247" s="1"/>
  <c r="Y203" i="247" s="1"/>
  <c r="L206" i="247"/>
  <c r="N206" i="247"/>
  <c r="O206" i="247" s="1"/>
  <c r="P206" i="247" s="1"/>
  <c r="Q206" i="247" s="1"/>
  <c r="R206" i="247" s="1"/>
  <c r="S206" i="247" s="1"/>
  <c r="T206" i="247" s="1"/>
  <c r="U206" i="247" s="1"/>
  <c r="V206" i="247" s="1"/>
  <c r="W206" i="247" s="1"/>
  <c r="X206" i="247" s="1"/>
  <c r="Y206" i="247" s="1"/>
  <c r="L209" i="247"/>
  <c r="N209" i="247"/>
  <c r="O209" i="247" s="1"/>
  <c r="P209" i="247" s="1"/>
  <c r="Q209" i="247" s="1"/>
  <c r="R209" i="247" s="1"/>
  <c r="S209" i="247" s="1"/>
  <c r="T209" i="247" s="1"/>
  <c r="U209" i="247" s="1"/>
  <c r="V209" i="247" s="1"/>
  <c r="W209" i="247" s="1"/>
  <c r="X209" i="247" s="1"/>
  <c r="Y209" i="247" s="1"/>
  <c r="L216" i="247"/>
  <c r="N216" i="247"/>
  <c r="O216" i="247" s="1"/>
  <c r="P216" i="247" s="1"/>
  <c r="Q216" i="247" s="1"/>
  <c r="R216" i="247" s="1"/>
  <c r="S216" i="247" s="1"/>
  <c r="T216" i="247" s="1"/>
  <c r="U216" i="247" s="1"/>
  <c r="V216" i="247" s="1"/>
  <c r="W216" i="247" s="1"/>
  <c r="X216" i="247" s="1"/>
  <c r="Y216" i="247" s="1"/>
  <c r="L223" i="247"/>
  <c r="N223" i="247"/>
  <c r="O223" i="247" s="1"/>
  <c r="P223" i="247" s="1"/>
  <c r="Q223" i="247" s="1"/>
  <c r="R223" i="247" s="1"/>
  <c r="S223" i="247" s="1"/>
  <c r="T223" i="247" s="1"/>
  <c r="U223" i="247" s="1"/>
  <c r="V223" i="247" s="1"/>
  <c r="W223" i="247" s="1"/>
  <c r="X223" i="247" s="1"/>
  <c r="Y223" i="247" s="1"/>
  <c r="L225" i="247"/>
  <c r="N225" i="247"/>
  <c r="O225" i="247" s="1"/>
  <c r="P225" i="247" s="1"/>
  <c r="Q225" i="247" s="1"/>
  <c r="R225" i="247" s="1"/>
  <c r="S225" i="247" s="1"/>
  <c r="T225" i="247" s="1"/>
  <c r="U225" i="247" s="1"/>
  <c r="V225" i="247" s="1"/>
  <c r="W225" i="247" s="1"/>
  <c r="X225" i="247" s="1"/>
  <c r="Y225" i="247" s="1"/>
  <c r="L226" i="247"/>
  <c r="N226" i="247"/>
  <c r="O226" i="247" s="1"/>
  <c r="P226" i="247" s="1"/>
  <c r="Q226" i="247" s="1"/>
  <c r="R226" i="247" s="1"/>
  <c r="S226" i="247" s="1"/>
  <c r="T226" i="247" s="1"/>
  <c r="U226" i="247" s="1"/>
  <c r="V226" i="247" s="1"/>
  <c r="W226" i="247" s="1"/>
  <c r="X226" i="247" s="1"/>
  <c r="Y226" i="247" s="1"/>
  <c r="L229" i="247"/>
  <c r="N229" i="247"/>
  <c r="O229" i="247" s="1"/>
  <c r="P229" i="247" s="1"/>
  <c r="Q229" i="247" s="1"/>
  <c r="R229" i="247" s="1"/>
  <c r="S229" i="247" s="1"/>
  <c r="T229" i="247" s="1"/>
  <c r="U229" i="247" s="1"/>
  <c r="V229" i="247" s="1"/>
  <c r="W229" i="247" s="1"/>
  <c r="X229" i="247" s="1"/>
  <c r="Y229" i="247" s="1"/>
  <c r="L231" i="247"/>
  <c r="N231" i="247"/>
  <c r="O231" i="247" s="1"/>
  <c r="P231" i="247" s="1"/>
  <c r="Q231" i="247" s="1"/>
  <c r="R231" i="247" s="1"/>
  <c r="S231" i="247" s="1"/>
  <c r="T231" i="247" s="1"/>
  <c r="U231" i="247" s="1"/>
  <c r="V231" i="247" s="1"/>
  <c r="W231" i="247" s="1"/>
  <c r="X231" i="247" s="1"/>
  <c r="Y231" i="247" s="1"/>
  <c r="L235" i="247"/>
  <c r="N235" i="247"/>
  <c r="O235" i="247" s="1"/>
  <c r="P235" i="247" s="1"/>
  <c r="Q235" i="247" s="1"/>
  <c r="R235" i="247" s="1"/>
  <c r="S235" i="247" s="1"/>
  <c r="T235" i="247" s="1"/>
  <c r="U235" i="247" s="1"/>
  <c r="V235" i="247" s="1"/>
  <c r="W235" i="247" s="1"/>
  <c r="X235" i="247" s="1"/>
  <c r="Y235" i="247" s="1"/>
  <c r="L239" i="247"/>
  <c r="N239" i="247"/>
  <c r="O239" i="247" s="1"/>
  <c r="P239" i="247" s="1"/>
  <c r="Q239" i="247" s="1"/>
  <c r="R239" i="247" s="1"/>
  <c r="S239" i="247" s="1"/>
  <c r="T239" i="247" s="1"/>
  <c r="U239" i="247" s="1"/>
  <c r="V239" i="247" s="1"/>
  <c r="W239" i="247" s="1"/>
  <c r="X239" i="247" s="1"/>
  <c r="Y239" i="247" s="1"/>
  <c r="L242" i="247"/>
  <c r="N242" i="247"/>
  <c r="O242" i="247" s="1"/>
  <c r="P242" i="247" s="1"/>
  <c r="Q242" i="247" s="1"/>
  <c r="R242" i="247" s="1"/>
  <c r="S242" i="247" s="1"/>
  <c r="T242" i="247" s="1"/>
  <c r="U242" i="247" s="1"/>
  <c r="V242" i="247" s="1"/>
  <c r="W242" i="247" s="1"/>
  <c r="X242" i="247" s="1"/>
  <c r="Y242" i="247" s="1"/>
  <c r="L244" i="247"/>
  <c r="N244" i="247"/>
  <c r="O244" i="247" s="1"/>
  <c r="P244" i="247" s="1"/>
  <c r="Q244" i="247" s="1"/>
  <c r="R244" i="247" s="1"/>
  <c r="S244" i="247" s="1"/>
  <c r="T244" i="247" s="1"/>
  <c r="U244" i="247" s="1"/>
  <c r="V244" i="247" s="1"/>
  <c r="W244" i="247" s="1"/>
  <c r="X244" i="247" s="1"/>
  <c r="Y244" i="247" s="1"/>
  <c r="L246" i="247"/>
  <c r="N246" i="247"/>
  <c r="O246" i="247" s="1"/>
  <c r="P246" i="247" s="1"/>
  <c r="Q246" i="247" s="1"/>
  <c r="R246" i="247" s="1"/>
  <c r="S246" i="247" s="1"/>
  <c r="T246" i="247" s="1"/>
  <c r="U246" i="247" s="1"/>
  <c r="V246" i="247" s="1"/>
  <c r="W246" i="247" s="1"/>
  <c r="X246" i="247" s="1"/>
  <c r="Y246" i="247" s="1"/>
  <c r="L248" i="247"/>
  <c r="N248" i="247"/>
  <c r="O248" i="247" s="1"/>
  <c r="P248" i="247" s="1"/>
  <c r="Q248" i="247" s="1"/>
  <c r="R248" i="247" s="1"/>
  <c r="S248" i="247" s="1"/>
  <c r="T248" i="247" s="1"/>
  <c r="U248" i="247" s="1"/>
  <c r="V248" i="247" s="1"/>
  <c r="W248" i="247" s="1"/>
  <c r="X248" i="247" s="1"/>
  <c r="Y248" i="247" s="1"/>
  <c r="L249" i="247"/>
  <c r="N249" i="247"/>
  <c r="O249" i="247" s="1"/>
  <c r="P249" i="247" s="1"/>
  <c r="Q249" i="247" s="1"/>
  <c r="R249" i="247" s="1"/>
  <c r="S249" i="247" s="1"/>
  <c r="T249" i="247" s="1"/>
  <c r="U249" i="247" s="1"/>
  <c r="V249" i="247" s="1"/>
  <c r="W249" i="247" s="1"/>
  <c r="X249" i="247" s="1"/>
  <c r="Y249" i="247" s="1"/>
  <c r="L251" i="247"/>
  <c r="N251" i="247"/>
  <c r="O251" i="247" s="1"/>
  <c r="P251" i="247" s="1"/>
  <c r="Q251" i="247" s="1"/>
  <c r="R251" i="247" s="1"/>
  <c r="S251" i="247" s="1"/>
  <c r="T251" i="247" s="1"/>
  <c r="U251" i="247" s="1"/>
  <c r="V251" i="247" s="1"/>
  <c r="W251" i="247" s="1"/>
  <c r="X251" i="247" s="1"/>
  <c r="Y251" i="247" s="1"/>
  <c r="L255" i="247"/>
  <c r="N255" i="247"/>
  <c r="O255" i="247" s="1"/>
  <c r="P255" i="247" s="1"/>
  <c r="Q255" i="247" s="1"/>
  <c r="R255" i="247" s="1"/>
  <c r="S255" i="247" s="1"/>
  <c r="T255" i="247" s="1"/>
  <c r="U255" i="247" s="1"/>
  <c r="V255" i="247" s="1"/>
  <c r="W255" i="247" s="1"/>
  <c r="X255" i="247" s="1"/>
  <c r="Y255" i="247" s="1"/>
  <c r="L258" i="247"/>
  <c r="N258" i="247"/>
  <c r="O258" i="247" s="1"/>
  <c r="P258" i="247" s="1"/>
  <c r="Q258" i="247" s="1"/>
  <c r="R258" i="247" s="1"/>
  <c r="S258" i="247" s="1"/>
  <c r="T258" i="247" s="1"/>
  <c r="U258" i="247" s="1"/>
  <c r="V258" i="247" s="1"/>
  <c r="W258" i="247" s="1"/>
  <c r="X258" i="247" s="1"/>
  <c r="Y258" i="247" s="1"/>
  <c r="L260" i="247"/>
  <c r="N260" i="247"/>
  <c r="O260" i="247" s="1"/>
  <c r="P260" i="247" s="1"/>
  <c r="Q260" i="247" s="1"/>
  <c r="R260" i="247" s="1"/>
  <c r="S260" i="247" s="1"/>
  <c r="T260" i="247" s="1"/>
  <c r="U260" i="247" s="1"/>
  <c r="V260" i="247" s="1"/>
  <c r="W260" i="247" s="1"/>
  <c r="X260" i="247" s="1"/>
  <c r="Y260" i="247" s="1"/>
  <c r="L263" i="247"/>
  <c r="N263" i="247"/>
  <c r="O263" i="247" s="1"/>
  <c r="P263" i="247" s="1"/>
  <c r="Q263" i="247" s="1"/>
  <c r="R263" i="247" s="1"/>
  <c r="S263" i="247" s="1"/>
  <c r="T263" i="247" s="1"/>
  <c r="U263" i="247" s="1"/>
  <c r="V263" i="247" s="1"/>
  <c r="W263" i="247" s="1"/>
  <c r="X263" i="247" s="1"/>
  <c r="Y263" i="247" s="1"/>
  <c r="L269" i="247"/>
  <c r="N269" i="247"/>
  <c r="O269" i="247" s="1"/>
  <c r="P269" i="247" s="1"/>
  <c r="Q269" i="247" s="1"/>
  <c r="R269" i="247" s="1"/>
  <c r="S269" i="247" s="1"/>
  <c r="T269" i="247" s="1"/>
  <c r="U269" i="247" s="1"/>
  <c r="V269" i="247" s="1"/>
  <c r="W269" i="247" s="1"/>
  <c r="X269" i="247" s="1"/>
  <c r="Y269" i="247" s="1"/>
  <c r="L272" i="247"/>
  <c r="N272" i="247"/>
  <c r="O272" i="247" s="1"/>
  <c r="P272" i="247" s="1"/>
  <c r="Q272" i="247" s="1"/>
  <c r="R272" i="247" s="1"/>
  <c r="S272" i="247" s="1"/>
  <c r="T272" i="247" s="1"/>
  <c r="U272" i="247" s="1"/>
  <c r="V272" i="247" s="1"/>
  <c r="W272" i="247" s="1"/>
  <c r="X272" i="247" s="1"/>
  <c r="Y272" i="247" s="1"/>
  <c r="L275" i="247"/>
  <c r="N275" i="247"/>
  <c r="O275" i="247" s="1"/>
  <c r="P275" i="247" s="1"/>
  <c r="Q275" i="247" s="1"/>
  <c r="R275" i="247" s="1"/>
  <c r="S275" i="247" s="1"/>
  <c r="T275" i="247" s="1"/>
  <c r="U275" i="247" s="1"/>
  <c r="V275" i="247" s="1"/>
  <c r="W275" i="247" s="1"/>
  <c r="X275" i="247" s="1"/>
  <c r="Y275" i="247" s="1"/>
  <c r="L276" i="247"/>
  <c r="N276" i="247"/>
  <c r="O276" i="247" s="1"/>
  <c r="P276" i="247" s="1"/>
  <c r="Q276" i="247" s="1"/>
  <c r="R276" i="247" s="1"/>
  <c r="S276" i="247" s="1"/>
  <c r="T276" i="247" s="1"/>
  <c r="U276" i="247" s="1"/>
  <c r="V276" i="247" s="1"/>
  <c r="W276" i="247" s="1"/>
  <c r="X276" i="247" s="1"/>
  <c r="Y276" i="247" s="1"/>
  <c r="L278" i="247"/>
  <c r="N278" i="247"/>
  <c r="O278" i="247" s="1"/>
  <c r="P278" i="247" s="1"/>
  <c r="Q278" i="247" s="1"/>
  <c r="R278" i="247" s="1"/>
  <c r="S278" i="247" s="1"/>
  <c r="T278" i="247" s="1"/>
  <c r="U278" i="247" s="1"/>
  <c r="V278" i="247" s="1"/>
  <c r="W278" i="247" s="1"/>
  <c r="X278" i="247" s="1"/>
  <c r="Y278" i="247" s="1"/>
  <c r="L287" i="247"/>
  <c r="N287" i="247"/>
  <c r="O287" i="247" s="1"/>
  <c r="P287" i="247" s="1"/>
  <c r="Q287" i="247" s="1"/>
  <c r="R287" i="247" s="1"/>
  <c r="S287" i="247" s="1"/>
  <c r="T287" i="247" s="1"/>
  <c r="U287" i="247" s="1"/>
  <c r="V287" i="247" s="1"/>
  <c r="W287" i="247" s="1"/>
  <c r="X287" i="247" s="1"/>
  <c r="Y287" i="247" s="1"/>
  <c r="L288" i="247"/>
  <c r="N288" i="247"/>
  <c r="O288" i="247" s="1"/>
  <c r="P288" i="247" s="1"/>
  <c r="Q288" i="247" s="1"/>
  <c r="R288" i="247" s="1"/>
  <c r="S288" i="247" s="1"/>
  <c r="T288" i="247" s="1"/>
  <c r="U288" i="247" s="1"/>
  <c r="V288" i="247" s="1"/>
  <c r="W288" i="247" s="1"/>
  <c r="X288" i="247" s="1"/>
  <c r="Y288" i="247" s="1"/>
  <c r="L290" i="247"/>
  <c r="N290" i="247"/>
  <c r="O290" i="247" s="1"/>
  <c r="P290" i="247" s="1"/>
  <c r="Q290" i="247" s="1"/>
  <c r="R290" i="247" s="1"/>
  <c r="S290" i="247" s="1"/>
  <c r="T290" i="247" s="1"/>
  <c r="U290" i="247" s="1"/>
  <c r="V290" i="247" s="1"/>
  <c r="W290" i="247" s="1"/>
  <c r="X290" i="247" s="1"/>
  <c r="Y290" i="247" s="1"/>
  <c r="L298" i="247"/>
  <c r="N298" i="247"/>
  <c r="O298" i="247" s="1"/>
  <c r="P298" i="247" s="1"/>
  <c r="Q298" i="247" s="1"/>
  <c r="R298" i="247" s="1"/>
  <c r="S298" i="247" s="1"/>
  <c r="T298" i="247" s="1"/>
  <c r="U298" i="247" s="1"/>
  <c r="V298" i="247" s="1"/>
  <c r="W298" i="247" s="1"/>
  <c r="X298" i="247" s="1"/>
  <c r="Y298" i="247" s="1"/>
  <c r="L302" i="247"/>
  <c r="N302" i="247"/>
  <c r="O302" i="247" s="1"/>
  <c r="P302" i="247" s="1"/>
  <c r="Q302" i="247" s="1"/>
  <c r="R302" i="247" s="1"/>
  <c r="S302" i="247" s="1"/>
  <c r="T302" i="247" s="1"/>
  <c r="U302" i="247" s="1"/>
  <c r="V302" i="247" s="1"/>
  <c r="W302" i="247" s="1"/>
  <c r="X302" i="247" s="1"/>
  <c r="Y302" i="247" s="1"/>
  <c r="L305" i="247"/>
  <c r="N305" i="247"/>
  <c r="O305" i="247" s="1"/>
  <c r="P305" i="247" s="1"/>
  <c r="Q305" i="247" s="1"/>
  <c r="R305" i="247" s="1"/>
  <c r="S305" i="247" s="1"/>
  <c r="T305" i="247" s="1"/>
  <c r="U305" i="247" s="1"/>
  <c r="V305" i="247" s="1"/>
  <c r="W305" i="247" s="1"/>
  <c r="X305" i="247" s="1"/>
  <c r="Y305" i="247" s="1"/>
  <c r="L306" i="247"/>
  <c r="N306" i="247"/>
  <c r="O306" i="247" s="1"/>
  <c r="P306" i="247" s="1"/>
  <c r="Q306" i="247" s="1"/>
  <c r="R306" i="247" s="1"/>
  <c r="S306" i="247" s="1"/>
  <c r="T306" i="247" s="1"/>
  <c r="U306" i="247" s="1"/>
  <c r="V306" i="247" s="1"/>
  <c r="W306" i="247" s="1"/>
  <c r="X306" i="247" s="1"/>
  <c r="Y306" i="247" s="1"/>
  <c r="N442" i="247"/>
  <c r="O442" i="247" s="1"/>
  <c r="P442" i="247" s="1"/>
  <c r="N443" i="247"/>
  <c r="O443" i="247" s="1"/>
  <c r="P443" i="247" s="1"/>
  <c r="N444" i="247"/>
  <c r="O444" i="247" s="1"/>
  <c r="P444" i="247" s="1"/>
  <c r="N445" i="247"/>
  <c r="O445" i="247" s="1"/>
  <c r="P445" i="247" s="1"/>
  <c r="N446" i="247"/>
  <c r="O446" i="247" s="1"/>
  <c r="P446" i="247" s="1"/>
  <c r="N447" i="247"/>
  <c r="O447" i="247" s="1"/>
  <c r="P447" i="247" s="1"/>
  <c r="N448" i="247"/>
  <c r="O448" i="247" s="1"/>
  <c r="P448" i="247" s="1"/>
  <c r="N449" i="247"/>
  <c r="O449" i="247" s="1"/>
  <c r="P449" i="247" s="1"/>
  <c r="N450" i="247"/>
  <c r="O450" i="247" s="1"/>
  <c r="P450" i="247" s="1"/>
  <c r="N451" i="247"/>
  <c r="O451" i="247" s="1"/>
  <c r="P451" i="247" s="1"/>
  <c r="N452" i="247"/>
  <c r="O452" i="247" s="1"/>
  <c r="P452" i="247" s="1"/>
  <c r="N453" i="247"/>
  <c r="O453" i="247" s="1"/>
  <c r="P453" i="247" s="1"/>
  <c r="N454" i="247"/>
  <c r="O454" i="247" s="1"/>
  <c r="P454" i="247" s="1"/>
  <c r="N455" i="247"/>
  <c r="O455" i="247" s="1"/>
  <c r="P455" i="247" s="1"/>
  <c r="N456" i="247"/>
  <c r="O456" i="247" s="1"/>
  <c r="P456" i="247" s="1"/>
  <c r="N457" i="247"/>
  <c r="O457" i="247" s="1"/>
  <c r="P457" i="247" s="1"/>
  <c r="N458" i="247"/>
  <c r="O458" i="247" s="1"/>
  <c r="P458" i="247" s="1"/>
  <c r="N459" i="247"/>
  <c r="O459" i="247" s="1"/>
  <c r="P459" i="247" s="1"/>
  <c r="N460" i="247"/>
  <c r="O460" i="247" s="1"/>
  <c r="P460" i="247" s="1"/>
  <c r="N461" i="247"/>
  <c r="O461" i="247" s="1"/>
  <c r="P461" i="247" s="1"/>
  <c r="N462" i="247"/>
  <c r="O462" i="247" s="1"/>
  <c r="P462" i="247" s="1"/>
  <c r="N463" i="247"/>
  <c r="O463" i="247" s="1"/>
  <c r="P463" i="247" s="1"/>
  <c r="N464" i="247"/>
  <c r="O464" i="247" s="1"/>
  <c r="P464" i="247" s="1"/>
  <c r="N465" i="247"/>
  <c r="O465" i="247" s="1"/>
  <c r="P465" i="247" s="1"/>
  <c r="N466" i="247"/>
  <c r="O466" i="247" s="1"/>
  <c r="P466" i="247" s="1"/>
  <c r="N467" i="247"/>
  <c r="O467" i="247" s="1"/>
  <c r="P467" i="247" s="1"/>
  <c r="N468" i="247"/>
  <c r="O468" i="247" s="1"/>
  <c r="P468" i="247" s="1"/>
  <c r="N469" i="247"/>
  <c r="O469" i="247" s="1"/>
  <c r="P469" i="247" s="1"/>
  <c r="N470" i="247"/>
  <c r="O470" i="247" s="1"/>
  <c r="P470" i="247" s="1"/>
  <c r="N471" i="247"/>
  <c r="O471" i="247" s="1"/>
  <c r="P471" i="247" s="1"/>
  <c r="N472" i="247"/>
  <c r="O472" i="247" s="1"/>
  <c r="P472" i="247" s="1"/>
  <c r="N473" i="247"/>
  <c r="O473" i="247" s="1"/>
  <c r="P473" i="247" s="1"/>
  <c r="N474" i="247"/>
  <c r="O474" i="247" s="1"/>
  <c r="P474" i="247" s="1"/>
  <c r="N475" i="247"/>
  <c r="O475" i="247" s="1"/>
  <c r="P475" i="247" s="1"/>
  <c r="N476" i="247"/>
  <c r="O476" i="247" s="1"/>
  <c r="P476" i="247" s="1"/>
  <c r="N477" i="247"/>
  <c r="O477" i="247" s="1"/>
  <c r="P477" i="247" s="1"/>
  <c r="N478" i="247"/>
  <c r="O478" i="247" s="1"/>
  <c r="P478" i="247" s="1"/>
  <c r="N479" i="247"/>
  <c r="O479" i="247" s="1"/>
  <c r="P479" i="247" s="1"/>
  <c r="N480" i="247"/>
  <c r="O480" i="247" s="1"/>
  <c r="P480" i="247" s="1"/>
  <c r="N481" i="247"/>
  <c r="O481" i="247" s="1"/>
  <c r="P481" i="247" s="1"/>
  <c r="N482" i="247"/>
  <c r="O482" i="247" s="1"/>
  <c r="P482" i="247" s="1"/>
  <c r="N483" i="247"/>
  <c r="O483" i="247" s="1"/>
  <c r="P483" i="247" s="1"/>
  <c r="N484" i="247"/>
  <c r="O484" i="247" s="1"/>
  <c r="P484" i="247" s="1"/>
  <c r="N485" i="247"/>
  <c r="O485" i="247" s="1"/>
  <c r="P485" i="247" s="1"/>
  <c r="N486" i="247"/>
  <c r="O486" i="247" s="1"/>
  <c r="P486" i="247" s="1"/>
  <c r="N487" i="247"/>
  <c r="O487" i="247" s="1"/>
  <c r="P487" i="247" s="1"/>
  <c r="N488" i="247"/>
  <c r="O488" i="247" s="1"/>
  <c r="P488" i="247" s="1"/>
  <c r="N489" i="247"/>
  <c r="O489" i="247" s="1"/>
  <c r="P489" i="247" s="1"/>
  <c r="N490" i="247"/>
  <c r="O490" i="247" s="1"/>
  <c r="P490" i="247" s="1"/>
  <c r="N491" i="247"/>
  <c r="O491" i="247" s="1"/>
  <c r="P491" i="247" s="1"/>
  <c r="N492" i="247"/>
  <c r="O492" i="247" s="1"/>
  <c r="P492" i="247" s="1"/>
  <c r="N493" i="247"/>
  <c r="O493" i="247" s="1"/>
  <c r="P493" i="247" s="1"/>
  <c r="N494" i="247"/>
  <c r="O494" i="247" s="1"/>
  <c r="P494" i="247" s="1"/>
  <c r="N495" i="247"/>
  <c r="O495" i="247" s="1"/>
  <c r="P495" i="247" s="1"/>
  <c r="N496" i="247"/>
  <c r="O496" i="247" s="1"/>
  <c r="P496" i="247" s="1"/>
  <c r="N497" i="247"/>
  <c r="O497" i="247" s="1"/>
  <c r="P497" i="247" s="1"/>
  <c r="N498" i="247"/>
  <c r="O498" i="247" s="1"/>
  <c r="P498" i="247" s="1"/>
  <c r="N499" i="247"/>
  <c r="O499" i="247" s="1"/>
  <c r="P499" i="247" s="1"/>
  <c r="N500" i="247"/>
  <c r="O500" i="247" s="1"/>
  <c r="P500" i="247" s="1"/>
  <c r="N501" i="247"/>
  <c r="O501" i="247" s="1"/>
  <c r="P501" i="247" s="1"/>
  <c r="N502" i="247"/>
  <c r="O502" i="247" s="1"/>
  <c r="P502" i="247" s="1"/>
  <c r="N503" i="247"/>
  <c r="O503" i="247" s="1"/>
  <c r="P503" i="247" s="1"/>
  <c r="N504" i="247"/>
  <c r="O504" i="247" s="1"/>
  <c r="P504" i="247" s="1"/>
  <c r="N505" i="247"/>
  <c r="O505" i="247" s="1"/>
  <c r="P505" i="247" s="1"/>
  <c r="N506" i="247"/>
  <c r="O506" i="247" s="1"/>
  <c r="P506" i="247" s="1"/>
  <c r="N507" i="247"/>
  <c r="O507" i="247" s="1"/>
  <c r="P507" i="247" s="1"/>
  <c r="N508" i="247"/>
  <c r="O508" i="247" s="1"/>
  <c r="P508" i="247" s="1"/>
  <c r="N509" i="247"/>
  <c r="O509" i="247" s="1"/>
  <c r="P509" i="247" s="1"/>
  <c r="N510" i="247"/>
  <c r="O510" i="247" s="1"/>
  <c r="P510" i="247" s="1"/>
  <c r="N511" i="247"/>
  <c r="O511" i="247" s="1"/>
  <c r="P511" i="247" s="1"/>
  <c r="N512" i="247"/>
  <c r="O512" i="247" s="1"/>
  <c r="P512" i="247" s="1"/>
  <c r="N513" i="247"/>
  <c r="O513" i="247" s="1"/>
  <c r="P513" i="247" s="1"/>
  <c r="N514" i="247"/>
  <c r="O514" i="247" s="1"/>
  <c r="P514" i="247" s="1"/>
  <c r="N515" i="247"/>
  <c r="O515" i="247" s="1"/>
  <c r="P515" i="247" s="1"/>
  <c r="N516" i="247"/>
  <c r="O516" i="247" s="1"/>
  <c r="P516" i="247" s="1"/>
  <c r="N517" i="247"/>
  <c r="O517" i="247" s="1"/>
  <c r="P517" i="247" s="1"/>
  <c r="N518" i="247"/>
  <c r="O518" i="247" s="1"/>
  <c r="P518" i="247" s="1"/>
  <c r="N519" i="247"/>
  <c r="O519" i="247" s="1"/>
  <c r="P519" i="247" s="1"/>
  <c r="N520" i="247"/>
  <c r="O520" i="247" s="1"/>
  <c r="P520" i="247" s="1"/>
  <c r="N521" i="247"/>
  <c r="O521" i="247" s="1"/>
  <c r="P521" i="247" s="1"/>
  <c r="N522" i="247"/>
  <c r="O522" i="247" s="1"/>
  <c r="P522" i="247" s="1"/>
  <c r="N523" i="247"/>
  <c r="O523" i="247" s="1"/>
  <c r="P523" i="247" s="1"/>
  <c r="N524" i="247"/>
  <c r="O524" i="247" s="1"/>
  <c r="P524" i="247" s="1"/>
  <c r="N525" i="247"/>
  <c r="O525" i="247" s="1"/>
  <c r="P525" i="247" s="1"/>
  <c r="N526" i="247"/>
  <c r="O526" i="247" s="1"/>
  <c r="P526" i="247" s="1"/>
  <c r="N527" i="247"/>
  <c r="O527" i="247" s="1"/>
  <c r="P527" i="247" s="1"/>
  <c r="N528" i="247"/>
  <c r="O528" i="247" s="1"/>
  <c r="P528" i="247" s="1"/>
  <c r="N529" i="247"/>
  <c r="O529" i="247" s="1"/>
  <c r="P529" i="247" s="1"/>
  <c r="N530" i="247"/>
  <c r="O530" i="247" s="1"/>
  <c r="P530" i="247" s="1"/>
  <c r="N531" i="247"/>
  <c r="O531" i="247" s="1"/>
  <c r="P531" i="247" s="1"/>
  <c r="N532" i="247"/>
  <c r="O532" i="247" s="1"/>
  <c r="P532" i="247" s="1"/>
  <c r="N533" i="247"/>
  <c r="O533" i="247" s="1"/>
  <c r="P533" i="247" s="1"/>
  <c r="N534" i="247"/>
  <c r="O534" i="247" s="1"/>
  <c r="P534" i="247" s="1"/>
  <c r="N535" i="247"/>
  <c r="O535" i="247" s="1"/>
  <c r="P535" i="247" s="1"/>
  <c r="N536" i="247"/>
  <c r="O536" i="247" s="1"/>
  <c r="P536" i="247" s="1"/>
  <c r="N537" i="247"/>
  <c r="O537" i="247" s="1"/>
  <c r="P537" i="247" s="1"/>
  <c r="N538" i="247"/>
  <c r="O538" i="247" s="1"/>
  <c r="P538" i="247" s="1"/>
  <c r="N539" i="247"/>
  <c r="O539" i="247" s="1"/>
  <c r="P539" i="247" s="1"/>
  <c r="N540" i="247"/>
  <c r="O540" i="247" s="1"/>
  <c r="P540" i="247" s="1"/>
  <c r="N541" i="247"/>
  <c r="O541" i="247" s="1"/>
  <c r="P541" i="247" s="1"/>
  <c r="N542" i="247"/>
  <c r="O542" i="247" s="1"/>
  <c r="P542" i="247" s="1"/>
  <c r="N543" i="247"/>
  <c r="O543" i="247" s="1"/>
  <c r="P543" i="247" s="1"/>
  <c r="N544" i="247"/>
  <c r="O544" i="247" s="1"/>
  <c r="P544" i="247" s="1"/>
  <c r="N545" i="247"/>
  <c r="O545" i="247" s="1"/>
  <c r="P545" i="247" s="1"/>
  <c r="N546" i="247"/>
  <c r="O546" i="247" s="1"/>
  <c r="P546" i="247" s="1"/>
  <c r="N547" i="247"/>
  <c r="O547" i="247" s="1"/>
  <c r="P547" i="247" s="1"/>
  <c r="N548" i="247"/>
  <c r="O548" i="247" s="1"/>
  <c r="P548" i="247" s="1"/>
  <c r="N549" i="247"/>
  <c r="O549" i="247" s="1"/>
  <c r="P549" i="247" s="1"/>
  <c r="N550" i="247"/>
  <c r="O550" i="247" s="1"/>
  <c r="P550" i="247" s="1"/>
  <c r="N551" i="247"/>
  <c r="O551" i="247" s="1"/>
  <c r="N552" i="247"/>
  <c r="O552" i="247" s="1"/>
  <c r="P552" i="247" s="1"/>
  <c r="N553" i="247"/>
  <c r="O553" i="247" s="1"/>
  <c r="P553" i="247" s="1"/>
  <c r="N554" i="247"/>
  <c r="O554" i="247" s="1"/>
  <c r="P554" i="247" s="1"/>
  <c r="N555" i="247"/>
  <c r="O555" i="247" s="1"/>
  <c r="P555" i="247" s="1"/>
  <c r="N556" i="247"/>
  <c r="O556" i="247" s="1"/>
  <c r="P556" i="247" s="1"/>
  <c r="N557" i="247"/>
  <c r="O557" i="247" s="1"/>
  <c r="P557" i="247" s="1"/>
  <c r="N558" i="247"/>
  <c r="O558" i="247" s="1"/>
  <c r="P558" i="247" s="1"/>
  <c r="N559" i="247"/>
  <c r="O559" i="247" s="1"/>
  <c r="P559" i="247" s="1"/>
  <c r="N560" i="247"/>
  <c r="O560" i="247" s="1"/>
  <c r="P560" i="247" s="1"/>
  <c r="N561" i="247"/>
  <c r="O561" i="247" s="1"/>
  <c r="P561" i="247" s="1"/>
  <c r="N562" i="247"/>
  <c r="O562" i="247" s="1"/>
  <c r="P562" i="247" s="1"/>
  <c r="N563" i="247"/>
  <c r="O563" i="247" s="1"/>
  <c r="P563" i="247" s="1"/>
  <c r="N564" i="247"/>
  <c r="O564" i="247" s="1"/>
  <c r="P564" i="247" s="1"/>
  <c r="N565" i="247"/>
  <c r="O565" i="247" s="1"/>
  <c r="P565" i="247" s="1"/>
  <c r="N566" i="247"/>
  <c r="O566" i="247" s="1"/>
  <c r="P566" i="247" s="1"/>
  <c r="N567" i="247"/>
  <c r="O567" i="247" s="1"/>
  <c r="P567" i="247" s="1"/>
  <c r="N568" i="247"/>
  <c r="O568" i="247" s="1"/>
  <c r="P568" i="247" s="1"/>
  <c r="N569" i="247"/>
  <c r="O569" i="247" s="1"/>
  <c r="P569" i="247" s="1"/>
  <c r="N570" i="247"/>
  <c r="O570" i="247" s="1"/>
  <c r="P570" i="247" s="1"/>
  <c r="N571" i="247"/>
  <c r="O571" i="247" s="1"/>
  <c r="P571" i="247" s="1"/>
  <c r="N572" i="247"/>
  <c r="O572" i="247" s="1"/>
  <c r="P572" i="247" s="1"/>
  <c r="N573" i="247"/>
  <c r="O573" i="247" s="1"/>
  <c r="P573" i="247" s="1"/>
  <c r="N574" i="247"/>
  <c r="O574" i="247" s="1"/>
  <c r="P574" i="247" s="1"/>
  <c r="N575" i="247"/>
  <c r="O575" i="247" s="1"/>
  <c r="P575" i="247" s="1"/>
  <c r="N576" i="247"/>
  <c r="O576" i="247" s="1"/>
  <c r="P576" i="247" s="1"/>
  <c r="N577" i="247"/>
  <c r="O577" i="247" s="1"/>
  <c r="P577" i="247" s="1"/>
  <c r="N578" i="247"/>
  <c r="O578" i="247" s="1"/>
  <c r="P578" i="247" s="1"/>
  <c r="N579" i="247"/>
  <c r="O579" i="247" s="1"/>
  <c r="P579" i="247" s="1"/>
  <c r="N580" i="247"/>
  <c r="O580" i="247" s="1"/>
  <c r="P580" i="247" s="1"/>
  <c r="N581" i="247"/>
  <c r="O581" i="247" s="1"/>
  <c r="P581" i="247" s="1"/>
  <c r="N582" i="247"/>
  <c r="O582" i="247" s="1"/>
  <c r="P582" i="247" s="1"/>
  <c r="N583" i="247"/>
  <c r="O583" i="247" s="1"/>
  <c r="P583" i="247" s="1"/>
  <c r="N584" i="247"/>
  <c r="O584" i="247" s="1"/>
  <c r="P584" i="247" s="1"/>
  <c r="N585" i="247"/>
  <c r="O585" i="247" s="1"/>
  <c r="P585" i="247" s="1"/>
  <c r="N586" i="247"/>
  <c r="O586" i="247" s="1"/>
  <c r="P586" i="247" s="1"/>
  <c r="N587" i="247"/>
  <c r="O587" i="247" s="1"/>
  <c r="P587" i="247" s="1"/>
  <c r="N588" i="247"/>
  <c r="O588" i="247" s="1"/>
  <c r="P588" i="247" s="1"/>
  <c r="N589" i="247"/>
  <c r="O589" i="247" s="1"/>
  <c r="P589" i="247" s="1"/>
  <c r="N590" i="247"/>
  <c r="O590" i="247" s="1"/>
  <c r="P590" i="247" s="1"/>
  <c r="N591" i="247"/>
  <c r="O591" i="247" s="1"/>
  <c r="P591" i="247" s="1"/>
  <c r="N592" i="247"/>
  <c r="O592" i="247" s="1"/>
  <c r="P592" i="247" s="1"/>
  <c r="N593" i="247"/>
  <c r="O593" i="247" s="1"/>
  <c r="P593" i="247" s="1"/>
  <c r="N594" i="247"/>
  <c r="O594" i="247" s="1"/>
  <c r="P594" i="247" s="1"/>
  <c r="N595" i="247"/>
  <c r="O595" i="247" s="1"/>
  <c r="P595" i="247" s="1"/>
  <c r="N596" i="247"/>
  <c r="O596" i="247" s="1"/>
  <c r="P596" i="247" s="1"/>
  <c r="N597" i="247"/>
  <c r="O597" i="247" s="1"/>
  <c r="P597" i="247" s="1"/>
  <c r="N598" i="247"/>
  <c r="O598" i="247" s="1"/>
  <c r="P598" i="247" s="1"/>
  <c r="N599" i="247"/>
  <c r="O599" i="247" s="1"/>
  <c r="P599" i="247" s="1"/>
  <c r="N600" i="247"/>
  <c r="O600" i="247" s="1"/>
  <c r="P600" i="247" s="1"/>
  <c r="N601" i="247"/>
  <c r="O601" i="247" s="1"/>
  <c r="P601" i="247" s="1"/>
  <c r="N602" i="247"/>
  <c r="O602" i="247" s="1"/>
  <c r="P602" i="247" s="1"/>
  <c r="N603" i="247"/>
  <c r="O603" i="247" s="1"/>
  <c r="P603" i="247" s="1"/>
  <c r="N604" i="247"/>
  <c r="O604" i="247" s="1"/>
  <c r="P604" i="247" s="1"/>
  <c r="N605" i="247"/>
  <c r="O605" i="247" s="1"/>
  <c r="P605" i="247" s="1"/>
  <c r="N606" i="247"/>
  <c r="O606" i="247" s="1"/>
  <c r="P606" i="247" s="1"/>
  <c r="N607" i="247"/>
  <c r="O607" i="247" s="1"/>
  <c r="P607" i="247" s="1"/>
  <c r="N608" i="247"/>
  <c r="O608" i="247" s="1"/>
  <c r="P608" i="247" s="1"/>
  <c r="N609" i="247"/>
  <c r="O609" i="247" s="1"/>
  <c r="P609" i="247" s="1"/>
  <c r="N610" i="247"/>
  <c r="O610" i="247" s="1"/>
  <c r="P610" i="247" s="1"/>
  <c r="N611" i="247"/>
  <c r="O611" i="247" s="1"/>
  <c r="P611" i="247" s="1"/>
  <c r="N612" i="247"/>
  <c r="O612" i="247" s="1"/>
  <c r="P612" i="247" s="1"/>
  <c r="N613" i="247"/>
  <c r="O613" i="247" s="1"/>
  <c r="P613" i="247" s="1"/>
  <c r="N614" i="247"/>
  <c r="O614" i="247" s="1"/>
  <c r="P614" i="247" s="1"/>
  <c r="N615" i="247"/>
  <c r="O615" i="247" s="1"/>
  <c r="P615" i="247" s="1"/>
  <c r="N616" i="247"/>
  <c r="O616" i="247" s="1"/>
  <c r="P616" i="247" s="1"/>
  <c r="N617" i="247"/>
  <c r="O617" i="247" s="1"/>
  <c r="P617" i="247" s="1"/>
  <c r="N618" i="247"/>
  <c r="O618" i="247" s="1"/>
  <c r="P618" i="247" s="1"/>
  <c r="N619" i="247"/>
  <c r="O619" i="247" s="1"/>
  <c r="P619" i="247" s="1"/>
  <c r="N620" i="247"/>
  <c r="O620" i="247" s="1"/>
  <c r="P620" i="247" s="1"/>
  <c r="N621" i="247"/>
  <c r="O621" i="247" s="1"/>
  <c r="P621" i="247" s="1"/>
  <c r="N622" i="247"/>
  <c r="O622" i="247" s="1"/>
  <c r="P622" i="247" s="1"/>
  <c r="N623" i="247"/>
  <c r="O623" i="247" s="1"/>
  <c r="P623" i="247" s="1"/>
  <c r="N624" i="247"/>
  <c r="O624" i="247" s="1"/>
  <c r="P624" i="247" s="1"/>
  <c r="N625" i="247"/>
  <c r="O625" i="247" s="1"/>
  <c r="P625" i="247" s="1"/>
  <c r="N626" i="247"/>
  <c r="O626" i="247" s="1"/>
  <c r="P626" i="247" s="1"/>
  <c r="N627" i="247"/>
  <c r="O627" i="247" s="1"/>
  <c r="P627" i="247" s="1"/>
  <c r="N628" i="247"/>
  <c r="O628" i="247" s="1"/>
  <c r="P628" i="247" s="1"/>
  <c r="N629" i="247"/>
  <c r="O629" i="247" s="1"/>
  <c r="P629" i="247" s="1"/>
  <c r="N630" i="247"/>
  <c r="O630" i="247" s="1"/>
  <c r="P630" i="247" s="1"/>
  <c r="N631" i="247"/>
  <c r="O631" i="247" s="1"/>
  <c r="P631" i="247" s="1"/>
  <c r="N632" i="247"/>
  <c r="O632" i="247" s="1"/>
  <c r="P632" i="247" s="1"/>
  <c r="N633" i="247"/>
  <c r="O633" i="247" s="1"/>
  <c r="P633" i="247" s="1"/>
  <c r="N634" i="247"/>
  <c r="O634" i="247" s="1"/>
  <c r="P634" i="247" s="1"/>
  <c r="N635" i="247"/>
  <c r="O635" i="247" s="1"/>
  <c r="P635" i="247" s="1"/>
  <c r="N636" i="247"/>
  <c r="O636" i="247" s="1"/>
  <c r="P636" i="247" s="1"/>
  <c r="N637" i="247"/>
  <c r="O637" i="247" s="1"/>
  <c r="P637" i="247" s="1"/>
  <c r="N638" i="247"/>
  <c r="O638" i="247" s="1"/>
  <c r="P638" i="247" s="1"/>
  <c r="N639" i="247"/>
  <c r="O639" i="247" s="1"/>
  <c r="P639" i="247" s="1"/>
  <c r="N640" i="247"/>
  <c r="O640" i="247" s="1"/>
  <c r="P640" i="247" s="1"/>
  <c r="N641" i="247"/>
  <c r="O641" i="247" s="1"/>
  <c r="P641" i="247" s="1"/>
  <c r="N642" i="247"/>
  <c r="O642" i="247" s="1"/>
  <c r="P642" i="247" s="1"/>
  <c r="N643" i="247"/>
  <c r="O643" i="247" s="1"/>
  <c r="P643" i="247" s="1"/>
  <c r="N644" i="247"/>
  <c r="O644" i="247" s="1"/>
  <c r="P644" i="247" s="1"/>
  <c r="N645" i="247"/>
  <c r="O645" i="247" s="1"/>
  <c r="P645" i="247" s="1"/>
  <c r="N646" i="247"/>
  <c r="O646" i="247" s="1"/>
  <c r="P646" i="247" s="1"/>
  <c r="N647" i="247"/>
  <c r="O647" i="247" s="1"/>
  <c r="P647" i="247" s="1"/>
  <c r="N648" i="247"/>
  <c r="O648" i="247" s="1"/>
  <c r="P648" i="247" s="1"/>
  <c r="N649" i="247"/>
  <c r="O649" i="247" s="1"/>
  <c r="P649" i="247" s="1"/>
  <c r="N650" i="247"/>
  <c r="O650" i="247" s="1"/>
  <c r="P650" i="247" s="1"/>
  <c r="N651" i="247"/>
  <c r="O651" i="247" s="1"/>
  <c r="P651" i="247" s="1"/>
  <c r="N652" i="247"/>
  <c r="O652" i="247" s="1"/>
  <c r="P652" i="247" s="1"/>
  <c r="N653" i="247"/>
  <c r="O653" i="247" s="1"/>
  <c r="P653" i="247" s="1"/>
  <c r="N654" i="247"/>
  <c r="O654" i="247" s="1"/>
  <c r="P654" i="247" s="1"/>
  <c r="N655" i="247"/>
  <c r="O655" i="247" s="1"/>
  <c r="P655" i="247" s="1"/>
  <c r="N656" i="247"/>
  <c r="O656" i="247" s="1"/>
  <c r="P656" i="247" s="1"/>
  <c r="N657" i="247"/>
  <c r="O657" i="247" s="1"/>
  <c r="P657" i="247" s="1"/>
  <c r="N658" i="247"/>
  <c r="O658" i="247" s="1"/>
  <c r="P658" i="247" s="1"/>
  <c r="N659" i="247"/>
  <c r="O659" i="247" s="1"/>
  <c r="P659" i="247" s="1"/>
  <c r="N660" i="247"/>
  <c r="O660" i="247" s="1"/>
  <c r="P660" i="247" s="1"/>
  <c r="N661" i="247"/>
  <c r="O661" i="247" s="1"/>
  <c r="P661" i="247" s="1"/>
  <c r="N662" i="247"/>
  <c r="O662" i="247" s="1"/>
  <c r="P662" i="247" s="1"/>
  <c r="N663" i="247"/>
  <c r="O663" i="247" s="1"/>
  <c r="P663" i="247" s="1"/>
  <c r="N664" i="247"/>
  <c r="O664" i="247" s="1"/>
  <c r="P664" i="247" s="1"/>
  <c r="N665" i="247"/>
  <c r="O665" i="247" s="1"/>
  <c r="P665" i="247" s="1"/>
  <c r="N666" i="247"/>
  <c r="O666" i="247" s="1"/>
  <c r="P666" i="247" s="1"/>
  <c r="N667" i="247"/>
  <c r="O667" i="247" s="1"/>
  <c r="P667" i="247" s="1"/>
  <c r="N668" i="247"/>
  <c r="O668" i="247" s="1"/>
  <c r="P668" i="247" s="1"/>
  <c r="L669" i="247"/>
  <c r="N669" i="247"/>
  <c r="O669" i="247" s="1"/>
  <c r="P669" i="247" s="1"/>
  <c r="Q669" i="247" s="1"/>
  <c r="R669" i="247" s="1"/>
  <c r="S669" i="247" s="1"/>
  <c r="T669" i="247" s="1"/>
  <c r="U669" i="247" s="1"/>
  <c r="V669" i="247" s="1"/>
  <c r="W669" i="247" s="1"/>
  <c r="X669" i="247" s="1"/>
  <c r="Y669" i="247" s="1"/>
  <c r="N670" i="247"/>
  <c r="O670" i="247" s="1"/>
  <c r="P670" i="247" s="1"/>
  <c r="Q670" i="247" s="1"/>
  <c r="R670" i="247" s="1"/>
  <c r="S670" i="247" s="1"/>
  <c r="T670" i="247" s="1"/>
  <c r="U670" i="247" s="1"/>
  <c r="V670" i="247" s="1"/>
  <c r="W670" i="247" s="1"/>
  <c r="X670" i="247" s="1"/>
  <c r="Y670" i="247" s="1"/>
  <c r="L671" i="247"/>
  <c r="N671" i="247"/>
  <c r="O671" i="247" s="1"/>
  <c r="P671" i="247" s="1"/>
  <c r="Q671" i="247" s="1"/>
  <c r="R671" i="247" s="1"/>
  <c r="S671" i="247" s="1"/>
  <c r="T671" i="247" s="1"/>
  <c r="U671" i="247" s="1"/>
  <c r="V671" i="247" s="1"/>
  <c r="W671" i="247" s="1"/>
  <c r="X671" i="247" s="1"/>
  <c r="Y671" i="247" s="1"/>
  <c r="L672" i="247"/>
  <c r="N672" i="247"/>
  <c r="O672" i="247" s="1"/>
  <c r="P672" i="247" s="1"/>
  <c r="Q672" i="247" s="1"/>
  <c r="R672" i="247" s="1"/>
  <c r="S672" i="247" s="1"/>
  <c r="T672" i="247" s="1"/>
  <c r="U672" i="247" s="1"/>
  <c r="V672" i="247" s="1"/>
  <c r="W672" i="247" s="1"/>
  <c r="X672" i="247" s="1"/>
  <c r="Y672" i="247" s="1"/>
  <c r="N673" i="247"/>
  <c r="O673" i="247" s="1"/>
  <c r="P673" i="247" s="1"/>
  <c r="Q673" i="247" s="1"/>
  <c r="R673" i="247" s="1"/>
  <c r="S673" i="247" s="1"/>
  <c r="T673" i="247" s="1"/>
  <c r="U673" i="247" s="1"/>
  <c r="V673" i="247" s="1"/>
  <c r="W673" i="247" s="1"/>
  <c r="X673" i="247" s="1"/>
  <c r="Y673" i="247" s="1"/>
  <c r="L674" i="247"/>
  <c r="N674" i="247"/>
  <c r="O674" i="247" s="1"/>
  <c r="P674" i="247" s="1"/>
  <c r="Q674" i="247" s="1"/>
  <c r="R674" i="247" s="1"/>
  <c r="S674" i="247" s="1"/>
  <c r="T674" i="247" s="1"/>
  <c r="U674" i="247" s="1"/>
  <c r="V674" i="247" s="1"/>
  <c r="W674" i="247" s="1"/>
  <c r="X674" i="247" s="1"/>
  <c r="Y674" i="247" s="1"/>
  <c r="N675" i="247"/>
  <c r="O675" i="247" s="1"/>
  <c r="P675" i="247" s="1"/>
  <c r="Q675" i="247" s="1"/>
  <c r="R675" i="247" s="1"/>
  <c r="S675" i="247" s="1"/>
  <c r="T675" i="247" s="1"/>
  <c r="U675" i="247" s="1"/>
  <c r="V675" i="247" s="1"/>
  <c r="W675" i="247" s="1"/>
  <c r="X675" i="247" s="1"/>
  <c r="Y675" i="247" s="1"/>
  <c r="L676" i="247"/>
  <c r="N676" i="247"/>
  <c r="O676" i="247" s="1"/>
  <c r="P676" i="247" s="1"/>
  <c r="Q676" i="247" s="1"/>
  <c r="R676" i="247" s="1"/>
  <c r="S676" i="247" s="1"/>
  <c r="T676" i="247" s="1"/>
  <c r="U676" i="247" s="1"/>
  <c r="V676" i="247" s="1"/>
  <c r="W676" i="247" s="1"/>
  <c r="X676" i="247" s="1"/>
  <c r="Y676" i="247" s="1"/>
  <c r="N677" i="247"/>
  <c r="O677" i="247" s="1"/>
  <c r="P677" i="247" s="1"/>
  <c r="Q677" i="247" s="1"/>
  <c r="R677" i="247" s="1"/>
  <c r="S677" i="247" s="1"/>
  <c r="T677" i="247" s="1"/>
  <c r="U677" i="247" s="1"/>
  <c r="V677" i="247" s="1"/>
  <c r="W677" i="247" s="1"/>
  <c r="X677" i="247" s="1"/>
  <c r="Y677" i="247" s="1"/>
  <c r="L678" i="247"/>
  <c r="N678" i="247"/>
  <c r="O678" i="247" s="1"/>
  <c r="P678" i="247" s="1"/>
  <c r="Q678" i="247" s="1"/>
  <c r="R678" i="247" s="1"/>
  <c r="S678" i="247" s="1"/>
  <c r="T678" i="247" s="1"/>
  <c r="U678" i="247" s="1"/>
  <c r="V678" i="247" s="1"/>
  <c r="W678" i="247" s="1"/>
  <c r="X678" i="247" s="1"/>
  <c r="Y678" i="247" s="1"/>
  <c r="L679" i="247"/>
  <c r="N679" i="247"/>
  <c r="O679" i="247" s="1"/>
  <c r="P679" i="247" s="1"/>
  <c r="Q679" i="247" s="1"/>
  <c r="R679" i="247" s="1"/>
  <c r="S679" i="247" s="1"/>
  <c r="T679" i="247" s="1"/>
  <c r="U679" i="247" s="1"/>
  <c r="V679" i="247" s="1"/>
  <c r="W679" i="247" s="1"/>
  <c r="X679" i="247" s="1"/>
  <c r="Y679" i="247" s="1"/>
  <c r="L680" i="247"/>
  <c r="N680" i="247"/>
  <c r="O680" i="247" s="1"/>
  <c r="P680" i="247" s="1"/>
  <c r="Q680" i="247" s="1"/>
  <c r="R680" i="247" s="1"/>
  <c r="S680" i="247" s="1"/>
  <c r="T680" i="247" s="1"/>
  <c r="U680" i="247" s="1"/>
  <c r="V680" i="247" s="1"/>
  <c r="W680" i="247" s="1"/>
  <c r="X680" i="247" s="1"/>
  <c r="Y680" i="247" s="1"/>
  <c r="N681" i="247"/>
  <c r="O681" i="247" s="1"/>
  <c r="P681" i="247" s="1"/>
  <c r="Q681" i="247" s="1"/>
  <c r="R681" i="247" s="1"/>
  <c r="S681" i="247" s="1"/>
  <c r="T681" i="247" s="1"/>
  <c r="U681" i="247" s="1"/>
  <c r="V681" i="247" s="1"/>
  <c r="W681" i="247" s="1"/>
  <c r="X681" i="247" s="1"/>
  <c r="Y681" i="247" s="1"/>
  <c r="N682" i="247"/>
  <c r="O682" i="247" s="1"/>
  <c r="P682" i="247" s="1"/>
  <c r="Q682" i="247" s="1"/>
  <c r="R682" i="247" s="1"/>
  <c r="S682" i="247" s="1"/>
  <c r="T682" i="247" s="1"/>
  <c r="U682" i="247" s="1"/>
  <c r="V682" i="247" s="1"/>
  <c r="W682" i="247" s="1"/>
  <c r="X682" i="247" s="1"/>
  <c r="Y682" i="247" s="1"/>
  <c r="L683" i="247"/>
  <c r="N683" i="247"/>
  <c r="O683" i="247" s="1"/>
  <c r="P683" i="247" s="1"/>
  <c r="Q683" i="247" s="1"/>
  <c r="R683" i="247" s="1"/>
  <c r="S683" i="247" s="1"/>
  <c r="T683" i="247" s="1"/>
  <c r="U683" i="247" s="1"/>
  <c r="V683" i="247" s="1"/>
  <c r="W683" i="247" s="1"/>
  <c r="X683" i="247" s="1"/>
  <c r="Y683" i="247" s="1"/>
  <c r="L684" i="247"/>
  <c r="N684" i="247"/>
  <c r="O684" i="247" s="1"/>
  <c r="P684" i="247" s="1"/>
  <c r="Q684" i="247" s="1"/>
  <c r="R684" i="247" s="1"/>
  <c r="S684" i="247" s="1"/>
  <c r="T684" i="247" s="1"/>
  <c r="U684" i="247" s="1"/>
  <c r="V684" i="247" s="1"/>
  <c r="W684" i="247" s="1"/>
  <c r="X684" i="247" s="1"/>
  <c r="Y684" i="247" s="1"/>
  <c r="N685" i="247"/>
  <c r="O685" i="247" s="1"/>
  <c r="P685" i="247" s="1"/>
  <c r="Q685" i="247" s="1"/>
  <c r="R685" i="247" s="1"/>
  <c r="S685" i="247" s="1"/>
  <c r="T685" i="247" s="1"/>
  <c r="U685" i="247" s="1"/>
  <c r="V685" i="247" s="1"/>
  <c r="W685" i="247" s="1"/>
  <c r="X685" i="247" s="1"/>
  <c r="Y685" i="247" s="1"/>
  <c r="N686" i="247"/>
  <c r="O686" i="247" s="1"/>
  <c r="P686" i="247" s="1"/>
  <c r="Q686" i="247" s="1"/>
  <c r="R686" i="247" s="1"/>
  <c r="S686" i="247" s="1"/>
  <c r="T686" i="247" s="1"/>
  <c r="U686" i="247" s="1"/>
  <c r="V686" i="247" s="1"/>
  <c r="W686" i="247" s="1"/>
  <c r="X686" i="247" s="1"/>
  <c r="Y686" i="247" s="1"/>
  <c r="N687" i="247"/>
  <c r="O687" i="247" s="1"/>
  <c r="P687" i="247" s="1"/>
  <c r="Q687" i="247" s="1"/>
  <c r="R687" i="247" s="1"/>
  <c r="S687" i="247" s="1"/>
  <c r="T687" i="247" s="1"/>
  <c r="U687" i="247" s="1"/>
  <c r="V687" i="247" s="1"/>
  <c r="W687" i="247" s="1"/>
  <c r="X687" i="247" s="1"/>
  <c r="Y687" i="247" s="1"/>
  <c r="L714" i="247"/>
  <c r="N714" i="247"/>
  <c r="O714" i="247" s="1"/>
  <c r="N715" i="247"/>
  <c r="O715" i="247" s="1"/>
  <c r="P715" i="247" s="1"/>
  <c r="Q715" i="247" s="1"/>
  <c r="R715" i="247" s="1"/>
  <c r="S715" i="247" s="1"/>
  <c r="T715" i="247" s="1"/>
  <c r="U715" i="247" s="1"/>
  <c r="V715" i="247" s="1"/>
  <c r="W715" i="247" s="1"/>
  <c r="X715" i="247" s="1"/>
  <c r="Y715" i="247" s="1"/>
  <c r="L716" i="247"/>
  <c r="N716" i="247"/>
  <c r="O716" i="247" s="1"/>
  <c r="P716" i="247" s="1"/>
  <c r="Q716" i="247" s="1"/>
  <c r="R716" i="247" s="1"/>
  <c r="S716" i="247" s="1"/>
  <c r="T716" i="247" s="1"/>
  <c r="U716" i="247" s="1"/>
  <c r="V716" i="247" s="1"/>
  <c r="W716" i="247" s="1"/>
  <c r="X716" i="247" s="1"/>
  <c r="Y716" i="247" s="1"/>
  <c r="L717" i="247"/>
  <c r="N717" i="247"/>
  <c r="O717" i="247" s="1"/>
  <c r="P717" i="247" s="1"/>
  <c r="Q717" i="247" s="1"/>
  <c r="R717" i="247" s="1"/>
  <c r="S717" i="247" s="1"/>
  <c r="T717" i="247" s="1"/>
  <c r="U717" i="247" s="1"/>
  <c r="V717" i="247" s="1"/>
  <c r="W717" i="247" s="1"/>
  <c r="X717" i="247" s="1"/>
  <c r="Y717" i="247" s="1"/>
  <c r="N718" i="247"/>
  <c r="O718" i="247" s="1"/>
  <c r="P718" i="247" s="1"/>
  <c r="Q718" i="247" s="1"/>
  <c r="R718" i="247" s="1"/>
  <c r="S718" i="247" s="1"/>
  <c r="T718" i="247" s="1"/>
  <c r="U718" i="247" s="1"/>
  <c r="V718" i="247" s="1"/>
  <c r="W718" i="247" s="1"/>
  <c r="X718" i="247" s="1"/>
  <c r="Y718" i="247" s="1"/>
  <c r="N719" i="247"/>
  <c r="O719" i="247" s="1"/>
  <c r="P719" i="247" s="1"/>
  <c r="Q719" i="247" s="1"/>
  <c r="R719" i="247" s="1"/>
  <c r="S719" i="247" s="1"/>
  <c r="T719" i="247" s="1"/>
  <c r="U719" i="247" s="1"/>
  <c r="V719" i="247" s="1"/>
  <c r="W719" i="247" s="1"/>
  <c r="X719" i="247" s="1"/>
  <c r="Y719" i="247" s="1"/>
  <c r="N720" i="247"/>
  <c r="O720" i="247" s="1"/>
  <c r="P720" i="247" s="1"/>
  <c r="Q720" i="247" s="1"/>
  <c r="R720" i="247" s="1"/>
  <c r="S720" i="247" s="1"/>
  <c r="T720" i="247" s="1"/>
  <c r="U720" i="247" s="1"/>
  <c r="V720" i="247" s="1"/>
  <c r="W720" i="247" s="1"/>
  <c r="X720" i="247" s="1"/>
  <c r="Y720" i="247" s="1"/>
  <c r="L721" i="247"/>
  <c r="N721" i="247"/>
  <c r="O721" i="247" s="1"/>
  <c r="P721" i="247" s="1"/>
  <c r="Q721" i="247" s="1"/>
  <c r="R721" i="247" s="1"/>
  <c r="S721" i="247" s="1"/>
  <c r="T721" i="247" s="1"/>
  <c r="U721" i="247" s="1"/>
  <c r="V721" i="247" s="1"/>
  <c r="W721" i="247" s="1"/>
  <c r="X721" i="247" s="1"/>
  <c r="Y721" i="247" s="1"/>
  <c r="L722" i="247"/>
  <c r="N722" i="247"/>
  <c r="O722" i="247" s="1"/>
  <c r="P722" i="247" s="1"/>
  <c r="Q722" i="247" s="1"/>
  <c r="R722" i="247" s="1"/>
  <c r="S722" i="247" s="1"/>
  <c r="T722" i="247" s="1"/>
  <c r="U722" i="247" s="1"/>
  <c r="V722" i="247" s="1"/>
  <c r="W722" i="247" s="1"/>
  <c r="X722" i="247" s="1"/>
  <c r="Y722" i="247" s="1"/>
  <c r="N723" i="247"/>
  <c r="O723" i="247" s="1"/>
  <c r="P723" i="247" s="1"/>
  <c r="Q723" i="247" s="1"/>
  <c r="R723" i="247" s="1"/>
  <c r="S723" i="247" s="1"/>
  <c r="T723" i="247" s="1"/>
  <c r="U723" i="247" s="1"/>
  <c r="V723" i="247" s="1"/>
  <c r="W723" i="247" s="1"/>
  <c r="X723" i="247" s="1"/>
  <c r="Y723" i="247" s="1"/>
  <c r="L724" i="247"/>
  <c r="N724" i="247"/>
  <c r="O724" i="247" s="1"/>
  <c r="P724" i="247" s="1"/>
  <c r="Q724" i="247" s="1"/>
  <c r="R724" i="247" s="1"/>
  <c r="S724" i="247" s="1"/>
  <c r="T724" i="247" s="1"/>
  <c r="U724" i="247" s="1"/>
  <c r="V724" i="247" s="1"/>
  <c r="W724" i="247" s="1"/>
  <c r="X724" i="247" s="1"/>
  <c r="Y724" i="247" s="1"/>
  <c r="L725" i="247"/>
  <c r="N725" i="247"/>
  <c r="O725" i="247" s="1"/>
  <c r="P725" i="247" s="1"/>
  <c r="Q725" i="247" s="1"/>
  <c r="R725" i="247" s="1"/>
  <c r="S725" i="247" s="1"/>
  <c r="T725" i="247" s="1"/>
  <c r="U725" i="247" s="1"/>
  <c r="V725" i="247" s="1"/>
  <c r="W725" i="247" s="1"/>
  <c r="X725" i="247" s="1"/>
  <c r="Y725" i="247" s="1"/>
  <c r="L726" i="247"/>
  <c r="N726" i="247"/>
  <c r="O726" i="247" s="1"/>
  <c r="P726" i="247" s="1"/>
  <c r="Q726" i="247" s="1"/>
  <c r="R726" i="247" s="1"/>
  <c r="S726" i="247" s="1"/>
  <c r="T726" i="247" s="1"/>
  <c r="U726" i="247" s="1"/>
  <c r="V726" i="247" s="1"/>
  <c r="W726" i="247" s="1"/>
  <c r="X726" i="247" s="1"/>
  <c r="Y726" i="247" s="1"/>
  <c r="N727" i="247"/>
  <c r="O727" i="247" s="1"/>
  <c r="P727" i="247" s="1"/>
  <c r="Q727" i="247" s="1"/>
  <c r="R727" i="247" s="1"/>
  <c r="S727" i="247" s="1"/>
  <c r="T727" i="247" s="1"/>
  <c r="U727" i="247" s="1"/>
  <c r="V727" i="247" s="1"/>
  <c r="W727" i="247" s="1"/>
  <c r="X727" i="247" s="1"/>
  <c r="Y727" i="247" s="1"/>
  <c r="N728" i="247"/>
  <c r="O728" i="247" s="1"/>
  <c r="P728" i="247" s="1"/>
  <c r="Q728" i="247" s="1"/>
  <c r="R728" i="247" s="1"/>
  <c r="S728" i="247" s="1"/>
  <c r="T728" i="247" s="1"/>
  <c r="U728" i="247" s="1"/>
  <c r="V728" i="247" s="1"/>
  <c r="W728" i="247" s="1"/>
  <c r="X728" i="247" s="1"/>
  <c r="Y728" i="247" s="1"/>
  <c r="N729" i="247"/>
  <c r="O729" i="247" s="1"/>
  <c r="P729" i="247" s="1"/>
  <c r="Q729" i="247" s="1"/>
  <c r="R729" i="247" s="1"/>
  <c r="S729" i="247" s="1"/>
  <c r="T729" i="247" s="1"/>
  <c r="U729" i="247" s="1"/>
  <c r="V729" i="247" s="1"/>
  <c r="W729" i="247" s="1"/>
  <c r="X729" i="247" s="1"/>
  <c r="Y729" i="247" s="1"/>
  <c r="N730" i="247"/>
  <c r="O730" i="247" s="1"/>
  <c r="P730" i="247" s="1"/>
  <c r="Q730" i="247" s="1"/>
  <c r="R730" i="247" s="1"/>
  <c r="S730" i="247" s="1"/>
  <c r="T730" i="247" s="1"/>
  <c r="U730" i="247" s="1"/>
  <c r="V730" i="247" s="1"/>
  <c r="W730" i="247" s="1"/>
  <c r="X730" i="247" s="1"/>
  <c r="Y730" i="247" s="1"/>
  <c r="L731" i="247"/>
  <c r="N731" i="247"/>
  <c r="O731" i="247" s="1"/>
  <c r="N732" i="247"/>
  <c r="O732" i="247" s="1"/>
  <c r="P732" i="247" s="1"/>
  <c r="Q732" i="247" s="1"/>
  <c r="R732" i="247" s="1"/>
  <c r="S732" i="247" s="1"/>
  <c r="T732" i="247" s="1"/>
  <c r="U732" i="247" s="1"/>
  <c r="V732" i="247" s="1"/>
  <c r="W732" i="247" s="1"/>
  <c r="X732" i="247" s="1"/>
  <c r="Y732" i="247" s="1"/>
  <c r="N733" i="247"/>
  <c r="O733" i="247" s="1"/>
  <c r="P733" i="247" s="1"/>
  <c r="Q733" i="247" s="1"/>
  <c r="R733" i="247" s="1"/>
  <c r="S733" i="247" s="1"/>
  <c r="T733" i="247" s="1"/>
  <c r="U733" i="247" s="1"/>
  <c r="V733" i="247" s="1"/>
  <c r="W733" i="247" s="1"/>
  <c r="X733" i="247" s="1"/>
  <c r="Y733" i="247" s="1"/>
  <c r="N734" i="247"/>
  <c r="O734" i="247" s="1"/>
  <c r="P734" i="247" s="1"/>
  <c r="Q734" i="247" s="1"/>
  <c r="R734" i="247" s="1"/>
  <c r="S734" i="247" s="1"/>
  <c r="T734" i="247" s="1"/>
  <c r="U734" i="247" s="1"/>
  <c r="V734" i="247" s="1"/>
  <c r="W734" i="247" s="1"/>
  <c r="X734" i="247" s="1"/>
  <c r="Y734" i="247" s="1"/>
  <c r="N735" i="247"/>
  <c r="O735" i="247" s="1"/>
  <c r="P735" i="247" s="1"/>
  <c r="Q735" i="247" s="1"/>
  <c r="R735" i="247" s="1"/>
  <c r="S735" i="247" s="1"/>
  <c r="T735" i="247" s="1"/>
  <c r="U735" i="247" s="1"/>
  <c r="V735" i="247" s="1"/>
  <c r="W735" i="247" s="1"/>
  <c r="X735" i="247" s="1"/>
  <c r="Y735" i="247" s="1"/>
  <c r="N736" i="247"/>
  <c r="O736" i="247" s="1"/>
  <c r="P736" i="247" s="1"/>
  <c r="Q736" i="247" s="1"/>
  <c r="R736" i="247" s="1"/>
  <c r="S736" i="247" s="1"/>
  <c r="T736" i="247" s="1"/>
  <c r="U736" i="247" s="1"/>
  <c r="V736" i="247" s="1"/>
  <c r="W736" i="247" s="1"/>
  <c r="X736" i="247" s="1"/>
  <c r="Y736" i="247" s="1"/>
  <c r="N737" i="247"/>
  <c r="O737" i="247" s="1"/>
  <c r="P737" i="247" s="1"/>
  <c r="Q737" i="247" s="1"/>
  <c r="R737" i="247" s="1"/>
  <c r="S737" i="247" s="1"/>
  <c r="T737" i="247" s="1"/>
  <c r="U737" i="247" s="1"/>
  <c r="V737" i="247" s="1"/>
  <c r="W737" i="247" s="1"/>
  <c r="X737" i="247" s="1"/>
  <c r="Y737" i="247" s="1"/>
  <c r="N738" i="247"/>
  <c r="O738" i="247" s="1"/>
  <c r="P738" i="247" s="1"/>
  <c r="Q738" i="247" s="1"/>
  <c r="R738" i="247" s="1"/>
  <c r="S738" i="247" s="1"/>
  <c r="T738" i="247" s="1"/>
  <c r="U738" i="247" s="1"/>
  <c r="V738" i="247" s="1"/>
  <c r="W738" i="247" s="1"/>
  <c r="X738" i="247" s="1"/>
  <c r="Y738" i="247" s="1"/>
  <c r="N739" i="247"/>
  <c r="O739" i="247" s="1"/>
  <c r="P739" i="247" s="1"/>
  <c r="Q739" i="247" s="1"/>
  <c r="R739" i="247" s="1"/>
  <c r="S739" i="247" s="1"/>
  <c r="T739" i="247" s="1"/>
  <c r="U739" i="247" s="1"/>
  <c r="V739" i="247" s="1"/>
  <c r="W739" i="247" s="1"/>
  <c r="X739" i="247" s="1"/>
  <c r="Y739" i="247" s="1"/>
  <c r="N740" i="247"/>
  <c r="O740" i="247" s="1"/>
  <c r="P740" i="247" s="1"/>
  <c r="Q740" i="247" s="1"/>
  <c r="R740" i="247" s="1"/>
  <c r="S740" i="247" s="1"/>
  <c r="T740" i="247" s="1"/>
  <c r="U740" i="247" s="1"/>
  <c r="V740" i="247" s="1"/>
  <c r="W740" i="247" s="1"/>
  <c r="X740" i="247" s="1"/>
  <c r="Y740" i="247" s="1"/>
  <c r="N741" i="247"/>
  <c r="O741" i="247" s="1"/>
  <c r="P741" i="247" s="1"/>
  <c r="Q741" i="247" s="1"/>
  <c r="R741" i="247" s="1"/>
  <c r="S741" i="247" s="1"/>
  <c r="T741" i="247" s="1"/>
  <c r="U741" i="247" s="1"/>
  <c r="V741" i="247" s="1"/>
  <c r="W741" i="247" s="1"/>
  <c r="X741" i="247" s="1"/>
  <c r="Y741" i="247" s="1"/>
  <c r="N742" i="247"/>
  <c r="O742" i="247" s="1"/>
  <c r="P742" i="247" s="1"/>
  <c r="Q742" i="247" s="1"/>
  <c r="R742" i="247" s="1"/>
  <c r="S742" i="247" s="1"/>
  <c r="T742" i="247" s="1"/>
  <c r="U742" i="247" s="1"/>
  <c r="V742" i="247" s="1"/>
  <c r="W742" i="247" s="1"/>
  <c r="X742" i="247" s="1"/>
  <c r="Y742" i="247" s="1"/>
  <c r="N743" i="247"/>
  <c r="O743" i="247" s="1"/>
  <c r="P743" i="247" s="1"/>
  <c r="Q743" i="247" s="1"/>
  <c r="R743" i="247" s="1"/>
  <c r="S743" i="247" s="1"/>
  <c r="T743" i="247" s="1"/>
  <c r="U743" i="247" s="1"/>
  <c r="V743" i="247" s="1"/>
  <c r="W743" i="247" s="1"/>
  <c r="X743" i="247" s="1"/>
  <c r="Y743" i="247" s="1"/>
  <c r="N744" i="247"/>
  <c r="O744" i="247" s="1"/>
  <c r="P744" i="247" s="1"/>
  <c r="Q744" i="247" s="1"/>
  <c r="R744" i="247" s="1"/>
  <c r="S744" i="247" s="1"/>
  <c r="T744" i="247" s="1"/>
  <c r="U744" i="247" s="1"/>
  <c r="V744" i="247" s="1"/>
  <c r="W744" i="247" s="1"/>
  <c r="X744" i="247" s="1"/>
  <c r="Y744" i="247" s="1"/>
  <c r="N745" i="247"/>
  <c r="O745" i="247" s="1"/>
  <c r="P745" i="247" s="1"/>
  <c r="Q745" i="247" s="1"/>
  <c r="R745" i="247" s="1"/>
  <c r="S745" i="247" s="1"/>
  <c r="T745" i="247" s="1"/>
  <c r="U745" i="247" s="1"/>
  <c r="V745" i="247" s="1"/>
  <c r="W745" i="247" s="1"/>
  <c r="X745" i="247" s="1"/>
  <c r="Y745" i="247" s="1"/>
  <c r="N746" i="247"/>
  <c r="O746" i="247" s="1"/>
  <c r="P746" i="247" s="1"/>
  <c r="Q746" i="247" s="1"/>
  <c r="R746" i="247" s="1"/>
  <c r="S746" i="247" s="1"/>
  <c r="T746" i="247" s="1"/>
  <c r="U746" i="247" s="1"/>
  <c r="V746" i="247" s="1"/>
  <c r="W746" i="247" s="1"/>
  <c r="X746" i="247" s="1"/>
  <c r="Y746" i="247" s="1"/>
  <c r="N747" i="247"/>
  <c r="O747" i="247" s="1"/>
  <c r="P747" i="247" s="1"/>
  <c r="Q747" i="247" s="1"/>
  <c r="R747" i="247" s="1"/>
  <c r="S747" i="247" s="1"/>
  <c r="T747" i="247" s="1"/>
  <c r="U747" i="247" s="1"/>
  <c r="V747" i="247" s="1"/>
  <c r="W747" i="247" s="1"/>
  <c r="X747" i="247" s="1"/>
  <c r="Y747" i="247" s="1"/>
  <c r="N748" i="247"/>
  <c r="O748" i="247" s="1"/>
  <c r="P748" i="247" s="1"/>
  <c r="Q748" i="247" s="1"/>
  <c r="R748" i="247" s="1"/>
  <c r="S748" i="247" s="1"/>
  <c r="T748" i="247" s="1"/>
  <c r="U748" i="247" s="1"/>
  <c r="V748" i="247" s="1"/>
  <c r="W748" i="247" s="1"/>
  <c r="X748" i="247" s="1"/>
  <c r="Y748" i="247" s="1"/>
  <c r="N749" i="247"/>
  <c r="O749" i="247" s="1"/>
  <c r="P749" i="247" s="1"/>
  <c r="Q749" i="247" s="1"/>
  <c r="R749" i="247" s="1"/>
  <c r="S749" i="247" s="1"/>
  <c r="T749" i="247" s="1"/>
  <c r="U749" i="247" s="1"/>
  <c r="V749" i="247" s="1"/>
  <c r="W749" i="247" s="1"/>
  <c r="X749" i="247" s="1"/>
  <c r="Y749" i="247" s="1"/>
  <c r="N750" i="247"/>
  <c r="O750" i="247" s="1"/>
  <c r="P750" i="247" s="1"/>
  <c r="Q750" i="247" s="1"/>
  <c r="R750" i="247" s="1"/>
  <c r="S750" i="247" s="1"/>
  <c r="T750" i="247" s="1"/>
  <c r="U750" i="247" s="1"/>
  <c r="V750" i="247" s="1"/>
  <c r="W750" i="247" s="1"/>
  <c r="X750" i="247" s="1"/>
  <c r="Y750" i="247" s="1"/>
  <c r="N751" i="247"/>
  <c r="O751" i="247" s="1"/>
  <c r="P751" i="247" s="1"/>
  <c r="Q751" i="247" s="1"/>
  <c r="R751" i="247" s="1"/>
  <c r="S751" i="247" s="1"/>
  <c r="T751" i="247" s="1"/>
  <c r="U751" i="247" s="1"/>
  <c r="V751" i="247" s="1"/>
  <c r="W751" i="247" s="1"/>
  <c r="X751" i="247" s="1"/>
  <c r="Y751" i="247" s="1"/>
  <c r="N752" i="247"/>
  <c r="O752" i="247" s="1"/>
  <c r="P752" i="247" s="1"/>
  <c r="Q752" i="247" s="1"/>
  <c r="R752" i="247" s="1"/>
  <c r="S752" i="247" s="1"/>
  <c r="T752" i="247" s="1"/>
  <c r="U752" i="247" s="1"/>
  <c r="V752" i="247" s="1"/>
  <c r="W752" i="247" s="1"/>
  <c r="X752" i="247" s="1"/>
  <c r="Y752" i="247" s="1"/>
  <c r="N753" i="247"/>
  <c r="O753" i="247" s="1"/>
  <c r="P753" i="247" s="1"/>
  <c r="Q753" i="247" s="1"/>
  <c r="R753" i="247" s="1"/>
  <c r="S753" i="247" s="1"/>
  <c r="T753" i="247" s="1"/>
  <c r="U753" i="247" s="1"/>
  <c r="V753" i="247" s="1"/>
  <c r="W753" i="247" s="1"/>
  <c r="X753" i="247" s="1"/>
  <c r="Y753" i="247" s="1"/>
  <c r="N754" i="247"/>
  <c r="O754" i="247" s="1"/>
  <c r="P754" i="247" s="1"/>
  <c r="Q754" i="247" s="1"/>
  <c r="R754" i="247" s="1"/>
  <c r="S754" i="247" s="1"/>
  <c r="T754" i="247" s="1"/>
  <c r="U754" i="247" s="1"/>
  <c r="V754" i="247" s="1"/>
  <c r="W754" i="247" s="1"/>
  <c r="X754" i="247" s="1"/>
  <c r="Y754" i="247" s="1"/>
  <c r="N755" i="247"/>
  <c r="O755" i="247" s="1"/>
  <c r="P755" i="247" s="1"/>
  <c r="Q755" i="247" s="1"/>
  <c r="R755" i="247" s="1"/>
  <c r="S755" i="247" s="1"/>
  <c r="T755" i="247" s="1"/>
  <c r="U755" i="247" s="1"/>
  <c r="V755" i="247" s="1"/>
  <c r="W755" i="247" s="1"/>
  <c r="X755" i="247" s="1"/>
  <c r="Y755" i="247" s="1"/>
  <c r="N756" i="247"/>
  <c r="O756" i="247" s="1"/>
  <c r="P756" i="247" s="1"/>
  <c r="Q756" i="247" s="1"/>
  <c r="R756" i="247" s="1"/>
  <c r="S756" i="247" s="1"/>
  <c r="T756" i="247" s="1"/>
  <c r="U756" i="247" s="1"/>
  <c r="V756" i="247" s="1"/>
  <c r="W756" i="247" s="1"/>
  <c r="X756" i="247" s="1"/>
  <c r="Y756" i="247" s="1"/>
  <c r="N757" i="247"/>
  <c r="O757" i="247" s="1"/>
  <c r="P757" i="247" s="1"/>
  <c r="Q757" i="247" s="1"/>
  <c r="R757" i="247" s="1"/>
  <c r="S757" i="247" s="1"/>
  <c r="T757" i="247" s="1"/>
  <c r="U757" i="247" s="1"/>
  <c r="V757" i="247" s="1"/>
  <c r="W757" i="247" s="1"/>
  <c r="X757" i="247" s="1"/>
  <c r="Y757" i="247" s="1"/>
  <c r="N758" i="247"/>
  <c r="O758" i="247" s="1"/>
  <c r="P758" i="247" s="1"/>
  <c r="Q758" i="247" s="1"/>
  <c r="R758" i="247" s="1"/>
  <c r="S758" i="247" s="1"/>
  <c r="T758" i="247" s="1"/>
  <c r="U758" i="247" s="1"/>
  <c r="V758" i="247" s="1"/>
  <c r="W758" i="247" s="1"/>
  <c r="X758" i="247" s="1"/>
  <c r="Y758" i="247" s="1"/>
  <c r="N759" i="247"/>
  <c r="O759" i="247" s="1"/>
  <c r="P759" i="247" s="1"/>
  <c r="Q759" i="247" s="1"/>
  <c r="R759" i="247" s="1"/>
  <c r="S759" i="247" s="1"/>
  <c r="T759" i="247" s="1"/>
  <c r="U759" i="247" s="1"/>
  <c r="V759" i="247" s="1"/>
  <c r="W759" i="247" s="1"/>
  <c r="X759" i="247" s="1"/>
  <c r="Y759" i="247" s="1"/>
  <c r="N760" i="247"/>
  <c r="O760" i="247" s="1"/>
  <c r="P760" i="247" s="1"/>
  <c r="Q760" i="247" s="1"/>
  <c r="R760" i="247" s="1"/>
  <c r="S760" i="247" s="1"/>
  <c r="T760" i="247" s="1"/>
  <c r="U760" i="247" s="1"/>
  <c r="V760" i="247" s="1"/>
  <c r="W760" i="247" s="1"/>
  <c r="X760" i="247" s="1"/>
  <c r="Y760" i="247" s="1"/>
  <c r="N761" i="247"/>
  <c r="O761" i="247" s="1"/>
  <c r="P761" i="247" s="1"/>
  <c r="Q761" i="247" s="1"/>
  <c r="R761" i="247" s="1"/>
  <c r="S761" i="247" s="1"/>
  <c r="T761" i="247" s="1"/>
  <c r="U761" i="247" s="1"/>
  <c r="V761" i="247" s="1"/>
  <c r="W761" i="247" s="1"/>
  <c r="X761" i="247" s="1"/>
  <c r="Y761" i="247" s="1"/>
  <c r="N762" i="247"/>
  <c r="O762" i="247" s="1"/>
  <c r="P762" i="247" s="1"/>
  <c r="Q762" i="247" s="1"/>
  <c r="R762" i="247" s="1"/>
  <c r="S762" i="247" s="1"/>
  <c r="T762" i="247" s="1"/>
  <c r="U762" i="247" s="1"/>
  <c r="V762" i="247" s="1"/>
  <c r="W762" i="247" s="1"/>
  <c r="X762" i="247" s="1"/>
  <c r="Y762" i="247" s="1"/>
  <c r="N763" i="247"/>
  <c r="O763" i="247" s="1"/>
  <c r="P763" i="247" s="1"/>
  <c r="Q763" i="247" s="1"/>
  <c r="R763" i="247" s="1"/>
  <c r="S763" i="247" s="1"/>
  <c r="T763" i="247" s="1"/>
  <c r="U763" i="247" s="1"/>
  <c r="V763" i="247" s="1"/>
  <c r="W763" i="247" s="1"/>
  <c r="X763" i="247" s="1"/>
  <c r="Y763" i="247" s="1"/>
  <c r="N764" i="247"/>
  <c r="O764" i="247" s="1"/>
  <c r="P764" i="247" s="1"/>
  <c r="Q764" i="247" s="1"/>
  <c r="R764" i="247" s="1"/>
  <c r="S764" i="247" s="1"/>
  <c r="T764" i="247" s="1"/>
  <c r="U764" i="247" s="1"/>
  <c r="V764" i="247" s="1"/>
  <c r="W764" i="247" s="1"/>
  <c r="X764" i="247" s="1"/>
  <c r="Y764" i="247" s="1"/>
  <c r="N765" i="247"/>
  <c r="O765" i="247" s="1"/>
  <c r="P765" i="247" s="1"/>
  <c r="Q765" i="247" s="1"/>
  <c r="R765" i="247" s="1"/>
  <c r="S765" i="247" s="1"/>
  <c r="T765" i="247" s="1"/>
  <c r="U765" i="247" s="1"/>
  <c r="V765" i="247" s="1"/>
  <c r="W765" i="247" s="1"/>
  <c r="X765" i="247" s="1"/>
  <c r="Y765" i="247" s="1"/>
  <c r="N766" i="247"/>
  <c r="O766" i="247" s="1"/>
  <c r="P766" i="247" s="1"/>
  <c r="Q766" i="247" s="1"/>
  <c r="R766" i="247" s="1"/>
  <c r="S766" i="247" s="1"/>
  <c r="T766" i="247" s="1"/>
  <c r="U766" i="247" s="1"/>
  <c r="V766" i="247" s="1"/>
  <c r="W766" i="247" s="1"/>
  <c r="X766" i="247" s="1"/>
  <c r="Y766" i="247" s="1"/>
  <c r="N767" i="247"/>
  <c r="O767" i="247" s="1"/>
  <c r="P767" i="247" s="1"/>
  <c r="Q767" i="247" s="1"/>
  <c r="R767" i="247" s="1"/>
  <c r="S767" i="247" s="1"/>
  <c r="T767" i="247" s="1"/>
  <c r="U767" i="247" s="1"/>
  <c r="V767" i="247" s="1"/>
  <c r="W767" i="247" s="1"/>
  <c r="X767" i="247" s="1"/>
  <c r="Y767" i="247" s="1"/>
  <c r="N768" i="247"/>
  <c r="O768" i="247" s="1"/>
  <c r="P768" i="247" s="1"/>
  <c r="Q768" i="247" s="1"/>
  <c r="R768" i="247" s="1"/>
  <c r="S768" i="247" s="1"/>
  <c r="T768" i="247" s="1"/>
  <c r="U768" i="247" s="1"/>
  <c r="V768" i="247" s="1"/>
  <c r="W768" i="247" s="1"/>
  <c r="X768" i="247" s="1"/>
  <c r="Y768" i="247" s="1"/>
  <c r="N769" i="247"/>
  <c r="O769" i="247" s="1"/>
  <c r="P769" i="247" s="1"/>
  <c r="N770" i="247"/>
  <c r="O770" i="247" s="1"/>
  <c r="P770" i="247" s="1"/>
  <c r="N771" i="247"/>
  <c r="O771" i="247" s="1"/>
  <c r="P771" i="247" s="1"/>
  <c r="N772" i="247"/>
  <c r="O772" i="247" s="1"/>
  <c r="P772" i="247" s="1"/>
  <c r="N773" i="247"/>
  <c r="O773" i="247" s="1"/>
  <c r="P773" i="247" s="1"/>
  <c r="N774" i="247"/>
  <c r="O774" i="247" s="1"/>
  <c r="P774" i="247" s="1"/>
  <c r="N775" i="247"/>
  <c r="O775" i="247" s="1"/>
  <c r="P775" i="247" s="1"/>
  <c r="N776" i="247"/>
  <c r="O776" i="247" s="1"/>
  <c r="P776" i="247" s="1"/>
  <c r="N777" i="247"/>
  <c r="O777" i="247" s="1"/>
  <c r="P777" i="247" s="1"/>
  <c r="N778" i="247"/>
  <c r="O778" i="247" s="1"/>
  <c r="P778" i="247" s="1"/>
  <c r="N779" i="247"/>
  <c r="O779" i="247" s="1"/>
  <c r="P779" i="247" s="1"/>
  <c r="N780" i="247"/>
  <c r="O780" i="247" s="1"/>
  <c r="P780" i="247" s="1"/>
  <c r="N781" i="247"/>
  <c r="O781" i="247" s="1"/>
  <c r="P781" i="247" s="1"/>
  <c r="Q781" i="247" s="1"/>
  <c r="R781" i="247" s="1"/>
  <c r="S781" i="247" s="1"/>
  <c r="T781" i="247" s="1"/>
  <c r="U781" i="247" s="1"/>
  <c r="V781" i="247" s="1"/>
  <c r="W781" i="247" s="1"/>
  <c r="X781" i="247" s="1"/>
  <c r="Y781" i="247" s="1"/>
  <c r="N782" i="247"/>
  <c r="O782" i="247" s="1"/>
  <c r="P782" i="247" s="1"/>
  <c r="Q782" i="247" s="1"/>
  <c r="R782" i="247" s="1"/>
  <c r="S782" i="247" s="1"/>
  <c r="T782" i="247" s="1"/>
  <c r="U782" i="247" s="1"/>
  <c r="V782" i="247" s="1"/>
  <c r="W782" i="247" s="1"/>
  <c r="X782" i="247" s="1"/>
  <c r="Y782" i="247" s="1"/>
  <c r="N783" i="247"/>
  <c r="O783" i="247" s="1"/>
  <c r="P783" i="247" s="1"/>
  <c r="Q783" i="247" s="1"/>
  <c r="R783" i="247" s="1"/>
  <c r="S783" i="247" s="1"/>
  <c r="T783" i="247" s="1"/>
  <c r="U783" i="247" s="1"/>
  <c r="V783" i="247" s="1"/>
  <c r="W783" i="247" s="1"/>
  <c r="X783" i="247" s="1"/>
  <c r="Y783" i="247" s="1"/>
  <c r="N784" i="247"/>
  <c r="O784" i="247" s="1"/>
  <c r="P784" i="247" s="1"/>
  <c r="Q784" i="247" s="1"/>
  <c r="R784" i="247" s="1"/>
  <c r="S784" i="247" s="1"/>
  <c r="T784" i="247" s="1"/>
  <c r="U784" i="247" s="1"/>
  <c r="V784" i="247" s="1"/>
  <c r="W784" i="247" s="1"/>
  <c r="X784" i="247" s="1"/>
  <c r="Y784" i="247" s="1"/>
  <c r="N785" i="247"/>
  <c r="O785" i="247" s="1"/>
  <c r="P785" i="247" s="1"/>
  <c r="Q785" i="247" s="1"/>
  <c r="R785" i="247" s="1"/>
  <c r="S785" i="247" s="1"/>
  <c r="T785" i="247" s="1"/>
  <c r="U785" i="247" s="1"/>
  <c r="V785" i="247" s="1"/>
  <c r="W785" i="247" s="1"/>
  <c r="X785" i="247" s="1"/>
  <c r="Y785" i="247" s="1"/>
  <c r="N786" i="247"/>
  <c r="O786" i="247" s="1"/>
  <c r="P786" i="247" s="1"/>
  <c r="Q786" i="247" s="1"/>
  <c r="R786" i="247" s="1"/>
  <c r="S786" i="247" s="1"/>
  <c r="T786" i="247" s="1"/>
  <c r="U786" i="247" s="1"/>
  <c r="V786" i="247" s="1"/>
  <c r="W786" i="247" s="1"/>
  <c r="X786" i="247" s="1"/>
  <c r="Y786" i="247" s="1"/>
  <c r="N787" i="247"/>
  <c r="O787" i="247" s="1"/>
  <c r="P787" i="247" s="1"/>
  <c r="Q787" i="247" s="1"/>
  <c r="R787" i="247" s="1"/>
  <c r="S787" i="247" s="1"/>
  <c r="T787" i="247" s="1"/>
  <c r="U787" i="247" s="1"/>
  <c r="V787" i="247" s="1"/>
  <c r="W787" i="247" s="1"/>
  <c r="X787" i="247" s="1"/>
  <c r="Y787" i="247" s="1"/>
  <c r="N788" i="247"/>
  <c r="O788" i="247" s="1"/>
  <c r="P788" i="247" s="1"/>
  <c r="Q788" i="247" s="1"/>
  <c r="R788" i="247" s="1"/>
  <c r="S788" i="247" s="1"/>
  <c r="T788" i="247" s="1"/>
  <c r="U788" i="247" s="1"/>
  <c r="V788" i="247" s="1"/>
  <c r="W788" i="247" s="1"/>
  <c r="X788" i="247" s="1"/>
  <c r="Y788" i="247" s="1"/>
  <c r="N789" i="247"/>
  <c r="O789" i="247" s="1"/>
  <c r="P789" i="247" s="1"/>
  <c r="Q789" i="247" s="1"/>
  <c r="R789" i="247" s="1"/>
  <c r="S789" i="247" s="1"/>
  <c r="T789" i="247" s="1"/>
  <c r="U789" i="247" s="1"/>
  <c r="V789" i="247" s="1"/>
  <c r="W789" i="247" s="1"/>
  <c r="X789" i="247" s="1"/>
  <c r="Y789" i="247" s="1"/>
  <c r="N790" i="247"/>
  <c r="O790" i="247" s="1"/>
  <c r="P790" i="247" s="1"/>
  <c r="Q790" i="247" s="1"/>
  <c r="R790" i="247" s="1"/>
  <c r="S790" i="247" s="1"/>
  <c r="T790" i="247" s="1"/>
  <c r="U790" i="247" s="1"/>
  <c r="V790" i="247" s="1"/>
  <c r="W790" i="247" s="1"/>
  <c r="X790" i="247" s="1"/>
  <c r="Y790" i="247" s="1"/>
  <c r="N791" i="247"/>
  <c r="O791" i="247" s="1"/>
  <c r="P791" i="247" s="1"/>
  <c r="Q791" i="247" s="1"/>
  <c r="R791" i="247" s="1"/>
  <c r="S791" i="247" s="1"/>
  <c r="T791" i="247" s="1"/>
  <c r="U791" i="247" s="1"/>
  <c r="V791" i="247" s="1"/>
  <c r="W791" i="247" s="1"/>
  <c r="X791" i="247" s="1"/>
  <c r="Y791" i="247" s="1"/>
  <c r="N792" i="247"/>
  <c r="O792" i="247" s="1"/>
  <c r="P792" i="247" s="1"/>
  <c r="N793" i="247"/>
  <c r="O793" i="247" s="1"/>
  <c r="P793" i="247" s="1"/>
  <c r="L802" i="247"/>
  <c r="N802" i="247"/>
  <c r="L803" i="247"/>
  <c r="N803" i="247"/>
  <c r="O803" i="247" s="1"/>
  <c r="P803" i="247" s="1"/>
  <c r="Q803" i="247" s="1"/>
  <c r="R803" i="247" s="1"/>
  <c r="S803" i="247" s="1"/>
  <c r="T803" i="247" s="1"/>
  <c r="U803" i="247" s="1"/>
  <c r="V803" i="247" s="1"/>
  <c r="W803" i="247" s="1"/>
  <c r="X803" i="247" s="1"/>
  <c r="Y803" i="247" s="1"/>
  <c r="L804" i="247"/>
  <c r="N804" i="247"/>
  <c r="O804" i="247" s="1"/>
  <c r="P804" i="247" s="1"/>
  <c r="Q804" i="247" s="1"/>
  <c r="R804" i="247" s="1"/>
  <c r="S804" i="247" s="1"/>
  <c r="T804" i="247" s="1"/>
  <c r="U804" i="247" s="1"/>
  <c r="V804" i="247" s="1"/>
  <c r="W804" i="247" s="1"/>
  <c r="X804" i="247" s="1"/>
  <c r="Y804" i="247" s="1"/>
  <c r="L805" i="247"/>
  <c r="N805" i="247"/>
  <c r="O805" i="247" s="1"/>
  <c r="P805" i="247" s="1"/>
  <c r="Q805" i="247" s="1"/>
  <c r="R805" i="247" s="1"/>
  <c r="S805" i="247" s="1"/>
  <c r="T805" i="247" s="1"/>
  <c r="U805" i="247" s="1"/>
  <c r="V805" i="247" s="1"/>
  <c r="W805" i="247" s="1"/>
  <c r="X805" i="247" s="1"/>
  <c r="Y805" i="247" s="1"/>
  <c r="N806" i="247"/>
  <c r="O806" i="247" s="1"/>
  <c r="P806" i="247" s="1"/>
  <c r="Q806" i="247" s="1"/>
  <c r="R806" i="247" s="1"/>
  <c r="S806" i="247" s="1"/>
  <c r="T806" i="247" s="1"/>
  <c r="U806" i="247" s="1"/>
  <c r="V806" i="247" s="1"/>
  <c r="W806" i="247" s="1"/>
  <c r="X806" i="247" s="1"/>
  <c r="Y806" i="247" s="1"/>
  <c r="N807" i="247"/>
  <c r="O807" i="247" s="1"/>
  <c r="P807" i="247" s="1"/>
  <c r="Q807" i="247" s="1"/>
  <c r="R807" i="247" s="1"/>
  <c r="S807" i="247" s="1"/>
  <c r="T807" i="247" s="1"/>
  <c r="U807" i="247" s="1"/>
  <c r="V807" i="247" s="1"/>
  <c r="W807" i="247" s="1"/>
  <c r="X807" i="247" s="1"/>
  <c r="Y807" i="247" s="1"/>
  <c r="N808" i="247"/>
  <c r="O808" i="247" s="1"/>
  <c r="P808" i="247" s="1"/>
  <c r="Q808" i="247" s="1"/>
  <c r="R808" i="247" s="1"/>
  <c r="S808" i="247" s="1"/>
  <c r="T808" i="247" s="1"/>
  <c r="U808" i="247" s="1"/>
  <c r="V808" i="247" s="1"/>
  <c r="W808" i="247" s="1"/>
  <c r="X808" i="247" s="1"/>
  <c r="Y808" i="247" s="1"/>
  <c r="L809" i="247"/>
  <c r="N809" i="247"/>
  <c r="O809" i="247" s="1"/>
  <c r="P809" i="247" s="1"/>
  <c r="Q809" i="247" s="1"/>
  <c r="R809" i="247" s="1"/>
  <c r="S809" i="247" s="1"/>
  <c r="T809" i="247" s="1"/>
  <c r="U809" i="247" s="1"/>
  <c r="V809" i="247" s="1"/>
  <c r="W809" i="247" s="1"/>
  <c r="X809" i="247" s="1"/>
  <c r="Y809" i="247" s="1"/>
  <c r="L810" i="247"/>
  <c r="N810" i="247"/>
  <c r="O810" i="247" s="1"/>
  <c r="P810" i="247" s="1"/>
  <c r="Q810" i="247" s="1"/>
  <c r="R810" i="247" s="1"/>
  <c r="S810" i="247" s="1"/>
  <c r="T810" i="247" s="1"/>
  <c r="U810" i="247" s="1"/>
  <c r="V810" i="247" s="1"/>
  <c r="W810" i="247" s="1"/>
  <c r="X810" i="247" s="1"/>
  <c r="Y810" i="247" s="1"/>
  <c r="N811" i="247"/>
  <c r="O811" i="247" s="1"/>
  <c r="P811" i="247" s="1"/>
  <c r="Q811" i="247" s="1"/>
  <c r="R811" i="247" s="1"/>
  <c r="S811" i="247" s="1"/>
  <c r="T811" i="247" s="1"/>
  <c r="U811" i="247" s="1"/>
  <c r="V811" i="247" s="1"/>
  <c r="W811" i="247" s="1"/>
  <c r="X811" i="247" s="1"/>
  <c r="Y811" i="247" s="1"/>
  <c r="N812" i="247"/>
  <c r="O812" i="247" s="1"/>
  <c r="P812" i="247" s="1"/>
  <c r="Q812" i="247" s="1"/>
  <c r="R812" i="247" s="1"/>
  <c r="S812" i="247" s="1"/>
  <c r="T812" i="247" s="1"/>
  <c r="U812" i="247" s="1"/>
  <c r="V812" i="247" s="1"/>
  <c r="W812" i="247" s="1"/>
  <c r="X812" i="247" s="1"/>
  <c r="Y812" i="247" s="1"/>
  <c r="N813" i="247"/>
  <c r="O813" i="247" s="1"/>
  <c r="P813" i="247" s="1"/>
  <c r="Q813" i="247" s="1"/>
  <c r="R813" i="247" s="1"/>
  <c r="S813" i="247" s="1"/>
  <c r="T813" i="247" s="1"/>
  <c r="U813" i="247" s="1"/>
  <c r="V813" i="247" s="1"/>
  <c r="W813" i="247" s="1"/>
  <c r="X813" i="247" s="1"/>
  <c r="Y813" i="247" s="1"/>
  <c r="L814" i="247"/>
  <c r="N814" i="247"/>
  <c r="O814" i="247" s="1"/>
  <c r="P814" i="247" s="1"/>
  <c r="Q814" i="247" s="1"/>
  <c r="R814" i="247" s="1"/>
  <c r="S814" i="247" s="1"/>
  <c r="T814" i="247" s="1"/>
  <c r="U814" i="247" s="1"/>
  <c r="V814" i="247" s="1"/>
  <c r="W814" i="247" s="1"/>
  <c r="X814" i="247" s="1"/>
  <c r="Y814" i="247" s="1"/>
  <c r="L815" i="247"/>
  <c r="N815" i="247"/>
  <c r="O815" i="247" s="1"/>
  <c r="P815" i="247" s="1"/>
  <c r="Q815" i="247" s="1"/>
  <c r="R815" i="247" s="1"/>
  <c r="S815" i="247" s="1"/>
  <c r="T815" i="247" s="1"/>
  <c r="U815" i="247" s="1"/>
  <c r="V815" i="247" s="1"/>
  <c r="W815" i="247" s="1"/>
  <c r="X815" i="247" s="1"/>
  <c r="Y815" i="247" s="1"/>
  <c r="L816" i="247"/>
  <c r="N816" i="247"/>
  <c r="O816" i="247" s="1"/>
  <c r="P816" i="247" s="1"/>
  <c r="Q816" i="247" s="1"/>
  <c r="R816" i="247" s="1"/>
  <c r="S816" i="247" s="1"/>
  <c r="T816" i="247" s="1"/>
  <c r="U816" i="247" s="1"/>
  <c r="V816" i="247" s="1"/>
  <c r="W816" i="247" s="1"/>
  <c r="X816" i="247" s="1"/>
  <c r="Y816" i="247" s="1"/>
  <c r="N817" i="247"/>
  <c r="O817" i="247" s="1"/>
  <c r="P817" i="247" s="1"/>
  <c r="Q817" i="247" s="1"/>
  <c r="R817" i="247" s="1"/>
  <c r="S817" i="247" s="1"/>
  <c r="T817" i="247" s="1"/>
  <c r="U817" i="247" s="1"/>
  <c r="V817" i="247" s="1"/>
  <c r="W817" i="247" s="1"/>
  <c r="X817" i="247" s="1"/>
  <c r="Y817" i="247" s="1"/>
  <c r="L818" i="247"/>
  <c r="N818" i="247"/>
  <c r="O818" i="247" s="1"/>
  <c r="P818" i="247" s="1"/>
  <c r="Q818" i="247" s="1"/>
  <c r="R818" i="247" s="1"/>
  <c r="S818" i="247" s="1"/>
  <c r="T818" i="247" s="1"/>
  <c r="U818" i="247" s="1"/>
  <c r="V818" i="247" s="1"/>
  <c r="W818" i="247" s="1"/>
  <c r="X818" i="247" s="1"/>
  <c r="Y818" i="247" s="1"/>
  <c r="N819" i="247"/>
  <c r="O819" i="247" s="1"/>
  <c r="P819" i="247" s="1"/>
  <c r="Q819" i="247" s="1"/>
  <c r="R819" i="247" s="1"/>
  <c r="S819" i="247" s="1"/>
  <c r="T819" i="247" s="1"/>
  <c r="U819" i="247" s="1"/>
  <c r="V819" i="247" s="1"/>
  <c r="W819" i="247" s="1"/>
  <c r="X819" i="247" s="1"/>
  <c r="Y819" i="247" s="1"/>
  <c r="N820" i="247"/>
  <c r="O820" i="247" s="1"/>
  <c r="P820" i="247" s="1"/>
  <c r="Q820" i="247" s="1"/>
  <c r="R820" i="247" s="1"/>
  <c r="S820" i="247" s="1"/>
  <c r="T820" i="247" s="1"/>
  <c r="U820" i="247" s="1"/>
  <c r="V820" i="247" s="1"/>
  <c r="W820" i="247" s="1"/>
  <c r="X820" i="247" s="1"/>
  <c r="Y820" i="247" s="1"/>
  <c r="L821" i="247"/>
  <c r="N821" i="247"/>
  <c r="O821" i="247" s="1"/>
  <c r="P821" i="247" s="1"/>
  <c r="Q821" i="247" s="1"/>
  <c r="R821" i="247" s="1"/>
  <c r="S821" i="247" s="1"/>
  <c r="T821" i="247" s="1"/>
  <c r="U821" i="247" s="1"/>
  <c r="V821" i="247" s="1"/>
  <c r="W821" i="247" s="1"/>
  <c r="X821" i="247" s="1"/>
  <c r="Y821" i="247" s="1"/>
  <c r="L822" i="247"/>
  <c r="N822" i="247"/>
  <c r="O822" i="247" s="1"/>
  <c r="P822" i="247" s="1"/>
  <c r="Q822" i="247" s="1"/>
  <c r="R822" i="247" s="1"/>
  <c r="S822" i="247" s="1"/>
  <c r="T822" i="247" s="1"/>
  <c r="U822" i="247" s="1"/>
  <c r="V822" i="247" s="1"/>
  <c r="W822" i="247" s="1"/>
  <c r="X822" i="247" s="1"/>
  <c r="Y822" i="247" s="1"/>
  <c r="N823" i="247"/>
  <c r="O823" i="247" s="1"/>
  <c r="P823" i="247" s="1"/>
  <c r="Q823" i="247" s="1"/>
  <c r="R823" i="247" s="1"/>
  <c r="S823" i="247" s="1"/>
  <c r="T823" i="247" s="1"/>
  <c r="U823" i="247" s="1"/>
  <c r="V823" i="247" s="1"/>
  <c r="W823" i="247" s="1"/>
  <c r="X823" i="247" s="1"/>
  <c r="Y823" i="247" s="1"/>
  <c r="N824" i="247"/>
  <c r="O824" i="247" s="1"/>
  <c r="P824" i="247" s="1"/>
  <c r="Q824" i="247" s="1"/>
  <c r="R824" i="247" s="1"/>
  <c r="S824" i="247" s="1"/>
  <c r="T824" i="247" s="1"/>
  <c r="U824" i="247" s="1"/>
  <c r="V824" i="247" s="1"/>
  <c r="W824" i="247" s="1"/>
  <c r="X824" i="247" s="1"/>
  <c r="Y824" i="247" s="1"/>
  <c r="N825" i="247"/>
  <c r="O825" i="247" s="1"/>
  <c r="P825" i="247" s="1"/>
  <c r="Q825" i="247" s="1"/>
  <c r="R825" i="247" s="1"/>
  <c r="S825" i="247" s="1"/>
  <c r="T825" i="247" s="1"/>
  <c r="U825" i="247" s="1"/>
  <c r="V825" i="247" s="1"/>
  <c r="W825" i="247" s="1"/>
  <c r="X825" i="247" s="1"/>
  <c r="Y825" i="247" s="1"/>
  <c r="N826" i="247"/>
  <c r="O826" i="247" s="1"/>
  <c r="P826" i="247" s="1"/>
  <c r="Q826" i="247" s="1"/>
  <c r="R826" i="247" s="1"/>
  <c r="S826" i="247" s="1"/>
  <c r="T826" i="247" s="1"/>
  <c r="U826" i="247" s="1"/>
  <c r="V826" i="247" s="1"/>
  <c r="W826" i="247" s="1"/>
  <c r="X826" i="247" s="1"/>
  <c r="Y826" i="247" s="1"/>
  <c r="L827" i="247"/>
  <c r="N827" i="247"/>
  <c r="O827" i="247" s="1"/>
  <c r="P827" i="247" s="1"/>
  <c r="Q827" i="247" s="1"/>
  <c r="R827" i="247" s="1"/>
  <c r="S827" i="247" s="1"/>
  <c r="T827" i="247" s="1"/>
  <c r="U827" i="247" s="1"/>
  <c r="V827" i="247" s="1"/>
  <c r="W827" i="247" s="1"/>
  <c r="X827" i="247" s="1"/>
  <c r="Y827" i="247" s="1"/>
  <c r="N828" i="247"/>
  <c r="O828" i="247" s="1"/>
  <c r="P828" i="247" s="1"/>
  <c r="Q828" i="247" s="1"/>
  <c r="R828" i="247" s="1"/>
  <c r="S828" i="247" s="1"/>
  <c r="T828" i="247" s="1"/>
  <c r="U828" i="247" s="1"/>
  <c r="V828" i="247" s="1"/>
  <c r="W828" i="247" s="1"/>
  <c r="X828" i="247" s="1"/>
  <c r="Y828" i="247" s="1"/>
  <c r="N829" i="247"/>
  <c r="O829" i="247" s="1"/>
  <c r="P829" i="247" s="1"/>
  <c r="Q829" i="247" s="1"/>
  <c r="R829" i="247" s="1"/>
  <c r="S829" i="247" s="1"/>
  <c r="T829" i="247" s="1"/>
  <c r="U829" i="247" s="1"/>
  <c r="V829" i="247" s="1"/>
  <c r="W829" i="247" s="1"/>
  <c r="X829" i="247" s="1"/>
  <c r="Y829" i="247" s="1"/>
  <c r="N830" i="247"/>
  <c r="O830" i="247" s="1"/>
  <c r="P830" i="247" s="1"/>
  <c r="Q830" i="247" s="1"/>
  <c r="R830" i="247" s="1"/>
  <c r="S830" i="247" s="1"/>
  <c r="T830" i="247" s="1"/>
  <c r="U830" i="247" s="1"/>
  <c r="V830" i="247" s="1"/>
  <c r="W830" i="247" s="1"/>
  <c r="X830" i="247" s="1"/>
  <c r="Y830" i="247" s="1"/>
  <c r="N831" i="247"/>
  <c r="O831" i="247" s="1"/>
  <c r="P831" i="247" s="1"/>
  <c r="Q831" i="247" s="1"/>
  <c r="R831" i="247" s="1"/>
  <c r="S831" i="247" s="1"/>
  <c r="T831" i="247" s="1"/>
  <c r="U831" i="247" s="1"/>
  <c r="V831" i="247" s="1"/>
  <c r="W831" i="247" s="1"/>
  <c r="X831" i="247" s="1"/>
  <c r="Y831" i="247" s="1"/>
  <c r="N832" i="247"/>
  <c r="O832" i="247" s="1"/>
  <c r="P832" i="247" s="1"/>
  <c r="Q832" i="247" s="1"/>
  <c r="R832" i="247" s="1"/>
  <c r="S832" i="247" s="1"/>
  <c r="T832" i="247" s="1"/>
  <c r="U832" i="247" s="1"/>
  <c r="V832" i="247" s="1"/>
  <c r="W832" i="247" s="1"/>
  <c r="X832" i="247" s="1"/>
  <c r="Y832" i="247" s="1"/>
  <c r="N833" i="247"/>
  <c r="O833" i="247" s="1"/>
  <c r="P833" i="247" s="1"/>
  <c r="Q833" i="247" s="1"/>
  <c r="R833" i="247" s="1"/>
  <c r="S833" i="247" s="1"/>
  <c r="T833" i="247" s="1"/>
  <c r="U833" i="247" s="1"/>
  <c r="V833" i="247" s="1"/>
  <c r="W833" i="247" s="1"/>
  <c r="X833" i="247" s="1"/>
  <c r="Y833" i="247" s="1"/>
  <c r="L322" i="247"/>
  <c r="L331" i="247"/>
  <c r="L341" i="247"/>
  <c r="L347" i="247"/>
  <c r="L369" i="247"/>
  <c r="L379" i="247"/>
  <c r="L385" i="247"/>
  <c r="L393" i="247"/>
  <c r="L397" i="247"/>
  <c r="L406" i="247"/>
  <c r="L408" i="247"/>
  <c r="L409" i="247"/>
  <c r="L422" i="247"/>
  <c r="L615" i="247"/>
  <c r="L758" i="247"/>
  <c r="L766" i="247"/>
  <c r="L771" i="247"/>
  <c r="L786" i="247"/>
  <c r="G22" i="229"/>
  <c r="G12" i="229"/>
  <c r="L511" i="247"/>
  <c r="L616" i="247"/>
  <c r="L617" i="247"/>
  <c r="L624" i="247"/>
  <c r="L632" i="247"/>
  <c r="L633" i="247"/>
  <c r="L637" i="247"/>
  <c r="L739" i="247"/>
  <c r="L750" i="247"/>
  <c r="L521" i="247"/>
  <c r="L534" i="247"/>
  <c r="L539" i="247"/>
  <c r="L542" i="247"/>
  <c r="L543" i="247"/>
  <c r="L550" i="247"/>
  <c r="L552" i="247"/>
  <c r="L555" i="247"/>
  <c r="L562" i="247"/>
  <c r="L565" i="247"/>
  <c r="L568" i="247"/>
  <c r="L569" i="247"/>
  <c r="L575" i="247"/>
  <c r="L578" i="247"/>
  <c r="L585" i="247"/>
  <c r="L596" i="247"/>
  <c r="L603" i="247"/>
  <c r="L608" i="247"/>
  <c r="O167" i="247"/>
  <c r="P167" i="247" s="1"/>
  <c r="Q167" i="247" s="1"/>
  <c r="R167" i="247" s="1"/>
  <c r="S167" i="247" s="1"/>
  <c r="T167" i="247" s="1"/>
  <c r="U167" i="247" s="1"/>
  <c r="V167" i="247" s="1"/>
  <c r="W167" i="247" s="1"/>
  <c r="X167" i="247" s="1"/>
  <c r="Y167" i="247" s="1"/>
  <c r="L350" i="247"/>
  <c r="L437" i="247"/>
  <c r="L466" i="247"/>
  <c r="L477" i="247"/>
  <c r="L647" i="247"/>
  <c r="L652" i="247"/>
  <c r="L729" i="247"/>
  <c r="L730" i="247"/>
  <c r="L734" i="247"/>
  <c r="L644" i="247"/>
  <c r="L663" i="247"/>
  <c r="L668" i="247"/>
  <c r="L755" i="247"/>
  <c r="L282" i="247"/>
  <c r="L314" i="247"/>
  <c r="L346" i="247"/>
  <c r="L370" i="247"/>
  <c r="L375" i="247"/>
  <c r="L378" i="247"/>
  <c r="L386" i="247"/>
  <c r="L399" i="247"/>
  <c r="L410" i="247"/>
  <c r="L421" i="247"/>
  <c r="L566" i="247"/>
  <c r="L587" i="247"/>
  <c r="L718" i="247"/>
  <c r="L737" i="247"/>
  <c r="L759" i="247"/>
  <c r="F797" i="247"/>
  <c r="L525" i="247"/>
  <c r="L754" i="247"/>
  <c r="L211" i="247"/>
  <c r="L323" i="247"/>
  <c r="L353" i="247"/>
  <c r="L356" i="247"/>
  <c r="L365" i="247"/>
  <c r="L440" i="247"/>
  <c r="L441" i="247"/>
  <c r="L445" i="247"/>
  <c r="L447" i="247"/>
  <c r="L454" i="247"/>
  <c r="L461" i="247"/>
  <c r="L465" i="247"/>
  <c r="L470" i="247"/>
  <c r="L475" i="247"/>
  <c r="L486" i="247"/>
  <c r="L488" i="247"/>
  <c r="L489" i="247"/>
  <c r="L491" i="247"/>
  <c r="L501" i="247"/>
  <c r="L502" i="247"/>
  <c r="L504" i="247"/>
  <c r="L510" i="247"/>
  <c r="L597" i="247"/>
  <c r="L611" i="247"/>
  <c r="L746" i="247"/>
  <c r="L749" i="247"/>
  <c r="L778" i="247"/>
  <c r="L779" i="247"/>
  <c r="L793" i="247"/>
  <c r="L134" i="247"/>
  <c r="L813" i="247"/>
  <c r="L405" i="247"/>
  <c r="L62" i="247"/>
  <c r="L605" i="247"/>
  <c r="L781" i="247"/>
  <c r="L46" i="247"/>
  <c r="L204" i="247"/>
  <c r="L285" i="247"/>
  <c r="L31" i="247"/>
  <c r="L147" i="247"/>
  <c r="L181" i="247"/>
  <c r="L14" i="247"/>
  <c r="L299" i="247"/>
  <c r="L361" i="247"/>
  <c r="L363" i="247"/>
  <c r="L435" i="247"/>
  <c r="L469" i="247"/>
  <c r="L402" i="247"/>
  <c r="L570" i="247"/>
  <c r="L696" i="247"/>
  <c r="L485" i="247"/>
  <c r="L530" i="247"/>
  <c r="L538" i="247"/>
  <c r="L685" i="247"/>
  <c r="L830" i="247"/>
  <c r="L354" i="247"/>
  <c r="L362" i="247"/>
  <c r="L571" i="247"/>
  <c r="L646" i="247"/>
  <c r="L733" i="247"/>
  <c r="L78" i="247"/>
  <c r="L94" i="247"/>
  <c r="L110" i="247"/>
  <c r="L121" i="247"/>
  <c r="L151" i="247"/>
  <c r="L185" i="247"/>
  <c r="L277" i="247"/>
  <c r="L308" i="247"/>
  <c r="L309" i="247"/>
  <c r="L312" i="247"/>
  <c r="L318" i="247"/>
  <c r="L334" i="247"/>
  <c r="L372" i="247"/>
  <c r="L429" i="247"/>
  <c r="L431" i="247"/>
  <c r="L438" i="247"/>
  <c r="L443" i="247"/>
  <c r="L450" i="247"/>
  <c r="L515" i="247"/>
  <c r="L517" i="247"/>
  <c r="L619" i="247"/>
  <c r="L631" i="247"/>
  <c r="L635" i="247"/>
  <c r="L665" i="247"/>
  <c r="L666" i="247"/>
  <c r="L673" i="247"/>
  <c r="L675" i="247"/>
  <c r="L704" i="247"/>
  <c r="L762" i="247"/>
  <c r="L324" i="247"/>
  <c r="L325" i="247"/>
  <c r="L366" i="247"/>
  <c r="L394" i="247"/>
  <c r="L413" i="247"/>
  <c r="L417" i="247"/>
  <c r="L455" i="247"/>
  <c r="L457" i="247"/>
  <c r="L459" i="247"/>
  <c r="L495" i="247"/>
  <c r="L503" i="247"/>
  <c r="L506" i="247"/>
  <c r="L507" i="247"/>
  <c r="L518" i="247"/>
  <c r="L526" i="247"/>
  <c r="L558" i="247"/>
  <c r="L584" i="247"/>
  <c r="L612" i="247"/>
  <c r="L636" i="247"/>
  <c r="L648" i="247"/>
  <c r="L649" i="247"/>
  <c r="L660" i="247"/>
  <c r="L661" i="247"/>
  <c r="G796" i="247"/>
  <c r="L738" i="247"/>
  <c r="L753" i="247"/>
  <c r="L775" i="247"/>
  <c r="Z30" i="246"/>
  <c r="Y30" i="246"/>
  <c r="L345" i="247"/>
  <c r="L472" i="247"/>
  <c r="L509" i="247"/>
  <c r="L549" i="247"/>
  <c r="L621" i="247"/>
  <c r="L707" i="247"/>
  <c r="L757" i="247"/>
  <c r="L773" i="247"/>
  <c r="L789" i="247"/>
  <c r="L806" i="247"/>
  <c r="L831" i="247"/>
  <c r="L395" i="247"/>
  <c r="L415" i="247"/>
  <c r="L527" i="247"/>
  <c r="L546" i="247"/>
  <c r="L727" i="247"/>
  <c r="L25" i="247"/>
  <c r="L30" i="247"/>
  <c r="L41" i="247"/>
  <c r="L49" i="247"/>
  <c r="L57" i="247"/>
  <c r="L65" i="247"/>
  <c r="L73" i="247"/>
  <c r="L81" i="247"/>
  <c r="L89" i="247"/>
  <c r="L97" i="247"/>
  <c r="L105" i="247"/>
  <c r="L113" i="247"/>
  <c r="L133" i="247"/>
  <c r="L137" i="247"/>
  <c r="L152" i="247"/>
  <c r="L163" i="247"/>
  <c r="L167" i="247"/>
  <c r="L187" i="247"/>
  <c r="L192" i="247"/>
  <c r="L212" i="247"/>
  <c r="L219" i="247"/>
  <c r="L224" i="247"/>
  <c r="L261" i="247"/>
  <c r="L266" i="247"/>
  <c r="L283" i="247"/>
  <c r="L329" i="247"/>
  <c r="L330" i="247"/>
  <c r="L389" i="247"/>
  <c r="L434" i="247"/>
  <c r="L439" i="247"/>
  <c r="L497" i="247"/>
  <c r="L498" i="247"/>
  <c r="L499" i="247"/>
  <c r="L591" i="247"/>
  <c r="L595" i="247"/>
  <c r="L650" i="247"/>
  <c r="L651" i="247"/>
  <c r="L681" i="247"/>
  <c r="L723" i="247"/>
  <c r="L747" i="247"/>
  <c r="G19" i="247"/>
  <c r="L371" i="247"/>
  <c r="L373" i="247"/>
  <c r="L446" i="247"/>
  <c r="L463" i="247"/>
  <c r="L473" i="247"/>
  <c r="L553" i="247"/>
  <c r="L620" i="247"/>
  <c r="L790" i="247"/>
  <c r="L807" i="247"/>
  <c r="L301" i="247"/>
  <c r="L311" i="247"/>
  <c r="L357" i="247"/>
  <c r="L359" i="247"/>
  <c r="L377" i="247"/>
  <c r="L10" i="247"/>
  <c r="L17" i="247"/>
  <c r="G689" i="247"/>
  <c r="L26" i="247"/>
  <c r="L37" i="247"/>
  <c r="L42" i="247"/>
  <c r="L50" i="247"/>
  <c r="L58" i="247"/>
  <c r="L66" i="247"/>
  <c r="L74" i="247"/>
  <c r="L82" i="247"/>
  <c r="L90" i="247"/>
  <c r="L98" i="247"/>
  <c r="L106" i="247"/>
  <c r="L115" i="247"/>
  <c r="L119" i="247"/>
  <c r="L149" i="247"/>
  <c r="L153" i="247"/>
  <c r="L168" i="247"/>
  <c r="L179" i="247"/>
  <c r="L183" i="247"/>
  <c r="L188" i="247"/>
  <c r="L195" i="247"/>
  <c r="L200" i="247"/>
  <c r="L220" i="247"/>
  <c r="L227" i="247"/>
  <c r="L232" i="247"/>
  <c r="L245" i="247"/>
  <c r="L250" i="247"/>
  <c r="L267" i="247"/>
  <c r="L279" i="247"/>
  <c r="L295" i="247"/>
  <c r="L307" i="247"/>
  <c r="L319" i="247"/>
  <c r="L321" i="247"/>
  <c r="L338" i="247"/>
  <c r="L382" i="247"/>
  <c r="L411" i="247"/>
  <c r="L423" i="247"/>
  <c r="L425" i="247"/>
  <c r="L567" i="247"/>
  <c r="L573" i="247"/>
  <c r="L574" i="247"/>
  <c r="L639" i="247"/>
  <c r="L643" i="247"/>
  <c r="G709" i="247"/>
  <c r="G711" i="247" s="1"/>
  <c r="L769" i="247"/>
  <c r="L782" i="247"/>
  <c r="L783" i="247"/>
  <c r="L326" i="247"/>
  <c r="L342" i="247"/>
  <c r="L343" i="247"/>
  <c r="L358" i="247"/>
  <c r="L390" i="247"/>
  <c r="L391" i="247"/>
  <c r="O393" i="247"/>
  <c r="P393" i="247" s="1"/>
  <c r="Q393" i="247" s="1"/>
  <c r="R393" i="247" s="1"/>
  <c r="S393" i="247" s="1"/>
  <c r="T393" i="247" s="1"/>
  <c r="U393" i="247" s="1"/>
  <c r="V393" i="247" s="1"/>
  <c r="W393" i="247" s="1"/>
  <c r="X393" i="247" s="1"/>
  <c r="Y393" i="247" s="1"/>
  <c r="L430" i="247"/>
  <c r="L442" i="247"/>
  <c r="L458" i="247"/>
  <c r="L537" i="247"/>
  <c r="L561" i="247"/>
  <c r="L588" i="247"/>
  <c r="L613" i="247"/>
  <c r="L628" i="247"/>
  <c r="L664" i="247"/>
  <c r="L677" i="247"/>
  <c r="L697" i="247"/>
  <c r="L720" i="247"/>
  <c r="L741" i="247"/>
  <c r="L742" i="247"/>
  <c r="L761" i="247"/>
  <c r="G835" i="247"/>
  <c r="L310" i="247"/>
  <c r="L317" i="247"/>
  <c r="L327" i="247"/>
  <c r="L335" i="247"/>
  <c r="L374" i="247"/>
  <c r="L398" i="247"/>
  <c r="L414" i="247"/>
  <c r="L418" i="247"/>
  <c r="L426" i="247"/>
  <c r="L427" i="247"/>
  <c r="L428" i="247"/>
  <c r="L433" i="247"/>
  <c r="L451" i="247"/>
  <c r="L478" i="247"/>
  <c r="L494" i="247"/>
  <c r="L505" i="247"/>
  <c r="L514" i="247"/>
  <c r="L541" i="247"/>
  <c r="L580" i="247"/>
  <c r="L583" i="247"/>
  <c r="L599" i="247"/>
  <c r="L656" i="247"/>
  <c r="L705" i="247"/>
  <c r="L715" i="247"/>
  <c r="L751" i="247"/>
  <c r="L811" i="247"/>
  <c r="L823" i="247"/>
  <c r="L826" i="247"/>
  <c r="L462" i="247"/>
  <c r="L482" i="247"/>
  <c r="L490" i="247"/>
  <c r="L492" i="247"/>
  <c r="L522" i="247"/>
  <c r="L523" i="247"/>
  <c r="L529" i="247"/>
  <c r="L551" i="247"/>
  <c r="L554" i="247"/>
  <c r="L592" i="247"/>
  <c r="L600" i="247"/>
  <c r="L601" i="247"/>
  <c r="L604" i="247"/>
  <c r="L607" i="247"/>
  <c r="L614" i="247"/>
  <c r="L625" i="247"/>
  <c r="L629" i="247"/>
  <c r="L640" i="247"/>
  <c r="L662" i="247"/>
  <c r="L735" i="247"/>
  <c r="L736" i="247"/>
  <c r="L743" i="247"/>
  <c r="L774" i="247"/>
  <c r="L777" i="247"/>
  <c r="L791" i="247"/>
  <c r="L471" i="247"/>
  <c r="L474" i="247"/>
  <c r="L487" i="247"/>
  <c r="L540" i="247"/>
  <c r="L545" i="247"/>
  <c r="L559" i="247"/>
  <c r="L645" i="247"/>
  <c r="L653" i="247"/>
  <c r="L770" i="247"/>
  <c r="L772" i="247"/>
  <c r="E797" i="247"/>
  <c r="M689" i="247"/>
  <c r="M19" i="247"/>
  <c r="L280" i="247"/>
  <c r="L296" i="247"/>
  <c r="L412" i="247"/>
  <c r="L453" i="247"/>
  <c r="L479" i="247"/>
  <c r="L252" i="247"/>
  <c r="L268" i="247"/>
  <c r="L602" i="247"/>
  <c r="L55" i="247"/>
  <c r="L79" i="247"/>
  <c r="L83" i="247"/>
  <c r="L87" i="247"/>
  <c r="L95" i="247"/>
  <c r="L111" i="247"/>
  <c r="L127" i="247"/>
  <c r="L145" i="247"/>
  <c r="L161" i="247"/>
  <c r="L175" i="247"/>
  <c r="L291" i="247"/>
  <c r="L355" i="247"/>
  <c r="L380" i="247"/>
  <c r="L387" i="247"/>
  <c r="L315" i="247"/>
  <c r="L576" i="247"/>
  <c r="L289" i="247"/>
  <c r="L313" i="247"/>
  <c r="L349" i="247"/>
  <c r="L364" i="247"/>
  <c r="L392" i="247"/>
  <c r="L579" i="247"/>
  <c r="L627" i="247"/>
  <c r="L634" i="247"/>
  <c r="L337" i="247"/>
  <c r="L544" i="247"/>
  <c r="L598" i="247"/>
  <c r="M709" i="247"/>
  <c r="M711" i="247" s="1"/>
  <c r="L284" i="247"/>
  <c r="L300" i="247"/>
  <c r="L316" i="247"/>
  <c r="L344" i="247"/>
  <c r="L476" i="247"/>
  <c r="L560" i="247"/>
  <c r="L667" i="247"/>
  <c r="L819" i="247"/>
  <c r="L303" i="247"/>
  <c r="L333" i="247"/>
  <c r="L339" i="247"/>
  <c r="L340" i="247"/>
  <c r="L360" i="247"/>
  <c r="L383" i="247"/>
  <c r="L388" i="247"/>
  <c r="L424" i="247"/>
  <c r="L481" i="247"/>
  <c r="L593" i="247"/>
  <c r="L654" i="247"/>
  <c r="L513" i="247"/>
  <c r="L557" i="247"/>
  <c r="L582" i="247"/>
  <c r="L449" i="247"/>
  <c r="L533" i="247"/>
  <c r="L536" i="247"/>
  <c r="L589" i="247"/>
  <c r="L630" i="247"/>
  <c r="L332" i="247"/>
  <c r="L381" i="247"/>
  <c r="L401" i="247"/>
  <c r="L432" i="247"/>
  <c r="L512" i="247"/>
  <c r="L556" i="247"/>
  <c r="L581" i="247"/>
  <c r="L659" i="247"/>
  <c r="L784" i="247"/>
  <c r="M835" i="247"/>
  <c r="L328" i="247"/>
  <c r="L348" i="247"/>
  <c r="L351" i="247"/>
  <c r="L367" i="247"/>
  <c r="L407" i="247"/>
  <c r="L419" i="247"/>
  <c r="L480" i="247"/>
  <c r="L493" i="247"/>
  <c r="L519" i="247"/>
  <c r="M795" i="247"/>
  <c r="L456" i="247"/>
  <c r="L460" i="247"/>
  <c r="L483" i="247"/>
  <c r="L577" i="247"/>
  <c r="L586" i="247"/>
  <c r="L655" i="247"/>
  <c r="L687" i="247"/>
  <c r="L745" i="247"/>
  <c r="L817" i="247"/>
  <c r="L376" i="247"/>
  <c r="L396" i="247"/>
  <c r="L416" i="247"/>
  <c r="L448" i="247"/>
  <c r="L496" i="247"/>
  <c r="L520" i="247"/>
  <c r="L524" i="247"/>
  <c r="L535" i="247"/>
  <c r="L547" i="247"/>
  <c r="L563" i="247"/>
  <c r="L606" i="247"/>
  <c r="L609" i="247"/>
  <c r="L623" i="247"/>
  <c r="L682" i="247"/>
  <c r="L719" i="247"/>
  <c r="L833" i="247"/>
  <c r="L657" i="247"/>
  <c r="L694" i="247"/>
  <c r="G795" i="247"/>
  <c r="L744" i="247"/>
  <c r="L808" i="247"/>
  <c r="L820" i="247"/>
  <c r="L828" i="247"/>
  <c r="L320" i="247"/>
  <c r="L336" i="247"/>
  <c r="L352" i="247"/>
  <c r="L368" i="247"/>
  <c r="L384" i="247"/>
  <c r="L400" i="247"/>
  <c r="L403" i="247"/>
  <c r="L444" i="247"/>
  <c r="L464" i="247"/>
  <c r="L467" i="247"/>
  <c r="L508" i="247"/>
  <c r="L528" i="247"/>
  <c r="L531" i="247"/>
  <c r="L572" i="247"/>
  <c r="L590" i="247"/>
  <c r="L622" i="247"/>
  <c r="L670" i="247"/>
  <c r="L765" i="247"/>
  <c r="L768" i="247"/>
  <c r="L787" i="247"/>
  <c r="L792" i="247"/>
  <c r="L404" i="247"/>
  <c r="L420" i="247"/>
  <c r="L436" i="247"/>
  <c r="L452" i="247"/>
  <c r="L468" i="247"/>
  <c r="L484" i="247"/>
  <c r="L500" i="247"/>
  <c r="L516" i="247"/>
  <c r="L532" i="247"/>
  <c r="L548" i="247"/>
  <c r="L564" i="247"/>
  <c r="L618" i="247"/>
  <c r="L638" i="247"/>
  <c r="L641" i="247"/>
  <c r="L686" i="247"/>
  <c r="L698" i="247"/>
  <c r="L728" i="247"/>
  <c r="L752" i="247"/>
  <c r="L756" i="247"/>
  <c r="L767" i="247"/>
  <c r="L776" i="247"/>
  <c r="L785" i="247"/>
  <c r="L825" i="247"/>
  <c r="L594" i="247"/>
  <c r="L610" i="247"/>
  <c r="L626" i="247"/>
  <c r="L642" i="247"/>
  <c r="L658" i="247"/>
  <c r="L740" i="247"/>
  <c r="L760" i="247"/>
  <c r="L763" i="247"/>
  <c r="L824" i="247"/>
  <c r="L732" i="247"/>
  <c r="L748" i="247"/>
  <c r="L764" i="247"/>
  <c r="L780" i="247"/>
  <c r="L812" i="247"/>
  <c r="L829" i="247"/>
  <c r="L832" i="247"/>
  <c r="M796" i="247"/>
  <c r="L788" i="247"/>
  <c r="Q637" i="247" l="1"/>
  <c r="R637" i="247" s="1"/>
  <c r="S637" i="247" s="1"/>
  <c r="T637" i="247" s="1"/>
  <c r="U637" i="247" s="1"/>
  <c r="V637" i="247" s="1"/>
  <c r="W637" i="247" s="1"/>
  <c r="X637" i="247" s="1"/>
  <c r="Y637" i="247" s="1"/>
  <c r="Q615" i="247"/>
  <c r="R615" i="247" s="1"/>
  <c r="S615" i="247" s="1"/>
  <c r="T615" i="247" s="1"/>
  <c r="U615" i="247" s="1"/>
  <c r="V615" i="247" s="1"/>
  <c r="W615" i="247" s="1"/>
  <c r="X615" i="247" s="1"/>
  <c r="Y615" i="247" s="1"/>
  <c r="Q498" i="247"/>
  <c r="R498" i="247" s="1"/>
  <c r="S498" i="247" s="1"/>
  <c r="T498" i="247" s="1"/>
  <c r="U498" i="247" s="1"/>
  <c r="V498" i="247" s="1"/>
  <c r="W498" i="247" s="1"/>
  <c r="X498" i="247" s="1"/>
  <c r="Y498" i="247" s="1"/>
  <c r="Q552" i="247"/>
  <c r="R552" i="247" s="1"/>
  <c r="S552" i="247" s="1"/>
  <c r="T552" i="247" s="1"/>
  <c r="U552" i="247" s="1"/>
  <c r="V552" i="247" s="1"/>
  <c r="W552" i="247" s="1"/>
  <c r="X552" i="247" s="1"/>
  <c r="Y552" i="247" s="1"/>
  <c r="Q511" i="247"/>
  <c r="R511" i="247" s="1"/>
  <c r="S511" i="247" s="1"/>
  <c r="T511" i="247" s="1"/>
  <c r="U511" i="247" s="1"/>
  <c r="V511" i="247" s="1"/>
  <c r="W511" i="247" s="1"/>
  <c r="X511" i="247" s="1"/>
  <c r="Y511" i="247" s="1"/>
  <c r="Q466" i="247"/>
  <c r="R466" i="247" s="1"/>
  <c r="S466" i="247" s="1"/>
  <c r="T466" i="247" s="1"/>
  <c r="U466" i="247" s="1"/>
  <c r="V466" i="247" s="1"/>
  <c r="W466" i="247" s="1"/>
  <c r="X466" i="247" s="1"/>
  <c r="Y466" i="247" s="1"/>
  <c r="Q569" i="247"/>
  <c r="R569" i="247" s="1"/>
  <c r="S569" i="247" s="1"/>
  <c r="T569" i="247" s="1"/>
  <c r="U569" i="247" s="1"/>
  <c r="V569" i="247" s="1"/>
  <c r="W569" i="247" s="1"/>
  <c r="X569" i="247" s="1"/>
  <c r="Y569" i="247" s="1"/>
  <c r="Q617" i="247"/>
  <c r="R617" i="247" s="1"/>
  <c r="S617" i="247" s="1"/>
  <c r="T617" i="247" s="1"/>
  <c r="U617" i="247" s="1"/>
  <c r="V617" i="247" s="1"/>
  <c r="W617" i="247" s="1"/>
  <c r="X617" i="247" s="1"/>
  <c r="Y617" i="247" s="1"/>
  <c r="Q459" i="247"/>
  <c r="R459" i="247" s="1"/>
  <c r="S459" i="247" s="1"/>
  <c r="T459" i="247" s="1"/>
  <c r="U459" i="247" s="1"/>
  <c r="V459" i="247" s="1"/>
  <c r="W459" i="247" s="1"/>
  <c r="X459" i="247" s="1"/>
  <c r="Y459" i="247" s="1"/>
  <c r="Q644" i="247"/>
  <c r="R644" i="247" s="1"/>
  <c r="S644" i="247" s="1"/>
  <c r="T644" i="247" s="1"/>
  <c r="U644" i="247" s="1"/>
  <c r="V644" i="247" s="1"/>
  <c r="W644" i="247" s="1"/>
  <c r="X644" i="247" s="1"/>
  <c r="Y644" i="247" s="1"/>
  <c r="Q543" i="247"/>
  <c r="R543" i="247" s="1"/>
  <c r="S543" i="247" s="1"/>
  <c r="T543" i="247" s="1"/>
  <c r="U543" i="247" s="1"/>
  <c r="V543" i="247" s="1"/>
  <c r="W543" i="247" s="1"/>
  <c r="X543" i="247" s="1"/>
  <c r="Y543" i="247" s="1"/>
  <c r="Q445" i="247"/>
  <c r="R445" i="247" s="1"/>
  <c r="S445" i="247" s="1"/>
  <c r="T445" i="247" s="1"/>
  <c r="U445" i="247" s="1"/>
  <c r="V445" i="247" s="1"/>
  <c r="W445" i="247" s="1"/>
  <c r="X445" i="247" s="1"/>
  <c r="Y445" i="247" s="1"/>
  <c r="Q541" i="247"/>
  <c r="R541" i="247" s="1"/>
  <c r="S541" i="247" s="1"/>
  <c r="T541" i="247" s="1"/>
  <c r="U541" i="247" s="1"/>
  <c r="V541" i="247" s="1"/>
  <c r="W541" i="247" s="1"/>
  <c r="X541" i="247" s="1"/>
  <c r="Y541" i="247" s="1"/>
  <c r="Q643" i="247"/>
  <c r="R643" i="247" s="1"/>
  <c r="S643" i="247" s="1"/>
  <c r="T643" i="247" s="1"/>
  <c r="U643" i="247" s="1"/>
  <c r="V643" i="247" s="1"/>
  <c r="W643" i="247" s="1"/>
  <c r="X643" i="247" s="1"/>
  <c r="Y643" i="247" s="1"/>
  <c r="Q454" i="247"/>
  <c r="R454" i="247" s="1"/>
  <c r="S454" i="247" s="1"/>
  <c r="T454" i="247" s="1"/>
  <c r="U454" i="247" s="1"/>
  <c r="V454" i="247" s="1"/>
  <c r="W454" i="247" s="1"/>
  <c r="X454" i="247" s="1"/>
  <c r="Y454" i="247" s="1"/>
  <c r="Q771" i="247"/>
  <c r="R771" i="247" s="1"/>
  <c r="S771" i="247" s="1"/>
  <c r="T771" i="247" s="1"/>
  <c r="U771" i="247" s="1"/>
  <c r="V771" i="247" s="1"/>
  <c r="W771" i="247" s="1"/>
  <c r="X771" i="247" s="1"/>
  <c r="Y771" i="247" s="1"/>
  <c r="Q526" i="247"/>
  <c r="R526" i="247" s="1"/>
  <c r="S526" i="247" s="1"/>
  <c r="T526" i="247" s="1"/>
  <c r="U526" i="247" s="1"/>
  <c r="V526" i="247" s="1"/>
  <c r="W526" i="247" s="1"/>
  <c r="X526" i="247" s="1"/>
  <c r="Y526" i="247" s="1"/>
  <c r="Q636" i="247"/>
  <c r="R636" i="247" s="1"/>
  <c r="S636" i="247" s="1"/>
  <c r="T636" i="247" s="1"/>
  <c r="U636" i="247" s="1"/>
  <c r="V636" i="247" s="1"/>
  <c r="W636" i="247" s="1"/>
  <c r="X636" i="247" s="1"/>
  <c r="Y636" i="247" s="1"/>
  <c r="Q650" i="247"/>
  <c r="R650" i="247" s="1"/>
  <c r="S650" i="247" s="1"/>
  <c r="T650" i="247" s="1"/>
  <c r="U650" i="247" s="1"/>
  <c r="V650" i="247" s="1"/>
  <c r="W650" i="247" s="1"/>
  <c r="X650" i="247" s="1"/>
  <c r="Y650" i="247" s="1"/>
  <c r="Q591" i="247"/>
  <c r="R591" i="247" s="1"/>
  <c r="S591" i="247" s="1"/>
  <c r="T591" i="247" s="1"/>
  <c r="U591" i="247" s="1"/>
  <c r="V591" i="247" s="1"/>
  <c r="W591" i="247" s="1"/>
  <c r="X591" i="247" s="1"/>
  <c r="Y591" i="247" s="1"/>
  <c r="Q664" i="247"/>
  <c r="R664" i="247" s="1"/>
  <c r="S664" i="247" s="1"/>
  <c r="T664" i="247" s="1"/>
  <c r="U664" i="247" s="1"/>
  <c r="V664" i="247" s="1"/>
  <c r="W664" i="247" s="1"/>
  <c r="X664" i="247" s="1"/>
  <c r="Y664" i="247" s="1"/>
  <c r="Q629" i="247"/>
  <c r="R629" i="247" s="1"/>
  <c r="S629" i="247" s="1"/>
  <c r="T629" i="247" s="1"/>
  <c r="U629" i="247" s="1"/>
  <c r="V629" i="247" s="1"/>
  <c r="W629" i="247" s="1"/>
  <c r="X629" i="247" s="1"/>
  <c r="Y629" i="247" s="1"/>
  <c r="Q494" i="247"/>
  <c r="R494" i="247" s="1"/>
  <c r="S494" i="247" s="1"/>
  <c r="T494" i="247" s="1"/>
  <c r="U494" i="247" s="1"/>
  <c r="V494" i="247" s="1"/>
  <c r="W494" i="247" s="1"/>
  <c r="X494" i="247" s="1"/>
  <c r="Y494" i="247" s="1"/>
  <c r="Q580" i="247"/>
  <c r="R580" i="247" s="1"/>
  <c r="S580" i="247" s="1"/>
  <c r="T580" i="247" s="1"/>
  <c r="U580" i="247" s="1"/>
  <c r="V580" i="247" s="1"/>
  <c r="W580" i="247" s="1"/>
  <c r="X580" i="247" s="1"/>
  <c r="Y580" i="247" s="1"/>
  <c r="Q491" i="247"/>
  <c r="R491" i="247" s="1"/>
  <c r="S491" i="247" s="1"/>
  <c r="T491" i="247" s="1"/>
  <c r="U491" i="247" s="1"/>
  <c r="V491" i="247" s="1"/>
  <c r="W491" i="247" s="1"/>
  <c r="X491" i="247" s="1"/>
  <c r="Y491" i="247" s="1"/>
  <c r="Q616" i="247"/>
  <c r="R616" i="247" s="1"/>
  <c r="S616" i="247" s="1"/>
  <c r="T616" i="247" s="1"/>
  <c r="U616" i="247" s="1"/>
  <c r="V616" i="247" s="1"/>
  <c r="W616" i="247" s="1"/>
  <c r="X616" i="247" s="1"/>
  <c r="Y616" i="247" s="1"/>
  <c r="Q619" i="247"/>
  <c r="R619" i="247" s="1"/>
  <c r="S619" i="247" s="1"/>
  <c r="T619" i="247" s="1"/>
  <c r="U619" i="247" s="1"/>
  <c r="V619" i="247" s="1"/>
  <c r="W619" i="247" s="1"/>
  <c r="X619" i="247" s="1"/>
  <c r="Y619" i="247" s="1"/>
  <c r="Q661" i="247"/>
  <c r="R661" i="247" s="1"/>
  <c r="S661" i="247" s="1"/>
  <c r="T661" i="247" s="1"/>
  <c r="U661" i="247" s="1"/>
  <c r="V661" i="247" s="1"/>
  <c r="W661" i="247" s="1"/>
  <c r="X661" i="247" s="1"/>
  <c r="Y661" i="247" s="1"/>
  <c r="Q648" i="247"/>
  <c r="R648" i="247" s="1"/>
  <c r="S648" i="247" s="1"/>
  <c r="T648" i="247" s="1"/>
  <c r="U648" i="247" s="1"/>
  <c r="V648" i="247" s="1"/>
  <c r="W648" i="247" s="1"/>
  <c r="X648" i="247" s="1"/>
  <c r="Y648" i="247" s="1"/>
  <c r="Q572" i="247"/>
  <c r="R572" i="247" s="1"/>
  <c r="S572" i="247" s="1"/>
  <c r="T572" i="247" s="1"/>
  <c r="U572" i="247" s="1"/>
  <c r="V572" i="247" s="1"/>
  <c r="W572" i="247" s="1"/>
  <c r="X572" i="247" s="1"/>
  <c r="Y572" i="247" s="1"/>
  <c r="Q521" i="247"/>
  <c r="R521" i="247" s="1"/>
  <c r="S521" i="247" s="1"/>
  <c r="T521" i="247" s="1"/>
  <c r="U521" i="247" s="1"/>
  <c r="V521" i="247" s="1"/>
  <c r="W521" i="247" s="1"/>
  <c r="X521" i="247" s="1"/>
  <c r="Y521" i="247" s="1"/>
  <c r="Q471" i="247"/>
  <c r="R471" i="247" s="1"/>
  <c r="S471" i="247" s="1"/>
  <c r="T471" i="247" s="1"/>
  <c r="U471" i="247" s="1"/>
  <c r="V471" i="247" s="1"/>
  <c r="W471" i="247" s="1"/>
  <c r="X471" i="247" s="1"/>
  <c r="Y471" i="247" s="1"/>
  <c r="Q779" i="247"/>
  <c r="R779" i="247" s="1"/>
  <c r="S779" i="247" s="1"/>
  <c r="T779" i="247" s="1"/>
  <c r="U779" i="247" s="1"/>
  <c r="V779" i="247" s="1"/>
  <c r="W779" i="247" s="1"/>
  <c r="X779" i="247" s="1"/>
  <c r="Y779" i="247" s="1"/>
  <c r="Q632" i="247"/>
  <c r="R632" i="247" s="1"/>
  <c r="S632" i="247" s="1"/>
  <c r="T632" i="247" s="1"/>
  <c r="U632" i="247" s="1"/>
  <c r="V632" i="247" s="1"/>
  <c r="W632" i="247" s="1"/>
  <c r="X632" i="247" s="1"/>
  <c r="Y632" i="247" s="1"/>
  <c r="Q596" i="247"/>
  <c r="R596" i="247" s="1"/>
  <c r="S596" i="247" s="1"/>
  <c r="T596" i="247" s="1"/>
  <c r="U596" i="247" s="1"/>
  <c r="V596" i="247" s="1"/>
  <c r="W596" i="247" s="1"/>
  <c r="X596" i="247" s="1"/>
  <c r="Y596" i="247" s="1"/>
  <c r="P551" i="247"/>
  <c r="Q551" i="247" s="1"/>
  <c r="R551" i="247" s="1"/>
  <c r="S551" i="247" s="1"/>
  <c r="T551" i="247" s="1"/>
  <c r="U551" i="247" s="1"/>
  <c r="V551" i="247" s="1"/>
  <c r="W551" i="247" s="1"/>
  <c r="X551" i="247" s="1"/>
  <c r="Y551" i="247" s="1"/>
  <c r="Q512" i="247"/>
  <c r="R512" i="247" s="1"/>
  <c r="S512" i="247" s="1"/>
  <c r="T512" i="247" s="1"/>
  <c r="U512" i="247" s="1"/>
  <c r="V512" i="247" s="1"/>
  <c r="W512" i="247" s="1"/>
  <c r="X512" i="247" s="1"/>
  <c r="Y512" i="247" s="1"/>
  <c r="Q449" i="247"/>
  <c r="R449" i="247" s="1"/>
  <c r="S449" i="247" s="1"/>
  <c r="T449" i="247" s="1"/>
  <c r="U449" i="247" s="1"/>
  <c r="V449" i="247" s="1"/>
  <c r="W449" i="247" s="1"/>
  <c r="X449" i="247" s="1"/>
  <c r="Y449" i="247" s="1"/>
  <c r="Q443" i="247"/>
  <c r="R443" i="247" s="1"/>
  <c r="S443" i="247" s="1"/>
  <c r="T443" i="247" s="1"/>
  <c r="U443" i="247" s="1"/>
  <c r="V443" i="247" s="1"/>
  <c r="W443" i="247" s="1"/>
  <c r="X443" i="247" s="1"/>
  <c r="Y443" i="247" s="1"/>
  <c r="Q769" i="247"/>
  <c r="R769" i="247" s="1"/>
  <c r="S769" i="247" s="1"/>
  <c r="T769" i="247" s="1"/>
  <c r="U769" i="247" s="1"/>
  <c r="V769" i="247" s="1"/>
  <c r="W769" i="247" s="1"/>
  <c r="X769" i="247" s="1"/>
  <c r="Y769" i="247" s="1"/>
  <c r="Q534" i="247"/>
  <c r="R534" i="247" s="1"/>
  <c r="S534" i="247" s="1"/>
  <c r="T534" i="247" s="1"/>
  <c r="U534" i="247" s="1"/>
  <c r="V534" i="247" s="1"/>
  <c r="W534" i="247" s="1"/>
  <c r="X534" i="247" s="1"/>
  <c r="Y534" i="247" s="1"/>
  <c r="Q634" i="247"/>
  <c r="R634" i="247" s="1"/>
  <c r="S634" i="247" s="1"/>
  <c r="T634" i="247" s="1"/>
  <c r="U634" i="247" s="1"/>
  <c r="V634" i="247" s="1"/>
  <c r="W634" i="247" s="1"/>
  <c r="X634" i="247" s="1"/>
  <c r="Y634" i="247" s="1"/>
  <c r="Q579" i="247"/>
  <c r="R579" i="247" s="1"/>
  <c r="S579" i="247" s="1"/>
  <c r="T579" i="247" s="1"/>
  <c r="U579" i="247" s="1"/>
  <c r="V579" i="247" s="1"/>
  <c r="W579" i="247" s="1"/>
  <c r="X579" i="247" s="1"/>
  <c r="Y579" i="247" s="1"/>
  <c r="Q570" i="247"/>
  <c r="R570" i="247" s="1"/>
  <c r="S570" i="247" s="1"/>
  <c r="T570" i="247" s="1"/>
  <c r="U570" i="247" s="1"/>
  <c r="V570" i="247" s="1"/>
  <c r="W570" i="247" s="1"/>
  <c r="X570" i="247" s="1"/>
  <c r="Y570" i="247" s="1"/>
  <c r="Q451" i="247"/>
  <c r="R451" i="247" s="1"/>
  <c r="S451" i="247" s="1"/>
  <c r="T451" i="247" s="1"/>
  <c r="U451" i="247" s="1"/>
  <c r="V451" i="247" s="1"/>
  <c r="W451" i="247" s="1"/>
  <c r="X451" i="247" s="1"/>
  <c r="Y451" i="247" s="1"/>
  <c r="Q578" i="247"/>
  <c r="R578" i="247" s="1"/>
  <c r="S578" i="247" s="1"/>
  <c r="T578" i="247" s="1"/>
  <c r="U578" i="247" s="1"/>
  <c r="V578" i="247" s="1"/>
  <c r="W578" i="247" s="1"/>
  <c r="X578" i="247" s="1"/>
  <c r="Y578" i="247" s="1"/>
  <c r="Q530" i="247"/>
  <c r="R530" i="247" s="1"/>
  <c r="S530" i="247" s="1"/>
  <c r="T530" i="247" s="1"/>
  <c r="U530" i="247" s="1"/>
  <c r="V530" i="247" s="1"/>
  <c r="W530" i="247" s="1"/>
  <c r="X530" i="247" s="1"/>
  <c r="Y530" i="247" s="1"/>
  <c r="Q625" i="247"/>
  <c r="R625" i="247" s="1"/>
  <c r="S625" i="247" s="1"/>
  <c r="T625" i="247" s="1"/>
  <c r="U625" i="247" s="1"/>
  <c r="V625" i="247" s="1"/>
  <c r="W625" i="247" s="1"/>
  <c r="X625" i="247" s="1"/>
  <c r="Y625" i="247" s="1"/>
  <c r="Q585" i="247"/>
  <c r="R585" i="247" s="1"/>
  <c r="S585" i="247" s="1"/>
  <c r="T585" i="247" s="1"/>
  <c r="U585" i="247" s="1"/>
  <c r="V585" i="247" s="1"/>
  <c r="W585" i="247" s="1"/>
  <c r="X585" i="247" s="1"/>
  <c r="Y585" i="247" s="1"/>
  <c r="Q539" i="247"/>
  <c r="R539" i="247" s="1"/>
  <c r="S539" i="247" s="1"/>
  <c r="T539" i="247" s="1"/>
  <c r="U539" i="247" s="1"/>
  <c r="V539" i="247" s="1"/>
  <c r="W539" i="247" s="1"/>
  <c r="X539" i="247" s="1"/>
  <c r="Y539" i="247" s="1"/>
  <c r="Q522" i="247"/>
  <c r="R522" i="247" s="1"/>
  <c r="S522" i="247" s="1"/>
  <c r="T522" i="247" s="1"/>
  <c r="U522" i="247" s="1"/>
  <c r="V522" i="247" s="1"/>
  <c r="W522" i="247" s="1"/>
  <c r="X522" i="247" s="1"/>
  <c r="Y522" i="247" s="1"/>
  <c r="Q501" i="247"/>
  <c r="R501" i="247" s="1"/>
  <c r="S501" i="247" s="1"/>
  <c r="T501" i="247" s="1"/>
  <c r="U501" i="247" s="1"/>
  <c r="V501" i="247" s="1"/>
  <c r="W501" i="247" s="1"/>
  <c r="X501" i="247" s="1"/>
  <c r="Y501" i="247" s="1"/>
  <c r="Q458" i="247"/>
  <c r="R458" i="247" s="1"/>
  <c r="S458" i="247" s="1"/>
  <c r="T458" i="247" s="1"/>
  <c r="U458" i="247" s="1"/>
  <c r="V458" i="247" s="1"/>
  <c r="W458" i="247" s="1"/>
  <c r="X458" i="247" s="1"/>
  <c r="Y458" i="247" s="1"/>
  <c r="Q465" i="247"/>
  <c r="R465" i="247" s="1"/>
  <c r="S465" i="247" s="1"/>
  <c r="T465" i="247" s="1"/>
  <c r="U465" i="247" s="1"/>
  <c r="V465" i="247" s="1"/>
  <c r="W465" i="247" s="1"/>
  <c r="X465" i="247" s="1"/>
  <c r="Y465" i="247" s="1"/>
  <c r="Q594" i="247"/>
  <c r="R594" i="247" s="1"/>
  <c r="S594" i="247" s="1"/>
  <c r="T594" i="247" s="1"/>
  <c r="U594" i="247" s="1"/>
  <c r="V594" i="247" s="1"/>
  <c r="W594" i="247" s="1"/>
  <c r="X594" i="247" s="1"/>
  <c r="Y594" i="247" s="1"/>
  <c r="Q563" i="247"/>
  <c r="R563" i="247" s="1"/>
  <c r="S563" i="247" s="1"/>
  <c r="T563" i="247" s="1"/>
  <c r="U563" i="247" s="1"/>
  <c r="V563" i="247" s="1"/>
  <c r="W563" i="247" s="1"/>
  <c r="X563" i="247" s="1"/>
  <c r="Y563" i="247" s="1"/>
  <c r="Q461" i="247"/>
  <c r="R461" i="247" s="1"/>
  <c r="S461" i="247" s="1"/>
  <c r="T461" i="247" s="1"/>
  <c r="U461" i="247" s="1"/>
  <c r="V461" i="247" s="1"/>
  <c r="W461" i="247" s="1"/>
  <c r="X461" i="247" s="1"/>
  <c r="Y461" i="247" s="1"/>
  <c r="Q586" i="247"/>
  <c r="R586" i="247" s="1"/>
  <c r="S586" i="247" s="1"/>
  <c r="T586" i="247" s="1"/>
  <c r="U586" i="247" s="1"/>
  <c r="V586" i="247" s="1"/>
  <c r="W586" i="247" s="1"/>
  <c r="X586" i="247" s="1"/>
  <c r="Y586" i="247" s="1"/>
  <c r="Q556" i="247"/>
  <c r="R556" i="247" s="1"/>
  <c r="S556" i="247" s="1"/>
  <c r="T556" i="247" s="1"/>
  <c r="U556" i="247" s="1"/>
  <c r="V556" i="247" s="1"/>
  <c r="W556" i="247" s="1"/>
  <c r="X556" i="247" s="1"/>
  <c r="Y556" i="247" s="1"/>
  <c r="Q517" i="247"/>
  <c r="R517" i="247" s="1"/>
  <c r="S517" i="247" s="1"/>
  <c r="T517" i="247" s="1"/>
  <c r="U517" i="247" s="1"/>
  <c r="V517" i="247" s="1"/>
  <c r="W517" i="247" s="1"/>
  <c r="X517" i="247" s="1"/>
  <c r="Y517" i="247" s="1"/>
  <c r="Q492" i="247"/>
  <c r="R492" i="247" s="1"/>
  <c r="S492" i="247" s="1"/>
  <c r="T492" i="247" s="1"/>
  <c r="U492" i="247" s="1"/>
  <c r="V492" i="247" s="1"/>
  <c r="W492" i="247" s="1"/>
  <c r="X492" i="247" s="1"/>
  <c r="Y492" i="247" s="1"/>
  <c r="Q620" i="247"/>
  <c r="R620" i="247" s="1"/>
  <c r="S620" i="247" s="1"/>
  <c r="T620" i="247" s="1"/>
  <c r="U620" i="247" s="1"/>
  <c r="V620" i="247" s="1"/>
  <c r="W620" i="247" s="1"/>
  <c r="X620" i="247" s="1"/>
  <c r="Y620" i="247" s="1"/>
  <c r="Q496" i="247"/>
  <c r="R496" i="247" s="1"/>
  <c r="S496" i="247" s="1"/>
  <c r="T496" i="247" s="1"/>
  <c r="U496" i="247" s="1"/>
  <c r="V496" i="247" s="1"/>
  <c r="W496" i="247" s="1"/>
  <c r="X496" i="247" s="1"/>
  <c r="Y496" i="247" s="1"/>
  <c r="Q448" i="247"/>
  <c r="R448" i="247" s="1"/>
  <c r="S448" i="247" s="1"/>
  <c r="T448" i="247" s="1"/>
  <c r="U448" i="247" s="1"/>
  <c r="V448" i="247" s="1"/>
  <c r="W448" i="247" s="1"/>
  <c r="X448" i="247" s="1"/>
  <c r="Y448" i="247" s="1"/>
  <c r="Q533" i="247"/>
  <c r="R533" i="247" s="1"/>
  <c r="S533" i="247" s="1"/>
  <c r="T533" i="247" s="1"/>
  <c r="U533" i="247" s="1"/>
  <c r="V533" i="247" s="1"/>
  <c r="W533" i="247" s="1"/>
  <c r="X533" i="247" s="1"/>
  <c r="Y533" i="247" s="1"/>
  <c r="Q654" i="247"/>
  <c r="R654" i="247" s="1"/>
  <c r="S654" i="247" s="1"/>
  <c r="T654" i="247" s="1"/>
  <c r="U654" i="247" s="1"/>
  <c r="V654" i="247" s="1"/>
  <c r="W654" i="247" s="1"/>
  <c r="X654" i="247" s="1"/>
  <c r="Y654" i="247" s="1"/>
  <c r="Q613" i="247"/>
  <c r="R613" i="247" s="1"/>
  <c r="S613" i="247" s="1"/>
  <c r="T613" i="247" s="1"/>
  <c r="U613" i="247" s="1"/>
  <c r="V613" i="247" s="1"/>
  <c r="W613" i="247" s="1"/>
  <c r="X613" i="247" s="1"/>
  <c r="Y613" i="247" s="1"/>
  <c r="Q639" i="247"/>
  <c r="R639" i="247" s="1"/>
  <c r="S639" i="247" s="1"/>
  <c r="T639" i="247" s="1"/>
  <c r="U639" i="247" s="1"/>
  <c r="V639" i="247" s="1"/>
  <c r="W639" i="247" s="1"/>
  <c r="X639" i="247" s="1"/>
  <c r="Y639" i="247" s="1"/>
  <c r="Q499" i="247"/>
  <c r="R499" i="247" s="1"/>
  <c r="S499" i="247" s="1"/>
  <c r="T499" i="247" s="1"/>
  <c r="U499" i="247" s="1"/>
  <c r="V499" i="247" s="1"/>
  <c r="W499" i="247" s="1"/>
  <c r="X499" i="247" s="1"/>
  <c r="Y499" i="247" s="1"/>
  <c r="Q485" i="247"/>
  <c r="R485" i="247" s="1"/>
  <c r="S485" i="247" s="1"/>
  <c r="T485" i="247" s="1"/>
  <c r="U485" i="247" s="1"/>
  <c r="V485" i="247" s="1"/>
  <c r="W485" i="247" s="1"/>
  <c r="X485" i="247" s="1"/>
  <c r="Y485" i="247" s="1"/>
  <c r="Q565" i="247"/>
  <c r="R565" i="247" s="1"/>
  <c r="S565" i="247" s="1"/>
  <c r="T565" i="247" s="1"/>
  <c r="U565" i="247" s="1"/>
  <c r="V565" i="247" s="1"/>
  <c r="W565" i="247" s="1"/>
  <c r="X565" i="247" s="1"/>
  <c r="Y565" i="247" s="1"/>
  <c r="Q663" i="247"/>
  <c r="R663" i="247" s="1"/>
  <c r="S663" i="247" s="1"/>
  <c r="T663" i="247" s="1"/>
  <c r="U663" i="247" s="1"/>
  <c r="V663" i="247" s="1"/>
  <c r="W663" i="247" s="1"/>
  <c r="X663" i="247" s="1"/>
  <c r="Y663" i="247" s="1"/>
  <c r="Q609" i="247"/>
  <c r="R609" i="247" s="1"/>
  <c r="S609" i="247" s="1"/>
  <c r="T609" i="247" s="1"/>
  <c r="U609" i="247" s="1"/>
  <c r="V609" i="247" s="1"/>
  <c r="W609" i="247" s="1"/>
  <c r="X609" i="247" s="1"/>
  <c r="Y609" i="247" s="1"/>
  <c r="Q656" i="247"/>
  <c r="R656" i="247" s="1"/>
  <c r="S656" i="247" s="1"/>
  <c r="T656" i="247" s="1"/>
  <c r="U656" i="247" s="1"/>
  <c r="V656" i="247" s="1"/>
  <c r="W656" i="247" s="1"/>
  <c r="X656" i="247" s="1"/>
  <c r="Y656" i="247" s="1"/>
  <c r="Q482" i="247"/>
  <c r="R482" i="247" s="1"/>
  <c r="S482" i="247" s="1"/>
  <c r="T482" i="247" s="1"/>
  <c r="U482" i="247" s="1"/>
  <c r="V482" i="247" s="1"/>
  <c r="W482" i="247" s="1"/>
  <c r="X482" i="247" s="1"/>
  <c r="Y482" i="247" s="1"/>
  <c r="Q777" i="247"/>
  <c r="R777" i="247" s="1"/>
  <c r="S777" i="247" s="1"/>
  <c r="T777" i="247" s="1"/>
  <c r="U777" i="247" s="1"/>
  <c r="V777" i="247" s="1"/>
  <c r="W777" i="247" s="1"/>
  <c r="X777" i="247" s="1"/>
  <c r="Y777" i="247" s="1"/>
  <c r="Q467" i="247"/>
  <c r="R467" i="247" s="1"/>
  <c r="S467" i="247" s="1"/>
  <c r="T467" i="247" s="1"/>
  <c r="U467" i="247" s="1"/>
  <c r="V467" i="247" s="1"/>
  <c r="W467" i="247" s="1"/>
  <c r="X467" i="247" s="1"/>
  <c r="Y467" i="247" s="1"/>
  <c r="Q504" i="247"/>
  <c r="R504" i="247" s="1"/>
  <c r="S504" i="247" s="1"/>
  <c r="T504" i="247" s="1"/>
  <c r="U504" i="247" s="1"/>
  <c r="V504" i="247" s="1"/>
  <c r="W504" i="247" s="1"/>
  <c r="X504" i="247" s="1"/>
  <c r="Y504" i="247" s="1"/>
  <c r="Q607" i="247"/>
  <c r="R607" i="247" s="1"/>
  <c r="S607" i="247" s="1"/>
  <c r="T607" i="247" s="1"/>
  <c r="U607" i="247" s="1"/>
  <c r="V607" i="247" s="1"/>
  <c r="W607" i="247" s="1"/>
  <c r="X607" i="247" s="1"/>
  <c r="Y607" i="247" s="1"/>
  <c r="Q611" i="247"/>
  <c r="R611" i="247" s="1"/>
  <c r="S611" i="247" s="1"/>
  <c r="T611" i="247" s="1"/>
  <c r="U611" i="247" s="1"/>
  <c r="V611" i="247" s="1"/>
  <c r="W611" i="247" s="1"/>
  <c r="X611" i="247" s="1"/>
  <c r="Y611" i="247" s="1"/>
  <c r="Q477" i="247"/>
  <c r="R477" i="247" s="1"/>
  <c r="S477" i="247" s="1"/>
  <c r="T477" i="247" s="1"/>
  <c r="U477" i="247" s="1"/>
  <c r="V477" i="247" s="1"/>
  <c r="W477" i="247" s="1"/>
  <c r="X477" i="247" s="1"/>
  <c r="Y477" i="247" s="1"/>
  <c r="Q558" i="247"/>
  <c r="R558" i="247" s="1"/>
  <c r="S558" i="247" s="1"/>
  <c r="T558" i="247" s="1"/>
  <c r="U558" i="247" s="1"/>
  <c r="V558" i="247" s="1"/>
  <c r="W558" i="247" s="1"/>
  <c r="X558" i="247" s="1"/>
  <c r="Y558" i="247" s="1"/>
  <c r="Q475" i="247"/>
  <c r="R475" i="247" s="1"/>
  <c r="S475" i="247" s="1"/>
  <c r="T475" i="247" s="1"/>
  <c r="U475" i="247" s="1"/>
  <c r="V475" i="247" s="1"/>
  <c r="W475" i="247" s="1"/>
  <c r="X475" i="247" s="1"/>
  <c r="Y475" i="247" s="1"/>
  <c r="Q529" i="247"/>
  <c r="R529" i="247" s="1"/>
  <c r="S529" i="247" s="1"/>
  <c r="T529" i="247" s="1"/>
  <c r="U529" i="247" s="1"/>
  <c r="V529" i="247" s="1"/>
  <c r="W529" i="247" s="1"/>
  <c r="X529" i="247" s="1"/>
  <c r="Y529" i="247" s="1"/>
  <c r="Q780" i="247"/>
  <c r="R780" i="247" s="1"/>
  <c r="S780" i="247" s="1"/>
  <c r="T780" i="247" s="1"/>
  <c r="U780" i="247" s="1"/>
  <c r="V780" i="247" s="1"/>
  <c r="W780" i="247" s="1"/>
  <c r="X780" i="247" s="1"/>
  <c r="Y780" i="247" s="1"/>
  <c r="Q624" i="247"/>
  <c r="R624" i="247" s="1"/>
  <c r="S624" i="247" s="1"/>
  <c r="T624" i="247" s="1"/>
  <c r="U624" i="247" s="1"/>
  <c r="V624" i="247" s="1"/>
  <c r="W624" i="247" s="1"/>
  <c r="X624" i="247" s="1"/>
  <c r="Y624" i="247" s="1"/>
  <c r="Q592" i="247"/>
  <c r="R592" i="247" s="1"/>
  <c r="S592" i="247" s="1"/>
  <c r="T592" i="247" s="1"/>
  <c r="U592" i="247" s="1"/>
  <c r="V592" i="247" s="1"/>
  <c r="W592" i="247" s="1"/>
  <c r="X592" i="247" s="1"/>
  <c r="Y592" i="247" s="1"/>
  <c r="Q562" i="247"/>
  <c r="R562" i="247" s="1"/>
  <c r="S562" i="247" s="1"/>
  <c r="T562" i="247" s="1"/>
  <c r="U562" i="247" s="1"/>
  <c r="V562" i="247" s="1"/>
  <c r="W562" i="247" s="1"/>
  <c r="X562" i="247" s="1"/>
  <c r="Y562" i="247" s="1"/>
  <c r="Q555" i="247"/>
  <c r="R555" i="247" s="1"/>
  <c r="S555" i="247" s="1"/>
  <c r="T555" i="247" s="1"/>
  <c r="U555" i="247" s="1"/>
  <c r="V555" i="247" s="1"/>
  <c r="W555" i="247" s="1"/>
  <c r="X555" i="247" s="1"/>
  <c r="Y555" i="247" s="1"/>
  <c r="Q502" i="247"/>
  <c r="R502" i="247" s="1"/>
  <c r="S502" i="247" s="1"/>
  <c r="T502" i="247" s="1"/>
  <c r="U502" i="247" s="1"/>
  <c r="V502" i="247" s="1"/>
  <c r="W502" i="247" s="1"/>
  <c r="X502" i="247" s="1"/>
  <c r="Y502" i="247" s="1"/>
  <c r="Q657" i="247"/>
  <c r="R657" i="247" s="1"/>
  <c r="S657" i="247" s="1"/>
  <c r="T657" i="247" s="1"/>
  <c r="U657" i="247" s="1"/>
  <c r="V657" i="247" s="1"/>
  <c r="W657" i="247" s="1"/>
  <c r="X657" i="247" s="1"/>
  <c r="Y657" i="247" s="1"/>
  <c r="Q550" i="247"/>
  <c r="R550" i="247" s="1"/>
  <c r="S550" i="247" s="1"/>
  <c r="T550" i="247" s="1"/>
  <c r="U550" i="247" s="1"/>
  <c r="V550" i="247" s="1"/>
  <c r="W550" i="247" s="1"/>
  <c r="X550" i="247" s="1"/>
  <c r="Y550" i="247" s="1"/>
  <c r="Q524" i="247"/>
  <c r="R524" i="247" s="1"/>
  <c r="S524" i="247" s="1"/>
  <c r="T524" i="247" s="1"/>
  <c r="U524" i="247" s="1"/>
  <c r="V524" i="247" s="1"/>
  <c r="W524" i="247" s="1"/>
  <c r="X524" i="247" s="1"/>
  <c r="Y524" i="247" s="1"/>
  <c r="Q489" i="247"/>
  <c r="R489" i="247" s="1"/>
  <c r="S489" i="247" s="1"/>
  <c r="T489" i="247" s="1"/>
  <c r="U489" i="247" s="1"/>
  <c r="V489" i="247" s="1"/>
  <c r="W489" i="247" s="1"/>
  <c r="X489" i="247" s="1"/>
  <c r="Y489" i="247" s="1"/>
  <c r="Q633" i="247"/>
  <c r="R633" i="247" s="1"/>
  <c r="S633" i="247" s="1"/>
  <c r="T633" i="247" s="1"/>
  <c r="U633" i="247" s="1"/>
  <c r="V633" i="247" s="1"/>
  <c r="W633" i="247" s="1"/>
  <c r="X633" i="247" s="1"/>
  <c r="Y633" i="247" s="1"/>
  <c r="Q519" i="247"/>
  <c r="R519" i="247" s="1"/>
  <c r="S519" i="247" s="1"/>
  <c r="T519" i="247" s="1"/>
  <c r="U519" i="247" s="1"/>
  <c r="V519" i="247" s="1"/>
  <c r="W519" i="247" s="1"/>
  <c r="X519" i="247" s="1"/>
  <c r="Y519" i="247" s="1"/>
  <c r="Q544" i="247"/>
  <c r="R544" i="247" s="1"/>
  <c r="S544" i="247" s="1"/>
  <c r="T544" i="247" s="1"/>
  <c r="U544" i="247" s="1"/>
  <c r="V544" i="247" s="1"/>
  <c r="W544" i="247" s="1"/>
  <c r="X544" i="247" s="1"/>
  <c r="Y544" i="247" s="1"/>
  <c r="L796" i="247"/>
  <c r="Q575" i="247"/>
  <c r="R575" i="247" s="1"/>
  <c r="S575" i="247" s="1"/>
  <c r="T575" i="247" s="1"/>
  <c r="U575" i="247" s="1"/>
  <c r="V575" i="247" s="1"/>
  <c r="W575" i="247" s="1"/>
  <c r="X575" i="247" s="1"/>
  <c r="Y575" i="247" s="1"/>
  <c r="Q621" i="247"/>
  <c r="R621" i="247" s="1"/>
  <c r="S621" i="247" s="1"/>
  <c r="T621" i="247" s="1"/>
  <c r="U621" i="247" s="1"/>
  <c r="V621" i="247" s="1"/>
  <c r="W621" i="247" s="1"/>
  <c r="X621" i="247" s="1"/>
  <c r="Y621" i="247" s="1"/>
  <c r="Q469" i="247"/>
  <c r="R469" i="247" s="1"/>
  <c r="S469" i="247" s="1"/>
  <c r="T469" i="247" s="1"/>
  <c r="U469" i="247" s="1"/>
  <c r="V469" i="247" s="1"/>
  <c r="W469" i="247" s="1"/>
  <c r="X469" i="247" s="1"/>
  <c r="Y469" i="247" s="1"/>
  <c r="Q774" i="247"/>
  <c r="R774" i="247" s="1"/>
  <c r="S774" i="247" s="1"/>
  <c r="T774" i="247" s="1"/>
  <c r="U774" i="247" s="1"/>
  <c r="V774" i="247" s="1"/>
  <c r="W774" i="247" s="1"/>
  <c r="X774" i="247" s="1"/>
  <c r="Y774" i="247" s="1"/>
  <c r="Q525" i="247"/>
  <c r="R525" i="247" s="1"/>
  <c r="S525" i="247" s="1"/>
  <c r="T525" i="247" s="1"/>
  <c r="U525" i="247" s="1"/>
  <c r="V525" i="247" s="1"/>
  <c r="W525" i="247" s="1"/>
  <c r="X525" i="247" s="1"/>
  <c r="Y525" i="247" s="1"/>
  <c r="Q468" i="247"/>
  <c r="R468" i="247" s="1"/>
  <c r="S468" i="247" s="1"/>
  <c r="T468" i="247" s="1"/>
  <c r="U468" i="247" s="1"/>
  <c r="V468" i="247" s="1"/>
  <c r="W468" i="247" s="1"/>
  <c r="X468" i="247" s="1"/>
  <c r="Y468" i="247" s="1"/>
  <c r="Q571" i="247"/>
  <c r="R571" i="247" s="1"/>
  <c r="S571" i="247" s="1"/>
  <c r="T571" i="247" s="1"/>
  <c r="U571" i="247" s="1"/>
  <c r="V571" i="247" s="1"/>
  <c r="W571" i="247" s="1"/>
  <c r="X571" i="247" s="1"/>
  <c r="Y571" i="247" s="1"/>
  <c r="Q488" i="247"/>
  <c r="R488" i="247" s="1"/>
  <c r="S488" i="247" s="1"/>
  <c r="T488" i="247" s="1"/>
  <c r="U488" i="247" s="1"/>
  <c r="V488" i="247" s="1"/>
  <c r="W488" i="247" s="1"/>
  <c r="X488" i="247" s="1"/>
  <c r="Y488" i="247" s="1"/>
  <c r="Q652" i="247"/>
  <c r="R652" i="247" s="1"/>
  <c r="S652" i="247" s="1"/>
  <c r="T652" i="247" s="1"/>
  <c r="U652" i="247" s="1"/>
  <c r="V652" i="247" s="1"/>
  <c r="W652" i="247" s="1"/>
  <c r="X652" i="247" s="1"/>
  <c r="Y652" i="247" s="1"/>
  <c r="Q535" i="247"/>
  <c r="R535" i="247" s="1"/>
  <c r="S535" i="247" s="1"/>
  <c r="T535" i="247" s="1"/>
  <c r="U535" i="247" s="1"/>
  <c r="V535" i="247" s="1"/>
  <c r="W535" i="247" s="1"/>
  <c r="X535" i="247" s="1"/>
  <c r="Y535" i="247" s="1"/>
  <c r="Q595" i="247"/>
  <c r="R595" i="247" s="1"/>
  <c r="S595" i="247" s="1"/>
  <c r="T595" i="247" s="1"/>
  <c r="U595" i="247" s="1"/>
  <c r="V595" i="247" s="1"/>
  <c r="W595" i="247" s="1"/>
  <c r="X595" i="247" s="1"/>
  <c r="Y595" i="247" s="1"/>
  <c r="Q608" i="247"/>
  <c r="R608" i="247" s="1"/>
  <c r="S608" i="247" s="1"/>
  <c r="T608" i="247" s="1"/>
  <c r="U608" i="247" s="1"/>
  <c r="V608" i="247" s="1"/>
  <c r="W608" i="247" s="1"/>
  <c r="X608" i="247" s="1"/>
  <c r="Y608" i="247" s="1"/>
  <c r="Q647" i="247"/>
  <c r="R647" i="247" s="1"/>
  <c r="S647" i="247" s="1"/>
  <c r="T647" i="247" s="1"/>
  <c r="U647" i="247" s="1"/>
  <c r="V647" i="247" s="1"/>
  <c r="W647" i="247" s="1"/>
  <c r="X647" i="247" s="1"/>
  <c r="Y647" i="247" s="1"/>
  <c r="Q568" i="247"/>
  <c r="R568" i="247" s="1"/>
  <c r="S568" i="247" s="1"/>
  <c r="T568" i="247" s="1"/>
  <c r="U568" i="247" s="1"/>
  <c r="V568" i="247" s="1"/>
  <c r="W568" i="247" s="1"/>
  <c r="X568" i="247" s="1"/>
  <c r="Y568" i="247" s="1"/>
  <c r="Q545" i="247"/>
  <c r="R545" i="247" s="1"/>
  <c r="S545" i="247" s="1"/>
  <c r="T545" i="247" s="1"/>
  <c r="U545" i="247" s="1"/>
  <c r="V545" i="247" s="1"/>
  <c r="W545" i="247" s="1"/>
  <c r="X545" i="247" s="1"/>
  <c r="Y545" i="247" s="1"/>
  <c r="Q507" i="247"/>
  <c r="R507" i="247" s="1"/>
  <c r="S507" i="247" s="1"/>
  <c r="T507" i="247" s="1"/>
  <c r="U507" i="247" s="1"/>
  <c r="V507" i="247" s="1"/>
  <c r="W507" i="247" s="1"/>
  <c r="X507" i="247" s="1"/>
  <c r="Y507" i="247" s="1"/>
  <c r="Q493" i="247"/>
  <c r="R493" i="247" s="1"/>
  <c r="S493" i="247" s="1"/>
  <c r="T493" i="247" s="1"/>
  <c r="U493" i="247" s="1"/>
  <c r="V493" i="247" s="1"/>
  <c r="W493" i="247" s="1"/>
  <c r="X493" i="247" s="1"/>
  <c r="Y493" i="247" s="1"/>
  <c r="Q793" i="247"/>
  <c r="R793" i="247" s="1"/>
  <c r="S793" i="247" s="1"/>
  <c r="T793" i="247" s="1"/>
  <c r="U793" i="247" s="1"/>
  <c r="V793" i="247" s="1"/>
  <c r="W793" i="247" s="1"/>
  <c r="X793" i="247" s="1"/>
  <c r="Y793" i="247" s="1"/>
  <c r="Q773" i="247"/>
  <c r="R773" i="247" s="1"/>
  <c r="S773" i="247" s="1"/>
  <c r="T773" i="247" s="1"/>
  <c r="U773" i="247" s="1"/>
  <c r="V773" i="247" s="1"/>
  <c r="W773" i="247" s="1"/>
  <c r="X773" i="247" s="1"/>
  <c r="Y773" i="247" s="1"/>
  <c r="Q546" i="247"/>
  <c r="R546" i="247" s="1"/>
  <c r="S546" i="247" s="1"/>
  <c r="T546" i="247" s="1"/>
  <c r="U546" i="247" s="1"/>
  <c r="V546" i="247" s="1"/>
  <c r="W546" i="247" s="1"/>
  <c r="X546" i="247" s="1"/>
  <c r="Y546" i="247" s="1"/>
  <c r="Q635" i="247"/>
  <c r="R635" i="247" s="1"/>
  <c r="S635" i="247" s="1"/>
  <c r="T635" i="247" s="1"/>
  <c r="U635" i="247" s="1"/>
  <c r="V635" i="247" s="1"/>
  <c r="W635" i="247" s="1"/>
  <c r="X635" i="247" s="1"/>
  <c r="Y635" i="247" s="1"/>
  <c r="Q590" i="247"/>
  <c r="R590" i="247" s="1"/>
  <c r="S590" i="247" s="1"/>
  <c r="T590" i="247" s="1"/>
  <c r="U590" i="247" s="1"/>
  <c r="V590" i="247" s="1"/>
  <c r="W590" i="247" s="1"/>
  <c r="X590" i="247" s="1"/>
  <c r="Y590" i="247" s="1"/>
  <c r="Q566" i="247"/>
  <c r="R566" i="247" s="1"/>
  <c r="S566" i="247" s="1"/>
  <c r="T566" i="247" s="1"/>
  <c r="U566" i="247" s="1"/>
  <c r="V566" i="247" s="1"/>
  <c r="W566" i="247" s="1"/>
  <c r="X566" i="247" s="1"/>
  <c r="Y566" i="247" s="1"/>
  <c r="Q508" i="247"/>
  <c r="R508" i="247" s="1"/>
  <c r="S508" i="247" s="1"/>
  <c r="T508" i="247" s="1"/>
  <c r="U508" i="247" s="1"/>
  <c r="V508" i="247" s="1"/>
  <c r="W508" i="247" s="1"/>
  <c r="X508" i="247" s="1"/>
  <c r="Y508" i="247" s="1"/>
  <c r="Q462" i="247"/>
  <c r="R462" i="247" s="1"/>
  <c r="S462" i="247" s="1"/>
  <c r="T462" i="247" s="1"/>
  <c r="U462" i="247" s="1"/>
  <c r="V462" i="247" s="1"/>
  <c r="W462" i="247" s="1"/>
  <c r="X462" i="247" s="1"/>
  <c r="Y462" i="247" s="1"/>
  <c r="Q642" i="247"/>
  <c r="R642" i="247" s="1"/>
  <c r="S642" i="247" s="1"/>
  <c r="T642" i="247" s="1"/>
  <c r="U642" i="247" s="1"/>
  <c r="V642" i="247" s="1"/>
  <c r="W642" i="247" s="1"/>
  <c r="X642" i="247" s="1"/>
  <c r="Y642" i="247" s="1"/>
  <c r="Q603" i="247"/>
  <c r="R603" i="247" s="1"/>
  <c r="S603" i="247" s="1"/>
  <c r="T603" i="247" s="1"/>
  <c r="U603" i="247" s="1"/>
  <c r="V603" i="247" s="1"/>
  <c r="W603" i="247" s="1"/>
  <c r="X603" i="247" s="1"/>
  <c r="Y603" i="247" s="1"/>
  <c r="Q542" i="247"/>
  <c r="R542" i="247" s="1"/>
  <c r="S542" i="247" s="1"/>
  <c r="T542" i="247" s="1"/>
  <c r="U542" i="247" s="1"/>
  <c r="V542" i="247" s="1"/>
  <c r="W542" i="247" s="1"/>
  <c r="X542" i="247" s="1"/>
  <c r="Y542" i="247" s="1"/>
  <c r="Q486" i="247"/>
  <c r="R486" i="247" s="1"/>
  <c r="S486" i="247" s="1"/>
  <c r="T486" i="247" s="1"/>
  <c r="U486" i="247" s="1"/>
  <c r="V486" i="247" s="1"/>
  <c r="W486" i="247" s="1"/>
  <c r="X486" i="247" s="1"/>
  <c r="Y486" i="247" s="1"/>
  <c r="Q460" i="247"/>
  <c r="R460" i="247" s="1"/>
  <c r="S460" i="247" s="1"/>
  <c r="T460" i="247" s="1"/>
  <c r="U460" i="247" s="1"/>
  <c r="V460" i="247" s="1"/>
  <c r="W460" i="247" s="1"/>
  <c r="X460" i="247" s="1"/>
  <c r="Y460" i="247" s="1"/>
  <c r="Q506" i="247"/>
  <c r="R506" i="247" s="1"/>
  <c r="S506" i="247" s="1"/>
  <c r="T506" i="247" s="1"/>
  <c r="U506" i="247" s="1"/>
  <c r="V506" i="247" s="1"/>
  <c r="W506" i="247" s="1"/>
  <c r="X506" i="247" s="1"/>
  <c r="Y506" i="247" s="1"/>
  <c r="Q523" i="247"/>
  <c r="R523" i="247" s="1"/>
  <c r="S523" i="247" s="1"/>
  <c r="T523" i="247" s="1"/>
  <c r="U523" i="247" s="1"/>
  <c r="V523" i="247" s="1"/>
  <c r="W523" i="247" s="1"/>
  <c r="X523" i="247" s="1"/>
  <c r="Y523" i="247" s="1"/>
  <c r="Q442" i="247"/>
  <c r="R442" i="247" s="1"/>
  <c r="S442" i="247" s="1"/>
  <c r="T442" i="247" s="1"/>
  <c r="U442" i="247" s="1"/>
  <c r="V442" i="247" s="1"/>
  <c r="W442" i="247" s="1"/>
  <c r="X442" i="247" s="1"/>
  <c r="Y442" i="247" s="1"/>
  <c r="Q778" i="247"/>
  <c r="R778" i="247" s="1"/>
  <c r="S778" i="247" s="1"/>
  <c r="T778" i="247" s="1"/>
  <c r="U778" i="247" s="1"/>
  <c r="V778" i="247" s="1"/>
  <c r="W778" i="247" s="1"/>
  <c r="X778" i="247" s="1"/>
  <c r="Y778" i="247" s="1"/>
  <c r="Q770" i="247"/>
  <c r="R770" i="247" s="1"/>
  <c r="S770" i="247" s="1"/>
  <c r="T770" i="247" s="1"/>
  <c r="U770" i="247" s="1"/>
  <c r="V770" i="247" s="1"/>
  <c r="W770" i="247" s="1"/>
  <c r="X770" i="247" s="1"/>
  <c r="Y770" i="247" s="1"/>
  <c r="Q631" i="247"/>
  <c r="R631" i="247" s="1"/>
  <c r="S631" i="247" s="1"/>
  <c r="T631" i="247" s="1"/>
  <c r="U631" i="247" s="1"/>
  <c r="V631" i="247" s="1"/>
  <c r="W631" i="247" s="1"/>
  <c r="X631" i="247" s="1"/>
  <c r="Y631" i="247" s="1"/>
  <c r="Q457" i="247"/>
  <c r="R457" i="247" s="1"/>
  <c r="S457" i="247" s="1"/>
  <c r="T457" i="247" s="1"/>
  <c r="U457" i="247" s="1"/>
  <c r="V457" i="247" s="1"/>
  <c r="W457" i="247" s="1"/>
  <c r="X457" i="247" s="1"/>
  <c r="Y457" i="247" s="1"/>
  <c r="Q548" i="247"/>
  <c r="R548" i="247" s="1"/>
  <c r="S548" i="247" s="1"/>
  <c r="T548" i="247" s="1"/>
  <c r="U548" i="247" s="1"/>
  <c r="V548" i="247" s="1"/>
  <c r="W548" i="247" s="1"/>
  <c r="X548" i="247" s="1"/>
  <c r="Y548" i="247" s="1"/>
  <c r="Q597" i="247"/>
  <c r="R597" i="247" s="1"/>
  <c r="S597" i="247" s="1"/>
  <c r="T597" i="247" s="1"/>
  <c r="U597" i="247" s="1"/>
  <c r="V597" i="247" s="1"/>
  <c r="W597" i="247" s="1"/>
  <c r="X597" i="247" s="1"/>
  <c r="Y597" i="247" s="1"/>
  <c r="Q775" i="247"/>
  <c r="R775" i="247" s="1"/>
  <c r="S775" i="247" s="1"/>
  <c r="T775" i="247" s="1"/>
  <c r="U775" i="247" s="1"/>
  <c r="V775" i="247" s="1"/>
  <c r="W775" i="247" s="1"/>
  <c r="X775" i="247" s="1"/>
  <c r="Y775" i="247" s="1"/>
  <c r="Q665" i="247"/>
  <c r="R665" i="247" s="1"/>
  <c r="S665" i="247" s="1"/>
  <c r="T665" i="247" s="1"/>
  <c r="U665" i="247" s="1"/>
  <c r="V665" i="247" s="1"/>
  <c r="W665" i="247" s="1"/>
  <c r="X665" i="247" s="1"/>
  <c r="Y665" i="247" s="1"/>
  <c r="Q618" i="247"/>
  <c r="R618" i="247" s="1"/>
  <c r="S618" i="247" s="1"/>
  <c r="T618" i="247" s="1"/>
  <c r="U618" i="247" s="1"/>
  <c r="V618" i="247" s="1"/>
  <c r="W618" i="247" s="1"/>
  <c r="X618" i="247" s="1"/>
  <c r="Y618" i="247" s="1"/>
  <c r="Q583" i="247"/>
  <c r="R583" i="247" s="1"/>
  <c r="S583" i="247" s="1"/>
  <c r="T583" i="247" s="1"/>
  <c r="U583" i="247" s="1"/>
  <c r="V583" i="247" s="1"/>
  <c r="W583" i="247" s="1"/>
  <c r="X583" i="247" s="1"/>
  <c r="Y583" i="247" s="1"/>
  <c r="Q528" i="247"/>
  <c r="R528" i="247" s="1"/>
  <c r="S528" i="247" s="1"/>
  <c r="T528" i="247" s="1"/>
  <c r="U528" i="247" s="1"/>
  <c r="V528" i="247" s="1"/>
  <c r="W528" i="247" s="1"/>
  <c r="X528" i="247" s="1"/>
  <c r="Y528" i="247" s="1"/>
  <c r="Q547" i="247"/>
  <c r="R547" i="247" s="1"/>
  <c r="S547" i="247" s="1"/>
  <c r="T547" i="247" s="1"/>
  <c r="U547" i="247" s="1"/>
  <c r="V547" i="247" s="1"/>
  <c r="W547" i="247" s="1"/>
  <c r="X547" i="247" s="1"/>
  <c r="Y547" i="247" s="1"/>
  <c r="Q536" i="247"/>
  <c r="R536" i="247" s="1"/>
  <c r="S536" i="247" s="1"/>
  <c r="T536" i="247" s="1"/>
  <c r="U536" i="247" s="1"/>
  <c r="V536" i="247" s="1"/>
  <c r="W536" i="247" s="1"/>
  <c r="X536" i="247" s="1"/>
  <c r="Y536" i="247" s="1"/>
  <c r="Q582" i="247"/>
  <c r="R582" i="247" s="1"/>
  <c r="S582" i="247" s="1"/>
  <c r="T582" i="247" s="1"/>
  <c r="U582" i="247" s="1"/>
  <c r="V582" i="247" s="1"/>
  <c r="W582" i="247" s="1"/>
  <c r="X582" i="247" s="1"/>
  <c r="Y582" i="247" s="1"/>
  <c r="Q513" i="247"/>
  <c r="R513" i="247" s="1"/>
  <c r="S513" i="247" s="1"/>
  <c r="T513" i="247" s="1"/>
  <c r="U513" i="247" s="1"/>
  <c r="V513" i="247" s="1"/>
  <c r="W513" i="247" s="1"/>
  <c r="X513" i="247" s="1"/>
  <c r="Y513" i="247" s="1"/>
  <c r="Q576" i="247"/>
  <c r="R576" i="247" s="1"/>
  <c r="S576" i="247" s="1"/>
  <c r="T576" i="247" s="1"/>
  <c r="U576" i="247" s="1"/>
  <c r="V576" i="247" s="1"/>
  <c r="W576" i="247" s="1"/>
  <c r="X576" i="247" s="1"/>
  <c r="Y576" i="247" s="1"/>
  <c r="Q587" i="247"/>
  <c r="R587" i="247" s="1"/>
  <c r="S587" i="247" s="1"/>
  <c r="T587" i="247" s="1"/>
  <c r="U587" i="247" s="1"/>
  <c r="V587" i="247" s="1"/>
  <c r="W587" i="247" s="1"/>
  <c r="X587" i="247" s="1"/>
  <c r="Y587" i="247" s="1"/>
  <c r="Q510" i="247"/>
  <c r="R510" i="247" s="1"/>
  <c r="S510" i="247" s="1"/>
  <c r="T510" i="247" s="1"/>
  <c r="U510" i="247" s="1"/>
  <c r="V510" i="247" s="1"/>
  <c r="W510" i="247" s="1"/>
  <c r="X510" i="247" s="1"/>
  <c r="Y510" i="247" s="1"/>
  <c r="Q662" i="247"/>
  <c r="R662" i="247" s="1"/>
  <c r="S662" i="247" s="1"/>
  <c r="T662" i="247" s="1"/>
  <c r="U662" i="247" s="1"/>
  <c r="V662" i="247" s="1"/>
  <c r="W662" i="247" s="1"/>
  <c r="X662" i="247" s="1"/>
  <c r="Y662" i="247" s="1"/>
  <c r="Q470" i="247"/>
  <c r="R470" i="247" s="1"/>
  <c r="S470" i="247" s="1"/>
  <c r="T470" i="247" s="1"/>
  <c r="U470" i="247" s="1"/>
  <c r="V470" i="247" s="1"/>
  <c r="W470" i="247" s="1"/>
  <c r="X470" i="247" s="1"/>
  <c r="Y470" i="247" s="1"/>
  <c r="Q666" i="247"/>
  <c r="R666" i="247" s="1"/>
  <c r="S666" i="247" s="1"/>
  <c r="T666" i="247" s="1"/>
  <c r="U666" i="247" s="1"/>
  <c r="V666" i="247" s="1"/>
  <c r="W666" i="247" s="1"/>
  <c r="X666" i="247" s="1"/>
  <c r="Y666" i="247" s="1"/>
  <c r="Q447" i="247"/>
  <c r="R447" i="247" s="1"/>
  <c r="S447" i="247" s="1"/>
  <c r="T447" i="247" s="1"/>
  <c r="U447" i="247" s="1"/>
  <c r="V447" i="247" s="1"/>
  <c r="W447" i="247" s="1"/>
  <c r="X447" i="247" s="1"/>
  <c r="Y447" i="247" s="1"/>
  <c r="Q549" i="247"/>
  <c r="R549" i="247" s="1"/>
  <c r="S549" i="247" s="1"/>
  <c r="T549" i="247" s="1"/>
  <c r="U549" i="247" s="1"/>
  <c r="V549" i="247" s="1"/>
  <c r="W549" i="247" s="1"/>
  <c r="X549" i="247" s="1"/>
  <c r="Y549" i="247" s="1"/>
  <c r="Q792" i="247"/>
  <c r="R792" i="247" s="1"/>
  <c r="S792" i="247" s="1"/>
  <c r="T792" i="247" s="1"/>
  <c r="U792" i="247" s="1"/>
  <c r="V792" i="247" s="1"/>
  <c r="W792" i="247" s="1"/>
  <c r="X792" i="247" s="1"/>
  <c r="Y792" i="247" s="1"/>
  <c r="Q444" i="247"/>
  <c r="R444" i="247" s="1"/>
  <c r="S444" i="247" s="1"/>
  <c r="T444" i="247" s="1"/>
  <c r="U444" i="247" s="1"/>
  <c r="V444" i="247" s="1"/>
  <c r="W444" i="247" s="1"/>
  <c r="X444" i="247" s="1"/>
  <c r="Y444" i="247" s="1"/>
  <c r="Q660" i="247"/>
  <c r="R660" i="247" s="1"/>
  <c r="S660" i="247" s="1"/>
  <c r="T660" i="247" s="1"/>
  <c r="U660" i="247" s="1"/>
  <c r="V660" i="247" s="1"/>
  <c r="W660" i="247" s="1"/>
  <c r="X660" i="247" s="1"/>
  <c r="Y660" i="247" s="1"/>
  <c r="Q577" i="247"/>
  <c r="R577" i="247" s="1"/>
  <c r="S577" i="247" s="1"/>
  <c r="T577" i="247" s="1"/>
  <c r="U577" i="247" s="1"/>
  <c r="V577" i="247" s="1"/>
  <c r="W577" i="247" s="1"/>
  <c r="X577" i="247" s="1"/>
  <c r="Y577" i="247" s="1"/>
  <c r="Q589" i="247"/>
  <c r="R589" i="247" s="1"/>
  <c r="S589" i="247" s="1"/>
  <c r="T589" i="247" s="1"/>
  <c r="U589" i="247" s="1"/>
  <c r="V589" i="247" s="1"/>
  <c r="W589" i="247" s="1"/>
  <c r="X589" i="247" s="1"/>
  <c r="Y589" i="247" s="1"/>
  <c r="Q560" i="247"/>
  <c r="R560" i="247" s="1"/>
  <c r="S560" i="247" s="1"/>
  <c r="T560" i="247" s="1"/>
  <c r="U560" i="247" s="1"/>
  <c r="V560" i="247" s="1"/>
  <c r="W560" i="247" s="1"/>
  <c r="X560" i="247" s="1"/>
  <c r="Y560" i="247" s="1"/>
  <c r="Q627" i="247"/>
  <c r="R627" i="247" s="1"/>
  <c r="S627" i="247" s="1"/>
  <c r="T627" i="247" s="1"/>
  <c r="U627" i="247" s="1"/>
  <c r="V627" i="247" s="1"/>
  <c r="W627" i="247" s="1"/>
  <c r="X627" i="247" s="1"/>
  <c r="Y627" i="247" s="1"/>
  <c r="Q453" i="247"/>
  <c r="R453" i="247" s="1"/>
  <c r="S453" i="247" s="1"/>
  <c r="T453" i="247" s="1"/>
  <c r="U453" i="247" s="1"/>
  <c r="V453" i="247" s="1"/>
  <c r="W453" i="247" s="1"/>
  <c r="X453" i="247" s="1"/>
  <c r="Y453" i="247" s="1"/>
  <c r="Q487" i="247"/>
  <c r="R487" i="247" s="1"/>
  <c r="S487" i="247" s="1"/>
  <c r="T487" i="247" s="1"/>
  <c r="U487" i="247" s="1"/>
  <c r="V487" i="247" s="1"/>
  <c r="W487" i="247" s="1"/>
  <c r="X487" i="247" s="1"/>
  <c r="Y487" i="247" s="1"/>
  <c r="Q668" i="247"/>
  <c r="R668" i="247" s="1"/>
  <c r="S668" i="247" s="1"/>
  <c r="T668" i="247" s="1"/>
  <c r="U668" i="247" s="1"/>
  <c r="V668" i="247" s="1"/>
  <c r="W668" i="247" s="1"/>
  <c r="X668" i="247" s="1"/>
  <c r="Y668" i="247" s="1"/>
  <c r="Q604" i="247"/>
  <c r="R604" i="247" s="1"/>
  <c r="S604" i="247" s="1"/>
  <c r="T604" i="247" s="1"/>
  <c r="U604" i="247" s="1"/>
  <c r="V604" i="247" s="1"/>
  <c r="W604" i="247" s="1"/>
  <c r="X604" i="247" s="1"/>
  <c r="Y604" i="247" s="1"/>
  <c r="Q503" i="247"/>
  <c r="R503" i="247" s="1"/>
  <c r="S503" i="247" s="1"/>
  <c r="T503" i="247" s="1"/>
  <c r="U503" i="247" s="1"/>
  <c r="V503" i="247" s="1"/>
  <c r="W503" i="247" s="1"/>
  <c r="X503" i="247" s="1"/>
  <c r="Y503" i="247" s="1"/>
  <c r="Q472" i="247"/>
  <c r="R472" i="247" s="1"/>
  <c r="S472" i="247" s="1"/>
  <c r="T472" i="247" s="1"/>
  <c r="U472" i="247" s="1"/>
  <c r="V472" i="247" s="1"/>
  <c r="W472" i="247" s="1"/>
  <c r="X472" i="247" s="1"/>
  <c r="Y472" i="247" s="1"/>
  <c r="Q515" i="247"/>
  <c r="R515" i="247" s="1"/>
  <c r="S515" i="247" s="1"/>
  <c r="T515" i="247" s="1"/>
  <c r="U515" i="247" s="1"/>
  <c r="V515" i="247" s="1"/>
  <c r="W515" i="247" s="1"/>
  <c r="X515" i="247" s="1"/>
  <c r="Y515" i="247" s="1"/>
  <c r="Q646" i="247"/>
  <c r="R646" i="247" s="1"/>
  <c r="S646" i="247" s="1"/>
  <c r="T646" i="247" s="1"/>
  <c r="U646" i="247" s="1"/>
  <c r="V646" i="247" s="1"/>
  <c r="W646" i="247" s="1"/>
  <c r="X646" i="247" s="1"/>
  <c r="Y646" i="247" s="1"/>
  <c r="Q605" i="247"/>
  <c r="R605" i="247" s="1"/>
  <c r="S605" i="247" s="1"/>
  <c r="T605" i="247" s="1"/>
  <c r="U605" i="247" s="1"/>
  <c r="V605" i="247" s="1"/>
  <c r="W605" i="247" s="1"/>
  <c r="X605" i="247" s="1"/>
  <c r="Y605" i="247" s="1"/>
  <c r="Q538" i="247"/>
  <c r="R538" i="247" s="1"/>
  <c r="S538" i="247" s="1"/>
  <c r="T538" i="247" s="1"/>
  <c r="U538" i="247" s="1"/>
  <c r="V538" i="247" s="1"/>
  <c r="W538" i="247" s="1"/>
  <c r="X538" i="247" s="1"/>
  <c r="Y538" i="247" s="1"/>
  <c r="Q474" i="247"/>
  <c r="R474" i="247" s="1"/>
  <c r="S474" i="247" s="1"/>
  <c r="T474" i="247" s="1"/>
  <c r="U474" i="247" s="1"/>
  <c r="V474" i="247" s="1"/>
  <c r="W474" i="247" s="1"/>
  <c r="X474" i="247" s="1"/>
  <c r="Y474" i="247" s="1"/>
  <c r="Q651" i="247"/>
  <c r="R651" i="247" s="1"/>
  <c r="S651" i="247" s="1"/>
  <c r="T651" i="247" s="1"/>
  <c r="U651" i="247" s="1"/>
  <c r="V651" i="247" s="1"/>
  <c r="W651" i="247" s="1"/>
  <c r="X651" i="247" s="1"/>
  <c r="Y651" i="247" s="1"/>
  <c r="Q455" i="247"/>
  <c r="R455" i="247" s="1"/>
  <c r="S455" i="247" s="1"/>
  <c r="T455" i="247" s="1"/>
  <c r="U455" i="247" s="1"/>
  <c r="V455" i="247" s="1"/>
  <c r="W455" i="247" s="1"/>
  <c r="X455" i="247" s="1"/>
  <c r="Y455" i="247" s="1"/>
  <c r="Q531" i="247"/>
  <c r="R531" i="247" s="1"/>
  <c r="S531" i="247" s="1"/>
  <c r="T531" i="247" s="1"/>
  <c r="U531" i="247" s="1"/>
  <c r="V531" i="247" s="1"/>
  <c r="W531" i="247" s="1"/>
  <c r="X531" i="247" s="1"/>
  <c r="Y531" i="247" s="1"/>
  <c r="Q614" i="247"/>
  <c r="R614" i="247" s="1"/>
  <c r="S614" i="247" s="1"/>
  <c r="T614" i="247" s="1"/>
  <c r="U614" i="247" s="1"/>
  <c r="V614" i="247" s="1"/>
  <c r="W614" i="247" s="1"/>
  <c r="X614" i="247" s="1"/>
  <c r="Y614" i="247" s="1"/>
  <c r="Q772" i="247"/>
  <c r="R772" i="247" s="1"/>
  <c r="S772" i="247" s="1"/>
  <c r="T772" i="247" s="1"/>
  <c r="U772" i="247" s="1"/>
  <c r="V772" i="247" s="1"/>
  <c r="W772" i="247" s="1"/>
  <c r="X772" i="247" s="1"/>
  <c r="Y772" i="247" s="1"/>
  <c r="Q628" i="247"/>
  <c r="R628" i="247" s="1"/>
  <c r="S628" i="247" s="1"/>
  <c r="T628" i="247" s="1"/>
  <c r="U628" i="247" s="1"/>
  <c r="V628" i="247" s="1"/>
  <c r="W628" i="247" s="1"/>
  <c r="X628" i="247" s="1"/>
  <c r="Y628" i="247" s="1"/>
  <c r="L19" i="247"/>
  <c r="Q495" i="247"/>
  <c r="R495" i="247" s="1"/>
  <c r="S495" i="247" s="1"/>
  <c r="T495" i="247" s="1"/>
  <c r="U495" i="247" s="1"/>
  <c r="V495" i="247" s="1"/>
  <c r="W495" i="247" s="1"/>
  <c r="X495" i="247" s="1"/>
  <c r="Y495" i="247" s="1"/>
  <c r="Q612" i="247"/>
  <c r="R612" i="247" s="1"/>
  <c r="S612" i="247" s="1"/>
  <c r="T612" i="247" s="1"/>
  <c r="U612" i="247" s="1"/>
  <c r="V612" i="247" s="1"/>
  <c r="W612" i="247" s="1"/>
  <c r="X612" i="247" s="1"/>
  <c r="Y612" i="247" s="1"/>
  <c r="Q553" i="247"/>
  <c r="R553" i="247" s="1"/>
  <c r="S553" i="247" s="1"/>
  <c r="T553" i="247" s="1"/>
  <c r="U553" i="247" s="1"/>
  <c r="V553" i="247" s="1"/>
  <c r="W553" i="247" s="1"/>
  <c r="X553" i="247" s="1"/>
  <c r="Y553" i="247" s="1"/>
  <c r="Q601" i="247"/>
  <c r="R601" i="247" s="1"/>
  <c r="S601" i="247" s="1"/>
  <c r="T601" i="247" s="1"/>
  <c r="U601" i="247" s="1"/>
  <c r="V601" i="247" s="1"/>
  <c r="W601" i="247" s="1"/>
  <c r="X601" i="247" s="1"/>
  <c r="Y601" i="247" s="1"/>
  <c r="Q450" i="247"/>
  <c r="R450" i="247" s="1"/>
  <c r="S450" i="247" s="1"/>
  <c r="T450" i="247" s="1"/>
  <c r="U450" i="247" s="1"/>
  <c r="V450" i="247" s="1"/>
  <c r="W450" i="247" s="1"/>
  <c r="X450" i="247" s="1"/>
  <c r="Y450" i="247" s="1"/>
  <c r="G797" i="247"/>
  <c r="Q561" i="247"/>
  <c r="R561" i="247" s="1"/>
  <c r="S561" i="247" s="1"/>
  <c r="T561" i="247" s="1"/>
  <c r="U561" i="247" s="1"/>
  <c r="V561" i="247" s="1"/>
  <c r="W561" i="247" s="1"/>
  <c r="X561" i="247" s="1"/>
  <c r="Y561" i="247" s="1"/>
  <c r="Q599" i="247"/>
  <c r="R599" i="247" s="1"/>
  <c r="S599" i="247" s="1"/>
  <c r="T599" i="247" s="1"/>
  <c r="U599" i="247" s="1"/>
  <c r="V599" i="247" s="1"/>
  <c r="W599" i="247" s="1"/>
  <c r="X599" i="247" s="1"/>
  <c r="Y599" i="247" s="1"/>
  <c r="Q776" i="247"/>
  <c r="R776" i="247" s="1"/>
  <c r="S776" i="247" s="1"/>
  <c r="T776" i="247" s="1"/>
  <c r="U776" i="247" s="1"/>
  <c r="V776" i="247" s="1"/>
  <c r="W776" i="247" s="1"/>
  <c r="X776" i="247" s="1"/>
  <c r="Y776" i="247" s="1"/>
  <c r="Q641" i="247"/>
  <c r="R641" i="247" s="1"/>
  <c r="S641" i="247" s="1"/>
  <c r="T641" i="247" s="1"/>
  <c r="U641" i="247" s="1"/>
  <c r="V641" i="247" s="1"/>
  <c r="W641" i="247" s="1"/>
  <c r="X641" i="247" s="1"/>
  <c r="Y641" i="247" s="1"/>
  <c r="Q584" i="247"/>
  <c r="R584" i="247" s="1"/>
  <c r="S584" i="247" s="1"/>
  <c r="T584" i="247" s="1"/>
  <c r="U584" i="247" s="1"/>
  <c r="V584" i="247" s="1"/>
  <c r="W584" i="247" s="1"/>
  <c r="X584" i="247" s="1"/>
  <c r="Y584" i="247" s="1"/>
  <c r="Q497" i="247"/>
  <c r="R497" i="247" s="1"/>
  <c r="S497" i="247" s="1"/>
  <c r="T497" i="247" s="1"/>
  <c r="U497" i="247" s="1"/>
  <c r="V497" i="247" s="1"/>
  <c r="W497" i="247" s="1"/>
  <c r="X497" i="247" s="1"/>
  <c r="Y497" i="247" s="1"/>
  <c r="M797" i="247"/>
  <c r="Q659" i="247"/>
  <c r="R659" i="247" s="1"/>
  <c r="S659" i="247" s="1"/>
  <c r="T659" i="247" s="1"/>
  <c r="U659" i="247" s="1"/>
  <c r="V659" i="247" s="1"/>
  <c r="W659" i="247" s="1"/>
  <c r="X659" i="247" s="1"/>
  <c r="Y659" i="247" s="1"/>
  <c r="Q581" i="247"/>
  <c r="R581" i="247" s="1"/>
  <c r="S581" i="247" s="1"/>
  <c r="T581" i="247" s="1"/>
  <c r="U581" i="247" s="1"/>
  <c r="V581" i="247" s="1"/>
  <c r="W581" i="247" s="1"/>
  <c r="X581" i="247" s="1"/>
  <c r="Y581" i="247" s="1"/>
  <c r="Q593" i="247"/>
  <c r="R593" i="247" s="1"/>
  <c r="S593" i="247" s="1"/>
  <c r="T593" i="247" s="1"/>
  <c r="U593" i="247" s="1"/>
  <c r="V593" i="247" s="1"/>
  <c r="W593" i="247" s="1"/>
  <c r="X593" i="247" s="1"/>
  <c r="Y593" i="247" s="1"/>
  <c r="Q598" i="247"/>
  <c r="R598" i="247" s="1"/>
  <c r="S598" i="247" s="1"/>
  <c r="T598" i="247" s="1"/>
  <c r="U598" i="247" s="1"/>
  <c r="V598" i="247" s="1"/>
  <c r="W598" i="247" s="1"/>
  <c r="X598" i="247" s="1"/>
  <c r="Y598" i="247" s="1"/>
  <c r="Q532" i="247"/>
  <c r="R532" i="247" s="1"/>
  <c r="S532" i="247" s="1"/>
  <c r="T532" i="247" s="1"/>
  <c r="U532" i="247" s="1"/>
  <c r="V532" i="247" s="1"/>
  <c r="W532" i="247" s="1"/>
  <c r="X532" i="247" s="1"/>
  <c r="Y532" i="247" s="1"/>
  <c r="Q479" i="247"/>
  <c r="R479" i="247" s="1"/>
  <c r="S479" i="247" s="1"/>
  <c r="T479" i="247" s="1"/>
  <c r="U479" i="247" s="1"/>
  <c r="V479" i="247" s="1"/>
  <c r="W479" i="247" s="1"/>
  <c r="X479" i="247" s="1"/>
  <c r="Y479" i="247" s="1"/>
  <c r="Q649" i="247"/>
  <c r="R649" i="247" s="1"/>
  <c r="S649" i="247" s="1"/>
  <c r="T649" i="247" s="1"/>
  <c r="U649" i="247" s="1"/>
  <c r="V649" i="247" s="1"/>
  <c r="W649" i="247" s="1"/>
  <c r="X649" i="247" s="1"/>
  <c r="Y649" i="247" s="1"/>
  <c r="Q518" i="247"/>
  <c r="R518" i="247" s="1"/>
  <c r="S518" i="247" s="1"/>
  <c r="T518" i="247" s="1"/>
  <c r="U518" i="247" s="1"/>
  <c r="V518" i="247" s="1"/>
  <c r="W518" i="247" s="1"/>
  <c r="X518" i="247" s="1"/>
  <c r="Y518" i="247" s="1"/>
  <c r="Q537" i="247"/>
  <c r="R537" i="247" s="1"/>
  <c r="S537" i="247" s="1"/>
  <c r="T537" i="247" s="1"/>
  <c r="U537" i="247" s="1"/>
  <c r="V537" i="247" s="1"/>
  <c r="W537" i="247" s="1"/>
  <c r="X537" i="247" s="1"/>
  <c r="Y537" i="247" s="1"/>
  <c r="Q574" i="247"/>
  <c r="R574" i="247" s="1"/>
  <c r="S574" i="247" s="1"/>
  <c r="T574" i="247" s="1"/>
  <c r="U574" i="247" s="1"/>
  <c r="V574" i="247" s="1"/>
  <c r="W574" i="247" s="1"/>
  <c r="X574" i="247" s="1"/>
  <c r="Y574" i="247" s="1"/>
  <c r="Q567" i="247"/>
  <c r="R567" i="247" s="1"/>
  <c r="S567" i="247" s="1"/>
  <c r="T567" i="247" s="1"/>
  <c r="U567" i="247" s="1"/>
  <c r="V567" i="247" s="1"/>
  <c r="W567" i="247" s="1"/>
  <c r="X567" i="247" s="1"/>
  <c r="Y567" i="247" s="1"/>
  <c r="Q473" i="247"/>
  <c r="R473" i="247" s="1"/>
  <c r="S473" i="247" s="1"/>
  <c r="T473" i="247" s="1"/>
  <c r="U473" i="247" s="1"/>
  <c r="V473" i="247" s="1"/>
  <c r="W473" i="247" s="1"/>
  <c r="X473" i="247" s="1"/>
  <c r="Y473" i="247" s="1"/>
  <c r="Q516" i="247"/>
  <c r="R516" i="247" s="1"/>
  <c r="S516" i="247" s="1"/>
  <c r="T516" i="247" s="1"/>
  <c r="U516" i="247" s="1"/>
  <c r="V516" i="247" s="1"/>
  <c r="W516" i="247" s="1"/>
  <c r="X516" i="247" s="1"/>
  <c r="Y516" i="247" s="1"/>
  <c r="Q554" i="247"/>
  <c r="R554" i="247" s="1"/>
  <c r="S554" i="247" s="1"/>
  <c r="T554" i="247" s="1"/>
  <c r="U554" i="247" s="1"/>
  <c r="V554" i="247" s="1"/>
  <c r="W554" i="247" s="1"/>
  <c r="X554" i="247" s="1"/>
  <c r="Y554" i="247" s="1"/>
  <c r="Q509" i="247"/>
  <c r="R509" i="247" s="1"/>
  <c r="S509" i="247" s="1"/>
  <c r="T509" i="247" s="1"/>
  <c r="U509" i="247" s="1"/>
  <c r="V509" i="247" s="1"/>
  <c r="W509" i="247" s="1"/>
  <c r="X509" i="247" s="1"/>
  <c r="Y509" i="247" s="1"/>
  <c r="Q446" i="247"/>
  <c r="R446" i="247" s="1"/>
  <c r="S446" i="247" s="1"/>
  <c r="T446" i="247" s="1"/>
  <c r="U446" i="247" s="1"/>
  <c r="V446" i="247" s="1"/>
  <c r="W446" i="247" s="1"/>
  <c r="X446" i="247" s="1"/>
  <c r="Y446" i="247" s="1"/>
  <c r="Q640" i="247"/>
  <c r="R640" i="247" s="1"/>
  <c r="S640" i="247" s="1"/>
  <c r="T640" i="247" s="1"/>
  <c r="U640" i="247" s="1"/>
  <c r="V640" i="247" s="1"/>
  <c r="W640" i="247" s="1"/>
  <c r="X640" i="247" s="1"/>
  <c r="Y640" i="247" s="1"/>
  <c r="L835" i="247"/>
  <c r="Q610" i="247"/>
  <c r="R610" i="247" s="1"/>
  <c r="S610" i="247" s="1"/>
  <c r="T610" i="247" s="1"/>
  <c r="U610" i="247" s="1"/>
  <c r="V610" i="247" s="1"/>
  <c r="W610" i="247" s="1"/>
  <c r="X610" i="247" s="1"/>
  <c r="Y610" i="247" s="1"/>
  <c r="Q658" i="247"/>
  <c r="R658" i="247" s="1"/>
  <c r="S658" i="247" s="1"/>
  <c r="T658" i="247" s="1"/>
  <c r="U658" i="247" s="1"/>
  <c r="V658" i="247" s="1"/>
  <c r="W658" i="247" s="1"/>
  <c r="X658" i="247" s="1"/>
  <c r="Y658" i="247" s="1"/>
  <c r="Q484" i="247"/>
  <c r="R484" i="247" s="1"/>
  <c r="S484" i="247" s="1"/>
  <c r="T484" i="247" s="1"/>
  <c r="U484" i="247" s="1"/>
  <c r="V484" i="247" s="1"/>
  <c r="W484" i="247" s="1"/>
  <c r="X484" i="247" s="1"/>
  <c r="Y484" i="247" s="1"/>
  <c r="L689" i="247"/>
  <c r="O840" i="247"/>
  <c r="N842" i="247"/>
  <c r="N844" i="247" s="1"/>
  <c r="Q540" i="247"/>
  <c r="R540" i="247" s="1"/>
  <c r="S540" i="247" s="1"/>
  <c r="T540" i="247" s="1"/>
  <c r="U540" i="247" s="1"/>
  <c r="V540" i="247" s="1"/>
  <c r="W540" i="247" s="1"/>
  <c r="X540" i="247" s="1"/>
  <c r="Y540" i="247" s="1"/>
  <c r="Q478" i="247"/>
  <c r="R478" i="247" s="1"/>
  <c r="S478" i="247" s="1"/>
  <c r="T478" i="247" s="1"/>
  <c r="U478" i="247" s="1"/>
  <c r="V478" i="247" s="1"/>
  <c r="W478" i="247" s="1"/>
  <c r="X478" i="247" s="1"/>
  <c r="Y478" i="247" s="1"/>
  <c r="Q645" i="247"/>
  <c r="R645" i="247" s="1"/>
  <c r="S645" i="247" s="1"/>
  <c r="T645" i="247" s="1"/>
  <c r="U645" i="247" s="1"/>
  <c r="V645" i="247" s="1"/>
  <c r="W645" i="247" s="1"/>
  <c r="X645" i="247" s="1"/>
  <c r="Y645" i="247" s="1"/>
  <c r="Q463" i="247"/>
  <c r="R463" i="247" s="1"/>
  <c r="S463" i="247" s="1"/>
  <c r="T463" i="247" s="1"/>
  <c r="U463" i="247" s="1"/>
  <c r="V463" i="247" s="1"/>
  <c r="W463" i="247" s="1"/>
  <c r="X463" i="247" s="1"/>
  <c r="Y463" i="247" s="1"/>
  <c r="Q527" i="247"/>
  <c r="R527" i="247" s="1"/>
  <c r="S527" i="247" s="1"/>
  <c r="T527" i="247" s="1"/>
  <c r="U527" i="247" s="1"/>
  <c r="V527" i="247" s="1"/>
  <c r="W527" i="247" s="1"/>
  <c r="X527" i="247" s="1"/>
  <c r="Y527" i="247" s="1"/>
  <c r="Q514" i="247"/>
  <c r="R514" i="247" s="1"/>
  <c r="S514" i="247" s="1"/>
  <c r="T514" i="247" s="1"/>
  <c r="U514" i="247" s="1"/>
  <c r="V514" i="247" s="1"/>
  <c r="W514" i="247" s="1"/>
  <c r="X514" i="247" s="1"/>
  <c r="Y514" i="247" s="1"/>
  <c r="Q653" i="247"/>
  <c r="R653" i="247" s="1"/>
  <c r="S653" i="247" s="1"/>
  <c r="T653" i="247" s="1"/>
  <c r="U653" i="247" s="1"/>
  <c r="V653" i="247" s="1"/>
  <c r="W653" i="247" s="1"/>
  <c r="X653" i="247" s="1"/>
  <c r="Y653" i="247" s="1"/>
  <c r="L795" i="247"/>
  <c r="Q638" i="247"/>
  <c r="R638" i="247" s="1"/>
  <c r="S638" i="247" s="1"/>
  <c r="T638" i="247" s="1"/>
  <c r="U638" i="247" s="1"/>
  <c r="V638" i="247" s="1"/>
  <c r="W638" i="247" s="1"/>
  <c r="X638" i="247" s="1"/>
  <c r="Y638" i="247" s="1"/>
  <c r="Q622" i="247"/>
  <c r="R622" i="247" s="1"/>
  <c r="S622" i="247" s="1"/>
  <c r="T622" i="247" s="1"/>
  <c r="U622" i="247" s="1"/>
  <c r="V622" i="247" s="1"/>
  <c r="W622" i="247" s="1"/>
  <c r="X622" i="247" s="1"/>
  <c r="Y622" i="247" s="1"/>
  <c r="L709" i="247"/>
  <c r="L711" i="247" s="1"/>
  <c r="Q588" i="247"/>
  <c r="R588" i="247" s="1"/>
  <c r="S588" i="247" s="1"/>
  <c r="T588" i="247" s="1"/>
  <c r="U588" i="247" s="1"/>
  <c r="V588" i="247" s="1"/>
  <c r="W588" i="247" s="1"/>
  <c r="X588" i="247" s="1"/>
  <c r="Y588" i="247" s="1"/>
  <c r="Q564" i="247"/>
  <c r="R564" i="247" s="1"/>
  <c r="S564" i="247" s="1"/>
  <c r="T564" i="247" s="1"/>
  <c r="U564" i="247" s="1"/>
  <c r="V564" i="247" s="1"/>
  <c r="W564" i="247" s="1"/>
  <c r="X564" i="247" s="1"/>
  <c r="Y564" i="247" s="1"/>
  <c r="Q505" i="247"/>
  <c r="R505" i="247" s="1"/>
  <c r="S505" i="247" s="1"/>
  <c r="T505" i="247" s="1"/>
  <c r="U505" i="247" s="1"/>
  <c r="V505" i="247" s="1"/>
  <c r="W505" i="247" s="1"/>
  <c r="X505" i="247" s="1"/>
  <c r="Y505" i="247" s="1"/>
  <c r="Q490" i="247"/>
  <c r="R490" i="247" s="1"/>
  <c r="S490" i="247" s="1"/>
  <c r="T490" i="247" s="1"/>
  <c r="U490" i="247" s="1"/>
  <c r="V490" i="247" s="1"/>
  <c r="W490" i="247" s="1"/>
  <c r="X490" i="247" s="1"/>
  <c r="Y490" i="247" s="1"/>
  <c r="Q655" i="247"/>
  <c r="R655" i="247" s="1"/>
  <c r="S655" i="247" s="1"/>
  <c r="T655" i="247" s="1"/>
  <c r="U655" i="247" s="1"/>
  <c r="V655" i="247" s="1"/>
  <c r="W655" i="247" s="1"/>
  <c r="X655" i="247" s="1"/>
  <c r="Y655" i="247" s="1"/>
  <c r="Q600" i="247"/>
  <c r="R600" i="247" s="1"/>
  <c r="S600" i="247" s="1"/>
  <c r="T600" i="247" s="1"/>
  <c r="U600" i="247" s="1"/>
  <c r="V600" i="247" s="1"/>
  <c r="W600" i="247" s="1"/>
  <c r="X600" i="247" s="1"/>
  <c r="Y600" i="247" s="1"/>
  <c r="Q573" i="247"/>
  <c r="R573" i="247" s="1"/>
  <c r="S573" i="247" s="1"/>
  <c r="T573" i="247" s="1"/>
  <c r="U573" i="247" s="1"/>
  <c r="V573" i="247" s="1"/>
  <c r="W573" i="247" s="1"/>
  <c r="X573" i="247" s="1"/>
  <c r="Y573" i="247" s="1"/>
  <c r="Q500" i="247"/>
  <c r="R500" i="247" s="1"/>
  <c r="S500" i="247" s="1"/>
  <c r="T500" i="247" s="1"/>
  <c r="U500" i="247" s="1"/>
  <c r="V500" i="247" s="1"/>
  <c r="W500" i="247" s="1"/>
  <c r="X500" i="247" s="1"/>
  <c r="Y500" i="247" s="1"/>
  <c r="Q480" i="247"/>
  <c r="R480" i="247" s="1"/>
  <c r="S480" i="247" s="1"/>
  <c r="T480" i="247" s="1"/>
  <c r="U480" i="247" s="1"/>
  <c r="V480" i="247" s="1"/>
  <c r="W480" i="247" s="1"/>
  <c r="X480" i="247" s="1"/>
  <c r="Y480" i="247" s="1"/>
  <c r="N796" i="247"/>
  <c r="Q630" i="247"/>
  <c r="R630" i="247" s="1"/>
  <c r="S630" i="247" s="1"/>
  <c r="T630" i="247" s="1"/>
  <c r="U630" i="247" s="1"/>
  <c r="V630" i="247" s="1"/>
  <c r="W630" i="247" s="1"/>
  <c r="X630" i="247" s="1"/>
  <c r="Y630" i="247" s="1"/>
  <c r="Q476" i="247"/>
  <c r="R476" i="247" s="1"/>
  <c r="S476" i="247" s="1"/>
  <c r="T476" i="247" s="1"/>
  <c r="U476" i="247" s="1"/>
  <c r="V476" i="247" s="1"/>
  <c r="W476" i="247" s="1"/>
  <c r="X476" i="247" s="1"/>
  <c r="Y476" i="247" s="1"/>
  <c r="Q559" i="247"/>
  <c r="R559" i="247" s="1"/>
  <c r="S559" i="247" s="1"/>
  <c r="T559" i="247" s="1"/>
  <c r="U559" i="247" s="1"/>
  <c r="V559" i="247" s="1"/>
  <c r="W559" i="247" s="1"/>
  <c r="X559" i="247" s="1"/>
  <c r="Y559" i="247" s="1"/>
  <c r="N835" i="247"/>
  <c r="Q626" i="247"/>
  <c r="R626" i="247" s="1"/>
  <c r="S626" i="247" s="1"/>
  <c r="T626" i="247" s="1"/>
  <c r="U626" i="247" s="1"/>
  <c r="V626" i="247" s="1"/>
  <c r="W626" i="247" s="1"/>
  <c r="X626" i="247" s="1"/>
  <c r="Y626" i="247" s="1"/>
  <c r="P714" i="247"/>
  <c r="O795" i="247"/>
  <c r="Q557" i="247"/>
  <c r="R557" i="247" s="1"/>
  <c r="S557" i="247" s="1"/>
  <c r="T557" i="247" s="1"/>
  <c r="U557" i="247" s="1"/>
  <c r="V557" i="247" s="1"/>
  <c r="W557" i="247" s="1"/>
  <c r="X557" i="247" s="1"/>
  <c r="Y557" i="247" s="1"/>
  <c r="Q481" i="247"/>
  <c r="R481" i="247" s="1"/>
  <c r="S481" i="247" s="1"/>
  <c r="T481" i="247" s="1"/>
  <c r="U481" i="247" s="1"/>
  <c r="V481" i="247" s="1"/>
  <c r="W481" i="247" s="1"/>
  <c r="X481" i="247" s="1"/>
  <c r="Y481" i="247" s="1"/>
  <c r="Q623" i="247"/>
  <c r="R623" i="247" s="1"/>
  <c r="S623" i="247" s="1"/>
  <c r="T623" i="247" s="1"/>
  <c r="U623" i="247" s="1"/>
  <c r="V623" i="247" s="1"/>
  <c r="W623" i="247" s="1"/>
  <c r="X623" i="247" s="1"/>
  <c r="Y623" i="247" s="1"/>
  <c r="P10" i="247"/>
  <c r="O19" i="247"/>
  <c r="Q667" i="247"/>
  <c r="R667" i="247" s="1"/>
  <c r="S667" i="247" s="1"/>
  <c r="T667" i="247" s="1"/>
  <c r="U667" i="247" s="1"/>
  <c r="V667" i="247" s="1"/>
  <c r="W667" i="247" s="1"/>
  <c r="X667" i="247" s="1"/>
  <c r="Y667" i="247" s="1"/>
  <c r="O796" i="247"/>
  <c r="P731" i="247"/>
  <c r="O802" i="247"/>
  <c r="N689" i="247"/>
  <c r="Q520" i="247"/>
  <c r="R520" i="247" s="1"/>
  <c r="S520" i="247" s="1"/>
  <c r="T520" i="247" s="1"/>
  <c r="U520" i="247" s="1"/>
  <c r="V520" i="247" s="1"/>
  <c r="W520" i="247" s="1"/>
  <c r="X520" i="247" s="1"/>
  <c r="Y520" i="247" s="1"/>
  <c r="N19" i="247"/>
  <c r="Q464" i="247"/>
  <c r="R464" i="247" s="1"/>
  <c r="S464" i="247" s="1"/>
  <c r="T464" i="247" s="1"/>
  <c r="U464" i="247" s="1"/>
  <c r="V464" i="247" s="1"/>
  <c r="W464" i="247" s="1"/>
  <c r="X464" i="247" s="1"/>
  <c r="Y464" i="247" s="1"/>
  <c r="Q452" i="247"/>
  <c r="R452" i="247" s="1"/>
  <c r="S452" i="247" s="1"/>
  <c r="T452" i="247" s="1"/>
  <c r="U452" i="247" s="1"/>
  <c r="V452" i="247" s="1"/>
  <c r="W452" i="247" s="1"/>
  <c r="X452" i="247" s="1"/>
  <c r="Y452" i="247" s="1"/>
  <c r="N709" i="247"/>
  <c r="N711" i="247" s="1"/>
  <c r="O694" i="247"/>
  <c r="Q606" i="247"/>
  <c r="R606" i="247" s="1"/>
  <c r="S606" i="247" s="1"/>
  <c r="T606" i="247" s="1"/>
  <c r="U606" i="247" s="1"/>
  <c r="V606" i="247" s="1"/>
  <c r="W606" i="247" s="1"/>
  <c r="X606" i="247" s="1"/>
  <c r="Y606" i="247" s="1"/>
  <c r="Q483" i="247"/>
  <c r="R483" i="247" s="1"/>
  <c r="S483" i="247" s="1"/>
  <c r="T483" i="247" s="1"/>
  <c r="U483" i="247" s="1"/>
  <c r="V483" i="247" s="1"/>
  <c r="W483" i="247" s="1"/>
  <c r="X483" i="247" s="1"/>
  <c r="Y483" i="247" s="1"/>
  <c r="Q456" i="247"/>
  <c r="R456" i="247" s="1"/>
  <c r="S456" i="247" s="1"/>
  <c r="T456" i="247" s="1"/>
  <c r="U456" i="247" s="1"/>
  <c r="V456" i="247" s="1"/>
  <c r="W456" i="247" s="1"/>
  <c r="X456" i="247" s="1"/>
  <c r="Y456" i="247" s="1"/>
  <c r="N795" i="247"/>
  <c r="Q602" i="247"/>
  <c r="R602" i="247" s="1"/>
  <c r="S602" i="247" s="1"/>
  <c r="T602" i="247" s="1"/>
  <c r="U602" i="247" s="1"/>
  <c r="V602" i="247" s="1"/>
  <c r="W602" i="247" s="1"/>
  <c r="X602" i="247" s="1"/>
  <c r="Y602" i="247" s="1"/>
  <c r="O24" i="247"/>
  <c r="L797" i="247" l="1"/>
  <c r="O842" i="247"/>
  <c r="O844" i="247" s="1"/>
  <c r="P840" i="247"/>
  <c r="N797" i="247"/>
  <c r="Q731" i="247"/>
  <c r="P796" i="247"/>
  <c r="Q10" i="247"/>
  <c r="P19" i="247"/>
  <c r="Q714" i="247"/>
  <c r="P795" i="247"/>
  <c r="P797" i="247" s="1"/>
  <c r="P694" i="247"/>
  <c r="O709" i="247"/>
  <c r="O711" i="247" s="1"/>
  <c r="O689" i="247"/>
  <c r="P24" i="247"/>
  <c r="O835" i="247"/>
  <c r="P802" i="247"/>
  <c r="O797" i="247"/>
  <c r="Q840" i="247" l="1"/>
  <c r="P842" i="247"/>
  <c r="P844" i="247" s="1"/>
  <c r="P835" i="247"/>
  <c r="Q802" i="247"/>
  <c r="P709" i="247"/>
  <c r="P711" i="247" s="1"/>
  <c r="Q694" i="247"/>
  <c r="R10" i="247"/>
  <c r="Q19" i="247"/>
  <c r="P689" i="247"/>
  <c r="Q24" i="247"/>
  <c r="Q795" i="247"/>
  <c r="R714" i="247"/>
  <c r="Q796" i="247"/>
  <c r="R731" i="247"/>
  <c r="Q797" i="247" l="1"/>
  <c r="R840" i="247"/>
  <c r="Q842" i="247"/>
  <c r="Q844" i="247" s="1"/>
  <c r="R802" i="247"/>
  <c r="Q835" i="247"/>
  <c r="S731" i="247"/>
  <c r="R796" i="247"/>
  <c r="Q709" i="247"/>
  <c r="Q711" i="247" s="1"/>
  <c r="R694" i="247"/>
  <c r="R795" i="247"/>
  <c r="S714" i="247"/>
  <c r="Q689" i="247"/>
  <c r="R24" i="247"/>
  <c r="R19" i="247"/>
  <c r="S10" i="247"/>
  <c r="S840" i="247" l="1"/>
  <c r="R842" i="247"/>
  <c r="R844" i="247" s="1"/>
  <c r="T10" i="247"/>
  <c r="S19" i="247"/>
  <c r="S795" i="247"/>
  <c r="T714" i="247"/>
  <c r="R709" i="247"/>
  <c r="R711" i="247" s="1"/>
  <c r="S694" i="247"/>
  <c r="S796" i="247"/>
  <c r="T731" i="247"/>
  <c r="R835" i="247"/>
  <c r="S802" i="247"/>
  <c r="R797" i="247"/>
  <c r="R689" i="247"/>
  <c r="S24" i="247"/>
  <c r="T840" i="247" l="1"/>
  <c r="S842" i="247"/>
  <c r="S844" i="247" s="1"/>
  <c r="S689" i="247"/>
  <c r="T24" i="247"/>
  <c r="U714" i="247"/>
  <c r="T795" i="247"/>
  <c r="S797" i="247"/>
  <c r="T796" i="247"/>
  <c r="U731" i="247"/>
  <c r="S835" i="247"/>
  <c r="T802" i="247"/>
  <c r="T694" i="247"/>
  <c r="S709" i="247"/>
  <c r="S711" i="247" s="1"/>
  <c r="T19" i="247"/>
  <c r="U10" i="247"/>
  <c r="T842" i="247" l="1"/>
  <c r="T844" i="247" s="1"/>
  <c r="U840" i="247"/>
  <c r="T797" i="247"/>
  <c r="T689" i="247"/>
  <c r="U24" i="247"/>
  <c r="U694" i="247"/>
  <c r="T709" i="247"/>
  <c r="T711" i="247" s="1"/>
  <c r="U802" i="247"/>
  <c r="T835" i="247"/>
  <c r="U796" i="247"/>
  <c r="V731" i="247"/>
  <c r="V10" i="247"/>
  <c r="U19" i="247"/>
  <c r="V714" i="247"/>
  <c r="U795" i="247"/>
  <c r="U842" i="247" l="1"/>
  <c r="U844" i="247" s="1"/>
  <c r="V840" i="247"/>
  <c r="U709" i="247"/>
  <c r="U711" i="247" s="1"/>
  <c r="V694" i="247"/>
  <c r="V795" i="247"/>
  <c r="W714" i="247"/>
  <c r="V802" i="247"/>
  <c r="U835" i="247"/>
  <c r="V796" i="247"/>
  <c r="W731" i="247"/>
  <c r="U797" i="247"/>
  <c r="V19" i="247"/>
  <c r="W10" i="247"/>
  <c r="U689" i="247"/>
  <c r="V24" i="247"/>
  <c r="V797" i="247" l="1"/>
  <c r="V842" i="247"/>
  <c r="V844" i="247" s="1"/>
  <c r="W840" i="247"/>
  <c r="X10" i="247"/>
  <c r="W19" i="247"/>
  <c r="V835" i="247"/>
  <c r="W802" i="247"/>
  <c r="V709" i="247"/>
  <c r="V711" i="247" s="1"/>
  <c r="W694" i="247"/>
  <c r="V689" i="247"/>
  <c r="W24" i="247"/>
  <c r="W796" i="247"/>
  <c r="X731" i="247"/>
  <c r="W795" i="247"/>
  <c r="X714" i="247"/>
  <c r="W797" i="247" l="1"/>
  <c r="W842" i="247"/>
  <c r="W844" i="247" s="1"/>
  <c r="X840" i="247"/>
  <c r="Y714" i="247"/>
  <c r="X795" i="247"/>
  <c r="X694" i="247"/>
  <c r="W709" i="247"/>
  <c r="W711" i="247" s="1"/>
  <c r="W835" i="247"/>
  <c r="X802" i="247"/>
  <c r="W689" i="247"/>
  <c r="X24" i="247"/>
  <c r="Y10" i="247"/>
  <c r="Y19" i="247" s="1"/>
  <c r="X19" i="247"/>
  <c r="Y731" i="247"/>
  <c r="Y796" i="247" s="1"/>
  <c r="X796" i="247"/>
  <c r="Y840" i="247" l="1"/>
  <c r="Y842" i="247" s="1"/>
  <c r="Y844" i="247" s="1"/>
  <c r="X842" i="247"/>
  <c r="X844" i="247" s="1"/>
  <c r="X835" i="247"/>
  <c r="Y802" i="247"/>
  <c r="Y835" i="247" s="1"/>
  <c r="X797" i="247"/>
  <c r="X689" i="247"/>
  <c r="Y24" i="247"/>
  <c r="Y689" i="247" s="1"/>
  <c r="X709" i="247"/>
  <c r="X711" i="247" s="1"/>
  <c r="Y694" i="247"/>
  <c r="Y709" i="247" s="1"/>
  <c r="Y711" i="247" s="1"/>
  <c r="Y795" i="247"/>
  <c r="Y797" i="247" s="1"/>
  <c r="A4" i="247" l="1"/>
  <c r="A2" i="247"/>
  <c r="A1" i="247"/>
  <c r="A4" i="246"/>
  <c r="A2" i="246"/>
  <c r="A1" i="246"/>
  <c r="G14" i="245"/>
  <c r="I14" i="245"/>
  <c r="K14" i="245"/>
  <c r="A4" i="245"/>
  <c r="A2" i="245"/>
  <c r="A1" i="245"/>
  <c r="A4" i="244" l="1"/>
  <c r="A2" i="244"/>
  <c r="A1" i="244"/>
  <c r="E11" i="244"/>
  <c r="H86" i="9" s="1"/>
  <c r="F37" i="19" l="1"/>
  <c r="E42" i="10" l="1"/>
  <c r="F16" i="21" l="1"/>
  <c r="K10" i="242"/>
  <c r="G15" i="12" s="1"/>
  <c r="K9" i="242"/>
  <c r="G14" i="12" s="1"/>
  <c r="I12" i="242"/>
  <c r="G12" i="242"/>
  <c r="E12" i="242"/>
  <c r="K12" i="242" l="1"/>
  <c r="A4" i="242" l="1"/>
  <c r="A2" i="242"/>
  <c r="A1" i="242"/>
  <c r="K28" i="243" l="1"/>
  <c r="I28" i="243"/>
  <c r="Z395" i="221" l="1"/>
  <c r="F20" i="241" l="1"/>
  <c r="L18" i="241"/>
  <c r="L17" i="241"/>
  <c r="L16" i="241"/>
  <c r="L15" i="241"/>
  <c r="L14" i="241"/>
  <c r="L13" i="241"/>
  <c r="L12" i="241"/>
  <c r="L11" i="241"/>
  <c r="J20" i="241"/>
  <c r="L10" i="241"/>
  <c r="L9" i="241"/>
  <c r="L20" i="241" l="1"/>
  <c r="H20" i="241"/>
  <c r="H89" i="9" s="1"/>
  <c r="A3" i="228" l="1"/>
  <c r="M4" i="240" l="1"/>
  <c r="C16" i="39" s="1"/>
  <c r="M3" i="240"/>
  <c r="C15" i="39" s="1"/>
  <c r="M5" i="240"/>
  <c r="C7" i="39" s="1"/>
  <c r="H76" i="240"/>
  <c r="M2" i="240" s="1"/>
  <c r="C17" i="39" s="1"/>
  <c r="G76" i="240"/>
  <c r="F76" i="240"/>
  <c r="E76" i="240"/>
  <c r="D76" i="240"/>
  <c r="C76" i="240"/>
  <c r="D2" i="240"/>
  <c r="E2" i="240" s="1"/>
  <c r="F2" i="240" s="1"/>
  <c r="G2" i="240" s="1"/>
  <c r="H2" i="240" s="1"/>
  <c r="A1" i="237" l="1"/>
  <c r="F30" i="19" l="1"/>
  <c r="F32" i="19"/>
  <c r="F31" i="19"/>
  <c r="K65" i="19"/>
  <c r="E65" i="19" s="1"/>
  <c r="I22" i="19" l="1"/>
  <c r="F166" i="9" l="1"/>
  <c r="N139" i="9"/>
  <c r="L139" i="9"/>
  <c r="H139" i="9"/>
  <c r="F139" i="9"/>
  <c r="L12" i="9" l="1"/>
  <c r="H58" i="9"/>
  <c r="L50" i="9"/>
  <c r="L47" i="9"/>
  <c r="A4" i="235"/>
  <c r="A2" i="235"/>
  <c r="A1" i="235"/>
  <c r="A4" i="214"/>
  <c r="A2" i="214"/>
  <c r="A1" i="214"/>
  <c r="A5" i="215"/>
  <c r="A2" i="215"/>
  <c r="A1" i="215"/>
  <c r="A4" i="45"/>
  <c r="A2" i="45"/>
  <c r="A1" i="45"/>
  <c r="A4" i="216"/>
  <c r="A2" i="216"/>
  <c r="A1" i="216"/>
  <c r="A4" i="57"/>
  <c r="A2" i="57"/>
  <c r="A1" i="57"/>
  <c r="A4" i="56"/>
  <c r="A2" i="56"/>
  <c r="A1" i="56"/>
  <c r="A4" i="29"/>
  <c r="A2" i="29"/>
  <c r="A1" i="29"/>
  <c r="A4" i="229"/>
  <c r="A2" i="229"/>
  <c r="A1" i="229"/>
  <c r="A5" i="213"/>
  <c r="A2" i="213"/>
  <c r="A1" i="213"/>
  <c r="A4" i="2"/>
  <c r="A2" i="2"/>
  <c r="A1" i="2"/>
  <c r="A4" i="234"/>
  <c r="A2" i="234"/>
  <c r="A1" i="234"/>
  <c r="A4" i="221"/>
  <c r="A2" i="221"/>
  <c r="A1" i="221"/>
  <c r="A4" i="12"/>
  <c r="A2" i="12"/>
  <c r="A1" i="222"/>
  <c r="A1" i="12"/>
  <c r="A4" i="233"/>
  <c r="A2" i="233"/>
  <c r="A1" i="233"/>
  <c r="A4" i="222"/>
  <c r="A2" i="222"/>
  <c r="A4" i="9"/>
  <c r="A2" i="9"/>
  <c r="A1" i="9"/>
  <c r="D4" i="30"/>
  <c r="D2" i="30"/>
  <c r="C1" i="30"/>
  <c r="A2" i="212"/>
  <c r="A1" i="212"/>
  <c r="B620" i="212" l="1"/>
  <c r="E435" i="211"/>
  <c r="D435" i="211"/>
  <c r="E620" i="212" s="1"/>
  <c r="C620" i="212" s="1"/>
  <c r="F620" i="212" s="1"/>
  <c r="F582" i="212"/>
  <c r="B582" i="212"/>
  <c r="D409" i="211"/>
  <c r="E409" i="211"/>
  <c r="B502" i="212"/>
  <c r="E344" i="211"/>
  <c r="D344" i="211"/>
  <c r="E502" i="212" s="1"/>
  <c r="B481" i="212"/>
  <c r="E329" i="211"/>
  <c r="D329" i="211"/>
  <c r="E481" i="212" s="1"/>
  <c r="B417" i="212"/>
  <c r="C419" i="212"/>
  <c r="D419" i="212"/>
  <c r="E282" i="211"/>
  <c r="D282" i="211"/>
  <c r="B351" i="212"/>
  <c r="B349" i="212"/>
  <c r="E249" i="211"/>
  <c r="D249" i="211"/>
  <c r="E351" i="212" s="1"/>
  <c r="F351" i="212" s="1"/>
  <c r="E247" i="211"/>
  <c r="D247" i="211"/>
  <c r="E349" i="212" s="1"/>
  <c r="D349" i="212" s="1"/>
  <c r="E246" i="211"/>
  <c r="D246" i="211"/>
  <c r="E348" i="212" s="1"/>
  <c r="D348" i="212" s="1"/>
  <c r="B348" i="212"/>
  <c r="B345" i="212"/>
  <c r="E243" i="211"/>
  <c r="D243" i="211"/>
  <c r="B329" i="212"/>
  <c r="E235" i="211"/>
  <c r="D235" i="211"/>
  <c r="E329" i="212" s="1"/>
  <c r="B270" i="212"/>
  <c r="E207" i="211"/>
  <c r="D207" i="211"/>
  <c r="E270" i="212" s="1"/>
  <c r="E202" i="211"/>
  <c r="D202" i="211"/>
  <c r="B265" i="212"/>
  <c r="B259" i="212"/>
  <c r="D200" i="211"/>
  <c r="E200" i="211"/>
  <c r="B243" i="212"/>
  <c r="E186" i="211"/>
  <c r="D186" i="211"/>
  <c r="E243" i="212" s="1"/>
  <c r="C243" i="212" s="1"/>
  <c r="F243" i="212" s="1"/>
  <c r="B230" i="212"/>
  <c r="D176" i="211"/>
  <c r="E230" i="212" s="1"/>
  <c r="C230" i="212" s="1"/>
  <c r="E176" i="211"/>
  <c r="D332" i="235"/>
  <c r="D331" i="235"/>
  <c r="D329" i="235"/>
  <c r="B664" i="212"/>
  <c r="D3" i="211"/>
  <c r="D4" i="211"/>
  <c r="D5" i="211"/>
  <c r="D6" i="211"/>
  <c r="D7" i="211"/>
  <c r="D8" i="211"/>
  <c r="D9" i="211"/>
  <c r="D10" i="211"/>
  <c r="D11" i="211"/>
  <c r="D12" i="211"/>
  <c r="D13" i="211"/>
  <c r="D14" i="211"/>
  <c r="D15" i="211"/>
  <c r="D16" i="211"/>
  <c r="D17" i="211"/>
  <c r="D18" i="211"/>
  <c r="D19" i="211"/>
  <c r="D20" i="211"/>
  <c r="D21" i="211"/>
  <c r="D22" i="211"/>
  <c r="D23" i="211"/>
  <c r="D24" i="211"/>
  <c r="D25" i="211"/>
  <c r="D26" i="211"/>
  <c r="D27" i="211"/>
  <c r="D28" i="211"/>
  <c r="D29" i="211"/>
  <c r="D30" i="211"/>
  <c r="D31" i="211"/>
  <c r="D32" i="211"/>
  <c r="D33" i="211"/>
  <c r="D34" i="211"/>
  <c r="D35" i="211"/>
  <c r="D36" i="211"/>
  <c r="D37" i="211"/>
  <c r="D38" i="211"/>
  <c r="D39" i="211"/>
  <c r="D40" i="211"/>
  <c r="D41" i="211"/>
  <c r="D42" i="211"/>
  <c r="D43" i="211"/>
  <c r="D44" i="211"/>
  <c r="D45" i="211"/>
  <c r="D46" i="211"/>
  <c r="D47" i="211"/>
  <c r="D48" i="211"/>
  <c r="D49" i="211"/>
  <c r="D50" i="211"/>
  <c r="D51" i="211"/>
  <c r="D52" i="211"/>
  <c r="D53" i="211"/>
  <c r="D54" i="211"/>
  <c r="D55" i="211"/>
  <c r="D56" i="211"/>
  <c r="D57" i="211"/>
  <c r="D58" i="211"/>
  <c r="D59" i="211"/>
  <c r="D60" i="211"/>
  <c r="D61" i="211"/>
  <c r="D62" i="211"/>
  <c r="D63" i="211"/>
  <c r="D64" i="211"/>
  <c r="D65" i="211"/>
  <c r="D66" i="211"/>
  <c r="D67" i="211"/>
  <c r="D68" i="211"/>
  <c r="D69" i="211"/>
  <c r="D70" i="211"/>
  <c r="D71" i="211"/>
  <c r="D72" i="211"/>
  <c r="D73" i="211"/>
  <c r="D74" i="211"/>
  <c r="D75" i="211"/>
  <c r="D76" i="211"/>
  <c r="D77" i="211"/>
  <c r="D78" i="211"/>
  <c r="D79" i="211"/>
  <c r="D80" i="211"/>
  <c r="D81" i="211"/>
  <c r="D82" i="211"/>
  <c r="D83" i="211"/>
  <c r="D84" i="211"/>
  <c r="D85" i="211"/>
  <c r="D86" i="211"/>
  <c r="D87" i="211"/>
  <c r="D88" i="211"/>
  <c r="D89" i="211"/>
  <c r="D90" i="211"/>
  <c r="D91" i="211"/>
  <c r="D92" i="211"/>
  <c r="D93" i="211"/>
  <c r="D94" i="211"/>
  <c r="D95" i="211"/>
  <c r="D96" i="211"/>
  <c r="D97" i="211"/>
  <c r="D98" i="211"/>
  <c r="D99" i="211"/>
  <c r="D100" i="211"/>
  <c r="D101" i="211"/>
  <c r="D102" i="211"/>
  <c r="D103" i="211"/>
  <c r="D104" i="211"/>
  <c r="D105" i="211"/>
  <c r="D106" i="211"/>
  <c r="D107" i="211"/>
  <c r="D108" i="211"/>
  <c r="D109" i="211"/>
  <c r="D110" i="211"/>
  <c r="D111" i="211"/>
  <c r="D112" i="211"/>
  <c r="D113" i="211"/>
  <c r="D114" i="211"/>
  <c r="D115" i="211"/>
  <c r="D116" i="211"/>
  <c r="D117" i="211"/>
  <c r="D118" i="211"/>
  <c r="D119" i="211"/>
  <c r="D120" i="211"/>
  <c r="D121" i="211"/>
  <c r="D122" i="211"/>
  <c r="D123" i="211"/>
  <c r="D124" i="211"/>
  <c r="D125" i="211"/>
  <c r="D126" i="211"/>
  <c r="D127" i="211"/>
  <c r="D128" i="211"/>
  <c r="D129" i="211"/>
  <c r="D130" i="211"/>
  <c r="D131" i="211"/>
  <c r="D132" i="211"/>
  <c r="D133" i="211"/>
  <c r="D134" i="211"/>
  <c r="D135" i="211"/>
  <c r="D136" i="211"/>
  <c r="D137" i="211"/>
  <c r="D138" i="211"/>
  <c r="D139" i="211"/>
  <c r="D140" i="211"/>
  <c r="D141" i="211"/>
  <c r="D142" i="211"/>
  <c r="D143" i="211"/>
  <c r="D144" i="211"/>
  <c r="D145" i="211"/>
  <c r="D146" i="211"/>
  <c r="D147" i="211"/>
  <c r="D148" i="211"/>
  <c r="D149" i="211"/>
  <c r="D150" i="211"/>
  <c r="D151" i="211"/>
  <c r="D152" i="211"/>
  <c r="D153" i="211"/>
  <c r="D154" i="211"/>
  <c r="D155" i="211"/>
  <c r="D156" i="211"/>
  <c r="D157" i="211"/>
  <c r="D158" i="211"/>
  <c r="D159" i="211"/>
  <c r="D160" i="211"/>
  <c r="D161" i="211"/>
  <c r="D162" i="211"/>
  <c r="D163" i="211"/>
  <c r="D164" i="211"/>
  <c r="D165" i="211"/>
  <c r="D166" i="211"/>
  <c r="D167" i="211"/>
  <c r="D168" i="211"/>
  <c r="D169" i="211"/>
  <c r="D170" i="211"/>
  <c r="D171" i="211"/>
  <c r="D172" i="211"/>
  <c r="D173" i="211"/>
  <c r="D174" i="211"/>
  <c r="D175" i="211"/>
  <c r="D177" i="211"/>
  <c r="D178" i="211"/>
  <c r="D179" i="211"/>
  <c r="D180" i="211"/>
  <c r="D181" i="211"/>
  <c r="D182" i="211"/>
  <c r="D183" i="211"/>
  <c r="D184" i="211"/>
  <c r="D185" i="211"/>
  <c r="D187" i="211"/>
  <c r="D188" i="211"/>
  <c r="D189" i="211"/>
  <c r="D190" i="211"/>
  <c r="D191" i="211"/>
  <c r="D192" i="211"/>
  <c r="D193" i="211"/>
  <c r="D194" i="211"/>
  <c r="D195" i="211"/>
  <c r="D196" i="211"/>
  <c r="D197" i="211"/>
  <c r="D198" i="211"/>
  <c r="D199" i="211"/>
  <c r="D201" i="211"/>
  <c r="D203" i="211"/>
  <c r="D204" i="211"/>
  <c r="D205" i="211"/>
  <c r="D206" i="211"/>
  <c r="D208" i="211"/>
  <c r="D209" i="211"/>
  <c r="D210" i="211"/>
  <c r="D211" i="211"/>
  <c r="D212" i="211"/>
  <c r="D213" i="211"/>
  <c r="D214" i="211"/>
  <c r="D215" i="211"/>
  <c r="D216" i="211"/>
  <c r="D217" i="211"/>
  <c r="D218" i="211"/>
  <c r="D219" i="211"/>
  <c r="D220" i="211"/>
  <c r="D221" i="211"/>
  <c r="D222" i="211"/>
  <c r="D223" i="211"/>
  <c r="D224" i="211"/>
  <c r="D225" i="211"/>
  <c r="D226" i="211"/>
  <c r="D227" i="211"/>
  <c r="D228" i="211"/>
  <c r="D229" i="211"/>
  <c r="D230" i="211"/>
  <c r="D231" i="211"/>
  <c r="D232" i="211"/>
  <c r="D233" i="211"/>
  <c r="D234" i="211"/>
  <c r="D236" i="211"/>
  <c r="D237" i="211"/>
  <c r="D238" i="211"/>
  <c r="D239" i="211"/>
  <c r="D240" i="211"/>
  <c r="D241" i="211"/>
  <c r="D242" i="211"/>
  <c r="D244" i="211"/>
  <c r="D245" i="211"/>
  <c r="D248" i="211"/>
  <c r="D250" i="211"/>
  <c r="D251" i="211"/>
  <c r="D252" i="211"/>
  <c r="D253" i="211"/>
  <c r="D254" i="211"/>
  <c r="D255" i="211"/>
  <c r="D256" i="211"/>
  <c r="D257" i="211"/>
  <c r="D258" i="211"/>
  <c r="D259" i="211"/>
  <c r="D260" i="211"/>
  <c r="D261" i="211"/>
  <c r="D262" i="211"/>
  <c r="D263" i="211"/>
  <c r="D264" i="211"/>
  <c r="D265" i="211"/>
  <c r="D266" i="211"/>
  <c r="D267" i="211"/>
  <c r="D268" i="211"/>
  <c r="D269" i="211"/>
  <c r="D270" i="211"/>
  <c r="D271" i="211"/>
  <c r="D272" i="211"/>
  <c r="D273" i="211"/>
  <c r="D274" i="211"/>
  <c r="D275" i="211"/>
  <c r="D276" i="211"/>
  <c r="D277" i="211"/>
  <c r="D278" i="211"/>
  <c r="D279" i="211"/>
  <c r="D280" i="211"/>
  <c r="D281" i="211"/>
  <c r="D283" i="211"/>
  <c r="D284" i="211"/>
  <c r="D285" i="211"/>
  <c r="D286" i="211"/>
  <c r="D287" i="211"/>
  <c r="D288" i="211"/>
  <c r="D289" i="211"/>
  <c r="D290" i="211"/>
  <c r="D291" i="211"/>
  <c r="D292" i="211"/>
  <c r="D293" i="211"/>
  <c r="D294" i="211"/>
  <c r="D295" i="211"/>
  <c r="D296" i="211"/>
  <c r="D297" i="211"/>
  <c r="D298" i="211"/>
  <c r="D299" i="211"/>
  <c r="D300" i="211"/>
  <c r="D301" i="211"/>
  <c r="D302" i="211"/>
  <c r="D303" i="211"/>
  <c r="D304" i="211"/>
  <c r="D305" i="211"/>
  <c r="D306" i="211"/>
  <c r="D307" i="211"/>
  <c r="D308" i="211"/>
  <c r="D309" i="211"/>
  <c r="D310" i="211"/>
  <c r="D311" i="211"/>
  <c r="D312" i="211"/>
  <c r="D313" i="211"/>
  <c r="D314" i="211"/>
  <c r="D315" i="211"/>
  <c r="D316" i="211"/>
  <c r="D317" i="211"/>
  <c r="D318" i="211"/>
  <c r="D319" i="211"/>
  <c r="D320" i="211"/>
  <c r="D321" i="211"/>
  <c r="D322" i="211"/>
  <c r="D323" i="211"/>
  <c r="D324" i="211"/>
  <c r="D325" i="211"/>
  <c r="D326" i="211"/>
  <c r="D327" i="211"/>
  <c r="D328" i="211"/>
  <c r="D330" i="211"/>
  <c r="D331" i="211"/>
  <c r="D332" i="211"/>
  <c r="D333" i="211"/>
  <c r="D334" i="211"/>
  <c r="D335" i="211"/>
  <c r="D336" i="211"/>
  <c r="D337" i="211"/>
  <c r="D338" i="211"/>
  <c r="D339" i="211"/>
  <c r="D340" i="211"/>
  <c r="D341" i="211"/>
  <c r="D342" i="211"/>
  <c r="D343" i="211"/>
  <c r="D345" i="211"/>
  <c r="D346" i="211"/>
  <c r="D347" i="211"/>
  <c r="D348" i="211"/>
  <c r="D349" i="211"/>
  <c r="D350" i="211"/>
  <c r="D351" i="211"/>
  <c r="D352" i="211"/>
  <c r="D353" i="211"/>
  <c r="D354" i="211"/>
  <c r="D355" i="211"/>
  <c r="D356" i="211"/>
  <c r="D357" i="211"/>
  <c r="D358" i="211"/>
  <c r="D359" i="211"/>
  <c r="D360" i="211"/>
  <c r="D361" i="211"/>
  <c r="D362" i="211"/>
  <c r="D363" i="211"/>
  <c r="D364" i="211"/>
  <c r="D365" i="211"/>
  <c r="D366" i="211"/>
  <c r="D367" i="211"/>
  <c r="D368" i="211"/>
  <c r="D369" i="211"/>
  <c r="D370" i="211"/>
  <c r="D371" i="211"/>
  <c r="D372" i="211"/>
  <c r="D373" i="211"/>
  <c r="D374" i="211"/>
  <c r="D375" i="211"/>
  <c r="D376" i="211"/>
  <c r="D377" i="211"/>
  <c r="D378" i="211"/>
  <c r="D379" i="211"/>
  <c r="D380" i="211"/>
  <c r="D381" i="211"/>
  <c r="D382" i="211"/>
  <c r="D383" i="211"/>
  <c r="D384" i="211"/>
  <c r="D385" i="211"/>
  <c r="D386" i="211"/>
  <c r="D387" i="211"/>
  <c r="D388" i="211"/>
  <c r="D389" i="211"/>
  <c r="D390" i="211"/>
  <c r="D391" i="211"/>
  <c r="D392" i="211"/>
  <c r="D393" i="211"/>
  <c r="D394" i="211"/>
  <c r="D395" i="211"/>
  <c r="D396" i="211"/>
  <c r="D397" i="211"/>
  <c r="D398" i="211"/>
  <c r="D399" i="211"/>
  <c r="D400" i="211"/>
  <c r="D401" i="211"/>
  <c r="D402" i="211"/>
  <c r="D403" i="211"/>
  <c r="D404" i="211"/>
  <c r="D405" i="211"/>
  <c r="D406" i="211"/>
  <c r="D407" i="211"/>
  <c r="D408" i="211"/>
  <c r="D410" i="211"/>
  <c r="D411" i="211"/>
  <c r="D412" i="211"/>
  <c r="D413" i="211"/>
  <c r="D414" i="211"/>
  <c r="D415" i="211"/>
  <c r="D416" i="211"/>
  <c r="D417" i="211"/>
  <c r="D418" i="211"/>
  <c r="D419" i="211"/>
  <c r="D420" i="211"/>
  <c r="D421" i="211"/>
  <c r="D422" i="211"/>
  <c r="D423" i="211"/>
  <c r="D424" i="211"/>
  <c r="D425" i="211"/>
  <c r="D426" i="211"/>
  <c r="D427" i="211"/>
  <c r="D428" i="211"/>
  <c r="D429" i="211"/>
  <c r="D430" i="211"/>
  <c r="D431" i="211"/>
  <c r="D432" i="211"/>
  <c r="D433" i="211"/>
  <c r="D434" i="211"/>
  <c r="D436" i="211"/>
  <c r="D437" i="211"/>
  <c r="D438" i="211"/>
  <c r="D439" i="211"/>
  <c r="D440" i="211"/>
  <c r="D441" i="211"/>
  <c r="D442" i="211"/>
  <c r="D443" i="211"/>
  <c r="D444" i="211"/>
  <c r="D445" i="211"/>
  <c r="D446" i="211"/>
  <c r="D447" i="211"/>
  <c r="D448" i="211"/>
  <c r="D449" i="211"/>
  <c r="D450" i="211"/>
  <c r="D451" i="211"/>
  <c r="D452" i="211"/>
  <c r="D453" i="211"/>
  <c r="D454" i="211"/>
  <c r="D455" i="211"/>
  <c r="D456" i="211"/>
  <c r="D457" i="211"/>
  <c r="D458" i="211"/>
  <c r="D459" i="211"/>
  <c r="E664" i="212" s="1"/>
  <c r="D460" i="211"/>
  <c r="D461" i="211"/>
  <c r="D462" i="211"/>
  <c r="D463" i="211"/>
  <c r="D464" i="211"/>
  <c r="D2" i="211"/>
  <c r="F230" i="212" l="1"/>
  <c r="G230" i="212" s="1"/>
  <c r="D11" i="264"/>
  <c r="F11" i="264" s="1"/>
  <c r="D333" i="235"/>
  <c r="G620" i="212"/>
  <c r="E582" i="212"/>
  <c r="E417" i="212"/>
  <c r="D351" i="212"/>
  <c r="G351" i="212"/>
  <c r="F349" i="212"/>
  <c r="G349" i="212" s="1"/>
  <c r="E345" i="212"/>
  <c r="F348" i="212"/>
  <c r="G348" i="212" s="1"/>
  <c r="E265" i="212"/>
  <c r="E259" i="212"/>
  <c r="G243" i="212"/>
  <c r="C345" i="212" l="1"/>
  <c r="F345" i="212" s="1"/>
  <c r="G345" i="212" s="1"/>
  <c r="E16" i="266"/>
  <c r="O16" i="266" s="1"/>
  <c r="G582" i="212"/>
  <c r="D582" i="212"/>
  <c r="I55" i="225" l="1"/>
  <c r="G55" i="225"/>
  <c r="C55" i="225"/>
  <c r="A2" i="231" l="1"/>
  <c r="B13" i="224" l="1"/>
  <c r="E61" i="19"/>
  <c r="E62" i="19" s="1"/>
  <c r="E66" i="19" s="1"/>
  <c r="E67" i="19" l="1"/>
  <c r="I45" i="19" s="1"/>
  <c r="R71" i="232"/>
  <c r="J71" i="232"/>
  <c r="I71" i="232"/>
  <c r="P63" i="232"/>
  <c r="P58" i="232"/>
  <c r="H58" i="232"/>
  <c r="R56" i="232"/>
  <c r="O56" i="232"/>
  <c r="J56" i="232"/>
  <c r="J59" i="232" s="1"/>
  <c r="H48" i="232"/>
  <c r="R46" i="232"/>
  <c r="O46" i="232"/>
  <c r="J46" i="232"/>
  <c r="K46" i="232"/>
  <c r="K49" i="232" s="1"/>
  <c r="I46" i="232"/>
  <c r="S46" i="232"/>
  <c r="R39" i="232"/>
  <c r="O39" i="232"/>
  <c r="J39" i="232"/>
  <c r="P37" i="232"/>
  <c r="H37" i="232"/>
  <c r="L179" i="231"/>
  <c r="N179" i="231" s="1"/>
  <c r="P179" i="231" s="1"/>
  <c r="L178" i="231"/>
  <c r="H180" i="231"/>
  <c r="H175" i="231"/>
  <c r="L174" i="231"/>
  <c r="L173" i="231"/>
  <c r="H170" i="231"/>
  <c r="L169" i="231"/>
  <c r="L168" i="231"/>
  <c r="H165" i="231"/>
  <c r="L164" i="231"/>
  <c r="L163" i="231"/>
  <c r="L159" i="231"/>
  <c r="L158" i="231"/>
  <c r="H158" i="231"/>
  <c r="H160" i="231" s="1"/>
  <c r="H155" i="231"/>
  <c r="L154" i="231"/>
  <c r="L153" i="231"/>
  <c r="L152" i="231"/>
  <c r="L151" i="231"/>
  <c r="L150" i="231"/>
  <c r="L149" i="231"/>
  <c r="L148" i="231"/>
  <c r="L147" i="231"/>
  <c r="L146" i="231"/>
  <c r="H140" i="231"/>
  <c r="F75" i="232" s="1"/>
  <c r="L139" i="231"/>
  <c r="L138" i="231"/>
  <c r="L137" i="231"/>
  <c r="L136" i="231"/>
  <c r="L135" i="231"/>
  <c r="L134" i="231"/>
  <c r="L133" i="231"/>
  <c r="L132" i="231"/>
  <c r="L131" i="231"/>
  <c r="L130" i="231"/>
  <c r="L129" i="231"/>
  <c r="L119" i="231"/>
  <c r="J119" i="231"/>
  <c r="L118" i="231"/>
  <c r="J118" i="231"/>
  <c r="P118" i="231"/>
  <c r="J117" i="231"/>
  <c r="J116" i="231"/>
  <c r="L115" i="231"/>
  <c r="J115" i="231"/>
  <c r="L111" i="231"/>
  <c r="L110" i="231"/>
  <c r="L107" i="231"/>
  <c r="L103" i="231"/>
  <c r="L102" i="231"/>
  <c r="L99" i="231"/>
  <c r="H95" i="231"/>
  <c r="H94" i="231"/>
  <c r="L93" i="231"/>
  <c r="H93" i="231"/>
  <c r="H92" i="231"/>
  <c r="H91" i="231"/>
  <c r="L90" i="231"/>
  <c r="H90" i="231"/>
  <c r="L89" i="231"/>
  <c r="H89" i="231"/>
  <c r="H88" i="231"/>
  <c r="H87" i="231"/>
  <c r="L86" i="231"/>
  <c r="L85" i="231"/>
  <c r="H83" i="231"/>
  <c r="H82" i="231" s="1"/>
  <c r="L82" i="231"/>
  <c r="L81" i="231"/>
  <c r="H79" i="231"/>
  <c r="H78" i="231" s="1"/>
  <c r="L78" i="231"/>
  <c r="L76" i="231"/>
  <c r="H76" i="231"/>
  <c r="L75" i="231"/>
  <c r="H75" i="231"/>
  <c r="L74" i="231"/>
  <c r="L73" i="231"/>
  <c r="L69" i="231"/>
  <c r="L62" i="231"/>
  <c r="L61" i="231"/>
  <c r="L60" i="231"/>
  <c r="L59" i="231"/>
  <c r="L58" i="231"/>
  <c r="L57" i="231"/>
  <c r="L56" i="231"/>
  <c r="L55" i="231"/>
  <c r="L54" i="231"/>
  <c r="L53" i="231"/>
  <c r="U52" i="231"/>
  <c r="L52" i="231"/>
  <c r="U51" i="231"/>
  <c r="L51" i="231"/>
  <c r="U50" i="231"/>
  <c r="J93" i="231" s="1"/>
  <c r="L50" i="231"/>
  <c r="U49" i="231"/>
  <c r="J92" i="231" s="1"/>
  <c r="L49" i="231"/>
  <c r="U48" i="231"/>
  <c r="J86" i="231" s="1"/>
  <c r="L48" i="231"/>
  <c r="U47" i="231"/>
  <c r="J84" i="231" s="1"/>
  <c r="L47" i="231"/>
  <c r="U46" i="231"/>
  <c r="J80" i="231" s="1"/>
  <c r="L46" i="231"/>
  <c r="U45" i="231"/>
  <c r="J76" i="231" s="1"/>
  <c r="L45" i="231"/>
  <c r="U44" i="231"/>
  <c r="J72" i="231" s="1"/>
  <c r="L44" i="231"/>
  <c r="U43" i="231"/>
  <c r="J71" i="231" s="1"/>
  <c r="L43" i="231"/>
  <c r="U42" i="231"/>
  <c r="L42" i="231"/>
  <c r="U41" i="231"/>
  <c r="L41" i="231"/>
  <c r="U40" i="231"/>
  <c r="J67" i="231" s="1"/>
  <c r="L40" i="231"/>
  <c r="U39" i="231"/>
  <c r="L39" i="231"/>
  <c r="U38" i="231"/>
  <c r="L38" i="231"/>
  <c r="U37" i="231"/>
  <c r="J150" i="231" s="1"/>
  <c r="L37" i="231"/>
  <c r="U36" i="231"/>
  <c r="J130" i="231" s="1"/>
  <c r="L36" i="231"/>
  <c r="U35" i="231"/>
  <c r="J149" i="231" s="1"/>
  <c r="L35" i="231"/>
  <c r="U34" i="231"/>
  <c r="J129" i="231" s="1"/>
  <c r="L34" i="231"/>
  <c r="U33" i="231"/>
  <c r="L33" i="231"/>
  <c r="U32" i="231"/>
  <c r="L32" i="231"/>
  <c r="U31" i="231"/>
  <c r="J146" i="231" s="1"/>
  <c r="L31" i="231"/>
  <c r="U30" i="231"/>
  <c r="L30" i="231"/>
  <c r="U29" i="231"/>
  <c r="L29" i="231"/>
  <c r="U28" i="231"/>
  <c r="J34" i="231" s="1"/>
  <c r="L28" i="231"/>
  <c r="U27" i="231"/>
  <c r="L27" i="231"/>
  <c r="U26" i="231"/>
  <c r="L26" i="231"/>
  <c r="U25" i="231"/>
  <c r="L25" i="231"/>
  <c r="U24" i="231"/>
  <c r="J11" i="231" s="1"/>
  <c r="L24" i="231"/>
  <c r="U23" i="231"/>
  <c r="L23" i="231"/>
  <c r="U22" i="231"/>
  <c r="L22" i="231"/>
  <c r="U21" i="231"/>
  <c r="L21" i="231"/>
  <c r="U20" i="231"/>
  <c r="L20" i="231"/>
  <c r="U19" i="231"/>
  <c r="L19" i="231"/>
  <c r="U18" i="231"/>
  <c r="L18" i="231"/>
  <c r="U17" i="231"/>
  <c r="L17" i="231"/>
  <c r="L16" i="231"/>
  <c r="L15" i="231"/>
  <c r="L14" i="231"/>
  <c r="L13" i="231"/>
  <c r="L12" i="231"/>
  <c r="L11" i="231"/>
  <c r="U10" i="231"/>
  <c r="L95" i="231" s="1"/>
  <c r="L10" i="231"/>
  <c r="L9" i="231"/>
  <c r="J14" i="231" l="1"/>
  <c r="N14" i="231" s="1"/>
  <c r="P14" i="231" s="1"/>
  <c r="J9" i="231"/>
  <c r="N9" i="231" s="1"/>
  <c r="N11" i="231"/>
  <c r="R11" i="231" s="1"/>
  <c r="N149" i="231"/>
  <c r="P149" i="231" s="1"/>
  <c r="J61" i="232"/>
  <c r="J64" i="232" s="1"/>
  <c r="J16" i="231"/>
  <c r="N16" i="231" s="1"/>
  <c r="P16" i="231" s="1"/>
  <c r="O61" i="232"/>
  <c r="N129" i="231"/>
  <c r="P129" i="231" s="1"/>
  <c r="J12" i="231"/>
  <c r="N12" i="231" s="1"/>
  <c r="P12" i="231" s="1"/>
  <c r="H23" i="232"/>
  <c r="H27" i="232"/>
  <c r="P41" i="232"/>
  <c r="H53" i="232"/>
  <c r="I49" i="232"/>
  <c r="K56" i="232"/>
  <c r="K59" i="232" s="1"/>
  <c r="N76" i="231"/>
  <c r="R76" i="231" s="1"/>
  <c r="F10" i="232"/>
  <c r="N119" i="231"/>
  <c r="R119" i="231" s="1"/>
  <c r="R61" i="232"/>
  <c r="N93" i="231"/>
  <c r="R93" i="231" s="1"/>
  <c r="H142" i="231"/>
  <c r="H10" i="232"/>
  <c r="H41" i="232"/>
  <c r="I39" i="232"/>
  <c r="I42" i="232" s="1"/>
  <c r="H12" i="232"/>
  <c r="H16" i="232"/>
  <c r="H20" i="232"/>
  <c r="H24" i="232"/>
  <c r="H25" i="232"/>
  <c r="H11" i="232"/>
  <c r="H13" i="232"/>
  <c r="H17" i="232"/>
  <c r="H21" i="232"/>
  <c r="H31" i="232"/>
  <c r="H35" i="232"/>
  <c r="P48" i="232"/>
  <c r="H54" i="232"/>
  <c r="H69" i="232"/>
  <c r="H75" i="232"/>
  <c r="E75" i="232" s="1"/>
  <c r="H104" i="231"/>
  <c r="F68" i="232"/>
  <c r="H28" i="232"/>
  <c r="H32" i="232"/>
  <c r="H36" i="232"/>
  <c r="I56" i="232"/>
  <c r="I59" i="232" s="1"/>
  <c r="H63" i="232"/>
  <c r="H112" i="231"/>
  <c r="H15" i="232"/>
  <c r="H19" i="232"/>
  <c r="H29" i="232"/>
  <c r="H33" i="232"/>
  <c r="H52" i="232"/>
  <c r="K71" i="232"/>
  <c r="P75" i="232"/>
  <c r="H185" i="231"/>
  <c r="N116" i="231"/>
  <c r="R116" i="231" s="1"/>
  <c r="H8" i="232"/>
  <c r="K39" i="232"/>
  <c r="H9" i="232"/>
  <c r="H14" i="232"/>
  <c r="H18" i="232"/>
  <c r="H22" i="232"/>
  <c r="H26" i="232"/>
  <c r="H30" i="232"/>
  <c r="H34" i="232"/>
  <c r="H44" i="232"/>
  <c r="H46" i="232" s="1"/>
  <c r="H49" i="232" s="1"/>
  <c r="H51" i="232"/>
  <c r="H68" i="232"/>
  <c r="R12" i="231"/>
  <c r="N34" i="231"/>
  <c r="F8" i="232"/>
  <c r="H86" i="231"/>
  <c r="J10" i="231"/>
  <c r="N10" i="231" s="1"/>
  <c r="J13" i="231"/>
  <c r="N13" i="231" s="1"/>
  <c r="J15" i="231"/>
  <c r="N15" i="231" s="1"/>
  <c r="J17" i="231"/>
  <c r="N17" i="231" s="1"/>
  <c r="J18" i="231"/>
  <c r="N18" i="231" s="1"/>
  <c r="J19" i="231"/>
  <c r="N19" i="231" s="1"/>
  <c r="J20" i="231"/>
  <c r="N20" i="231" s="1"/>
  <c r="J21" i="231"/>
  <c r="N21" i="231" s="1"/>
  <c r="J22" i="231"/>
  <c r="N22" i="231" s="1"/>
  <c r="J23" i="231"/>
  <c r="N23" i="231" s="1"/>
  <c r="J24" i="231"/>
  <c r="N24" i="231" s="1"/>
  <c r="J25" i="231"/>
  <c r="N25" i="231" s="1"/>
  <c r="J26" i="231"/>
  <c r="N26" i="231" s="1"/>
  <c r="J27" i="231"/>
  <c r="N27" i="231" s="1"/>
  <c r="J28" i="231"/>
  <c r="N28" i="231" s="1"/>
  <c r="J29" i="231"/>
  <c r="N29" i="231" s="1"/>
  <c r="J30" i="231"/>
  <c r="N30" i="231" s="1"/>
  <c r="J31" i="231"/>
  <c r="N31" i="231" s="1"/>
  <c r="J32" i="231"/>
  <c r="N32" i="231" s="1"/>
  <c r="J33" i="231"/>
  <c r="N33" i="231" s="1"/>
  <c r="J35" i="231"/>
  <c r="N35" i="231" s="1"/>
  <c r="J36" i="231"/>
  <c r="N36" i="231" s="1"/>
  <c r="J37" i="231"/>
  <c r="N37" i="231" s="1"/>
  <c r="J38" i="231"/>
  <c r="N38" i="231" s="1"/>
  <c r="J39" i="231"/>
  <c r="N39" i="231" s="1"/>
  <c r="J40" i="231"/>
  <c r="N40" i="231" s="1"/>
  <c r="J41" i="231"/>
  <c r="N41" i="231" s="1"/>
  <c r="J42" i="231"/>
  <c r="N42" i="231" s="1"/>
  <c r="J43" i="231"/>
  <c r="N43" i="231" s="1"/>
  <c r="J44" i="231"/>
  <c r="N44" i="231" s="1"/>
  <c r="J45" i="231"/>
  <c r="N45" i="231" s="1"/>
  <c r="J46" i="231"/>
  <c r="N46" i="231" s="1"/>
  <c r="J47" i="231"/>
  <c r="N47" i="231" s="1"/>
  <c r="J48" i="231"/>
  <c r="N48" i="231" s="1"/>
  <c r="J49" i="231"/>
  <c r="N49" i="231" s="1"/>
  <c r="J50" i="231"/>
  <c r="N50" i="231" s="1"/>
  <c r="J51" i="231"/>
  <c r="N51" i="231" s="1"/>
  <c r="J52" i="231"/>
  <c r="N52" i="231" s="1"/>
  <c r="J53" i="231"/>
  <c r="N53" i="231" s="1"/>
  <c r="J55" i="231"/>
  <c r="N55" i="231" s="1"/>
  <c r="J57" i="231"/>
  <c r="N57" i="231" s="1"/>
  <c r="J59" i="231"/>
  <c r="N59" i="231" s="1"/>
  <c r="J61" i="231"/>
  <c r="N61" i="231" s="1"/>
  <c r="J63" i="231"/>
  <c r="L64" i="231"/>
  <c r="J65" i="231"/>
  <c r="L66" i="231"/>
  <c r="L68" i="231"/>
  <c r="J69" i="231"/>
  <c r="N69" i="231" s="1"/>
  <c r="L70" i="231"/>
  <c r="L72" i="231"/>
  <c r="N72" i="231" s="1"/>
  <c r="J73" i="231"/>
  <c r="N73" i="231" s="1"/>
  <c r="F51" i="232"/>
  <c r="J77" i="231"/>
  <c r="J78" i="231"/>
  <c r="N78" i="231" s="1"/>
  <c r="J79" i="231"/>
  <c r="N79" i="231" s="1"/>
  <c r="R79" i="231" s="1"/>
  <c r="L84" i="231"/>
  <c r="N84" i="231" s="1"/>
  <c r="J85" i="231"/>
  <c r="N85" i="231" s="1"/>
  <c r="L88" i="231"/>
  <c r="F58" i="232"/>
  <c r="N130" i="231"/>
  <c r="N146" i="231"/>
  <c r="N150" i="231"/>
  <c r="L109" i="231"/>
  <c r="N109" i="231" s="1"/>
  <c r="R109" i="231" s="1"/>
  <c r="L92" i="231"/>
  <c r="N92" i="231" s="1"/>
  <c r="R92" i="231" s="1"/>
  <c r="L117" i="231"/>
  <c r="N117" i="231" s="1"/>
  <c r="L101" i="231"/>
  <c r="J148" i="231"/>
  <c r="N148" i="231" s="1"/>
  <c r="J147" i="231"/>
  <c r="N147" i="231" s="1"/>
  <c r="J132" i="231"/>
  <c r="N132" i="231" s="1"/>
  <c r="J133" i="231"/>
  <c r="N133" i="231" s="1"/>
  <c r="J131" i="231"/>
  <c r="N131" i="231" s="1"/>
  <c r="J134" i="231"/>
  <c r="N134" i="231" s="1"/>
  <c r="J151" i="231"/>
  <c r="N151" i="231" s="1"/>
  <c r="J135" i="231"/>
  <c r="N135" i="231" s="1"/>
  <c r="J152" i="231"/>
  <c r="N152" i="231" s="1"/>
  <c r="J153" i="231"/>
  <c r="N153" i="231" s="1"/>
  <c r="J154" i="231"/>
  <c r="N154" i="231" s="1"/>
  <c r="J136" i="231"/>
  <c r="N136" i="231" s="1"/>
  <c r="J138" i="231"/>
  <c r="N138" i="231" s="1"/>
  <c r="J139" i="231"/>
  <c r="N139" i="231" s="1"/>
  <c r="J137" i="231"/>
  <c r="N137" i="231" s="1"/>
  <c r="J159" i="231"/>
  <c r="N159" i="231" s="1"/>
  <c r="J158" i="231"/>
  <c r="N158" i="231" s="1"/>
  <c r="J89" i="231"/>
  <c r="J88" i="231"/>
  <c r="J91" i="231"/>
  <c r="N91" i="231" s="1"/>
  <c r="R91" i="231" s="1"/>
  <c r="J90" i="231"/>
  <c r="N90" i="231" s="1"/>
  <c r="J163" i="231"/>
  <c r="N163" i="231" s="1"/>
  <c r="J95" i="231"/>
  <c r="N95" i="231" s="1"/>
  <c r="J164" i="231"/>
  <c r="N164" i="231" s="1"/>
  <c r="J169" i="231"/>
  <c r="N169" i="231" s="1"/>
  <c r="J102" i="231"/>
  <c r="N102" i="231" s="1"/>
  <c r="R102" i="231" s="1"/>
  <c r="J101" i="231"/>
  <c r="J168" i="231"/>
  <c r="N168" i="231" s="1"/>
  <c r="J103" i="231"/>
  <c r="N103" i="231" s="1"/>
  <c r="J100" i="231"/>
  <c r="N100" i="231" s="1"/>
  <c r="J99" i="231"/>
  <c r="N99" i="231" s="1"/>
  <c r="J173" i="231"/>
  <c r="N173" i="231" s="1"/>
  <c r="J111" i="231"/>
  <c r="N111" i="231" s="1"/>
  <c r="J108" i="231"/>
  <c r="N108" i="231" s="1"/>
  <c r="R108" i="231" s="1"/>
  <c r="J107" i="231"/>
  <c r="N107" i="231" s="1"/>
  <c r="J174" i="231"/>
  <c r="N174" i="231" s="1"/>
  <c r="J110" i="231"/>
  <c r="N110" i="231" s="1"/>
  <c r="R110" i="231" s="1"/>
  <c r="J109" i="231"/>
  <c r="F44" i="232"/>
  <c r="F48" i="232"/>
  <c r="J54" i="231"/>
  <c r="N54" i="231" s="1"/>
  <c r="J56" i="231"/>
  <c r="N56" i="231" s="1"/>
  <c r="J58" i="231"/>
  <c r="N58" i="231" s="1"/>
  <c r="J60" i="231"/>
  <c r="N60" i="231" s="1"/>
  <c r="J62" i="231"/>
  <c r="N62" i="231" s="1"/>
  <c r="L63" i="231"/>
  <c r="J64" i="231"/>
  <c r="L65" i="231"/>
  <c r="J66" i="231"/>
  <c r="L67" i="231"/>
  <c r="N67" i="231" s="1"/>
  <c r="J68" i="231"/>
  <c r="J70" i="231"/>
  <c r="L71" i="231"/>
  <c r="N71" i="231" s="1"/>
  <c r="J74" i="231"/>
  <c r="N74" i="231" s="1"/>
  <c r="J75" i="231"/>
  <c r="N75" i="231" s="1"/>
  <c r="R75" i="231" s="1"/>
  <c r="L77" i="231"/>
  <c r="L80" i="231"/>
  <c r="N80" i="231" s="1"/>
  <c r="J81" i="231"/>
  <c r="N81" i="231" s="1"/>
  <c r="J82" i="231"/>
  <c r="N82" i="231" s="1"/>
  <c r="R82" i="231" s="1"/>
  <c r="J83" i="231"/>
  <c r="N83" i="231" s="1"/>
  <c r="J87" i="231"/>
  <c r="N87" i="231" s="1"/>
  <c r="N89" i="231"/>
  <c r="R89" i="231" s="1"/>
  <c r="J94" i="231"/>
  <c r="N94" i="231" s="1"/>
  <c r="R118" i="231"/>
  <c r="N178" i="231"/>
  <c r="P178" i="231" s="1"/>
  <c r="P180" i="231" s="1"/>
  <c r="R179" i="231"/>
  <c r="P9" i="232"/>
  <c r="P10" i="232"/>
  <c r="P11" i="232"/>
  <c r="P12" i="232"/>
  <c r="P13" i="232"/>
  <c r="P14" i="232"/>
  <c r="P15" i="232"/>
  <c r="P16" i="232"/>
  <c r="P17" i="232"/>
  <c r="P18" i="232"/>
  <c r="P19" i="232"/>
  <c r="P20" i="232"/>
  <c r="P21" i="232"/>
  <c r="P22" i="232"/>
  <c r="P23" i="232"/>
  <c r="P24" i="232"/>
  <c r="P25" i="232"/>
  <c r="P26" i="232"/>
  <c r="P27" i="232"/>
  <c r="P28" i="232"/>
  <c r="P29" i="232"/>
  <c r="P30" i="232"/>
  <c r="P31" i="232"/>
  <c r="P32" i="232"/>
  <c r="P33" i="232"/>
  <c r="P34" i="232"/>
  <c r="P35" i="232"/>
  <c r="P36" i="232"/>
  <c r="P52" i="232"/>
  <c r="P53" i="232"/>
  <c r="P54" i="232"/>
  <c r="S71" i="232"/>
  <c r="P76" i="231" l="1"/>
  <c r="P119" i="231"/>
  <c r="R16" i="231"/>
  <c r="R149" i="231"/>
  <c r="R129" i="231"/>
  <c r="P11" i="231"/>
  <c r="R9" i="231"/>
  <c r="P9" i="231"/>
  <c r="N63" i="231"/>
  <c r="P63" i="231" s="1"/>
  <c r="N66" i="231"/>
  <c r="R66" i="231" s="1"/>
  <c r="N77" i="231"/>
  <c r="P77" i="231" s="1"/>
  <c r="P116" i="231"/>
  <c r="H56" i="232"/>
  <c r="H59" i="232" s="1"/>
  <c r="P82" i="231"/>
  <c r="K61" i="232"/>
  <c r="K64" i="232" s="1"/>
  <c r="E10" i="232"/>
  <c r="H39" i="232"/>
  <c r="H61" i="232" s="1"/>
  <c r="H64" i="232" s="1"/>
  <c r="H71" i="232"/>
  <c r="P92" i="231"/>
  <c r="I61" i="232"/>
  <c r="I64" i="232" s="1"/>
  <c r="K42" i="232"/>
  <c r="R14" i="231"/>
  <c r="P93" i="231"/>
  <c r="N65" i="231"/>
  <c r="P65" i="231" s="1"/>
  <c r="P75" i="231"/>
  <c r="N64" i="231"/>
  <c r="R64" i="231" s="1"/>
  <c r="E68" i="232"/>
  <c r="E71" i="232" s="1"/>
  <c r="P108" i="231"/>
  <c r="F71" i="232"/>
  <c r="P110" i="231"/>
  <c r="P109" i="231"/>
  <c r="N112" i="231"/>
  <c r="R107" i="231"/>
  <c r="P107" i="231"/>
  <c r="R169" i="231"/>
  <c r="P169" i="231"/>
  <c r="R90" i="231"/>
  <c r="P90" i="231"/>
  <c r="R154" i="231"/>
  <c r="P154" i="231"/>
  <c r="R132" i="231"/>
  <c r="P132" i="231"/>
  <c r="R78" i="231"/>
  <c r="P78" i="231"/>
  <c r="P69" i="231"/>
  <c r="R69" i="231"/>
  <c r="P61" i="231"/>
  <c r="R61" i="231"/>
  <c r="P57" i="231"/>
  <c r="R57" i="231"/>
  <c r="P53" i="231"/>
  <c r="R53" i="231"/>
  <c r="P51" i="231"/>
  <c r="R51" i="231"/>
  <c r="P49" i="231"/>
  <c r="R49" i="231"/>
  <c r="P47" i="231"/>
  <c r="R47" i="231"/>
  <c r="P45" i="231"/>
  <c r="R45" i="231"/>
  <c r="P43" i="231"/>
  <c r="R43" i="231"/>
  <c r="P41" i="231"/>
  <c r="R41" i="231"/>
  <c r="P39" i="231"/>
  <c r="R39" i="231"/>
  <c r="P37" i="231"/>
  <c r="R37" i="231"/>
  <c r="P35" i="231"/>
  <c r="R35" i="231"/>
  <c r="P32" i="231"/>
  <c r="R32" i="231"/>
  <c r="P30" i="231"/>
  <c r="R30" i="231"/>
  <c r="P28" i="231"/>
  <c r="R28" i="231"/>
  <c r="P26" i="231"/>
  <c r="R26" i="231"/>
  <c r="P24" i="231"/>
  <c r="R24" i="231"/>
  <c r="P22" i="231"/>
  <c r="R22" i="231"/>
  <c r="P20" i="231"/>
  <c r="R20" i="231"/>
  <c r="P18" i="231"/>
  <c r="R18" i="231"/>
  <c r="P15" i="231"/>
  <c r="R15" i="231"/>
  <c r="P10" i="231"/>
  <c r="R10" i="231"/>
  <c r="N10" i="232"/>
  <c r="R111" i="231"/>
  <c r="P111" i="231"/>
  <c r="R95" i="231"/>
  <c r="P95" i="231"/>
  <c r="R138" i="231"/>
  <c r="P138" i="231"/>
  <c r="R152" i="231"/>
  <c r="P152" i="231"/>
  <c r="R117" i="231"/>
  <c r="P117" i="231"/>
  <c r="R136" i="231"/>
  <c r="P136" i="231"/>
  <c r="N8" i="232"/>
  <c r="M8" i="232" s="1"/>
  <c r="P73" i="231"/>
  <c r="R73" i="231"/>
  <c r="P33" i="231"/>
  <c r="R33" i="231"/>
  <c r="P31" i="231"/>
  <c r="R31" i="231"/>
  <c r="P29" i="231"/>
  <c r="R29" i="231"/>
  <c r="P27" i="231"/>
  <c r="R27" i="231"/>
  <c r="P25" i="231"/>
  <c r="R25" i="231"/>
  <c r="P23" i="231"/>
  <c r="R23" i="231"/>
  <c r="P21" i="231"/>
  <c r="R21" i="231"/>
  <c r="P19" i="231"/>
  <c r="R19" i="231"/>
  <c r="P17" i="231"/>
  <c r="R17" i="231"/>
  <c r="H120" i="231"/>
  <c r="Q46" i="232"/>
  <c r="P44" i="232"/>
  <c r="P46" i="232" s="1"/>
  <c r="R94" i="231"/>
  <c r="P94" i="231"/>
  <c r="P83" i="231"/>
  <c r="R83" i="231"/>
  <c r="R81" i="231"/>
  <c r="P81" i="231"/>
  <c r="R74" i="231"/>
  <c r="P74" i="231"/>
  <c r="P67" i="231"/>
  <c r="R67" i="231"/>
  <c r="R60" i="231"/>
  <c r="P60" i="231"/>
  <c r="R56" i="231"/>
  <c r="P56" i="231"/>
  <c r="F46" i="232"/>
  <c r="F49" i="232" s="1"/>
  <c r="E44" i="232"/>
  <c r="R99" i="231"/>
  <c r="P103" i="231"/>
  <c r="R103" i="231"/>
  <c r="N160" i="231"/>
  <c r="R158" i="231"/>
  <c r="P137" i="231"/>
  <c r="R137" i="231"/>
  <c r="P151" i="231"/>
  <c r="R151" i="231"/>
  <c r="P131" i="231"/>
  <c r="R131" i="231"/>
  <c r="P147" i="231"/>
  <c r="R147" i="231"/>
  <c r="R159" i="231"/>
  <c r="P159" i="231"/>
  <c r="R148" i="231"/>
  <c r="P148" i="231"/>
  <c r="R134" i="231"/>
  <c r="P134" i="231"/>
  <c r="R130" i="231"/>
  <c r="P130" i="231"/>
  <c r="R84" i="231"/>
  <c r="P84" i="231"/>
  <c r="R72" i="231"/>
  <c r="P72" i="231"/>
  <c r="P85" i="231"/>
  <c r="R85" i="231"/>
  <c r="P59" i="231"/>
  <c r="R59" i="231"/>
  <c r="P55" i="231"/>
  <c r="R55" i="231"/>
  <c r="P52" i="231"/>
  <c r="R52" i="231"/>
  <c r="P50" i="231"/>
  <c r="R50" i="231"/>
  <c r="P48" i="231"/>
  <c r="R48" i="231"/>
  <c r="P46" i="231"/>
  <c r="R46" i="231"/>
  <c r="P44" i="231"/>
  <c r="R44" i="231"/>
  <c r="P42" i="231"/>
  <c r="R42" i="231"/>
  <c r="P40" i="231"/>
  <c r="R40" i="231"/>
  <c r="P38" i="231"/>
  <c r="R38" i="231"/>
  <c r="P36" i="231"/>
  <c r="R36" i="231"/>
  <c r="P34" i="231"/>
  <c r="R34" i="231"/>
  <c r="P13" i="231"/>
  <c r="R13" i="231"/>
  <c r="P68" i="232"/>
  <c r="Q71" i="232"/>
  <c r="P51" i="232"/>
  <c r="P56" i="232" s="1"/>
  <c r="Q56" i="232"/>
  <c r="Q39" i="232"/>
  <c r="P39" i="232"/>
  <c r="N180" i="231"/>
  <c r="R178" i="231"/>
  <c r="R87" i="231"/>
  <c r="P87" i="231"/>
  <c r="P80" i="231"/>
  <c r="R80" i="231"/>
  <c r="P71" i="231"/>
  <c r="R71" i="231"/>
  <c r="R62" i="231"/>
  <c r="P62" i="231"/>
  <c r="R58" i="231"/>
  <c r="P58" i="231"/>
  <c r="R54" i="231"/>
  <c r="P54" i="231"/>
  <c r="P174" i="231"/>
  <c r="R174" i="231"/>
  <c r="R173" i="231"/>
  <c r="N175" i="231"/>
  <c r="P173" i="231"/>
  <c r="R100" i="231"/>
  <c r="P100" i="231"/>
  <c r="N170" i="231"/>
  <c r="P168" i="231"/>
  <c r="R168" i="231"/>
  <c r="P164" i="231"/>
  <c r="R164" i="231"/>
  <c r="R163" i="231"/>
  <c r="N165" i="231"/>
  <c r="P163" i="231"/>
  <c r="P139" i="231"/>
  <c r="R139" i="231"/>
  <c r="P153" i="231"/>
  <c r="R153" i="231"/>
  <c r="P135" i="231"/>
  <c r="R135" i="231"/>
  <c r="P133" i="231"/>
  <c r="R133" i="231"/>
  <c r="R150" i="231"/>
  <c r="P150" i="231"/>
  <c r="N155" i="231"/>
  <c r="R146" i="231"/>
  <c r="N68" i="232"/>
  <c r="P146" i="231"/>
  <c r="F56" i="232"/>
  <c r="F59" i="232" s="1"/>
  <c r="E51" i="232"/>
  <c r="E8" i="232"/>
  <c r="P69" i="232"/>
  <c r="S56" i="232"/>
  <c r="S39" i="232"/>
  <c r="N58" i="232"/>
  <c r="M58" i="232" s="1"/>
  <c r="N140" i="231"/>
  <c r="N142" i="231" s="1"/>
  <c r="N75" i="232" s="1"/>
  <c r="M75" i="232" s="1"/>
  <c r="H36" i="229" s="1"/>
  <c r="N101" i="231"/>
  <c r="N88" i="231"/>
  <c r="H96" i="231"/>
  <c r="F41" i="232"/>
  <c r="N86" i="231"/>
  <c r="R86" i="231" s="1"/>
  <c r="N51" i="232"/>
  <c r="P158" i="231"/>
  <c r="P99" i="231"/>
  <c r="P102" i="231"/>
  <c r="N115" i="231"/>
  <c r="P91" i="231"/>
  <c r="P89" i="231"/>
  <c r="N70" i="231"/>
  <c r="N68" i="231"/>
  <c r="F12" i="232"/>
  <c r="E12" i="232" s="1"/>
  <c r="P79" i="231"/>
  <c r="P165" i="231" l="1"/>
  <c r="P66" i="231"/>
  <c r="P175" i="231"/>
  <c r="R63" i="231"/>
  <c r="R65" i="231"/>
  <c r="R77" i="231"/>
  <c r="H42" i="232"/>
  <c r="P170" i="231"/>
  <c r="P140" i="231"/>
  <c r="P142" i="231" s="1"/>
  <c r="N12" i="232"/>
  <c r="M12" i="232" s="1"/>
  <c r="H122" i="231"/>
  <c r="F63" i="232" s="1"/>
  <c r="P64" i="231"/>
  <c r="P160" i="231"/>
  <c r="N185" i="231"/>
  <c r="I36" i="229"/>
  <c r="J36" i="229"/>
  <c r="R68" i="231"/>
  <c r="P68" i="231"/>
  <c r="N120" i="231"/>
  <c r="R115" i="231"/>
  <c r="N41" i="232"/>
  <c r="M41" i="232" s="1"/>
  <c r="N56" i="232"/>
  <c r="M51" i="232"/>
  <c r="M56" i="232" s="1"/>
  <c r="R101" i="231"/>
  <c r="P101" i="231"/>
  <c r="P104" i="231" s="1"/>
  <c r="Q42" i="232"/>
  <c r="Q61" i="232"/>
  <c r="P86" i="231"/>
  <c r="E39" i="232"/>
  <c r="P155" i="231"/>
  <c r="P71" i="232"/>
  <c r="N104" i="231"/>
  <c r="N48" i="232"/>
  <c r="M48" i="232" s="1"/>
  <c r="P115" i="231"/>
  <c r="P120" i="231" s="1"/>
  <c r="P112" i="231"/>
  <c r="R70" i="231"/>
  <c r="P70" i="231"/>
  <c r="R88" i="231"/>
  <c r="P88" i="231"/>
  <c r="S61" i="232"/>
  <c r="S42" i="232"/>
  <c r="M68" i="232"/>
  <c r="M71" i="232" s="1"/>
  <c r="H32" i="229" s="1"/>
  <c r="N71" i="232"/>
  <c r="P61" i="232"/>
  <c r="P42" i="232"/>
  <c r="F39" i="232"/>
  <c r="N44" i="232"/>
  <c r="N96" i="231"/>
  <c r="M39" i="232" l="1"/>
  <c r="H26" i="229" s="1"/>
  <c r="M26" i="229" s="1"/>
  <c r="P185" i="231"/>
  <c r="N39" i="232"/>
  <c r="N42" i="232" s="1"/>
  <c r="E79" i="232"/>
  <c r="H16" i="229"/>
  <c r="I32" i="229"/>
  <c r="J32" i="229"/>
  <c r="F61" i="232"/>
  <c r="F64" i="232" s="1"/>
  <c r="F42" i="232"/>
  <c r="N122" i="231"/>
  <c r="N63" i="232" s="1"/>
  <c r="M63" i="232" s="1"/>
  <c r="M44" i="232"/>
  <c r="M46" i="232" s="1"/>
  <c r="N46" i="232"/>
  <c r="P96" i="231"/>
  <c r="P122" i="231" s="1"/>
  <c r="M61" i="232" l="1"/>
  <c r="M79" i="232"/>
  <c r="N61" i="232"/>
  <c r="I16" i="229"/>
  <c r="J16" i="229"/>
  <c r="M16" i="229"/>
  <c r="M32" i="229" l="1"/>
  <c r="K12" i="227" l="1"/>
  <c r="K13" i="227"/>
  <c r="K14" i="227"/>
  <c r="K15" i="227"/>
  <c r="K16" i="227"/>
  <c r="K17" i="227"/>
  <c r="K18" i="227"/>
  <c r="K19" i="227"/>
  <c r="K20" i="227"/>
  <c r="K21" i="227"/>
  <c r="K22" i="227"/>
  <c r="K23" i="227"/>
  <c r="K24" i="227"/>
  <c r="K25" i="227"/>
  <c r="K11" i="227"/>
  <c r="I21" i="227"/>
  <c r="M21" i="227" s="1"/>
  <c r="K42" i="227" s="1"/>
  <c r="C50" i="228"/>
  <c r="C49" i="228"/>
  <c r="B24" i="228"/>
  <c r="B25" i="228"/>
  <c r="B26" i="228"/>
  <c r="B27" i="228"/>
  <c r="B28" i="228"/>
  <c r="B29" i="228"/>
  <c r="B30" i="228"/>
  <c r="B31" i="228"/>
  <c r="B32" i="228"/>
  <c r="B33" i="228"/>
  <c r="B34" i="228"/>
  <c r="B35" i="228"/>
  <c r="B36" i="228"/>
  <c r="B37" i="228"/>
  <c r="E21" i="228"/>
  <c r="C87" i="227"/>
  <c r="C86" i="227"/>
  <c r="E53" i="227"/>
  <c r="A1" i="228"/>
  <c r="K44" i="227"/>
  <c r="K45" i="227"/>
  <c r="G33" i="227"/>
  <c r="G35" i="227"/>
  <c r="G36" i="227"/>
  <c r="G37" i="227"/>
  <c r="G38" i="227"/>
  <c r="G39" i="227"/>
  <c r="G40" i="227"/>
  <c r="G41" i="227"/>
  <c r="G42" i="227"/>
  <c r="G43" i="227"/>
  <c r="G44" i="227"/>
  <c r="G45" i="227"/>
  <c r="G46" i="227"/>
  <c r="O21" i="227" l="1"/>
  <c r="G65" i="227" s="1"/>
  <c r="E13" i="227"/>
  <c r="G34" i="227" s="1"/>
  <c r="O24" i="227"/>
  <c r="G68" i="227" s="1"/>
  <c r="O23" i="227"/>
  <c r="G67" i="227" s="1"/>
  <c r="I25" i="227"/>
  <c r="I22" i="227"/>
  <c r="B42" i="227"/>
  <c r="B43" i="227"/>
  <c r="B66" i="227" s="1"/>
  <c r="B44" i="227"/>
  <c r="B67" i="227" s="1"/>
  <c r="B45" i="227"/>
  <c r="B68" i="227" s="1"/>
  <c r="B46" i="227"/>
  <c r="B69" i="227" s="1"/>
  <c r="C22" i="227"/>
  <c r="C43" i="227" s="1"/>
  <c r="C66" i="227" s="1"/>
  <c r="C23" i="227"/>
  <c r="C44" i="227" s="1"/>
  <c r="C67" i="227" s="1"/>
  <c r="C24" i="227"/>
  <c r="C45" i="227" s="1"/>
  <c r="C68" i="227" s="1"/>
  <c r="C25" i="227"/>
  <c r="C46" i="227" s="1"/>
  <c r="C69" i="227" s="1"/>
  <c r="C21" i="227"/>
  <c r="C42" i="227" s="1"/>
  <c r="M25" i="227" l="1"/>
  <c r="K46" i="227" s="1"/>
  <c r="O25" i="227"/>
  <c r="G69" i="227" s="1"/>
  <c r="M22" i="227"/>
  <c r="K43" i="227" s="1"/>
  <c r="O22" i="227"/>
  <c r="G66" i="227" s="1"/>
  <c r="C37" i="228"/>
  <c r="C34" i="228"/>
  <c r="C33" i="228"/>
  <c r="C36" i="228"/>
  <c r="C35" i="228"/>
  <c r="I20" i="227" l="1"/>
  <c r="O20" i="227" s="1"/>
  <c r="I19" i="227"/>
  <c r="O19" i="227" s="1"/>
  <c r="I18" i="227"/>
  <c r="O18" i="227" s="1"/>
  <c r="I17" i="227"/>
  <c r="O17" i="227" s="1"/>
  <c r="I16" i="227"/>
  <c r="O16" i="227" s="1"/>
  <c r="I15" i="227"/>
  <c r="O15" i="227" s="1"/>
  <c r="I14" i="227"/>
  <c r="O14" i="227" s="1"/>
  <c r="I13" i="227"/>
  <c r="I12" i="227"/>
  <c r="O12" i="227" s="1"/>
  <c r="I10" i="227"/>
  <c r="I11" i="227"/>
  <c r="O11" i="227" s="1"/>
  <c r="C11" i="227"/>
  <c r="C12" i="227"/>
  <c r="C13" i="227"/>
  <c r="C14" i="227"/>
  <c r="C15" i="227"/>
  <c r="C16" i="227"/>
  <c r="C17" i="227"/>
  <c r="C18" i="227"/>
  <c r="C19" i="227"/>
  <c r="C20" i="227"/>
  <c r="C10" i="227"/>
  <c r="A12" i="225" l="1"/>
  <c r="A13" i="225" s="1"/>
  <c r="A14" i="225" s="1"/>
  <c r="A15" i="225" s="1"/>
  <c r="A16" i="225" s="1"/>
  <c r="A17" i="225" s="1"/>
  <c r="A18" i="225" s="1"/>
  <c r="A19" i="225" s="1"/>
  <c r="A20" i="225" s="1"/>
  <c r="A21" i="225" s="1"/>
  <c r="A23" i="225" s="1"/>
  <c r="A24" i="225" s="1"/>
  <c r="A26" i="225" s="1"/>
  <c r="A28" i="225" s="1"/>
  <c r="A29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A43" i="225" s="1"/>
  <c r="A45" i="225" s="1"/>
  <c r="A46" i="225" s="1"/>
  <c r="A48" i="225" s="1"/>
  <c r="A50" i="225" s="1"/>
  <c r="A51" i="225" s="1"/>
  <c r="A54" i="225" s="1"/>
  <c r="A55" i="225" s="1"/>
  <c r="A59" i="225" s="1"/>
  <c r="B120" i="226"/>
  <c r="C60" i="225"/>
  <c r="C59" i="225"/>
  <c r="I34" i="225"/>
  <c r="I35" i="225"/>
  <c r="I36" i="225"/>
  <c r="I37" i="225"/>
  <c r="I38" i="225"/>
  <c r="I39" i="225"/>
  <c r="I40" i="225"/>
  <c r="I41" i="225"/>
  <c r="I42" i="225"/>
  <c r="I43" i="225"/>
  <c r="I33" i="225"/>
  <c r="G42" i="225"/>
  <c r="G43" i="225"/>
  <c r="G41" i="225"/>
  <c r="I13" i="225"/>
  <c r="I14" i="225"/>
  <c r="I15" i="225"/>
  <c r="I16" i="225"/>
  <c r="I17" i="225"/>
  <c r="I18" i="225"/>
  <c r="I19" i="225"/>
  <c r="I20" i="225"/>
  <c r="I21" i="225"/>
  <c r="I12" i="225"/>
  <c r="G19" i="225"/>
  <c r="E75" i="225"/>
  <c r="E74" i="225"/>
  <c r="E73" i="225"/>
  <c r="E72" i="225"/>
  <c r="E124" i="226"/>
  <c r="E125" i="226"/>
  <c r="E126" i="226"/>
  <c r="E123" i="226"/>
  <c r="C111" i="226"/>
  <c r="C110" i="226"/>
  <c r="C108" i="226"/>
  <c r="J82" i="226"/>
  <c r="J83" i="226"/>
  <c r="J84" i="226"/>
  <c r="J85" i="226"/>
  <c r="J86" i="226"/>
  <c r="J87" i="226"/>
  <c r="J88" i="226"/>
  <c r="J89" i="226"/>
  <c r="J90" i="226"/>
  <c r="J91" i="226"/>
  <c r="J92" i="226"/>
  <c r="J81" i="226"/>
  <c r="H91" i="226"/>
  <c r="H92" i="226"/>
  <c r="H90" i="226"/>
  <c r="J59" i="226"/>
  <c r="J60" i="226"/>
  <c r="J61" i="226"/>
  <c r="J62" i="226"/>
  <c r="J63" i="226"/>
  <c r="J64" i="226"/>
  <c r="J66" i="226"/>
  <c r="J67" i="226"/>
  <c r="J68" i="226"/>
  <c r="J69" i="226"/>
  <c r="J58" i="226"/>
  <c r="H63" i="226"/>
  <c r="H64" i="226"/>
  <c r="H66" i="226"/>
  <c r="H67" i="226"/>
  <c r="H68" i="226"/>
  <c r="H62" i="226"/>
  <c r="J36" i="226"/>
  <c r="J37" i="226"/>
  <c r="J38" i="226"/>
  <c r="J39" i="226"/>
  <c r="J40" i="226"/>
  <c r="J41" i="226"/>
  <c r="J43" i="226"/>
  <c r="J44" i="226"/>
  <c r="J45" i="226"/>
  <c r="J46" i="226"/>
  <c r="J35" i="226"/>
  <c r="H45" i="226"/>
  <c r="H46" i="226"/>
  <c r="H19" i="226"/>
  <c r="J17" i="226"/>
  <c r="J18" i="226"/>
  <c r="J19" i="226"/>
  <c r="J20" i="226"/>
  <c r="J21" i="226"/>
  <c r="J22" i="226"/>
  <c r="J23" i="226"/>
  <c r="J12" i="226"/>
  <c r="J13" i="226"/>
  <c r="J14" i="226"/>
  <c r="J15" i="226"/>
  <c r="J16" i="226"/>
  <c r="J11" i="226"/>
  <c r="H20" i="226"/>
  <c r="C94" i="226" l="1"/>
  <c r="H23" i="226"/>
  <c r="A12" i="226"/>
  <c r="A13" i="226" s="1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5" i="226" s="1"/>
  <c r="A26" i="226" s="1"/>
  <c r="A28" i="226" s="1"/>
  <c r="A30" i="226" s="1"/>
  <c r="A31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A45" i="226" s="1"/>
  <c r="A46" i="226" s="1"/>
  <c r="A48" i="226" s="1"/>
  <c r="A49" i="226" s="1"/>
  <c r="A51" i="226" s="1"/>
  <c r="A53" i="226" s="1"/>
  <c r="A54" i="226" s="1"/>
  <c r="A57" i="226" s="1"/>
  <c r="A58" i="226" s="1"/>
  <c r="A59" i="226" s="1"/>
  <c r="A60" i="226" s="1"/>
  <c r="A61" i="226" s="1"/>
  <c r="A62" i="226" s="1"/>
  <c r="A63" i="226" s="1"/>
  <c r="A64" i="226" s="1"/>
  <c r="A65" i="226" s="1"/>
  <c r="A66" i="226" s="1"/>
  <c r="A67" i="226" s="1"/>
  <c r="A68" i="226" s="1"/>
  <c r="A69" i="226" l="1"/>
  <c r="A71" i="226" s="1"/>
  <c r="A72" i="226" s="1"/>
  <c r="A74" i="226" s="1"/>
  <c r="A76" i="226" s="1"/>
  <c r="A77" i="226" s="1"/>
  <c r="A80" i="226" s="1"/>
  <c r="A81" i="226" s="1"/>
  <c r="A82" i="226" s="1"/>
  <c r="A83" i="226" s="1"/>
  <c r="A84" i="226" s="1"/>
  <c r="A85" i="226" s="1"/>
  <c r="A86" i="226" s="1"/>
  <c r="A87" i="226" s="1"/>
  <c r="A88" i="226" s="1"/>
  <c r="A89" i="226" s="1"/>
  <c r="A90" i="226" s="1"/>
  <c r="A91" i="226" s="1"/>
  <c r="A92" i="226" s="1"/>
  <c r="A94" i="226" s="1"/>
  <c r="A95" i="226" s="1"/>
  <c r="A97" i="226" s="1"/>
  <c r="A99" i="226" s="1"/>
  <c r="A100" i="226" s="1"/>
  <c r="A103" i="226" s="1"/>
  <c r="A104" i="226" s="1"/>
  <c r="A108" i="226" s="1"/>
  <c r="A109" i="226" s="1"/>
  <c r="A110" i="226" s="1"/>
  <c r="A111" i="226" s="1"/>
  <c r="A113" i="226" s="1"/>
  <c r="A114" i="226" s="1"/>
  <c r="A116" i="226" s="1"/>
  <c r="A60" i="225" l="1"/>
  <c r="A62" i="225" s="1"/>
  <c r="A63" i="225" s="1"/>
  <c r="A65" i="225" s="1"/>
  <c r="B23" i="228" l="1"/>
  <c r="B22" i="228"/>
  <c r="A22" i="228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G21" i="228"/>
  <c r="B39" i="227"/>
  <c r="B62" i="227" s="1"/>
  <c r="B36" i="227"/>
  <c r="B59" i="227" s="1"/>
  <c r="B35" i="227"/>
  <c r="B58" i="227" s="1"/>
  <c r="B34" i="227"/>
  <c r="B57" i="227" s="1"/>
  <c r="B33" i="227"/>
  <c r="B56" i="227" s="1"/>
  <c r="G32" i="227"/>
  <c r="B32" i="227"/>
  <c r="B55" i="227" s="1"/>
  <c r="B31" i="227"/>
  <c r="B54" i="227" s="1"/>
  <c r="G64" i="227"/>
  <c r="M20" i="227"/>
  <c r="K41" i="227" s="1"/>
  <c r="C41" i="227"/>
  <c r="G63" i="227"/>
  <c r="M19" i="227"/>
  <c r="K40" i="227" s="1"/>
  <c r="C40" i="227"/>
  <c r="G62" i="227"/>
  <c r="C39" i="227"/>
  <c r="G61" i="227"/>
  <c r="C38" i="227"/>
  <c r="G60" i="227"/>
  <c r="M16" i="227"/>
  <c r="K37" i="227" s="1"/>
  <c r="C37" i="227"/>
  <c r="G59" i="227"/>
  <c r="C36" i="227"/>
  <c r="C35" i="227"/>
  <c r="C34" i="227"/>
  <c r="G56" i="227"/>
  <c r="C33" i="227"/>
  <c r="C32" i="227"/>
  <c r="A11" i="227"/>
  <c r="A12" i="227" s="1"/>
  <c r="A13" i="227" s="1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31" i="227" s="1"/>
  <c r="E27" i="227"/>
  <c r="C31" i="227"/>
  <c r="A4" i="225"/>
  <c r="A1" i="226"/>
  <c r="A1" i="225" s="1"/>
  <c r="B111" i="226"/>
  <c r="B109" i="226"/>
  <c r="B108" i="226"/>
  <c r="J80" i="226"/>
  <c r="C65" i="226"/>
  <c r="J57" i="226"/>
  <c r="H44" i="226"/>
  <c r="C42" i="226"/>
  <c r="J42" i="226" s="1"/>
  <c r="C34" i="226"/>
  <c r="B28" i="226"/>
  <c r="B95" i="226"/>
  <c r="H21" i="226"/>
  <c r="B60" i="225"/>
  <c r="B59" i="225"/>
  <c r="G45" i="225"/>
  <c r="G23" i="225"/>
  <c r="I11" i="225"/>
  <c r="C109" i="226" l="1"/>
  <c r="J65" i="226"/>
  <c r="H65" i="226"/>
  <c r="H71" i="226" s="1"/>
  <c r="A34" i="228"/>
  <c r="A35" i="228" s="1"/>
  <c r="A36" i="228" s="1"/>
  <c r="A37" i="228" s="1"/>
  <c r="A41" i="228" s="1"/>
  <c r="A42" i="228" s="1"/>
  <c r="G31" i="227"/>
  <c r="A32" i="227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M10" i="227"/>
  <c r="K31" i="227" s="1"/>
  <c r="O10" i="227"/>
  <c r="G55" i="227"/>
  <c r="O13" i="227"/>
  <c r="G57" i="227" s="1"/>
  <c r="C71" i="226"/>
  <c r="C48" i="226"/>
  <c r="H94" i="226"/>
  <c r="J25" i="226"/>
  <c r="J94" i="226"/>
  <c r="H48" i="226"/>
  <c r="M11" i="227"/>
  <c r="K32" i="227" s="1"/>
  <c r="G58" i="227"/>
  <c r="M15" i="227"/>
  <c r="K36" i="227" s="1"/>
  <c r="M18" i="227"/>
  <c r="K39" i="227" s="1"/>
  <c r="C56" i="227"/>
  <c r="C57" i="227"/>
  <c r="C59" i="227"/>
  <c r="C60" i="227"/>
  <c r="C61" i="227"/>
  <c r="C54" i="227"/>
  <c r="C55" i="227"/>
  <c r="C58" i="227"/>
  <c r="C62" i="227"/>
  <c r="C63" i="227"/>
  <c r="C64" i="227"/>
  <c r="C65" i="227"/>
  <c r="M12" i="227"/>
  <c r="K33" i="227" s="1"/>
  <c r="M13" i="227"/>
  <c r="K34" i="227" s="1"/>
  <c r="M14" i="227"/>
  <c r="K35" i="227" s="1"/>
  <c r="B37" i="227"/>
  <c r="B60" i="227" s="1"/>
  <c r="B38" i="227"/>
  <c r="B61" i="227" s="1"/>
  <c r="B40" i="227"/>
  <c r="B63" i="227" s="1"/>
  <c r="B41" i="227"/>
  <c r="B64" i="227" s="1"/>
  <c r="B65" i="227"/>
  <c r="C22" i="228"/>
  <c r="C23" i="228"/>
  <c r="C24" i="228"/>
  <c r="C25" i="228"/>
  <c r="C26" i="228"/>
  <c r="C27" i="228"/>
  <c r="C28" i="228"/>
  <c r="C29" i="228"/>
  <c r="C30" i="228"/>
  <c r="C31" i="228"/>
  <c r="C32" i="228"/>
  <c r="C63" i="225"/>
  <c r="G24" i="225"/>
  <c r="G26" i="225" s="1"/>
  <c r="G28" i="225" s="1"/>
  <c r="C46" i="225"/>
  <c r="G46" i="225" s="1"/>
  <c r="I46" i="225" s="1"/>
  <c r="I24" i="225"/>
  <c r="H22" i="226"/>
  <c r="H25" i="226" s="1"/>
  <c r="C25" i="226"/>
  <c r="J34" i="226"/>
  <c r="J48" i="226" s="1"/>
  <c r="B49" i="226"/>
  <c r="B63" i="225"/>
  <c r="A43" i="227" l="1"/>
  <c r="A44" i="227" s="1"/>
  <c r="A45" i="227" s="1"/>
  <c r="A46" i="227" s="1"/>
  <c r="A48" i="227" s="1"/>
  <c r="A50" i="227" s="1"/>
  <c r="A51" i="227" s="1"/>
  <c r="A54" i="227" s="1"/>
  <c r="A55" i="227" s="1"/>
  <c r="A56" i="227" s="1"/>
  <c r="A57" i="227" s="1"/>
  <c r="A58" i="227" s="1"/>
  <c r="A59" i="227" s="1"/>
  <c r="A60" i="227" s="1"/>
  <c r="A61" i="227" s="1"/>
  <c r="A62" i="227" s="1"/>
  <c r="A63" i="227" s="1"/>
  <c r="A64" i="227" s="1"/>
  <c r="A65" i="227" s="1"/>
  <c r="G54" i="227"/>
  <c r="O27" i="227"/>
  <c r="C113" i="226"/>
  <c r="I45" i="225"/>
  <c r="I48" i="225" s="1"/>
  <c r="I50" i="225" s="1"/>
  <c r="J71" i="226"/>
  <c r="M17" i="227"/>
  <c r="K38" i="227" s="1"/>
  <c r="B114" i="226"/>
  <c r="B72" i="226"/>
  <c r="G48" i="225"/>
  <c r="G50" i="225" s="1"/>
  <c r="G54" i="225" s="1"/>
  <c r="C45" i="225"/>
  <c r="M27" i="227" l="1"/>
  <c r="A66" i="227"/>
  <c r="A67" i="227" s="1"/>
  <c r="A68" i="227" s="1"/>
  <c r="A69" i="227" s="1"/>
  <c r="A71" i="227" s="1"/>
  <c r="A73" i="227" s="1"/>
  <c r="A74" i="227" s="1"/>
  <c r="C48" i="225"/>
  <c r="C50" i="225" s="1"/>
  <c r="D10" i="224" l="1"/>
  <c r="H21" i="2" l="1"/>
  <c r="H20" i="2"/>
  <c r="D15" i="234" l="1"/>
  <c r="D30" i="234" s="1"/>
  <c r="C15" i="234"/>
  <c r="C30" i="234" s="1"/>
  <c r="C14" i="234"/>
  <c r="C29" i="234" s="1"/>
  <c r="D14" i="234"/>
  <c r="D29" i="234" s="1"/>
  <c r="E30" i="234" l="1"/>
  <c r="E29" i="234"/>
  <c r="E14" i="234"/>
  <c r="R16" i="2" s="1"/>
  <c r="D26" i="2"/>
  <c r="D18" i="2"/>
  <c r="D17" i="2"/>
  <c r="D21" i="234"/>
  <c r="C21" i="234"/>
  <c r="D15" i="2"/>
  <c r="F33" i="19"/>
  <c r="F34" i="19"/>
  <c r="F35" i="19"/>
  <c r="L209" i="49"/>
  <c r="L208" i="49"/>
  <c r="L204" i="49"/>
  <c r="L203" i="49"/>
  <c r="D27" i="2" l="1"/>
  <c r="D14" i="2"/>
  <c r="D12" i="2"/>
  <c r="E21" i="234"/>
  <c r="R27" i="2" s="1"/>
  <c r="C19" i="234"/>
  <c r="D19" i="234"/>
  <c r="C22" i="234"/>
  <c r="C20" i="234"/>
  <c r="D22" i="234"/>
  <c r="D20" i="234"/>
  <c r="C10" i="234"/>
  <c r="C16" i="234"/>
  <c r="C31" i="234" s="1"/>
  <c r="D16" i="234"/>
  <c r="D31" i="234" s="1"/>
  <c r="D11" i="234"/>
  <c r="D13" i="234"/>
  <c r="D28" i="2"/>
  <c r="D25" i="2"/>
  <c r="E15" i="234"/>
  <c r="R17" i="2" s="1"/>
  <c r="C12" i="234"/>
  <c r="C27" i="234" s="1"/>
  <c r="D10" i="234"/>
  <c r="C11" i="234"/>
  <c r="D12" i="234"/>
  <c r="D27" i="234" s="1"/>
  <c r="C13" i="234"/>
  <c r="D16" i="2"/>
  <c r="H210" i="49"/>
  <c r="H205" i="49"/>
  <c r="D25" i="234" l="1"/>
  <c r="D13" i="2"/>
  <c r="C26" i="234"/>
  <c r="C25" i="234"/>
  <c r="D26" i="234"/>
  <c r="E27" i="234"/>
  <c r="E31" i="234"/>
  <c r="C28" i="234"/>
  <c r="D28" i="234"/>
  <c r="E19" i="234"/>
  <c r="R25" i="2" s="1"/>
  <c r="E20" i="234"/>
  <c r="R26" i="2" s="1"/>
  <c r="E22" i="234"/>
  <c r="R28" i="2" s="1"/>
  <c r="E16" i="234"/>
  <c r="R18" i="2" s="1"/>
  <c r="Y388" i="221"/>
  <c r="Y233" i="221"/>
  <c r="E11" i="234"/>
  <c r="R13" i="2" s="1"/>
  <c r="E13" i="234"/>
  <c r="R15" i="2" s="1"/>
  <c r="E10" i="234"/>
  <c r="R12" i="2" s="1"/>
  <c r="F28" i="2"/>
  <c r="F16" i="2"/>
  <c r="F18" i="2"/>
  <c r="F12" i="2"/>
  <c r="F25" i="2"/>
  <c r="F13" i="2"/>
  <c r="E12" i="234"/>
  <c r="R14" i="2" s="1"/>
  <c r="F27" i="2"/>
  <c r="F26" i="2"/>
  <c r="F15" i="2"/>
  <c r="F14" i="2"/>
  <c r="F17" i="2"/>
  <c r="L135" i="49"/>
  <c r="L134" i="49"/>
  <c r="L131" i="49"/>
  <c r="L127" i="49"/>
  <c r="L126" i="49"/>
  <c r="L123" i="49"/>
  <c r="E25" i="234" l="1"/>
  <c r="E26" i="234"/>
  <c r="E28" i="234"/>
  <c r="D32" i="234"/>
  <c r="C32" i="234"/>
  <c r="Y395" i="221"/>
  <c r="AA395" i="221" s="1"/>
  <c r="H136" i="49"/>
  <c r="H128" i="49"/>
  <c r="E32" i="234" l="1"/>
  <c r="Y398" i="221"/>
  <c r="J11" i="9"/>
  <c r="U55" i="49"/>
  <c r="U54" i="49"/>
  <c r="U53" i="49"/>
  <c r="U52" i="49"/>
  <c r="U51" i="49"/>
  <c r="U50" i="49"/>
  <c r="U49" i="49"/>
  <c r="U48" i="49"/>
  <c r="U47" i="49"/>
  <c r="U46" i="49"/>
  <c r="U45" i="49"/>
  <c r="U44" i="49"/>
  <c r="J72" i="49" s="1"/>
  <c r="U43" i="49"/>
  <c r="U42" i="49"/>
  <c r="U41" i="49"/>
  <c r="U40" i="49"/>
  <c r="U39" i="49"/>
  <c r="U38" i="49"/>
  <c r="U37" i="49"/>
  <c r="J170" i="49" s="1"/>
  <c r="U36" i="49"/>
  <c r="J150" i="49" s="1"/>
  <c r="U35" i="49"/>
  <c r="J169" i="49" s="1"/>
  <c r="U34" i="49"/>
  <c r="J149" i="49" s="1"/>
  <c r="U33" i="49"/>
  <c r="U32" i="49"/>
  <c r="U31" i="49"/>
  <c r="J166" i="49" s="1"/>
  <c r="U30" i="49"/>
  <c r="U29" i="49"/>
  <c r="U28" i="49"/>
  <c r="U27" i="49"/>
  <c r="U26" i="49"/>
  <c r="U25" i="49"/>
  <c r="U24" i="49"/>
  <c r="U23" i="49"/>
  <c r="U22" i="49"/>
  <c r="U21" i="49"/>
  <c r="U20" i="49"/>
  <c r="U19" i="49"/>
  <c r="U18" i="49"/>
  <c r="U17" i="49"/>
  <c r="J71" i="49" l="1"/>
  <c r="J159" i="49"/>
  <c r="J69" i="49"/>
  <c r="J70" i="49"/>
  <c r="J158" i="49"/>
  <c r="J157" i="49"/>
  <c r="J83" i="49"/>
  <c r="J85" i="49"/>
  <c r="J82" i="49"/>
  <c r="J84" i="49"/>
  <c r="J102" i="49"/>
  <c r="J188" i="49"/>
  <c r="J100" i="49"/>
  <c r="J101" i="49"/>
  <c r="J189" i="49"/>
  <c r="J99" i="49"/>
  <c r="J103" i="49"/>
  <c r="J134" i="49"/>
  <c r="N134" i="49" s="1"/>
  <c r="J209" i="49"/>
  <c r="N209" i="49" s="1"/>
  <c r="J133" i="49"/>
  <c r="J132" i="49"/>
  <c r="N132" i="49" s="1"/>
  <c r="J135" i="49"/>
  <c r="N135" i="49" s="1"/>
  <c r="J208" i="49"/>
  <c r="N208" i="49" s="1"/>
  <c r="J131" i="49"/>
  <c r="N131" i="49" s="1"/>
  <c r="J11" i="49"/>
  <c r="J10" i="49"/>
  <c r="J9" i="49"/>
  <c r="J31" i="49"/>
  <c r="J27" i="49"/>
  <c r="J23" i="49"/>
  <c r="J19" i="49"/>
  <c r="J15" i="49"/>
  <c r="J33" i="49"/>
  <c r="J29" i="49"/>
  <c r="J21" i="49"/>
  <c r="J13" i="49"/>
  <c r="J34" i="49"/>
  <c r="J30" i="49"/>
  <c r="J26" i="49"/>
  <c r="J22" i="49"/>
  <c r="J18" i="49"/>
  <c r="J14" i="49"/>
  <c r="J25" i="49"/>
  <c r="J17" i="49"/>
  <c r="J20" i="49"/>
  <c r="J28" i="49"/>
  <c r="J12" i="49"/>
  <c r="J32" i="49"/>
  <c r="J16" i="49"/>
  <c r="J24" i="49"/>
  <c r="J67" i="49"/>
  <c r="J63" i="49"/>
  <c r="J59" i="49"/>
  <c r="J55" i="49"/>
  <c r="J51" i="49"/>
  <c r="J47" i="49"/>
  <c r="J43" i="49"/>
  <c r="J39" i="49"/>
  <c r="J35" i="49"/>
  <c r="J155" i="49"/>
  <c r="J61" i="49"/>
  <c r="J53" i="49"/>
  <c r="J41" i="49"/>
  <c r="J66" i="49"/>
  <c r="J62" i="49"/>
  <c r="J58" i="49"/>
  <c r="J54" i="49"/>
  <c r="J50" i="49"/>
  <c r="J46" i="49"/>
  <c r="J42" i="49"/>
  <c r="J38" i="49"/>
  <c r="J154" i="49"/>
  <c r="J65" i="49"/>
  <c r="J57" i="49"/>
  <c r="J49" i="49"/>
  <c r="J45" i="49"/>
  <c r="J37" i="49"/>
  <c r="J52" i="49"/>
  <c r="J36" i="49"/>
  <c r="J171" i="49"/>
  <c r="J40" i="49"/>
  <c r="J64" i="49"/>
  <c r="J48" i="49"/>
  <c r="J60" i="49"/>
  <c r="J44" i="49"/>
  <c r="J56" i="49"/>
  <c r="J87" i="49"/>
  <c r="J86" i="49"/>
  <c r="J89" i="49"/>
  <c r="J88" i="49"/>
  <c r="J111" i="49"/>
  <c r="J107" i="49"/>
  <c r="J110" i="49"/>
  <c r="J109" i="49"/>
  <c r="J108" i="49"/>
  <c r="J193" i="49"/>
  <c r="J194" i="49"/>
  <c r="J168" i="49"/>
  <c r="J167" i="49"/>
  <c r="J173" i="49"/>
  <c r="J172" i="49"/>
  <c r="J75" i="49"/>
  <c r="J77" i="49"/>
  <c r="J74" i="49"/>
  <c r="J73" i="49"/>
  <c r="J76" i="49"/>
  <c r="J91" i="49"/>
  <c r="J90" i="49"/>
  <c r="J92" i="49"/>
  <c r="J116" i="49"/>
  <c r="J199" i="49"/>
  <c r="J118" i="49"/>
  <c r="J119" i="49"/>
  <c r="J115" i="49"/>
  <c r="J198" i="49"/>
  <c r="J117" i="49"/>
  <c r="J151" i="49"/>
  <c r="J153" i="49"/>
  <c r="J152" i="49"/>
  <c r="J68" i="49"/>
  <c r="J156" i="49"/>
  <c r="J174" i="49"/>
  <c r="J79" i="49"/>
  <c r="J178" i="49"/>
  <c r="J78" i="49"/>
  <c r="J179" i="49"/>
  <c r="J81" i="49"/>
  <c r="J80" i="49"/>
  <c r="J95" i="49"/>
  <c r="J93" i="49"/>
  <c r="J94" i="49"/>
  <c r="J183" i="49"/>
  <c r="J184" i="49"/>
  <c r="J125" i="49"/>
  <c r="J123" i="49"/>
  <c r="N123" i="49" s="1"/>
  <c r="J204" i="49"/>
  <c r="N204" i="49" s="1"/>
  <c r="J124" i="49"/>
  <c r="N124" i="49" s="1"/>
  <c r="J127" i="49"/>
  <c r="N127" i="49" s="1"/>
  <c r="J203" i="49"/>
  <c r="N203" i="49" s="1"/>
  <c r="J126" i="49"/>
  <c r="N126" i="49" s="1"/>
  <c r="P126" i="49" l="1"/>
  <c r="R126" i="49"/>
  <c r="R204" i="49"/>
  <c r="P204" i="49"/>
  <c r="P203" i="49"/>
  <c r="R203" i="49"/>
  <c r="N205" i="49"/>
  <c r="P208" i="49"/>
  <c r="N210" i="49"/>
  <c r="R208" i="49"/>
  <c r="R209" i="49"/>
  <c r="P209" i="49"/>
  <c r="R132" i="49"/>
  <c r="P132" i="49"/>
  <c r="P135" i="49"/>
  <c r="R135" i="49"/>
  <c r="P124" i="49"/>
  <c r="R124" i="49"/>
  <c r="P134" i="49"/>
  <c r="R134" i="49"/>
  <c r="P127" i="49"/>
  <c r="R127" i="49"/>
  <c r="R123" i="49"/>
  <c r="P123" i="49"/>
  <c r="P131" i="49"/>
  <c r="R131" i="49"/>
  <c r="Z45" i="215"/>
  <c r="Z37" i="215"/>
  <c r="Z14" i="215"/>
  <c r="Z26" i="215"/>
  <c r="P205" i="49" l="1"/>
  <c r="P210" i="49"/>
  <c r="Z52" i="215" l="1"/>
  <c r="Z51" i="215"/>
  <c r="Z50" i="215"/>
  <c r="Z48" i="215"/>
  <c r="Z47" i="215"/>
  <c r="Z44" i="215"/>
  <c r="Z43" i="215"/>
  <c r="Z42" i="215"/>
  <c r="Z41" i="215"/>
  <c r="Z36" i="215"/>
  <c r="Z34" i="215"/>
  <c r="Z32" i="215"/>
  <c r="Z31" i="215"/>
  <c r="Z30" i="215"/>
  <c r="Z28" i="215"/>
  <c r="Z27" i="215"/>
  <c r="Z25" i="215"/>
  <c r="Z24" i="215"/>
  <c r="Z23" i="215"/>
  <c r="Z22" i="215"/>
  <c r="Z20" i="215"/>
  <c r="Z19" i="215"/>
  <c r="Z18" i="215"/>
  <c r="Z16" i="215"/>
  <c r="Z15" i="215"/>
  <c r="Z13" i="215"/>
  <c r="AG4" i="53" l="1"/>
  <c r="AG3" i="53" s="1"/>
  <c r="Z19" i="56"/>
  <c r="Z22" i="56"/>
  <c r="Z16" i="56"/>
  <c r="Z17" i="56"/>
  <c r="Z12" i="56"/>
  <c r="Z20" i="56"/>
  <c r="Z14" i="56"/>
  <c r="Z15" i="56"/>
  <c r="Z21" i="56"/>
  <c r="Z13" i="56"/>
  <c r="Z18" i="56"/>
  <c r="E32" i="227" l="1"/>
  <c r="E36" i="227"/>
  <c r="E40" i="227"/>
  <c r="E33" i="227"/>
  <c r="E37" i="227"/>
  <c r="E41" i="227"/>
  <c r="E34" i="227"/>
  <c r="E38" i="227"/>
  <c r="E31" i="227"/>
  <c r="E35" i="227"/>
  <c r="E39" i="227"/>
  <c r="A2" i="54"/>
  <c r="A2" i="53"/>
  <c r="A2" i="52"/>
  <c r="A2" i="50"/>
  <c r="A2" i="49"/>
  <c r="A2" i="48"/>
  <c r="C11" i="52"/>
  <c r="C13" i="52"/>
  <c r="C12" i="52"/>
  <c r="C10" i="52"/>
  <c r="I39" i="227" l="1"/>
  <c r="E62" i="227"/>
  <c r="I62" i="227" s="1"/>
  <c r="M39" i="227"/>
  <c r="E30" i="228"/>
  <c r="E22" i="228"/>
  <c r="M31" i="227"/>
  <c r="E54" i="227"/>
  <c r="I54" i="227" s="1"/>
  <c r="I31" i="227"/>
  <c r="I34" i="227"/>
  <c r="E57" i="227"/>
  <c r="I57" i="227" s="1"/>
  <c r="M34" i="227"/>
  <c r="E25" i="228"/>
  <c r="I37" i="227"/>
  <c r="M37" i="227"/>
  <c r="E60" i="227"/>
  <c r="I60" i="227" s="1"/>
  <c r="E28" i="228"/>
  <c r="I40" i="227"/>
  <c r="M40" i="227"/>
  <c r="E63" i="227"/>
  <c r="I63" i="227" s="1"/>
  <c r="E31" i="228"/>
  <c r="E55" i="227"/>
  <c r="I55" i="227" s="1"/>
  <c r="M32" i="227"/>
  <c r="E23" i="228"/>
  <c r="I32" i="227"/>
  <c r="I35" i="227"/>
  <c r="E58" i="227"/>
  <c r="I58" i="227" s="1"/>
  <c r="M35" i="227"/>
  <c r="E26" i="228"/>
  <c r="I38" i="227"/>
  <c r="E61" i="227"/>
  <c r="I61" i="227" s="1"/>
  <c r="E29" i="228"/>
  <c r="M38" i="227"/>
  <c r="I41" i="227"/>
  <c r="M41" i="227"/>
  <c r="E64" i="227"/>
  <c r="I64" i="227" s="1"/>
  <c r="E32" i="228"/>
  <c r="I33" i="227"/>
  <c r="M33" i="227"/>
  <c r="E56" i="227"/>
  <c r="I56" i="227" s="1"/>
  <c r="E24" i="228"/>
  <c r="I36" i="227"/>
  <c r="M36" i="227"/>
  <c r="E59" i="227"/>
  <c r="I59" i="227" s="1"/>
  <c r="E27" i="228"/>
  <c r="C514" i="212"/>
  <c r="C478" i="212"/>
  <c r="C452" i="212"/>
  <c r="C399" i="212"/>
  <c r="C391" i="212"/>
  <c r="C439" i="212"/>
  <c r="C171" i="212"/>
  <c r="AD52" i="215" l="1"/>
  <c r="AH52" i="215" s="1"/>
  <c r="F52" i="215" s="1"/>
  <c r="L52" i="215" s="1"/>
  <c r="AD51" i="215"/>
  <c r="AH51" i="215" s="1"/>
  <c r="F51" i="215" s="1"/>
  <c r="L51" i="215" s="1"/>
  <c r="AD50" i="215"/>
  <c r="AH50" i="215" s="1"/>
  <c r="F50" i="215" s="1"/>
  <c r="L50" i="215" s="1"/>
  <c r="AD49" i="215"/>
  <c r="AH49" i="215" s="1"/>
  <c r="F49" i="215" s="1"/>
  <c r="L49" i="215" s="1"/>
  <c r="AD48" i="215"/>
  <c r="AH48" i="215" s="1"/>
  <c r="F48" i="215" s="1"/>
  <c r="L48" i="215" s="1"/>
  <c r="AD47" i="215"/>
  <c r="AH47" i="215" s="1"/>
  <c r="F47" i="215" s="1"/>
  <c r="L47" i="215" s="1"/>
  <c r="AD46" i="215"/>
  <c r="AH46" i="215" s="1"/>
  <c r="F46" i="215" s="1"/>
  <c r="L46" i="215" s="1"/>
  <c r="AD44" i="215"/>
  <c r="AH44" i="215" s="1"/>
  <c r="F44" i="215" s="1"/>
  <c r="L44" i="215" s="1"/>
  <c r="AD43" i="215"/>
  <c r="AH43" i="215" s="1"/>
  <c r="F43" i="215" s="1"/>
  <c r="L43" i="215" s="1"/>
  <c r="AD42" i="215"/>
  <c r="AH42" i="215" s="1"/>
  <c r="F42" i="215" s="1"/>
  <c r="L42" i="215" s="1"/>
  <c r="AD41" i="215"/>
  <c r="AH41" i="215" s="1"/>
  <c r="F41" i="215" s="1"/>
  <c r="L41" i="215" s="1"/>
  <c r="AD40" i="215"/>
  <c r="AH40" i="215" s="1"/>
  <c r="F40" i="215" s="1"/>
  <c r="L40" i="215" s="1"/>
  <c r="AD39" i="215"/>
  <c r="AH39" i="215" s="1"/>
  <c r="F39" i="215" s="1"/>
  <c r="L39" i="215" s="1"/>
  <c r="AD38" i="215"/>
  <c r="AH38" i="215" s="1"/>
  <c r="F38" i="215" s="1"/>
  <c r="L38" i="215" s="1"/>
  <c r="AD26" i="215"/>
  <c r="AH26" i="215" s="1"/>
  <c r="F26" i="215" s="1"/>
  <c r="L26" i="215" s="1"/>
  <c r="AD36" i="215"/>
  <c r="AH36" i="215" s="1"/>
  <c r="F36" i="215" s="1"/>
  <c r="L36" i="215" s="1"/>
  <c r="AD35" i="215"/>
  <c r="AH35" i="215" s="1"/>
  <c r="F35" i="215" s="1"/>
  <c r="L35" i="215" s="1"/>
  <c r="AD34" i="215"/>
  <c r="AH34" i="215" s="1"/>
  <c r="F34" i="215" s="1"/>
  <c r="L34" i="215" s="1"/>
  <c r="AD33" i="215"/>
  <c r="AH33" i="215" s="1"/>
  <c r="F33" i="215" s="1"/>
  <c r="L33" i="215" s="1"/>
  <c r="AD32" i="215"/>
  <c r="AH32" i="215" s="1"/>
  <c r="F32" i="215" s="1"/>
  <c r="L32" i="215" s="1"/>
  <c r="AD31" i="215"/>
  <c r="AH31" i="215" s="1"/>
  <c r="F31" i="215" s="1"/>
  <c r="L31" i="215" s="1"/>
  <c r="AD30" i="215"/>
  <c r="AH30" i="215" s="1"/>
  <c r="F30" i="215" s="1"/>
  <c r="L30" i="215" s="1"/>
  <c r="AD37" i="215"/>
  <c r="AH37" i="215" s="1"/>
  <c r="F37" i="215" s="1"/>
  <c r="L37" i="215" s="1"/>
  <c r="Z29" i="215"/>
  <c r="AD29" i="215" s="1"/>
  <c r="AH29" i="215" s="1"/>
  <c r="F29" i="215" s="1"/>
  <c r="L29" i="215" s="1"/>
  <c r="AD28" i="215"/>
  <c r="AH28" i="215" s="1"/>
  <c r="F28" i="215" s="1"/>
  <c r="L28" i="215" s="1"/>
  <c r="AD27" i="215"/>
  <c r="AH27" i="215" s="1"/>
  <c r="F27" i="215" s="1"/>
  <c r="L27" i="215" s="1"/>
  <c r="AD25" i="215"/>
  <c r="AH25" i="215" s="1"/>
  <c r="F25" i="215" s="1"/>
  <c r="L25" i="215" s="1"/>
  <c r="AD24" i="215"/>
  <c r="AH24" i="215" s="1"/>
  <c r="F24" i="215" s="1"/>
  <c r="L24" i="215" s="1"/>
  <c r="AD23" i="215"/>
  <c r="AH23" i="215" s="1"/>
  <c r="F23" i="215" s="1"/>
  <c r="L23" i="215" s="1"/>
  <c r="AD22" i="215"/>
  <c r="AH22" i="215" s="1"/>
  <c r="F22" i="215" s="1"/>
  <c r="L22" i="215" s="1"/>
  <c r="AD45" i="215"/>
  <c r="AH45" i="215" s="1"/>
  <c r="F45" i="215" s="1"/>
  <c r="L45" i="215" s="1"/>
  <c r="AD21" i="215"/>
  <c r="AH21" i="215" s="1"/>
  <c r="F21" i="215" s="1"/>
  <c r="L21" i="215" s="1"/>
  <c r="AD20" i="215"/>
  <c r="AH20" i="215" s="1"/>
  <c r="F20" i="215" s="1"/>
  <c r="L20" i="215" s="1"/>
  <c r="AD19" i="215"/>
  <c r="AH19" i="215" s="1"/>
  <c r="F19" i="215" s="1"/>
  <c r="L19" i="215" s="1"/>
  <c r="AD18" i="215"/>
  <c r="AH18" i="215" s="1"/>
  <c r="F18" i="215" s="1"/>
  <c r="L18" i="215" s="1"/>
  <c r="AD17" i="215"/>
  <c r="AH17" i="215" s="1"/>
  <c r="F17" i="215" s="1"/>
  <c r="L17" i="215" s="1"/>
  <c r="AD16" i="215"/>
  <c r="AH16" i="215" s="1"/>
  <c r="F16" i="215" s="1"/>
  <c r="L16" i="215" s="1"/>
  <c r="AD15" i="215"/>
  <c r="AH15" i="215" s="1"/>
  <c r="F15" i="215" s="1"/>
  <c r="L15" i="215" s="1"/>
  <c r="AD14" i="215"/>
  <c r="AH14" i="215" s="1"/>
  <c r="F14" i="215" s="1"/>
  <c r="L14" i="215" s="1"/>
  <c r="AD13" i="215"/>
  <c r="AH13" i="215" s="1"/>
  <c r="F13" i="215" l="1"/>
  <c r="L13" i="215" s="1"/>
  <c r="H17" i="215"/>
  <c r="T17" i="215"/>
  <c r="R17" i="215"/>
  <c r="H45" i="215"/>
  <c r="T45" i="215"/>
  <c r="R45" i="215"/>
  <c r="H18" i="215"/>
  <c r="T18" i="215"/>
  <c r="R18" i="215"/>
  <c r="H21" i="215"/>
  <c r="T21" i="215"/>
  <c r="R21" i="215"/>
  <c r="H25" i="215"/>
  <c r="T25" i="215"/>
  <c r="R25" i="215"/>
  <c r="H29" i="215"/>
  <c r="T29" i="215"/>
  <c r="R29" i="215"/>
  <c r="H32" i="215"/>
  <c r="T32" i="215"/>
  <c r="R32" i="215"/>
  <c r="H35" i="215"/>
  <c r="T35" i="215"/>
  <c r="R35" i="215"/>
  <c r="H40" i="215"/>
  <c r="T40" i="215"/>
  <c r="R40" i="215"/>
  <c r="H43" i="215"/>
  <c r="T43" i="215"/>
  <c r="R43" i="215"/>
  <c r="H49" i="215"/>
  <c r="T49" i="215"/>
  <c r="R49" i="215"/>
  <c r="H52" i="215"/>
  <c r="T52" i="215"/>
  <c r="R52" i="215"/>
  <c r="H15" i="215"/>
  <c r="T15" i="215"/>
  <c r="R15" i="215"/>
  <c r="H20" i="215"/>
  <c r="T20" i="215"/>
  <c r="R20" i="215"/>
  <c r="H22" i="215"/>
  <c r="T22" i="215"/>
  <c r="R22" i="215"/>
  <c r="H28" i="215"/>
  <c r="T28" i="215"/>
  <c r="R28" i="215"/>
  <c r="H30" i="215"/>
  <c r="T30" i="215"/>
  <c r="R30" i="215"/>
  <c r="H34" i="215"/>
  <c r="T34" i="215"/>
  <c r="R34" i="215"/>
  <c r="H26" i="215"/>
  <c r="T26" i="215"/>
  <c r="R26" i="215"/>
  <c r="H42" i="215"/>
  <c r="T42" i="215"/>
  <c r="R42" i="215"/>
  <c r="H46" i="215"/>
  <c r="T46" i="215"/>
  <c r="R46" i="215"/>
  <c r="H51" i="215"/>
  <c r="T51" i="215"/>
  <c r="R51" i="215"/>
  <c r="H14" i="215"/>
  <c r="T14" i="215"/>
  <c r="R14" i="215"/>
  <c r="H24" i="215"/>
  <c r="T24" i="215"/>
  <c r="R24" i="215"/>
  <c r="H37" i="215"/>
  <c r="T37" i="215"/>
  <c r="R37" i="215"/>
  <c r="H36" i="215"/>
  <c r="T36" i="215"/>
  <c r="R36" i="215"/>
  <c r="H39" i="215"/>
  <c r="T39" i="215"/>
  <c r="R39" i="215"/>
  <c r="H44" i="215"/>
  <c r="T44" i="215"/>
  <c r="R44" i="215"/>
  <c r="H48" i="215"/>
  <c r="T48" i="215"/>
  <c r="R48" i="215"/>
  <c r="H16" i="215"/>
  <c r="T16" i="215"/>
  <c r="R16" i="215"/>
  <c r="H19" i="215"/>
  <c r="T19" i="215"/>
  <c r="R19" i="215"/>
  <c r="H23" i="215"/>
  <c r="R23" i="215"/>
  <c r="T23" i="215"/>
  <c r="H27" i="215"/>
  <c r="T27" i="215"/>
  <c r="R27" i="215"/>
  <c r="H31" i="215"/>
  <c r="R31" i="215"/>
  <c r="T31" i="215"/>
  <c r="H33" i="215"/>
  <c r="R33" i="215"/>
  <c r="T33" i="215"/>
  <c r="H38" i="215"/>
  <c r="R38" i="215"/>
  <c r="T38" i="215"/>
  <c r="H41" i="215"/>
  <c r="T41" i="215"/>
  <c r="R41" i="215"/>
  <c r="H47" i="215"/>
  <c r="R47" i="215"/>
  <c r="T47" i="215"/>
  <c r="H50" i="215"/>
  <c r="T50" i="215"/>
  <c r="R50" i="215"/>
  <c r="H10" i="56"/>
  <c r="N50" i="215" l="1"/>
  <c r="N51" i="215"/>
  <c r="N26" i="215"/>
  <c r="N30" i="215"/>
  <c r="N20" i="215"/>
  <c r="N41" i="215"/>
  <c r="N28" i="215"/>
  <c r="N19" i="215"/>
  <c r="N47" i="215"/>
  <c r="N31" i="215"/>
  <c r="N27" i="215"/>
  <c r="N23" i="215"/>
  <c r="N48" i="215"/>
  <c r="N44" i="215"/>
  <c r="N39" i="215"/>
  <c r="N46" i="215"/>
  <c r="N38" i="215"/>
  <c r="N33" i="215"/>
  <c r="N22" i="215"/>
  <c r="N16" i="215"/>
  <c r="N36" i="215"/>
  <c r="N37" i="215"/>
  <c r="N24" i="215"/>
  <c r="N14" i="215"/>
  <c r="N42" i="215"/>
  <c r="N34" i="215"/>
  <c r="N15" i="215"/>
  <c r="N52" i="215"/>
  <c r="N49" i="215"/>
  <c r="N43" i="215"/>
  <c r="N40" i="215"/>
  <c r="N35" i="215"/>
  <c r="N32" i="215"/>
  <c r="N29" i="215"/>
  <c r="N25" i="215"/>
  <c r="N21" i="215"/>
  <c r="N18" i="215"/>
  <c r="N45" i="215"/>
  <c r="N17" i="215"/>
  <c r="E65" i="216" l="1"/>
  <c r="E32" i="216"/>
  <c r="B648" i="212" l="1"/>
  <c r="E648" i="212"/>
  <c r="B575" i="212"/>
  <c r="E575" i="212"/>
  <c r="C575" i="212" s="1"/>
  <c r="F575" i="212" s="1"/>
  <c r="G575" i="212" s="1"/>
  <c r="B491" i="212"/>
  <c r="E491" i="212"/>
  <c r="C484" i="212"/>
  <c r="D484" i="212"/>
  <c r="B480" i="212"/>
  <c r="E480" i="212"/>
  <c r="B431" i="212"/>
  <c r="E431" i="212"/>
  <c r="B307" i="212"/>
  <c r="E307" i="212"/>
  <c r="B300" i="212"/>
  <c r="E300" i="212"/>
  <c r="E294" i="212"/>
  <c r="C294" i="212" s="1"/>
  <c r="B294" i="212"/>
  <c r="E234" i="212"/>
  <c r="E58" i="268" s="1"/>
  <c r="B234" i="212"/>
  <c r="D208" i="212"/>
  <c r="E199" i="212"/>
  <c r="E200" i="212"/>
  <c r="E201" i="212"/>
  <c r="E202" i="212"/>
  <c r="E203" i="212"/>
  <c r="B199" i="212"/>
  <c r="B200" i="212"/>
  <c r="B201" i="212"/>
  <c r="B202" i="212"/>
  <c r="B203" i="212"/>
  <c r="B204" i="212"/>
  <c r="E124" i="212"/>
  <c r="C124" i="212" s="1"/>
  <c r="F124" i="212" s="1"/>
  <c r="B124" i="212"/>
  <c r="F94" i="212"/>
  <c r="E94" i="212"/>
  <c r="D94" i="212" s="1"/>
  <c r="E95" i="212"/>
  <c r="D95" i="212" s="1"/>
  <c r="F95" i="212"/>
  <c r="B94" i="212"/>
  <c r="B95" i="212"/>
  <c r="E83" i="212"/>
  <c r="C83" i="212" s="1"/>
  <c r="F83" i="212" s="1"/>
  <c r="E84" i="212"/>
  <c r="C84" i="212" s="1"/>
  <c r="F84" i="212" s="1"/>
  <c r="E85" i="212"/>
  <c r="C85" i="212" s="1"/>
  <c r="F85" i="212" s="1"/>
  <c r="E86" i="212"/>
  <c r="C86" i="212" s="1"/>
  <c r="F86" i="212" s="1"/>
  <c r="E87" i="212"/>
  <c r="C87" i="212" s="1"/>
  <c r="F87" i="212" s="1"/>
  <c r="E88" i="212"/>
  <c r="C88" i="212" s="1"/>
  <c r="F88" i="212" s="1"/>
  <c r="E89" i="212"/>
  <c r="C89" i="212" s="1"/>
  <c r="F89" i="212" s="1"/>
  <c r="E90" i="212"/>
  <c r="C90" i="212" s="1"/>
  <c r="F90" i="212" s="1"/>
  <c r="E91" i="212"/>
  <c r="C91" i="212" s="1"/>
  <c r="F91" i="212" s="1"/>
  <c r="E82" i="212"/>
  <c r="C82" i="212" s="1"/>
  <c r="F82" i="212" s="1"/>
  <c r="E92" i="212"/>
  <c r="C92" i="212" s="1"/>
  <c r="B82" i="212"/>
  <c r="B83" i="212"/>
  <c r="B84" i="212"/>
  <c r="B85" i="212"/>
  <c r="B86" i="212"/>
  <c r="B87" i="212"/>
  <c r="B88" i="212"/>
  <c r="B89" i="212"/>
  <c r="B90" i="212"/>
  <c r="B91" i="212"/>
  <c r="E35" i="212"/>
  <c r="B35" i="212"/>
  <c r="E19" i="212"/>
  <c r="B19" i="212"/>
  <c r="E462" i="211"/>
  <c r="E463" i="211"/>
  <c r="E464" i="211"/>
  <c r="E402" i="211"/>
  <c r="E333" i="211"/>
  <c r="E334" i="211"/>
  <c r="E330" i="211"/>
  <c r="E291" i="211"/>
  <c r="E229" i="211"/>
  <c r="E222" i="211"/>
  <c r="E220" i="211"/>
  <c r="E177" i="211"/>
  <c r="E13" i="211"/>
  <c r="E14" i="211"/>
  <c r="E15" i="211"/>
  <c r="E16" i="211"/>
  <c r="E17" i="211"/>
  <c r="E18" i="211"/>
  <c r="E19" i="211"/>
  <c r="E20" i="211"/>
  <c r="E21" i="211"/>
  <c r="E22" i="211"/>
  <c r="E23" i="211"/>
  <c r="E24" i="211"/>
  <c r="E25" i="211"/>
  <c r="E26" i="211"/>
  <c r="E27" i="211"/>
  <c r="E28" i="211"/>
  <c r="E29" i="211"/>
  <c r="E30" i="211"/>
  <c r="E31" i="211"/>
  <c r="E32" i="211"/>
  <c r="E33" i="211"/>
  <c r="E34" i="211"/>
  <c r="E35" i="211"/>
  <c r="E36" i="211"/>
  <c r="E37" i="211"/>
  <c r="E38" i="211"/>
  <c r="E39" i="211"/>
  <c r="E40" i="211"/>
  <c r="E41" i="211"/>
  <c r="E42" i="211"/>
  <c r="E43" i="211"/>
  <c r="E44" i="211"/>
  <c r="E45" i="211"/>
  <c r="E46" i="211"/>
  <c r="E47" i="211"/>
  <c r="E48" i="211"/>
  <c r="E49" i="211"/>
  <c r="E50" i="211"/>
  <c r="E51" i="211"/>
  <c r="E52" i="211"/>
  <c r="E53" i="211"/>
  <c r="E54" i="211"/>
  <c r="E55" i="211"/>
  <c r="E56" i="211"/>
  <c r="E57" i="211"/>
  <c r="E58" i="211"/>
  <c r="E59" i="211"/>
  <c r="E60" i="211"/>
  <c r="E61" i="211"/>
  <c r="E62" i="211"/>
  <c r="E63" i="211"/>
  <c r="E64" i="211"/>
  <c r="E65" i="211"/>
  <c r="E66" i="211"/>
  <c r="E67" i="211"/>
  <c r="E68" i="211"/>
  <c r="E69" i="211"/>
  <c r="E70" i="211"/>
  <c r="E71" i="211"/>
  <c r="E72" i="211"/>
  <c r="E73" i="211"/>
  <c r="E74" i="211"/>
  <c r="E75" i="211"/>
  <c r="E76" i="211"/>
  <c r="E77" i="211"/>
  <c r="E78" i="211"/>
  <c r="E79" i="211"/>
  <c r="E80" i="211"/>
  <c r="E81" i="211"/>
  <c r="E82" i="211"/>
  <c r="E83" i="211"/>
  <c r="E84" i="211"/>
  <c r="E85" i="211"/>
  <c r="E86" i="211"/>
  <c r="E87" i="211"/>
  <c r="E88" i="211"/>
  <c r="E89" i="211"/>
  <c r="E90" i="211"/>
  <c r="E91" i="211"/>
  <c r="E92" i="211"/>
  <c r="E93" i="211"/>
  <c r="E94" i="211"/>
  <c r="E95" i="211"/>
  <c r="E96" i="211"/>
  <c r="E97" i="211"/>
  <c r="E98" i="211"/>
  <c r="E99" i="211"/>
  <c r="E100" i="211"/>
  <c r="E101" i="211"/>
  <c r="E102" i="211"/>
  <c r="E103" i="211"/>
  <c r="E104" i="211"/>
  <c r="E105" i="211"/>
  <c r="E106" i="211"/>
  <c r="E107" i="211"/>
  <c r="E108" i="211"/>
  <c r="E109" i="211"/>
  <c r="E110" i="211"/>
  <c r="E111" i="211"/>
  <c r="E112" i="211"/>
  <c r="E113" i="211"/>
  <c r="E114" i="211"/>
  <c r="E115" i="211"/>
  <c r="E116" i="211"/>
  <c r="E117" i="211"/>
  <c r="E118" i="211"/>
  <c r="E119" i="211"/>
  <c r="E120" i="211"/>
  <c r="E121" i="211"/>
  <c r="E122" i="211"/>
  <c r="E123" i="211"/>
  <c r="E124" i="211"/>
  <c r="E125" i="211"/>
  <c r="E126" i="211"/>
  <c r="E127" i="211"/>
  <c r="E128" i="211"/>
  <c r="E129" i="211"/>
  <c r="E130" i="211"/>
  <c r="E131" i="211"/>
  <c r="E132" i="211"/>
  <c r="E133" i="211"/>
  <c r="E134" i="211"/>
  <c r="E135" i="211"/>
  <c r="E136" i="211"/>
  <c r="E137" i="211"/>
  <c r="E138" i="211"/>
  <c r="E139" i="211"/>
  <c r="E140" i="211"/>
  <c r="E141" i="211"/>
  <c r="E142" i="211"/>
  <c r="E143" i="211"/>
  <c r="E144" i="211"/>
  <c r="E145" i="211"/>
  <c r="E146" i="211"/>
  <c r="E147" i="211"/>
  <c r="E148" i="211"/>
  <c r="E149" i="211"/>
  <c r="E150" i="211"/>
  <c r="E151" i="211"/>
  <c r="E152" i="211"/>
  <c r="E153" i="211"/>
  <c r="E154" i="211"/>
  <c r="E155" i="211"/>
  <c r="E156" i="211"/>
  <c r="E157" i="211"/>
  <c r="E158" i="211"/>
  <c r="E159" i="211"/>
  <c r="E160" i="211"/>
  <c r="E161" i="211"/>
  <c r="E162" i="211"/>
  <c r="E163" i="211"/>
  <c r="E164" i="211"/>
  <c r="E165" i="211"/>
  <c r="E166" i="211"/>
  <c r="E167" i="211"/>
  <c r="E168" i="211"/>
  <c r="E169" i="211"/>
  <c r="E170" i="211"/>
  <c r="E171" i="211"/>
  <c r="E172" i="211"/>
  <c r="E173" i="211"/>
  <c r="E174" i="211"/>
  <c r="E175" i="211"/>
  <c r="E178" i="211"/>
  <c r="E179" i="211"/>
  <c r="E180" i="211"/>
  <c r="E181" i="211"/>
  <c r="E182" i="211"/>
  <c r="E183" i="211"/>
  <c r="E184" i="211"/>
  <c r="E185" i="211"/>
  <c r="E187" i="211"/>
  <c r="E188" i="211"/>
  <c r="E189" i="211"/>
  <c r="E190" i="211"/>
  <c r="E191" i="211"/>
  <c r="E192" i="211"/>
  <c r="E193" i="211"/>
  <c r="E194" i="211"/>
  <c r="E195" i="211"/>
  <c r="E196" i="211"/>
  <c r="E197" i="211"/>
  <c r="E198" i="211"/>
  <c r="E199" i="211"/>
  <c r="E201" i="211"/>
  <c r="E203" i="211"/>
  <c r="E204" i="211"/>
  <c r="E205" i="211"/>
  <c r="E206" i="211"/>
  <c r="E208" i="211"/>
  <c r="E209" i="211"/>
  <c r="E210" i="211"/>
  <c r="E211" i="211"/>
  <c r="E212" i="211"/>
  <c r="E213" i="211"/>
  <c r="E214" i="211"/>
  <c r="E215" i="211"/>
  <c r="E216" i="211"/>
  <c r="E217" i="211"/>
  <c r="E218" i="211"/>
  <c r="E219" i="211"/>
  <c r="E221" i="211"/>
  <c r="E223" i="211"/>
  <c r="E224" i="211"/>
  <c r="E225" i="211"/>
  <c r="E226" i="211"/>
  <c r="E227" i="211"/>
  <c r="E228" i="211"/>
  <c r="E230" i="211"/>
  <c r="E231" i="211"/>
  <c r="E232" i="211"/>
  <c r="E233" i="211"/>
  <c r="E234" i="211"/>
  <c r="E236" i="211"/>
  <c r="E237" i="211"/>
  <c r="E238" i="211"/>
  <c r="E239" i="211"/>
  <c r="E240" i="211"/>
  <c r="E241" i="211"/>
  <c r="E242" i="211"/>
  <c r="E244" i="211"/>
  <c r="E245" i="211"/>
  <c r="E248" i="211"/>
  <c r="E250" i="211"/>
  <c r="E251" i="211"/>
  <c r="E252" i="211"/>
  <c r="E253" i="211"/>
  <c r="E254" i="211"/>
  <c r="E255" i="211"/>
  <c r="E256" i="211"/>
  <c r="E257" i="211"/>
  <c r="E258" i="211"/>
  <c r="E259" i="211"/>
  <c r="E260" i="211"/>
  <c r="E261" i="211"/>
  <c r="E262" i="211"/>
  <c r="E263" i="211"/>
  <c r="E264" i="211"/>
  <c r="E265" i="211"/>
  <c r="E266" i="211"/>
  <c r="E267" i="211"/>
  <c r="E268" i="211"/>
  <c r="E269" i="211"/>
  <c r="E270" i="211"/>
  <c r="E271" i="211"/>
  <c r="E272" i="211"/>
  <c r="E273" i="211"/>
  <c r="E274" i="211"/>
  <c r="E275" i="211"/>
  <c r="E276" i="211"/>
  <c r="E277" i="211"/>
  <c r="E278" i="211"/>
  <c r="E279" i="211"/>
  <c r="E280" i="211"/>
  <c r="E281" i="211"/>
  <c r="E283" i="211"/>
  <c r="E284" i="211"/>
  <c r="E285" i="211"/>
  <c r="E286" i="211"/>
  <c r="E287" i="211"/>
  <c r="E288" i="211"/>
  <c r="E289" i="211"/>
  <c r="E290" i="211"/>
  <c r="E292" i="211"/>
  <c r="E293" i="211"/>
  <c r="E294" i="211"/>
  <c r="E295" i="211"/>
  <c r="E296" i="211"/>
  <c r="E297" i="211"/>
  <c r="E298" i="211"/>
  <c r="E299" i="211"/>
  <c r="E300" i="211"/>
  <c r="E301" i="211"/>
  <c r="E302" i="211"/>
  <c r="E303" i="211"/>
  <c r="E304" i="211"/>
  <c r="E305" i="211"/>
  <c r="E306" i="211"/>
  <c r="E307" i="211"/>
  <c r="E308" i="211"/>
  <c r="E309" i="211"/>
  <c r="E310" i="211"/>
  <c r="E311" i="211"/>
  <c r="E312" i="211"/>
  <c r="E313" i="211"/>
  <c r="E314" i="211"/>
  <c r="E315" i="211"/>
  <c r="E316" i="211"/>
  <c r="E317" i="211"/>
  <c r="E318" i="211"/>
  <c r="E319" i="211"/>
  <c r="E320" i="211"/>
  <c r="E321" i="211"/>
  <c r="E322" i="211"/>
  <c r="E323" i="211"/>
  <c r="E324" i="211"/>
  <c r="E325" i="211"/>
  <c r="E326" i="211"/>
  <c r="E327" i="211"/>
  <c r="E328" i="211"/>
  <c r="E331" i="211"/>
  <c r="E332" i="211"/>
  <c r="E335" i="211"/>
  <c r="E336" i="211"/>
  <c r="E337" i="211"/>
  <c r="E338" i="211"/>
  <c r="E339" i="211"/>
  <c r="E340" i="211"/>
  <c r="E341" i="211"/>
  <c r="E342" i="211"/>
  <c r="E343" i="211"/>
  <c r="E345" i="211"/>
  <c r="E346" i="211"/>
  <c r="E347" i="211"/>
  <c r="E348" i="211"/>
  <c r="E349" i="211"/>
  <c r="E350" i="211"/>
  <c r="E351" i="211"/>
  <c r="E352" i="211"/>
  <c r="E353" i="211"/>
  <c r="E354" i="211"/>
  <c r="E355" i="211"/>
  <c r="E356" i="211"/>
  <c r="E357" i="211"/>
  <c r="E358" i="211"/>
  <c r="E359" i="211"/>
  <c r="E360" i="211"/>
  <c r="E361" i="211"/>
  <c r="E362" i="211"/>
  <c r="E363" i="211"/>
  <c r="E364" i="211"/>
  <c r="E365" i="211"/>
  <c r="E366" i="211"/>
  <c r="E367" i="211"/>
  <c r="E368" i="211"/>
  <c r="E369" i="211"/>
  <c r="E370" i="211"/>
  <c r="E371" i="211"/>
  <c r="E372" i="211"/>
  <c r="E373" i="211"/>
  <c r="E374" i="211"/>
  <c r="E375" i="211"/>
  <c r="E376" i="211"/>
  <c r="E377" i="211"/>
  <c r="E378" i="211"/>
  <c r="E379" i="211"/>
  <c r="E380" i="211"/>
  <c r="E381" i="211"/>
  <c r="E382" i="211"/>
  <c r="E383" i="211"/>
  <c r="E384" i="211"/>
  <c r="E385" i="211"/>
  <c r="E386" i="211"/>
  <c r="E387" i="211"/>
  <c r="E388" i="211"/>
  <c r="E389" i="211"/>
  <c r="E390" i="211"/>
  <c r="E391" i="211"/>
  <c r="E392" i="211"/>
  <c r="E393" i="211"/>
  <c r="E394" i="211"/>
  <c r="E395" i="211"/>
  <c r="E396" i="211"/>
  <c r="E397" i="211"/>
  <c r="E398" i="211"/>
  <c r="E399" i="211"/>
  <c r="E400" i="211"/>
  <c r="E401" i="211"/>
  <c r="E403" i="211"/>
  <c r="E404" i="211"/>
  <c r="E405" i="211"/>
  <c r="E406" i="211"/>
  <c r="E407" i="211"/>
  <c r="E408" i="211"/>
  <c r="E410" i="211"/>
  <c r="E411" i="211"/>
  <c r="E412" i="211"/>
  <c r="E413" i="211"/>
  <c r="E414" i="211"/>
  <c r="E415" i="211"/>
  <c r="E416" i="211"/>
  <c r="E417" i="211"/>
  <c r="E418" i="211"/>
  <c r="E419" i="211"/>
  <c r="E420" i="211"/>
  <c r="E421" i="211"/>
  <c r="E422" i="211"/>
  <c r="E423" i="211"/>
  <c r="E424" i="211"/>
  <c r="E425" i="211"/>
  <c r="E426" i="211"/>
  <c r="E427" i="211"/>
  <c r="E428" i="211"/>
  <c r="E429" i="211"/>
  <c r="E430" i="211"/>
  <c r="E431" i="211"/>
  <c r="E432" i="211"/>
  <c r="E433" i="211"/>
  <c r="E434" i="211"/>
  <c r="E436" i="211"/>
  <c r="E437" i="211"/>
  <c r="E438" i="211"/>
  <c r="E439" i="211"/>
  <c r="E440" i="211"/>
  <c r="E441" i="211"/>
  <c r="E442" i="211"/>
  <c r="E443" i="211"/>
  <c r="E444" i="211"/>
  <c r="E445" i="211"/>
  <c r="E446" i="211"/>
  <c r="E447" i="211"/>
  <c r="E448" i="211"/>
  <c r="E449" i="211"/>
  <c r="E450" i="211"/>
  <c r="E451" i="211"/>
  <c r="E452" i="211"/>
  <c r="E453" i="211"/>
  <c r="E454" i="211"/>
  <c r="E455" i="211"/>
  <c r="E456" i="211"/>
  <c r="E457" i="211"/>
  <c r="E458" i="211"/>
  <c r="E459" i="211"/>
  <c r="E460" i="211"/>
  <c r="E461" i="211"/>
  <c r="E3" i="211"/>
  <c r="E4" i="211"/>
  <c r="E5" i="211"/>
  <c r="E6" i="211"/>
  <c r="E7" i="211"/>
  <c r="E8" i="211"/>
  <c r="E9" i="211"/>
  <c r="E10" i="211"/>
  <c r="E11" i="211"/>
  <c r="E12" i="211"/>
  <c r="E2" i="211"/>
  <c r="D468" i="211"/>
  <c r="E5" i="212"/>
  <c r="D5" i="212"/>
  <c r="C5" i="212"/>
  <c r="C19" i="212" l="1"/>
  <c r="F19" i="212" s="1"/>
  <c r="G19" i="212" s="1"/>
  <c r="E24" i="268"/>
  <c r="C35" i="212"/>
  <c r="F35" i="212" s="1"/>
  <c r="E42" i="268"/>
  <c r="C648" i="212"/>
  <c r="C234" i="212"/>
  <c r="G95" i="212"/>
  <c r="G94" i="212"/>
  <c r="G124" i="212"/>
  <c r="G89" i="212"/>
  <c r="G83" i="212"/>
  <c r="G91" i="212"/>
  <c r="G87" i="212"/>
  <c r="G85" i="212"/>
  <c r="G90" i="212"/>
  <c r="G88" i="212"/>
  <c r="G86" i="212"/>
  <c r="G84" i="212"/>
  <c r="G82" i="212"/>
  <c r="K42" i="268" l="1"/>
  <c r="D40" i="261"/>
  <c r="O40" i="261" s="1"/>
  <c r="P40" i="261" s="1"/>
  <c r="K24" i="268"/>
  <c r="D24" i="261"/>
  <c r="G24" i="261" s="1"/>
  <c r="G62" i="261" s="1"/>
  <c r="C6" i="259" s="1"/>
  <c r="D14" i="254" s="1"/>
  <c r="E14" i="254" s="1"/>
  <c r="G35" i="212"/>
  <c r="F234" i="212"/>
  <c r="P24" i="261" l="1"/>
  <c r="H14" i="254"/>
  <c r="G234" i="212"/>
  <c r="J14" i="254" l="1"/>
  <c r="K14" i="254" s="1"/>
  <c r="F58" i="9"/>
  <c r="A4" i="54" l="1"/>
  <c r="A4" i="53"/>
  <c r="A4" i="52"/>
  <c r="A4" i="50"/>
  <c r="A4" i="49"/>
  <c r="H25" i="2" l="1"/>
  <c r="H17" i="2"/>
  <c r="H28" i="2"/>
  <c r="H13" i="2"/>
  <c r="H26" i="2" l="1"/>
  <c r="H27" i="2"/>
  <c r="H12" i="2"/>
  <c r="H14" i="2"/>
  <c r="H15" i="2"/>
  <c r="H18" i="2"/>
  <c r="H16" i="2"/>
  <c r="AA388" i="221" l="1"/>
  <c r="Y391" i="221"/>
  <c r="Y235" i="221" l="1"/>
  <c r="AA233" i="221"/>
  <c r="E15" i="40" l="1"/>
  <c r="C15" i="40"/>
  <c r="A1" i="40"/>
  <c r="G13" i="13"/>
  <c r="E13" i="13"/>
  <c r="C13" i="13"/>
  <c r="A1" i="13"/>
  <c r="I28" i="42"/>
  <c r="G28" i="42"/>
  <c r="E28" i="42"/>
  <c r="A1" i="42"/>
  <c r="G125" i="61"/>
  <c r="G120" i="61"/>
  <c r="G114" i="61"/>
  <c r="I114" i="61" s="1"/>
  <c r="G106" i="61"/>
  <c r="I107" i="61" s="1"/>
  <c r="G102" i="61"/>
  <c r="G100" i="61"/>
  <c r="G95" i="61"/>
  <c r="I95" i="61" s="1"/>
  <c r="G94" i="61"/>
  <c r="I94" i="61" s="1"/>
  <c r="G93" i="61"/>
  <c r="I93" i="61" s="1"/>
  <c r="G92" i="61"/>
  <c r="I92" i="61" s="1"/>
  <c r="G91" i="61"/>
  <c r="I91" i="61" s="1"/>
  <c r="G90" i="61"/>
  <c r="I90" i="61" s="1"/>
  <c r="G89" i="61"/>
  <c r="I89" i="61" s="1"/>
  <c r="G82" i="61"/>
  <c r="G81" i="61"/>
  <c r="G80" i="61"/>
  <c r="G79" i="61"/>
  <c r="G78" i="61"/>
  <c r="G77" i="61"/>
  <c r="G76" i="61"/>
  <c r="G75" i="61"/>
  <c r="G74" i="61"/>
  <c r="G73" i="61"/>
  <c r="G69" i="61"/>
  <c r="G68" i="61"/>
  <c r="G67" i="61"/>
  <c r="G66" i="61"/>
  <c r="G65" i="61"/>
  <c r="G64" i="61"/>
  <c r="G63" i="61"/>
  <c r="G62" i="61"/>
  <c r="G61" i="61"/>
  <c r="G60" i="61"/>
  <c r="G59" i="61"/>
  <c r="G58" i="61"/>
  <c r="G57" i="61"/>
  <c r="G54" i="61"/>
  <c r="G53" i="61"/>
  <c r="G52" i="61"/>
  <c r="G51" i="61"/>
  <c r="G50" i="61"/>
  <c r="G49" i="61"/>
  <c r="I49" i="61" s="1"/>
  <c r="G48" i="61"/>
  <c r="G47" i="61"/>
  <c r="G46" i="61"/>
  <c r="G45" i="61"/>
  <c r="G44" i="61"/>
  <c r="G41" i="61"/>
  <c r="G40" i="61"/>
  <c r="G39" i="61"/>
  <c r="I39" i="61" s="1"/>
  <c r="G37" i="61"/>
  <c r="G35" i="61"/>
  <c r="G33" i="61"/>
  <c r="G29" i="61"/>
  <c r="G28" i="61"/>
  <c r="G27" i="61"/>
  <c r="G26" i="61"/>
  <c r="G25" i="61"/>
  <c r="G24" i="61"/>
  <c r="G23" i="61"/>
  <c r="G20" i="61"/>
  <c r="G19" i="61"/>
  <c r="G13" i="61"/>
  <c r="G12" i="61"/>
  <c r="G11" i="61"/>
  <c r="G10" i="61"/>
  <c r="G9" i="61"/>
  <c r="G8" i="61"/>
  <c r="G2" i="42" l="1"/>
  <c r="K12" i="61"/>
  <c r="I41" i="61"/>
  <c r="H14" i="63" l="1"/>
  <c r="H13" i="63"/>
  <c r="H11" i="63"/>
  <c r="H10" i="63"/>
  <c r="H8" i="63"/>
  <c r="H7" i="63"/>
  <c r="A3" i="63"/>
  <c r="A1" i="63"/>
  <c r="D3" i="59"/>
  <c r="D513" i="58"/>
  <c r="D512" i="58"/>
  <c r="D511" i="58"/>
  <c r="D510" i="58"/>
  <c r="D509" i="58"/>
  <c r="D508" i="58"/>
  <c r="D507" i="58"/>
  <c r="D506" i="58"/>
  <c r="D505" i="58"/>
  <c r="D504" i="58"/>
  <c r="D503" i="58"/>
  <c r="D502" i="58"/>
  <c r="D501" i="58"/>
  <c r="D500" i="58"/>
  <c r="D499" i="58"/>
  <c r="D498" i="58"/>
  <c r="D497" i="58"/>
  <c r="D496" i="58"/>
  <c r="D495" i="58"/>
  <c r="D494" i="58"/>
  <c r="D493" i="58"/>
  <c r="D492" i="58"/>
  <c r="D491" i="58"/>
  <c r="D490" i="58"/>
  <c r="D489" i="58"/>
  <c r="D488" i="58"/>
  <c r="D487" i="58"/>
  <c r="D486" i="58"/>
  <c r="D485" i="58"/>
  <c r="D484" i="58"/>
  <c r="D483" i="58"/>
  <c r="D482" i="58"/>
  <c r="D481" i="58"/>
  <c r="D480" i="58"/>
  <c r="D479" i="58"/>
  <c r="D478" i="58"/>
  <c r="D477" i="58"/>
  <c r="D476" i="58"/>
  <c r="D475" i="58"/>
  <c r="D474" i="58"/>
  <c r="D473" i="58"/>
  <c r="D472" i="58"/>
  <c r="D471" i="58"/>
  <c r="D470" i="58"/>
  <c r="D469" i="58"/>
  <c r="D468" i="58"/>
  <c r="D467" i="58"/>
  <c r="D466" i="58"/>
  <c r="D465" i="58"/>
  <c r="D464" i="58"/>
  <c r="D463" i="58"/>
  <c r="D462" i="58"/>
  <c r="D461" i="58"/>
  <c r="D460" i="58"/>
  <c r="D459" i="58"/>
  <c r="D458" i="58"/>
  <c r="D457" i="58"/>
  <c r="D456" i="58"/>
  <c r="D455" i="58"/>
  <c r="D454" i="58"/>
  <c r="D453" i="58"/>
  <c r="D452" i="58"/>
  <c r="D451" i="58"/>
  <c r="D450" i="58"/>
  <c r="D449" i="58"/>
  <c r="D448" i="58"/>
  <c r="D447" i="58"/>
  <c r="D446" i="58"/>
  <c r="D445" i="58"/>
  <c r="D444" i="58"/>
  <c r="D443" i="58"/>
  <c r="D442" i="58"/>
  <c r="D441" i="58"/>
  <c r="D440" i="58"/>
  <c r="D439" i="58"/>
  <c r="D438" i="58"/>
  <c r="D437" i="58"/>
  <c r="D436" i="58"/>
  <c r="D435" i="58"/>
  <c r="D434" i="58"/>
  <c r="D433" i="58"/>
  <c r="D432" i="58"/>
  <c r="D431" i="58"/>
  <c r="D430" i="58"/>
  <c r="D429" i="58"/>
  <c r="D428" i="58"/>
  <c r="D427" i="58"/>
  <c r="D426" i="58"/>
  <c r="D425" i="58"/>
  <c r="D424" i="58"/>
  <c r="D423" i="58"/>
  <c r="D422" i="58"/>
  <c r="D421" i="58"/>
  <c r="D420" i="58"/>
  <c r="D419" i="58"/>
  <c r="D418" i="58"/>
  <c r="D417" i="58"/>
  <c r="D416" i="58"/>
  <c r="D415" i="58"/>
  <c r="D414" i="58"/>
  <c r="D413" i="58"/>
  <c r="D412" i="58"/>
  <c r="D411" i="58"/>
  <c r="D410" i="58"/>
  <c r="D409" i="58"/>
  <c r="D408" i="58"/>
  <c r="D407" i="58"/>
  <c r="D406" i="58"/>
  <c r="D405" i="58"/>
  <c r="D404" i="58"/>
  <c r="D403" i="58"/>
  <c r="D402" i="58"/>
  <c r="D401" i="58"/>
  <c r="D400" i="58"/>
  <c r="D399" i="58"/>
  <c r="D398" i="58"/>
  <c r="D397" i="58"/>
  <c r="D396" i="58"/>
  <c r="D395" i="58"/>
  <c r="D394" i="58"/>
  <c r="D393" i="58"/>
  <c r="D392" i="58"/>
  <c r="D391" i="58"/>
  <c r="D390" i="58"/>
  <c r="D389" i="58"/>
  <c r="D388" i="58"/>
  <c r="D387" i="58"/>
  <c r="D386" i="58"/>
  <c r="D385" i="58"/>
  <c r="D384" i="58"/>
  <c r="D383" i="58"/>
  <c r="D382" i="58"/>
  <c r="D381" i="58"/>
  <c r="D380" i="58"/>
  <c r="D379" i="58"/>
  <c r="D378" i="58"/>
  <c r="D377" i="58"/>
  <c r="D376" i="58"/>
  <c r="D375" i="58"/>
  <c r="D374" i="58"/>
  <c r="D373" i="58"/>
  <c r="D372" i="58"/>
  <c r="D371" i="58"/>
  <c r="D370" i="58"/>
  <c r="D369" i="58"/>
  <c r="D368" i="58"/>
  <c r="D367" i="58"/>
  <c r="D366" i="58"/>
  <c r="D365" i="58"/>
  <c r="D364" i="58"/>
  <c r="D363" i="58"/>
  <c r="D362" i="58"/>
  <c r="D361" i="58"/>
  <c r="D360" i="58"/>
  <c r="D359" i="58"/>
  <c r="D358" i="58"/>
  <c r="D357" i="58"/>
  <c r="D356" i="58"/>
  <c r="D355" i="58"/>
  <c r="D354" i="58"/>
  <c r="D353" i="58"/>
  <c r="D352" i="58"/>
  <c r="D351" i="58"/>
  <c r="D350" i="58"/>
  <c r="D349" i="58"/>
  <c r="D348" i="58"/>
  <c r="D347" i="58"/>
  <c r="D346" i="58"/>
  <c r="D345" i="58"/>
  <c r="D344" i="58"/>
  <c r="D343" i="58"/>
  <c r="D342" i="58"/>
  <c r="D341" i="58"/>
  <c r="D340" i="58"/>
  <c r="D339" i="58"/>
  <c r="D338" i="58"/>
  <c r="D337" i="58"/>
  <c r="D336" i="58"/>
  <c r="D335" i="58"/>
  <c r="D334" i="58"/>
  <c r="D333" i="58"/>
  <c r="D332" i="58"/>
  <c r="D331" i="58"/>
  <c r="D330" i="58"/>
  <c r="D329" i="58"/>
  <c r="D328" i="58"/>
  <c r="D327" i="58"/>
  <c r="D326" i="58"/>
  <c r="D325" i="58"/>
  <c r="D324" i="58"/>
  <c r="D323" i="58"/>
  <c r="D322" i="58"/>
  <c r="D321" i="58"/>
  <c r="D320" i="58"/>
  <c r="D319" i="58"/>
  <c r="D318" i="58"/>
  <c r="D317" i="58"/>
  <c r="D316" i="58"/>
  <c r="D315" i="58"/>
  <c r="D314" i="58"/>
  <c r="D313" i="58"/>
  <c r="D312" i="58"/>
  <c r="D311" i="58"/>
  <c r="D310" i="58"/>
  <c r="D309" i="58"/>
  <c r="D308" i="58"/>
  <c r="D307" i="58"/>
  <c r="D306" i="58"/>
  <c r="D305" i="58"/>
  <c r="D304" i="58"/>
  <c r="D303" i="58"/>
  <c r="D302" i="58"/>
  <c r="D301" i="58"/>
  <c r="D300" i="58"/>
  <c r="D299" i="58"/>
  <c r="D298" i="58"/>
  <c r="D297" i="58"/>
  <c r="D296" i="58"/>
  <c r="D295" i="58"/>
  <c r="D294" i="58"/>
  <c r="D293" i="58"/>
  <c r="D292" i="58"/>
  <c r="D291" i="58"/>
  <c r="D290" i="58"/>
  <c r="D289" i="58"/>
  <c r="D288" i="58"/>
  <c r="D287" i="58"/>
  <c r="D286" i="58"/>
  <c r="D285" i="58"/>
  <c r="D284" i="58"/>
  <c r="D283" i="58"/>
  <c r="D282" i="58"/>
  <c r="D281" i="58"/>
  <c r="D280" i="58"/>
  <c r="D279" i="58"/>
  <c r="D278" i="58"/>
  <c r="D277" i="58"/>
  <c r="D276" i="58"/>
  <c r="D275" i="58"/>
  <c r="D274" i="58"/>
  <c r="D273" i="58"/>
  <c r="D272" i="58"/>
  <c r="D271" i="58"/>
  <c r="D270" i="58"/>
  <c r="D269" i="58"/>
  <c r="D268" i="58"/>
  <c r="D267" i="58"/>
  <c r="D266" i="58"/>
  <c r="D265" i="58"/>
  <c r="D264" i="58"/>
  <c r="D263" i="58"/>
  <c r="D262" i="58"/>
  <c r="D261" i="58"/>
  <c r="D260" i="58"/>
  <c r="D259" i="58"/>
  <c r="D258" i="58"/>
  <c r="D257" i="58"/>
  <c r="D256" i="58"/>
  <c r="D255" i="58"/>
  <c r="D254" i="58"/>
  <c r="D253" i="58"/>
  <c r="D252" i="58"/>
  <c r="D251" i="58"/>
  <c r="D250" i="58"/>
  <c r="D249" i="58"/>
  <c r="D248" i="58"/>
  <c r="D247" i="58"/>
  <c r="D246" i="58"/>
  <c r="D245" i="58"/>
  <c r="D244" i="58"/>
  <c r="D243" i="58"/>
  <c r="D242" i="58"/>
  <c r="D241" i="58"/>
  <c r="D240" i="58"/>
  <c r="D239" i="58"/>
  <c r="D238" i="58"/>
  <c r="D237" i="58"/>
  <c r="D236" i="58"/>
  <c r="D235" i="58"/>
  <c r="D234" i="58"/>
  <c r="D233" i="58"/>
  <c r="D232" i="58"/>
  <c r="D231" i="58"/>
  <c r="D230" i="58"/>
  <c r="D229" i="58"/>
  <c r="D228" i="58"/>
  <c r="D227" i="58"/>
  <c r="D226" i="58"/>
  <c r="D225" i="58"/>
  <c r="D224" i="58"/>
  <c r="D223" i="58"/>
  <c r="D222" i="58"/>
  <c r="D221" i="58"/>
  <c r="D220" i="58"/>
  <c r="D219" i="58"/>
  <c r="D218" i="58"/>
  <c r="D217" i="58"/>
  <c r="D216" i="58"/>
  <c r="D215" i="58"/>
  <c r="D214" i="58"/>
  <c r="D213" i="58"/>
  <c r="D212" i="58"/>
  <c r="D211" i="58"/>
  <c r="D210" i="58"/>
  <c r="D209" i="58"/>
  <c r="D208" i="58"/>
  <c r="D207" i="58"/>
  <c r="D206" i="58"/>
  <c r="D205" i="58"/>
  <c r="D204" i="58"/>
  <c r="D203" i="58"/>
  <c r="D202" i="58"/>
  <c r="D201" i="58"/>
  <c r="D200" i="58"/>
  <c r="D199" i="58"/>
  <c r="D198" i="58"/>
  <c r="D197" i="58"/>
  <c r="D196" i="58"/>
  <c r="D195" i="58"/>
  <c r="D194" i="58"/>
  <c r="D193" i="58"/>
  <c r="D192" i="58"/>
  <c r="D191" i="58"/>
  <c r="D190" i="58"/>
  <c r="D189" i="58"/>
  <c r="D188" i="58"/>
  <c r="D187" i="58"/>
  <c r="D186" i="58"/>
  <c r="D185" i="58"/>
  <c r="D184" i="58"/>
  <c r="D183" i="58"/>
  <c r="D182" i="58"/>
  <c r="D181" i="58"/>
  <c r="D180" i="58"/>
  <c r="D179" i="58"/>
  <c r="D178" i="58"/>
  <c r="D177" i="58"/>
  <c r="D176" i="58"/>
  <c r="D175" i="58"/>
  <c r="D174" i="58"/>
  <c r="D173" i="58"/>
  <c r="D172" i="58"/>
  <c r="D171" i="58"/>
  <c r="D170" i="58"/>
  <c r="D169" i="58"/>
  <c r="D168" i="58"/>
  <c r="D167" i="58"/>
  <c r="D166" i="58"/>
  <c r="D165" i="58"/>
  <c r="D164" i="58"/>
  <c r="D163" i="58"/>
  <c r="D162" i="58"/>
  <c r="D161" i="58"/>
  <c r="D160" i="58"/>
  <c r="D159" i="58"/>
  <c r="D158" i="58"/>
  <c r="D157" i="58"/>
  <c r="D156" i="58"/>
  <c r="D155" i="58"/>
  <c r="D154" i="58"/>
  <c r="D153" i="58"/>
  <c r="D152" i="58"/>
  <c r="D151" i="58"/>
  <c r="D150" i="58"/>
  <c r="D149" i="58"/>
  <c r="D148" i="58"/>
  <c r="D147" i="58"/>
  <c r="D146" i="58"/>
  <c r="D145" i="58"/>
  <c r="D144" i="58"/>
  <c r="D143" i="58"/>
  <c r="D142" i="58"/>
  <c r="D141" i="58"/>
  <c r="D140" i="58"/>
  <c r="D139" i="58"/>
  <c r="D138" i="58"/>
  <c r="D137" i="58"/>
  <c r="D136" i="58"/>
  <c r="D135" i="58"/>
  <c r="D134" i="58"/>
  <c r="D133" i="58"/>
  <c r="D132" i="58"/>
  <c r="D131" i="58"/>
  <c r="D130" i="58"/>
  <c r="D129" i="58"/>
  <c r="D128" i="58"/>
  <c r="D127" i="58"/>
  <c r="D126" i="58"/>
  <c r="D125" i="58"/>
  <c r="D124" i="58"/>
  <c r="D123" i="58"/>
  <c r="D122" i="58"/>
  <c r="D121" i="58"/>
  <c r="D120" i="58"/>
  <c r="D119" i="58"/>
  <c r="D118" i="58"/>
  <c r="D117" i="58"/>
  <c r="D116" i="58"/>
  <c r="D115" i="58"/>
  <c r="D114" i="58"/>
  <c r="D113" i="58"/>
  <c r="D112" i="58"/>
  <c r="D111" i="58"/>
  <c r="D110" i="58"/>
  <c r="D109" i="58"/>
  <c r="D108" i="58"/>
  <c r="D107" i="58"/>
  <c r="D106" i="58"/>
  <c r="D105" i="58"/>
  <c r="D104" i="58"/>
  <c r="D103" i="58"/>
  <c r="D102" i="58"/>
  <c r="D101" i="58"/>
  <c r="D100" i="58"/>
  <c r="D99" i="58"/>
  <c r="D98" i="58"/>
  <c r="D97" i="58"/>
  <c r="D96" i="58"/>
  <c r="D95" i="58"/>
  <c r="D94" i="58"/>
  <c r="D93" i="58"/>
  <c r="D92" i="58"/>
  <c r="D91" i="58"/>
  <c r="D90" i="58"/>
  <c r="D89" i="58"/>
  <c r="D88" i="58"/>
  <c r="D87" i="58"/>
  <c r="D86" i="58"/>
  <c r="D85" i="58"/>
  <c r="D84" i="58"/>
  <c r="D83" i="58"/>
  <c r="D82" i="58"/>
  <c r="D81" i="58"/>
  <c r="D80" i="58"/>
  <c r="D79" i="58"/>
  <c r="D78" i="58"/>
  <c r="D77" i="58"/>
  <c r="D76" i="58"/>
  <c r="D75" i="58"/>
  <c r="D74" i="58"/>
  <c r="D73" i="58"/>
  <c r="D72" i="58"/>
  <c r="D71" i="58"/>
  <c r="D70" i="58"/>
  <c r="D69" i="58"/>
  <c r="D68" i="58"/>
  <c r="D67" i="58"/>
  <c r="D66" i="58"/>
  <c r="D65" i="58"/>
  <c r="D64" i="58"/>
  <c r="D63" i="58"/>
  <c r="D62" i="58"/>
  <c r="D61" i="58"/>
  <c r="D60" i="58"/>
  <c r="D59" i="58"/>
  <c r="D58" i="58"/>
  <c r="D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8" i="58"/>
  <c r="D7" i="58"/>
  <c r="D6" i="58"/>
  <c r="D3" i="58"/>
  <c r="D39" i="31"/>
  <c r="D38" i="31"/>
  <c r="C38" i="31"/>
  <c r="D37" i="31"/>
  <c r="D36" i="31"/>
  <c r="C36" i="31"/>
  <c r="D34" i="31"/>
  <c r="D31" i="31"/>
  <c r="C31" i="31"/>
  <c r="D30" i="31"/>
  <c r="D29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C13" i="31"/>
  <c r="D12" i="31"/>
  <c r="D11" i="31"/>
  <c r="D10" i="31"/>
  <c r="C10" i="31"/>
  <c r="D9" i="31"/>
  <c r="D8" i="31"/>
  <c r="D7" i="31"/>
  <c r="D6" i="31"/>
  <c r="A1" i="31"/>
  <c r="D13" i="55"/>
  <c r="B12" i="55"/>
  <c r="B11" i="55"/>
  <c r="A3" i="55"/>
  <c r="F14" i="55" l="1"/>
  <c r="I8" i="63"/>
  <c r="B13" i="55"/>
  <c r="I10" i="63"/>
  <c r="E3" i="58"/>
  <c r="I11" i="63"/>
  <c r="I7" i="63"/>
  <c r="I13" i="63"/>
  <c r="D27" i="31"/>
  <c r="D32" i="31"/>
  <c r="D40" i="31"/>
  <c r="V27" i="53"/>
  <c r="T27" i="53"/>
  <c r="R27" i="53"/>
  <c r="P27" i="53"/>
  <c r="N27" i="53"/>
  <c r="L27" i="53"/>
  <c r="J27" i="53"/>
  <c r="H27" i="53"/>
  <c r="F27" i="53"/>
  <c r="AH14" i="53"/>
  <c r="AF14" i="53"/>
  <c r="Y14" i="53"/>
  <c r="V14" i="53"/>
  <c r="T14" i="53"/>
  <c r="R14" i="53"/>
  <c r="P14" i="53"/>
  <c r="N14" i="53"/>
  <c r="J14" i="53"/>
  <c r="H14" i="53"/>
  <c r="C14" i="53"/>
  <c r="B25" i="53" s="1"/>
  <c r="AH13" i="53"/>
  <c r="AF13" i="53"/>
  <c r="Y13" i="53"/>
  <c r="V13" i="53"/>
  <c r="T13" i="53"/>
  <c r="R13" i="53"/>
  <c r="P13" i="53"/>
  <c r="N13" i="53"/>
  <c r="J13" i="53"/>
  <c r="H13" i="53"/>
  <c r="AF12" i="53"/>
  <c r="Y12" i="53"/>
  <c r="V12" i="53"/>
  <c r="T12" i="53"/>
  <c r="R12" i="53"/>
  <c r="P12" i="53"/>
  <c r="N12" i="53"/>
  <c r="J12" i="53"/>
  <c r="H12" i="53"/>
  <c r="Y11" i="53"/>
  <c r="V11" i="53"/>
  <c r="T11" i="53"/>
  <c r="R11" i="53"/>
  <c r="P11" i="53"/>
  <c r="N11" i="53"/>
  <c r="J11" i="53"/>
  <c r="H11" i="53"/>
  <c r="G9" i="53"/>
  <c r="AI3" i="53"/>
  <c r="AI1" i="53" s="1"/>
  <c r="E512" i="58" l="1"/>
  <c r="F512" i="58" s="1"/>
  <c r="E510" i="58"/>
  <c r="F510" i="58" s="1"/>
  <c r="E508" i="58"/>
  <c r="F508" i="58" s="1"/>
  <c r="E506" i="58"/>
  <c r="F506" i="58" s="1"/>
  <c r="E504" i="58"/>
  <c r="F504" i="58" s="1"/>
  <c r="E502" i="58"/>
  <c r="F502" i="58" s="1"/>
  <c r="E500" i="58"/>
  <c r="F500" i="58" s="1"/>
  <c r="E498" i="58"/>
  <c r="F498" i="58" s="1"/>
  <c r="E496" i="58"/>
  <c r="F496" i="58" s="1"/>
  <c r="E494" i="58"/>
  <c r="F494" i="58" s="1"/>
  <c r="E492" i="58"/>
  <c r="F492" i="58" s="1"/>
  <c r="E490" i="58"/>
  <c r="F490" i="58" s="1"/>
  <c r="E488" i="58"/>
  <c r="F488" i="58" s="1"/>
  <c r="E486" i="58"/>
  <c r="F486" i="58" s="1"/>
  <c r="E484" i="58"/>
  <c r="F484" i="58" s="1"/>
  <c r="E482" i="58"/>
  <c r="F482" i="58" s="1"/>
  <c r="E480" i="58"/>
  <c r="F480" i="58" s="1"/>
  <c r="E478" i="58"/>
  <c r="F478" i="58" s="1"/>
  <c r="E476" i="58"/>
  <c r="F476" i="58" s="1"/>
  <c r="E474" i="58"/>
  <c r="F474" i="58" s="1"/>
  <c r="E472" i="58"/>
  <c r="F472" i="58" s="1"/>
  <c r="E470" i="58"/>
  <c r="F470" i="58" s="1"/>
  <c r="E468" i="58"/>
  <c r="F468" i="58" s="1"/>
  <c r="E466" i="58"/>
  <c r="F466" i="58" s="1"/>
  <c r="E464" i="58"/>
  <c r="F464" i="58" s="1"/>
  <c r="E462" i="58"/>
  <c r="F462" i="58" s="1"/>
  <c r="E460" i="58"/>
  <c r="F460" i="58" s="1"/>
  <c r="E458" i="58"/>
  <c r="F458" i="58" s="1"/>
  <c r="E456" i="58"/>
  <c r="F456" i="58" s="1"/>
  <c r="E454" i="58"/>
  <c r="F454" i="58" s="1"/>
  <c r="E452" i="58"/>
  <c r="F452" i="58" s="1"/>
  <c r="E450" i="58"/>
  <c r="F450" i="58" s="1"/>
  <c r="E448" i="58"/>
  <c r="F448" i="58" s="1"/>
  <c r="E446" i="58"/>
  <c r="F446" i="58" s="1"/>
  <c r="E444" i="58"/>
  <c r="F444" i="58" s="1"/>
  <c r="E442" i="58"/>
  <c r="F442" i="58" s="1"/>
  <c r="E440" i="58"/>
  <c r="F440" i="58" s="1"/>
  <c r="E438" i="58"/>
  <c r="F438" i="58" s="1"/>
  <c r="E436" i="58"/>
  <c r="F436" i="58" s="1"/>
  <c r="E434" i="58"/>
  <c r="F434" i="58" s="1"/>
  <c r="E432" i="58"/>
  <c r="F432" i="58" s="1"/>
  <c r="E430" i="58"/>
  <c r="F430" i="58" s="1"/>
  <c r="E428" i="58"/>
  <c r="F428" i="58" s="1"/>
  <c r="E426" i="58"/>
  <c r="F426" i="58" s="1"/>
  <c r="E424" i="58"/>
  <c r="F424" i="58" s="1"/>
  <c r="E422" i="58"/>
  <c r="F422" i="58" s="1"/>
  <c r="E420" i="58"/>
  <c r="F420" i="58" s="1"/>
  <c r="E418" i="58"/>
  <c r="F418" i="58" s="1"/>
  <c r="E416" i="58"/>
  <c r="F416" i="58" s="1"/>
  <c r="E414" i="58"/>
  <c r="F414" i="58" s="1"/>
  <c r="E412" i="58"/>
  <c r="F412" i="58" s="1"/>
  <c r="E410" i="58"/>
  <c r="F410" i="58" s="1"/>
  <c r="E408" i="58"/>
  <c r="F408" i="58" s="1"/>
  <c r="E406" i="58"/>
  <c r="F406" i="58" s="1"/>
  <c r="E404" i="58"/>
  <c r="F404" i="58" s="1"/>
  <c r="E402" i="58"/>
  <c r="F402" i="58" s="1"/>
  <c r="E400" i="58"/>
  <c r="F400" i="58" s="1"/>
  <c r="E398" i="58"/>
  <c r="F398" i="58" s="1"/>
  <c r="E396" i="58"/>
  <c r="F396" i="58" s="1"/>
  <c r="E394" i="58"/>
  <c r="F394" i="58" s="1"/>
  <c r="E392" i="58"/>
  <c r="F392" i="58" s="1"/>
  <c r="E390" i="58"/>
  <c r="F390" i="58" s="1"/>
  <c r="E388" i="58"/>
  <c r="F388" i="58" s="1"/>
  <c r="E386" i="58"/>
  <c r="F386" i="58" s="1"/>
  <c r="E384" i="58"/>
  <c r="F384" i="58" s="1"/>
  <c r="E382" i="58"/>
  <c r="F382" i="58" s="1"/>
  <c r="E380" i="58"/>
  <c r="F380" i="58" s="1"/>
  <c r="E378" i="58"/>
  <c r="F378" i="58" s="1"/>
  <c r="E376" i="58"/>
  <c r="F376" i="58" s="1"/>
  <c r="E374" i="58"/>
  <c r="F374" i="58" s="1"/>
  <c r="E372" i="58"/>
  <c r="F372" i="58" s="1"/>
  <c r="E370" i="58"/>
  <c r="F370" i="58" s="1"/>
  <c r="E368" i="58"/>
  <c r="F368" i="58" s="1"/>
  <c r="E366" i="58"/>
  <c r="F366" i="58" s="1"/>
  <c r="E364" i="58"/>
  <c r="F364" i="58" s="1"/>
  <c r="E362" i="58"/>
  <c r="F362" i="58" s="1"/>
  <c r="E360" i="58"/>
  <c r="F360" i="58" s="1"/>
  <c r="E358" i="58"/>
  <c r="F358" i="58" s="1"/>
  <c r="E356" i="58"/>
  <c r="F356" i="58" s="1"/>
  <c r="E354" i="58"/>
  <c r="F354" i="58" s="1"/>
  <c r="E352" i="58"/>
  <c r="F352" i="58" s="1"/>
  <c r="E350" i="58"/>
  <c r="F350" i="58" s="1"/>
  <c r="E348" i="58"/>
  <c r="F348" i="58" s="1"/>
  <c r="E346" i="58"/>
  <c r="F346" i="58" s="1"/>
  <c r="E344" i="58"/>
  <c r="F344" i="58" s="1"/>
  <c r="E342" i="58"/>
  <c r="F342" i="58" s="1"/>
  <c r="E340" i="58"/>
  <c r="F340" i="58" s="1"/>
  <c r="E338" i="58"/>
  <c r="F338" i="58" s="1"/>
  <c r="E336" i="58"/>
  <c r="F336" i="58" s="1"/>
  <c r="E334" i="58"/>
  <c r="F334" i="58" s="1"/>
  <c r="E332" i="58"/>
  <c r="F332" i="58" s="1"/>
  <c r="E330" i="58"/>
  <c r="F330" i="58" s="1"/>
  <c r="E328" i="58"/>
  <c r="F328" i="58" s="1"/>
  <c r="E326" i="58"/>
  <c r="F326" i="58" s="1"/>
  <c r="E324" i="58"/>
  <c r="F324" i="58" s="1"/>
  <c r="E322" i="58"/>
  <c r="F322" i="58" s="1"/>
  <c r="E320" i="58"/>
  <c r="F320" i="58" s="1"/>
  <c r="E318" i="58"/>
  <c r="F318" i="58" s="1"/>
  <c r="E316" i="58"/>
  <c r="F316" i="58" s="1"/>
  <c r="E314" i="58"/>
  <c r="F314" i="58" s="1"/>
  <c r="E312" i="58"/>
  <c r="F312" i="58" s="1"/>
  <c r="E310" i="58"/>
  <c r="F310" i="58" s="1"/>
  <c r="E308" i="58"/>
  <c r="F308" i="58" s="1"/>
  <c r="E306" i="58"/>
  <c r="F306" i="58" s="1"/>
  <c r="E304" i="58"/>
  <c r="F304" i="58" s="1"/>
  <c r="E302" i="58"/>
  <c r="F302" i="58" s="1"/>
  <c r="E300" i="58"/>
  <c r="F300" i="58" s="1"/>
  <c r="E298" i="58"/>
  <c r="F298" i="58" s="1"/>
  <c r="E296" i="58"/>
  <c r="F296" i="58" s="1"/>
  <c r="E294" i="58"/>
  <c r="F294" i="58" s="1"/>
  <c r="E292" i="58"/>
  <c r="F292" i="58" s="1"/>
  <c r="E290" i="58"/>
  <c r="F290" i="58" s="1"/>
  <c r="E288" i="58"/>
  <c r="F288" i="58" s="1"/>
  <c r="E286" i="58"/>
  <c r="F286" i="58" s="1"/>
  <c r="E284" i="58"/>
  <c r="F284" i="58" s="1"/>
  <c r="E282" i="58"/>
  <c r="F282" i="58" s="1"/>
  <c r="E280" i="58"/>
  <c r="F280" i="58" s="1"/>
  <c r="E278" i="58"/>
  <c r="F278" i="58" s="1"/>
  <c r="E276" i="58"/>
  <c r="F276" i="58" s="1"/>
  <c r="E274" i="58"/>
  <c r="F274" i="58" s="1"/>
  <c r="E272" i="58"/>
  <c r="F272" i="58" s="1"/>
  <c r="E270" i="58"/>
  <c r="F270" i="58" s="1"/>
  <c r="E268" i="58"/>
  <c r="F268" i="58" s="1"/>
  <c r="E266" i="58"/>
  <c r="F266" i="58" s="1"/>
  <c r="E264" i="58"/>
  <c r="F264" i="58" s="1"/>
  <c r="E262" i="58"/>
  <c r="F262" i="58" s="1"/>
  <c r="E260" i="58"/>
  <c r="F260" i="58" s="1"/>
  <c r="E258" i="58"/>
  <c r="F258" i="58" s="1"/>
  <c r="E256" i="58"/>
  <c r="F256" i="58" s="1"/>
  <c r="E254" i="58"/>
  <c r="F254" i="58" s="1"/>
  <c r="E252" i="58"/>
  <c r="F252" i="58" s="1"/>
  <c r="E250" i="58"/>
  <c r="F250" i="58" s="1"/>
  <c r="E248" i="58"/>
  <c r="F248" i="58" s="1"/>
  <c r="E246" i="58"/>
  <c r="F246" i="58" s="1"/>
  <c r="E244" i="58"/>
  <c r="F244" i="58" s="1"/>
  <c r="E242" i="58"/>
  <c r="F242" i="58" s="1"/>
  <c r="E240" i="58"/>
  <c r="F240" i="58" s="1"/>
  <c r="E238" i="58"/>
  <c r="F238" i="58" s="1"/>
  <c r="E236" i="58"/>
  <c r="F236" i="58" s="1"/>
  <c r="E234" i="58"/>
  <c r="F234" i="58" s="1"/>
  <c r="E232" i="58"/>
  <c r="F232" i="58" s="1"/>
  <c r="E230" i="58"/>
  <c r="F230" i="58" s="1"/>
  <c r="E228" i="58"/>
  <c r="F228" i="58" s="1"/>
  <c r="E226" i="58"/>
  <c r="F226" i="58" s="1"/>
  <c r="E224" i="58"/>
  <c r="F224" i="58" s="1"/>
  <c r="E222" i="58"/>
  <c r="F222" i="58" s="1"/>
  <c r="E220" i="58"/>
  <c r="F220" i="58" s="1"/>
  <c r="E218" i="58"/>
  <c r="F218" i="58" s="1"/>
  <c r="E216" i="58"/>
  <c r="F216" i="58" s="1"/>
  <c r="E214" i="58"/>
  <c r="F214" i="58" s="1"/>
  <c r="E212" i="58"/>
  <c r="F212" i="58" s="1"/>
  <c r="E210" i="58"/>
  <c r="F210" i="58" s="1"/>
  <c r="E208" i="58"/>
  <c r="F208" i="58" s="1"/>
  <c r="E206" i="58"/>
  <c r="F206" i="58" s="1"/>
  <c r="E204" i="58"/>
  <c r="F204" i="58" s="1"/>
  <c r="E202" i="58"/>
  <c r="F202" i="58" s="1"/>
  <c r="E200" i="58"/>
  <c r="F200" i="58" s="1"/>
  <c r="E198" i="58"/>
  <c r="F198" i="58" s="1"/>
  <c r="E196" i="58"/>
  <c r="F196" i="58" s="1"/>
  <c r="E194" i="58"/>
  <c r="F194" i="58" s="1"/>
  <c r="E192" i="58"/>
  <c r="F192" i="58" s="1"/>
  <c r="E190" i="58"/>
  <c r="F190" i="58" s="1"/>
  <c r="E188" i="58"/>
  <c r="F188" i="58" s="1"/>
  <c r="E186" i="58"/>
  <c r="F186" i="58" s="1"/>
  <c r="E184" i="58"/>
  <c r="F184" i="58" s="1"/>
  <c r="E182" i="58"/>
  <c r="F182" i="58" s="1"/>
  <c r="E180" i="58"/>
  <c r="F180" i="58" s="1"/>
  <c r="E178" i="58"/>
  <c r="F178" i="58" s="1"/>
  <c r="E176" i="58"/>
  <c r="F176" i="58" s="1"/>
  <c r="E174" i="58"/>
  <c r="F174" i="58" s="1"/>
  <c r="E172" i="58"/>
  <c r="F172" i="58" s="1"/>
  <c r="E170" i="58"/>
  <c r="F170" i="58" s="1"/>
  <c r="E168" i="58"/>
  <c r="F168" i="58" s="1"/>
  <c r="E166" i="58"/>
  <c r="F166" i="58" s="1"/>
  <c r="E164" i="58"/>
  <c r="F164" i="58" s="1"/>
  <c r="E162" i="58"/>
  <c r="F162" i="58" s="1"/>
  <c r="E160" i="58"/>
  <c r="F160" i="58" s="1"/>
  <c r="E158" i="58"/>
  <c r="F158" i="58" s="1"/>
  <c r="E156" i="58"/>
  <c r="F156" i="58" s="1"/>
  <c r="E154" i="58"/>
  <c r="F154" i="58" s="1"/>
  <c r="E152" i="58"/>
  <c r="F152" i="58" s="1"/>
  <c r="E150" i="58"/>
  <c r="F150" i="58" s="1"/>
  <c r="E148" i="58"/>
  <c r="F148" i="58" s="1"/>
  <c r="E146" i="58"/>
  <c r="F146" i="58" s="1"/>
  <c r="E144" i="58"/>
  <c r="F144" i="58" s="1"/>
  <c r="E142" i="58"/>
  <c r="F142" i="58" s="1"/>
  <c r="E140" i="58"/>
  <c r="F140" i="58" s="1"/>
  <c r="E138" i="58"/>
  <c r="F138" i="58" s="1"/>
  <c r="E136" i="58"/>
  <c r="F136" i="58" s="1"/>
  <c r="E134" i="58"/>
  <c r="F134" i="58" s="1"/>
  <c r="E132" i="58"/>
  <c r="F132" i="58" s="1"/>
  <c r="E130" i="58"/>
  <c r="F130" i="58" s="1"/>
  <c r="E128" i="58"/>
  <c r="F128" i="58" s="1"/>
  <c r="E126" i="58"/>
  <c r="F126" i="58" s="1"/>
  <c r="E124" i="58"/>
  <c r="F124" i="58" s="1"/>
  <c r="E122" i="58"/>
  <c r="F122" i="58" s="1"/>
  <c r="E120" i="58"/>
  <c r="F120" i="58" s="1"/>
  <c r="E118" i="58"/>
  <c r="F118" i="58" s="1"/>
  <c r="E116" i="58"/>
  <c r="F116" i="58" s="1"/>
  <c r="E114" i="58"/>
  <c r="F114" i="58" s="1"/>
  <c r="E112" i="58"/>
  <c r="F112" i="58" s="1"/>
  <c r="E110" i="58"/>
  <c r="F110" i="58" s="1"/>
  <c r="E108" i="58"/>
  <c r="F108" i="58" s="1"/>
  <c r="E106" i="58"/>
  <c r="F106" i="58" s="1"/>
  <c r="E104" i="58"/>
  <c r="F104" i="58" s="1"/>
  <c r="E102" i="58"/>
  <c r="F102" i="58" s="1"/>
  <c r="E100" i="58"/>
  <c r="F100" i="58" s="1"/>
  <c r="E98" i="58"/>
  <c r="F98" i="58" s="1"/>
  <c r="E96" i="58"/>
  <c r="F96" i="58" s="1"/>
  <c r="E94" i="58"/>
  <c r="F94" i="58" s="1"/>
  <c r="E92" i="58"/>
  <c r="F92" i="58" s="1"/>
  <c r="E90" i="58"/>
  <c r="F90" i="58" s="1"/>
  <c r="E88" i="58"/>
  <c r="F88" i="58" s="1"/>
  <c r="E86" i="58"/>
  <c r="F86" i="58" s="1"/>
  <c r="E84" i="58"/>
  <c r="F84" i="58" s="1"/>
  <c r="E82" i="58"/>
  <c r="F82" i="58" s="1"/>
  <c r="E80" i="58"/>
  <c r="F80" i="58" s="1"/>
  <c r="E78" i="58"/>
  <c r="F78" i="58" s="1"/>
  <c r="E76" i="58"/>
  <c r="F76" i="58" s="1"/>
  <c r="E74" i="58"/>
  <c r="F74" i="58" s="1"/>
  <c r="E72" i="58"/>
  <c r="F72" i="58" s="1"/>
  <c r="E70" i="58"/>
  <c r="F70" i="58" s="1"/>
  <c r="E68" i="58"/>
  <c r="F68" i="58" s="1"/>
  <c r="E66" i="58"/>
  <c r="F66" i="58" s="1"/>
  <c r="E64" i="58"/>
  <c r="F64" i="58" s="1"/>
  <c r="E62" i="58"/>
  <c r="F62" i="58" s="1"/>
  <c r="E60" i="58"/>
  <c r="F60" i="58" s="1"/>
  <c r="E58" i="58"/>
  <c r="F58" i="58" s="1"/>
  <c r="E56" i="58"/>
  <c r="F56" i="58" s="1"/>
  <c r="E54" i="58"/>
  <c r="F54" i="58" s="1"/>
  <c r="E52" i="58"/>
  <c r="F52" i="58" s="1"/>
  <c r="E50" i="58"/>
  <c r="F50" i="58" s="1"/>
  <c r="E48" i="58"/>
  <c r="F48" i="58" s="1"/>
  <c r="E46" i="58"/>
  <c r="F46" i="58" s="1"/>
  <c r="E44" i="58"/>
  <c r="F44" i="58" s="1"/>
  <c r="E42" i="58"/>
  <c r="F42" i="58" s="1"/>
  <c r="E40" i="58"/>
  <c r="F40" i="58" s="1"/>
  <c r="E38" i="58"/>
  <c r="F38" i="58" s="1"/>
  <c r="E36" i="58"/>
  <c r="F36" i="58" s="1"/>
  <c r="E34" i="58"/>
  <c r="F34" i="58" s="1"/>
  <c r="E32" i="58"/>
  <c r="F32" i="58" s="1"/>
  <c r="E30" i="58"/>
  <c r="F30" i="58" s="1"/>
  <c r="E28" i="58"/>
  <c r="F28" i="58" s="1"/>
  <c r="E26" i="58"/>
  <c r="F26" i="58" s="1"/>
  <c r="E24" i="58"/>
  <c r="F24" i="58" s="1"/>
  <c r="E22" i="58"/>
  <c r="F22" i="58" s="1"/>
  <c r="E20" i="58"/>
  <c r="F20" i="58" s="1"/>
  <c r="E18" i="58"/>
  <c r="F18" i="58" s="1"/>
  <c r="E16" i="58"/>
  <c r="F16" i="58" s="1"/>
  <c r="E14" i="58"/>
  <c r="F14" i="58" s="1"/>
  <c r="E12" i="58"/>
  <c r="F12" i="58" s="1"/>
  <c r="E10" i="58"/>
  <c r="F10" i="58" s="1"/>
  <c r="E8" i="58"/>
  <c r="F8" i="58" s="1"/>
  <c r="E6" i="58"/>
  <c r="F6" i="58" s="1"/>
  <c r="E511" i="58"/>
  <c r="F511" i="58" s="1"/>
  <c r="E509" i="58"/>
  <c r="F509" i="58" s="1"/>
  <c r="E505" i="58"/>
  <c r="F505" i="58" s="1"/>
  <c r="E503" i="58"/>
  <c r="F503" i="58" s="1"/>
  <c r="E499" i="58"/>
  <c r="F499" i="58" s="1"/>
  <c r="E497" i="58"/>
  <c r="F497" i="58" s="1"/>
  <c r="E493" i="58"/>
  <c r="F493" i="58" s="1"/>
  <c r="E491" i="58"/>
  <c r="F491" i="58" s="1"/>
  <c r="E489" i="58"/>
  <c r="F489" i="58" s="1"/>
  <c r="E485" i="58"/>
  <c r="F485" i="58" s="1"/>
  <c r="E483" i="58"/>
  <c r="F483" i="58" s="1"/>
  <c r="E479" i="58"/>
  <c r="F479" i="58" s="1"/>
  <c r="E477" i="58"/>
  <c r="F477" i="58" s="1"/>
  <c r="E475" i="58"/>
  <c r="F475" i="58" s="1"/>
  <c r="E471" i="58"/>
  <c r="F471" i="58" s="1"/>
  <c r="E469" i="58"/>
  <c r="F469" i="58" s="1"/>
  <c r="E467" i="58"/>
  <c r="F467" i="58" s="1"/>
  <c r="E463" i="58"/>
  <c r="F463" i="58" s="1"/>
  <c r="E459" i="58"/>
  <c r="F459" i="58" s="1"/>
  <c r="E455" i="58"/>
  <c r="F455" i="58" s="1"/>
  <c r="E451" i="58"/>
  <c r="F451" i="58" s="1"/>
  <c r="E447" i="58"/>
  <c r="F447" i="58" s="1"/>
  <c r="E443" i="58"/>
  <c r="F443" i="58" s="1"/>
  <c r="E439" i="58"/>
  <c r="F439" i="58" s="1"/>
  <c r="E435" i="58"/>
  <c r="F435" i="58" s="1"/>
  <c r="E431" i="58"/>
  <c r="F431" i="58" s="1"/>
  <c r="E427" i="58"/>
  <c r="F427" i="58" s="1"/>
  <c r="E423" i="58"/>
  <c r="F423" i="58" s="1"/>
  <c r="E419" i="58"/>
  <c r="F419" i="58" s="1"/>
  <c r="E417" i="58"/>
  <c r="F417" i="58" s="1"/>
  <c r="E413" i="58"/>
  <c r="F413" i="58" s="1"/>
  <c r="E409" i="58"/>
  <c r="F409" i="58" s="1"/>
  <c r="E405" i="58"/>
  <c r="F405" i="58" s="1"/>
  <c r="E401" i="58"/>
  <c r="F401" i="58" s="1"/>
  <c r="E397" i="58"/>
  <c r="F397" i="58" s="1"/>
  <c r="E391" i="58"/>
  <c r="F391" i="58" s="1"/>
  <c r="E387" i="58"/>
  <c r="F387" i="58" s="1"/>
  <c r="E383" i="58"/>
  <c r="F383" i="58" s="1"/>
  <c r="E381" i="58"/>
  <c r="F381" i="58" s="1"/>
  <c r="E377" i="58"/>
  <c r="F377" i="58" s="1"/>
  <c r="E373" i="58"/>
  <c r="F373" i="58" s="1"/>
  <c r="E367" i="58"/>
  <c r="F367" i="58" s="1"/>
  <c r="E363" i="58"/>
  <c r="F363" i="58" s="1"/>
  <c r="E359" i="58"/>
  <c r="F359" i="58" s="1"/>
  <c r="E355" i="58"/>
  <c r="F355" i="58" s="1"/>
  <c r="E351" i="58"/>
  <c r="F351" i="58" s="1"/>
  <c r="E347" i="58"/>
  <c r="F347" i="58" s="1"/>
  <c r="E343" i="58"/>
  <c r="F343" i="58" s="1"/>
  <c r="E339" i="58"/>
  <c r="F339" i="58" s="1"/>
  <c r="E335" i="58"/>
  <c r="F335" i="58" s="1"/>
  <c r="E333" i="58"/>
  <c r="F333" i="58" s="1"/>
  <c r="E329" i="58"/>
  <c r="F329" i="58" s="1"/>
  <c r="E323" i="58"/>
  <c r="F323" i="58" s="1"/>
  <c r="E319" i="58"/>
  <c r="F319" i="58" s="1"/>
  <c r="E317" i="58"/>
  <c r="F317" i="58" s="1"/>
  <c r="E313" i="58"/>
  <c r="F313" i="58" s="1"/>
  <c r="E309" i="58"/>
  <c r="F309" i="58" s="1"/>
  <c r="E305" i="58"/>
  <c r="F305" i="58" s="1"/>
  <c r="E301" i="58"/>
  <c r="F301" i="58" s="1"/>
  <c r="E297" i="58"/>
  <c r="F297" i="58" s="1"/>
  <c r="E293" i="58"/>
  <c r="F293" i="58" s="1"/>
  <c r="E289" i="58"/>
  <c r="F289" i="58" s="1"/>
  <c r="E285" i="58"/>
  <c r="F285" i="58" s="1"/>
  <c r="E281" i="58"/>
  <c r="F281" i="58" s="1"/>
  <c r="E277" i="58"/>
  <c r="F277" i="58" s="1"/>
  <c r="E273" i="58"/>
  <c r="F273" i="58" s="1"/>
  <c r="E269" i="58"/>
  <c r="F269" i="58" s="1"/>
  <c r="E265" i="58"/>
  <c r="F265" i="58" s="1"/>
  <c r="E261" i="58"/>
  <c r="F261" i="58" s="1"/>
  <c r="E257" i="58"/>
  <c r="F257" i="58" s="1"/>
  <c r="E253" i="58"/>
  <c r="F253" i="58" s="1"/>
  <c r="E249" i="58"/>
  <c r="F249" i="58" s="1"/>
  <c r="E245" i="58"/>
  <c r="F245" i="58" s="1"/>
  <c r="E241" i="58"/>
  <c r="F241" i="58" s="1"/>
  <c r="E237" i="58"/>
  <c r="F237" i="58" s="1"/>
  <c r="E233" i="58"/>
  <c r="F233" i="58" s="1"/>
  <c r="E229" i="58"/>
  <c r="F229" i="58" s="1"/>
  <c r="E227" i="58"/>
  <c r="F227" i="58" s="1"/>
  <c r="E223" i="58"/>
  <c r="F223" i="58" s="1"/>
  <c r="E219" i="58"/>
  <c r="F219" i="58" s="1"/>
  <c r="E215" i="58"/>
  <c r="F215" i="58" s="1"/>
  <c r="E211" i="58"/>
  <c r="F211" i="58" s="1"/>
  <c r="E207" i="58"/>
  <c r="F207" i="58" s="1"/>
  <c r="E203" i="58"/>
  <c r="F203" i="58" s="1"/>
  <c r="E199" i="58"/>
  <c r="F199" i="58" s="1"/>
  <c r="E195" i="58"/>
  <c r="F195" i="58" s="1"/>
  <c r="E191" i="58"/>
  <c r="F191" i="58" s="1"/>
  <c r="E187" i="58"/>
  <c r="F187" i="58" s="1"/>
  <c r="E183" i="58"/>
  <c r="F183" i="58" s="1"/>
  <c r="E179" i="58"/>
  <c r="F179" i="58" s="1"/>
  <c r="E175" i="58"/>
  <c r="F175" i="58" s="1"/>
  <c r="E171" i="58"/>
  <c r="F171" i="58" s="1"/>
  <c r="E169" i="58"/>
  <c r="F169" i="58" s="1"/>
  <c r="E165" i="58"/>
  <c r="F165" i="58" s="1"/>
  <c r="E159" i="58"/>
  <c r="F159" i="58" s="1"/>
  <c r="E155" i="58"/>
  <c r="F155" i="58" s="1"/>
  <c r="E151" i="58"/>
  <c r="F151" i="58" s="1"/>
  <c r="E147" i="58"/>
  <c r="F147" i="58" s="1"/>
  <c r="E143" i="58"/>
  <c r="F143" i="58" s="1"/>
  <c r="E139" i="58"/>
  <c r="F139" i="58" s="1"/>
  <c r="E135" i="58"/>
  <c r="F135" i="58" s="1"/>
  <c r="E131" i="58"/>
  <c r="F131" i="58" s="1"/>
  <c r="E127" i="58"/>
  <c r="F127" i="58" s="1"/>
  <c r="E123" i="58"/>
  <c r="F123" i="58" s="1"/>
  <c r="E119" i="58"/>
  <c r="F119" i="58" s="1"/>
  <c r="E115" i="58"/>
  <c r="F115" i="58" s="1"/>
  <c r="E111" i="58"/>
  <c r="F111" i="58" s="1"/>
  <c r="E107" i="58"/>
  <c r="F107" i="58" s="1"/>
  <c r="E103" i="58"/>
  <c r="F103" i="58" s="1"/>
  <c r="E99" i="58"/>
  <c r="F99" i="58" s="1"/>
  <c r="E95" i="58"/>
  <c r="F95" i="58" s="1"/>
  <c r="E93" i="58"/>
  <c r="F93" i="58" s="1"/>
  <c r="E89" i="58"/>
  <c r="F89" i="58" s="1"/>
  <c r="E85" i="58"/>
  <c r="F85" i="58" s="1"/>
  <c r="E81" i="58"/>
  <c r="F81" i="58" s="1"/>
  <c r="E77" i="58"/>
  <c r="F77" i="58" s="1"/>
  <c r="E73" i="58"/>
  <c r="F73" i="58" s="1"/>
  <c r="E69" i="58"/>
  <c r="F69" i="58" s="1"/>
  <c r="E65" i="58"/>
  <c r="F65" i="58" s="1"/>
  <c r="E61" i="58"/>
  <c r="F61" i="58" s="1"/>
  <c r="E57" i="58"/>
  <c r="F57" i="58" s="1"/>
  <c r="E53" i="58"/>
  <c r="F53" i="58" s="1"/>
  <c r="E49" i="58"/>
  <c r="F49" i="58" s="1"/>
  <c r="E45" i="58"/>
  <c r="F45" i="58" s="1"/>
  <c r="E41" i="58"/>
  <c r="F41" i="58" s="1"/>
  <c r="E37" i="58"/>
  <c r="F37" i="58" s="1"/>
  <c r="E33" i="58"/>
  <c r="F33" i="58" s="1"/>
  <c r="E29" i="58"/>
  <c r="F29" i="58" s="1"/>
  <c r="E25" i="58"/>
  <c r="F25" i="58" s="1"/>
  <c r="E21" i="58"/>
  <c r="F21" i="58" s="1"/>
  <c r="E17" i="58"/>
  <c r="F17" i="58" s="1"/>
  <c r="E13" i="58"/>
  <c r="F13" i="58" s="1"/>
  <c r="E9" i="58"/>
  <c r="F9" i="58" s="1"/>
  <c r="E513" i="58"/>
  <c r="F513" i="58" s="1"/>
  <c r="E507" i="58"/>
  <c r="F507" i="58" s="1"/>
  <c r="E501" i="58"/>
  <c r="F501" i="58" s="1"/>
  <c r="E495" i="58"/>
  <c r="F495" i="58" s="1"/>
  <c r="E487" i="58"/>
  <c r="F487" i="58" s="1"/>
  <c r="E481" i="58"/>
  <c r="F481" i="58" s="1"/>
  <c r="E473" i="58"/>
  <c r="F473" i="58" s="1"/>
  <c r="E465" i="58"/>
  <c r="F465" i="58" s="1"/>
  <c r="E461" i="58"/>
  <c r="F461" i="58" s="1"/>
  <c r="E457" i="58"/>
  <c r="F457" i="58" s="1"/>
  <c r="E453" i="58"/>
  <c r="F453" i="58" s="1"/>
  <c r="E449" i="58"/>
  <c r="F449" i="58" s="1"/>
  <c r="E445" i="58"/>
  <c r="F445" i="58" s="1"/>
  <c r="E441" i="58"/>
  <c r="F441" i="58" s="1"/>
  <c r="E437" i="58"/>
  <c r="F437" i="58" s="1"/>
  <c r="E433" i="58"/>
  <c r="F433" i="58" s="1"/>
  <c r="E429" i="58"/>
  <c r="F429" i="58" s="1"/>
  <c r="E425" i="58"/>
  <c r="F425" i="58" s="1"/>
  <c r="E421" i="58"/>
  <c r="F421" i="58" s="1"/>
  <c r="E415" i="58"/>
  <c r="F415" i="58" s="1"/>
  <c r="E411" i="58"/>
  <c r="F411" i="58" s="1"/>
  <c r="E407" i="58"/>
  <c r="F407" i="58" s="1"/>
  <c r="E403" i="58"/>
  <c r="F403" i="58" s="1"/>
  <c r="E399" i="58"/>
  <c r="F399" i="58" s="1"/>
  <c r="E395" i="58"/>
  <c r="F395" i="58" s="1"/>
  <c r="E393" i="58"/>
  <c r="F393" i="58" s="1"/>
  <c r="E389" i="58"/>
  <c r="F389" i="58" s="1"/>
  <c r="E385" i="58"/>
  <c r="F385" i="58" s="1"/>
  <c r="E379" i="58"/>
  <c r="F379" i="58" s="1"/>
  <c r="E375" i="58"/>
  <c r="F375" i="58" s="1"/>
  <c r="E371" i="58"/>
  <c r="F371" i="58" s="1"/>
  <c r="E369" i="58"/>
  <c r="F369" i="58" s="1"/>
  <c r="E365" i="58"/>
  <c r="F365" i="58" s="1"/>
  <c r="E361" i="58"/>
  <c r="F361" i="58" s="1"/>
  <c r="E357" i="58"/>
  <c r="F357" i="58" s="1"/>
  <c r="E353" i="58"/>
  <c r="F353" i="58" s="1"/>
  <c r="E349" i="58"/>
  <c r="F349" i="58" s="1"/>
  <c r="E345" i="58"/>
  <c r="F345" i="58" s="1"/>
  <c r="E341" i="58"/>
  <c r="F341" i="58" s="1"/>
  <c r="E337" i="58"/>
  <c r="F337" i="58" s="1"/>
  <c r="E331" i="58"/>
  <c r="F331" i="58" s="1"/>
  <c r="E327" i="58"/>
  <c r="F327" i="58" s="1"/>
  <c r="E325" i="58"/>
  <c r="F325" i="58" s="1"/>
  <c r="E321" i="58"/>
  <c r="F321" i="58" s="1"/>
  <c r="E315" i="58"/>
  <c r="F315" i="58" s="1"/>
  <c r="E311" i="58"/>
  <c r="F311" i="58" s="1"/>
  <c r="E307" i="58"/>
  <c r="F307" i="58" s="1"/>
  <c r="E303" i="58"/>
  <c r="F303" i="58" s="1"/>
  <c r="E299" i="58"/>
  <c r="F299" i="58" s="1"/>
  <c r="E295" i="58"/>
  <c r="F295" i="58" s="1"/>
  <c r="E291" i="58"/>
  <c r="F291" i="58" s="1"/>
  <c r="E287" i="58"/>
  <c r="F287" i="58" s="1"/>
  <c r="E283" i="58"/>
  <c r="F283" i="58" s="1"/>
  <c r="E279" i="58"/>
  <c r="F279" i="58" s="1"/>
  <c r="E275" i="58"/>
  <c r="F275" i="58" s="1"/>
  <c r="E271" i="58"/>
  <c r="F271" i="58" s="1"/>
  <c r="E267" i="58"/>
  <c r="F267" i="58" s="1"/>
  <c r="E263" i="58"/>
  <c r="F263" i="58" s="1"/>
  <c r="E259" i="58"/>
  <c r="F259" i="58" s="1"/>
  <c r="E255" i="58"/>
  <c r="F255" i="58" s="1"/>
  <c r="E251" i="58"/>
  <c r="F251" i="58" s="1"/>
  <c r="E247" i="58"/>
  <c r="F247" i="58" s="1"/>
  <c r="E243" i="58"/>
  <c r="F243" i="58" s="1"/>
  <c r="E239" i="58"/>
  <c r="F239" i="58" s="1"/>
  <c r="E235" i="58"/>
  <c r="F235" i="58" s="1"/>
  <c r="E231" i="58"/>
  <c r="F231" i="58" s="1"/>
  <c r="E225" i="58"/>
  <c r="F225" i="58" s="1"/>
  <c r="E221" i="58"/>
  <c r="F221" i="58" s="1"/>
  <c r="E217" i="58"/>
  <c r="F217" i="58" s="1"/>
  <c r="E213" i="58"/>
  <c r="F213" i="58" s="1"/>
  <c r="E209" i="58"/>
  <c r="F209" i="58" s="1"/>
  <c r="E205" i="58"/>
  <c r="F205" i="58" s="1"/>
  <c r="E201" i="58"/>
  <c r="F201" i="58" s="1"/>
  <c r="E197" i="58"/>
  <c r="F197" i="58" s="1"/>
  <c r="E193" i="58"/>
  <c r="F193" i="58" s="1"/>
  <c r="E189" i="58"/>
  <c r="F189" i="58" s="1"/>
  <c r="E185" i="58"/>
  <c r="F185" i="58" s="1"/>
  <c r="E181" i="58"/>
  <c r="F181" i="58" s="1"/>
  <c r="E177" i="58"/>
  <c r="F177" i="58" s="1"/>
  <c r="E173" i="58"/>
  <c r="F173" i="58" s="1"/>
  <c r="E167" i="58"/>
  <c r="F167" i="58" s="1"/>
  <c r="E163" i="58"/>
  <c r="F163" i="58" s="1"/>
  <c r="E161" i="58"/>
  <c r="F161" i="58" s="1"/>
  <c r="E157" i="58"/>
  <c r="F157" i="58" s="1"/>
  <c r="E153" i="58"/>
  <c r="F153" i="58" s="1"/>
  <c r="E149" i="58"/>
  <c r="F149" i="58" s="1"/>
  <c r="E145" i="58"/>
  <c r="F145" i="58" s="1"/>
  <c r="E141" i="58"/>
  <c r="F141" i="58" s="1"/>
  <c r="E137" i="58"/>
  <c r="F137" i="58" s="1"/>
  <c r="E133" i="58"/>
  <c r="F133" i="58" s="1"/>
  <c r="E129" i="58"/>
  <c r="F129" i="58" s="1"/>
  <c r="E125" i="58"/>
  <c r="F125" i="58" s="1"/>
  <c r="E121" i="58"/>
  <c r="F121" i="58" s="1"/>
  <c r="E117" i="58"/>
  <c r="F117" i="58" s="1"/>
  <c r="E113" i="58"/>
  <c r="F113" i="58" s="1"/>
  <c r="E109" i="58"/>
  <c r="F109" i="58" s="1"/>
  <c r="E105" i="58"/>
  <c r="F105" i="58" s="1"/>
  <c r="E101" i="58"/>
  <c r="F101" i="58" s="1"/>
  <c r="E97" i="58"/>
  <c r="F97" i="58" s="1"/>
  <c r="E91" i="58"/>
  <c r="F91" i="58" s="1"/>
  <c r="E87" i="58"/>
  <c r="F87" i="58" s="1"/>
  <c r="E83" i="58"/>
  <c r="F83" i="58" s="1"/>
  <c r="E79" i="58"/>
  <c r="F79" i="58" s="1"/>
  <c r="E75" i="58"/>
  <c r="F75" i="58" s="1"/>
  <c r="E71" i="58"/>
  <c r="F71" i="58" s="1"/>
  <c r="E67" i="58"/>
  <c r="F67" i="58" s="1"/>
  <c r="E63" i="58"/>
  <c r="F63" i="58" s="1"/>
  <c r="E59" i="58"/>
  <c r="F59" i="58" s="1"/>
  <c r="E55" i="58"/>
  <c r="F55" i="58" s="1"/>
  <c r="E51" i="58"/>
  <c r="F51" i="58" s="1"/>
  <c r="E47" i="58"/>
  <c r="F47" i="58" s="1"/>
  <c r="E43" i="58"/>
  <c r="F43" i="58" s="1"/>
  <c r="E39" i="58"/>
  <c r="F39" i="58" s="1"/>
  <c r="E35" i="58"/>
  <c r="F35" i="58" s="1"/>
  <c r="E31" i="58"/>
  <c r="F31" i="58" s="1"/>
  <c r="E27" i="58"/>
  <c r="F27" i="58" s="1"/>
  <c r="E23" i="58"/>
  <c r="F23" i="58" s="1"/>
  <c r="E19" i="58"/>
  <c r="F19" i="58" s="1"/>
  <c r="E15" i="58"/>
  <c r="F15" i="58" s="1"/>
  <c r="E11" i="58"/>
  <c r="F11" i="58" s="1"/>
  <c r="E7" i="58"/>
  <c r="F7" i="58" s="1"/>
  <c r="D43" i="31"/>
  <c r="E39" i="26"/>
  <c r="H200" i="49"/>
  <c r="L199" i="49"/>
  <c r="N199" i="49" s="1"/>
  <c r="L198" i="49"/>
  <c r="N198" i="49" s="1"/>
  <c r="H195" i="49"/>
  <c r="L194" i="49"/>
  <c r="N194" i="49" s="1"/>
  <c r="R194" i="49" s="1"/>
  <c r="P194" i="49" s="1"/>
  <c r="L193" i="49"/>
  <c r="H190" i="49"/>
  <c r="L189" i="49"/>
  <c r="N189" i="49" s="1"/>
  <c r="L188" i="49"/>
  <c r="N188" i="49" s="1"/>
  <c r="H185" i="49"/>
  <c r="L184" i="49"/>
  <c r="N184" i="49" s="1"/>
  <c r="R184" i="49" s="1"/>
  <c r="P184" i="49" s="1"/>
  <c r="L183" i="49"/>
  <c r="N183" i="49" s="1"/>
  <c r="L179" i="49"/>
  <c r="N179" i="49" s="1"/>
  <c r="L178" i="49"/>
  <c r="N178" i="49" s="1"/>
  <c r="H175" i="49"/>
  <c r="L174" i="49"/>
  <c r="N174" i="49" s="1"/>
  <c r="L173" i="49"/>
  <c r="N173" i="49" s="1"/>
  <c r="R173" i="49" s="1"/>
  <c r="P173" i="49" s="1"/>
  <c r="L172" i="49"/>
  <c r="N172" i="49" s="1"/>
  <c r="L171" i="49"/>
  <c r="N171" i="49" s="1"/>
  <c r="R171" i="49" s="1"/>
  <c r="P171" i="49" s="1"/>
  <c r="L170" i="49"/>
  <c r="N170" i="49" s="1"/>
  <c r="L169" i="49"/>
  <c r="N169" i="49" s="1"/>
  <c r="R169" i="49" s="1"/>
  <c r="P169" i="49" s="1"/>
  <c r="L168" i="49"/>
  <c r="N168" i="49" s="1"/>
  <c r="L167" i="49"/>
  <c r="N167" i="49" s="1"/>
  <c r="R167" i="49" s="1"/>
  <c r="P167" i="49" s="1"/>
  <c r="L166" i="49"/>
  <c r="H160" i="49"/>
  <c r="L159" i="49"/>
  <c r="N159" i="49" s="1"/>
  <c r="R159" i="49" s="1"/>
  <c r="P159" i="49" s="1"/>
  <c r="L158" i="49"/>
  <c r="N158" i="49" s="1"/>
  <c r="L157" i="49"/>
  <c r="N157" i="49" s="1"/>
  <c r="R157" i="49" s="1"/>
  <c r="P157" i="49" s="1"/>
  <c r="L156" i="49"/>
  <c r="N156" i="49" s="1"/>
  <c r="L155" i="49"/>
  <c r="N155" i="49" s="1"/>
  <c r="R155" i="49" s="1"/>
  <c r="P155" i="49" s="1"/>
  <c r="L154" i="49"/>
  <c r="N154" i="49" s="1"/>
  <c r="L153" i="49"/>
  <c r="N153" i="49" s="1"/>
  <c r="R153" i="49" s="1"/>
  <c r="P153" i="49" s="1"/>
  <c r="L152" i="49"/>
  <c r="N152" i="49" s="1"/>
  <c r="L151" i="49"/>
  <c r="N151" i="49" s="1"/>
  <c r="R151" i="49" s="1"/>
  <c r="P151" i="49" s="1"/>
  <c r="L150" i="49"/>
  <c r="N150" i="49" s="1"/>
  <c r="L149" i="49"/>
  <c r="N149" i="49" s="1"/>
  <c r="L119" i="49"/>
  <c r="N119" i="49" s="1"/>
  <c r="R119" i="49" s="1"/>
  <c r="P119" i="49" s="1"/>
  <c r="L118" i="49"/>
  <c r="N118" i="49" s="1"/>
  <c r="R118" i="49" s="1"/>
  <c r="N116" i="49"/>
  <c r="L115" i="49"/>
  <c r="L111" i="49"/>
  <c r="N111" i="49" s="1"/>
  <c r="R111" i="49" s="1"/>
  <c r="P111" i="49" s="1"/>
  <c r="L110" i="49"/>
  <c r="N180" i="49" l="1"/>
  <c r="N185" i="49"/>
  <c r="N200" i="49"/>
  <c r="R149" i="49"/>
  <c r="P149" i="49" s="1"/>
  <c r="N160" i="49"/>
  <c r="P150" i="49"/>
  <c r="R150" i="49"/>
  <c r="R152" i="49"/>
  <c r="P152" i="49"/>
  <c r="P154" i="49"/>
  <c r="R154" i="49"/>
  <c r="R156" i="49"/>
  <c r="P156" i="49"/>
  <c r="P158" i="49"/>
  <c r="R158" i="49"/>
  <c r="P179" i="49"/>
  <c r="R179" i="49"/>
  <c r="P168" i="49"/>
  <c r="R168" i="49"/>
  <c r="R170" i="49"/>
  <c r="P170" i="49"/>
  <c r="P172" i="49"/>
  <c r="R172" i="49"/>
  <c r="R174" i="49"/>
  <c r="P174" i="49"/>
  <c r="N190" i="49"/>
  <c r="R188" i="49"/>
  <c r="P188" i="49" s="1"/>
  <c r="R189" i="49"/>
  <c r="P189" i="49"/>
  <c r="P199" i="49"/>
  <c r="R199" i="49"/>
  <c r="N193" i="49"/>
  <c r="N166" i="49"/>
  <c r="N115" i="49"/>
  <c r="P118" i="49"/>
  <c r="R198" i="49"/>
  <c r="P198" i="49" s="1"/>
  <c r="P183" i="49"/>
  <c r="P185" i="49" s="1"/>
  <c r="R183" i="49"/>
  <c r="H180" i="49"/>
  <c r="H219" i="49" s="1"/>
  <c r="R178" i="49"/>
  <c r="P178" i="49" s="1"/>
  <c r="P180" i="49" s="1"/>
  <c r="G45" i="26"/>
  <c r="L107" i="49"/>
  <c r="L103" i="49"/>
  <c r="N103" i="49" s="1"/>
  <c r="L102" i="49"/>
  <c r="L99" i="49"/>
  <c r="R103" i="49" l="1"/>
  <c r="P103" i="49"/>
  <c r="N102" i="49"/>
  <c r="R102" i="49" s="1"/>
  <c r="P102" i="49" s="1"/>
  <c r="P190" i="49"/>
  <c r="N175" i="49"/>
  <c r="R166" i="49"/>
  <c r="P166" i="49"/>
  <c r="P175" i="49" s="1"/>
  <c r="N195" i="49"/>
  <c r="R193" i="49"/>
  <c r="P193" i="49" s="1"/>
  <c r="P195" i="49" s="1"/>
  <c r="H120" i="49"/>
  <c r="P115" i="49"/>
  <c r="H112" i="49"/>
  <c r="H104" i="49"/>
  <c r="R115" i="49"/>
  <c r="N99" i="49"/>
  <c r="P99" i="49" s="1"/>
  <c r="N100" i="49"/>
  <c r="P100" i="49" s="1"/>
  <c r="P200" i="49"/>
  <c r="H95" i="49"/>
  <c r="H94" i="49"/>
  <c r="N94" i="49" s="1"/>
  <c r="R94" i="49" s="1"/>
  <c r="L93" i="49"/>
  <c r="H93" i="49"/>
  <c r="H92" i="49"/>
  <c r="H91" i="49"/>
  <c r="N91" i="49" s="1"/>
  <c r="R91" i="49" s="1"/>
  <c r="L90" i="49"/>
  <c r="H90" i="49"/>
  <c r="L89" i="49"/>
  <c r="H89" i="49"/>
  <c r="H88" i="49"/>
  <c r="H87" i="49"/>
  <c r="N87" i="49" s="1"/>
  <c r="L86" i="49"/>
  <c r="H86" i="49"/>
  <c r="L85" i="49"/>
  <c r="N85" i="49" s="1"/>
  <c r="R85" i="49" s="1"/>
  <c r="P85" i="49" s="1"/>
  <c r="H83" i="49"/>
  <c r="N83" i="49" s="1"/>
  <c r="L82" i="49"/>
  <c r="L81" i="49"/>
  <c r="N81" i="49" s="1"/>
  <c r="H79" i="49"/>
  <c r="H78" i="49" s="1"/>
  <c r="L78" i="49"/>
  <c r="L76" i="49"/>
  <c r="H76" i="49"/>
  <c r="L75" i="49"/>
  <c r="H75" i="49"/>
  <c r="L74" i="49"/>
  <c r="N74" i="49" s="1"/>
  <c r="L73" i="49"/>
  <c r="L69" i="49"/>
  <c r="J65" i="48"/>
  <c r="L62" i="49"/>
  <c r="N62" i="49" s="1"/>
  <c r="L61" i="49"/>
  <c r="L60" i="49"/>
  <c r="N60" i="49" s="1"/>
  <c r="L59" i="49"/>
  <c r="L58" i="49"/>
  <c r="N58" i="49" s="1"/>
  <c r="L57" i="49"/>
  <c r="L56" i="49"/>
  <c r="N56" i="49" s="1"/>
  <c r="L55" i="49"/>
  <c r="L54" i="49"/>
  <c r="N54" i="49" s="1"/>
  <c r="L53" i="49"/>
  <c r="L52" i="49"/>
  <c r="N52" i="49" s="1"/>
  <c r="L51" i="49"/>
  <c r="L50" i="49"/>
  <c r="L49" i="49"/>
  <c r="L48" i="49"/>
  <c r="L47" i="49"/>
  <c r="J47" i="48"/>
  <c r="L46" i="49"/>
  <c r="J46" i="48"/>
  <c r="L45" i="49"/>
  <c r="J45" i="48"/>
  <c r="L44" i="49"/>
  <c r="J44" i="48"/>
  <c r="L43" i="49"/>
  <c r="J43" i="48"/>
  <c r="L42" i="49"/>
  <c r="J42" i="48"/>
  <c r="L41" i="49"/>
  <c r="J41" i="48"/>
  <c r="L40" i="49"/>
  <c r="J40" i="48"/>
  <c r="L39" i="49"/>
  <c r="J39" i="48"/>
  <c r="L38" i="49"/>
  <c r="J38" i="48"/>
  <c r="L37" i="49"/>
  <c r="J37" i="48"/>
  <c r="L36" i="49"/>
  <c r="J36" i="48"/>
  <c r="L35" i="49"/>
  <c r="J35" i="48"/>
  <c r="L34" i="49"/>
  <c r="J34" i="48"/>
  <c r="L33" i="49"/>
  <c r="J33" i="48"/>
  <c r="L32" i="49"/>
  <c r="J32" i="48"/>
  <c r="L31" i="49"/>
  <c r="J31" i="48"/>
  <c r="L30" i="49"/>
  <c r="J30" i="48"/>
  <c r="L29" i="49"/>
  <c r="J29" i="48"/>
  <c r="L28" i="49"/>
  <c r="J28" i="48"/>
  <c r="L27" i="49"/>
  <c r="J27" i="48"/>
  <c r="L26" i="49"/>
  <c r="J26" i="48"/>
  <c r="L25" i="49"/>
  <c r="J25" i="48"/>
  <c r="L24" i="49"/>
  <c r="J24" i="48"/>
  <c r="L23" i="49"/>
  <c r="J23" i="48"/>
  <c r="L22" i="49"/>
  <c r="J22" i="48"/>
  <c r="L21" i="49"/>
  <c r="J21" i="48"/>
  <c r="L20" i="49"/>
  <c r="J20" i="48"/>
  <c r="L19" i="49"/>
  <c r="J19" i="48"/>
  <c r="L18" i="49"/>
  <c r="J18" i="48"/>
  <c r="L17" i="49"/>
  <c r="J17" i="48"/>
  <c r="L16" i="49"/>
  <c r="N16" i="49" s="1"/>
  <c r="L15" i="49"/>
  <c r="J15" i="48"/>
  <c r="L14" i="49"/>
  <c r="N14" i="49" s="1"/>
  <c r="L13" i="49"/>
  <c r="J13" i="48"/>
  <c r="L12" i="49"/>
  <c r="N12" i="49" s="1"/>
  <c r="R12" i="49" s="1"/>
  <c r="L11" i="49"/>
  <c r="J11" i="48"/>
  <c r="U10" i="49"/>
  <c r="L65" i="49" s="1"/>
  <c r="L10" i="49"/>
  <c r="N10" i="49" s="1"/>
  <c r="L9" i="49"/>
  <c r="N9" i="49" s="1"/>
  <c r="R9" i="49" s="1"/>
  <c r="H102" i="48"/>
  <c r="L101" i="48"/>
  <c r="J101" i="48" s="1"/>
  <c r="N101" i="48" s="1"/>
  <c r="L100" i="48"/>
  <c r="J100" i="48" s="1"/>
  <c r="L99" i="48"/>
  <c r="J99" i="48" s="1"/>
  <c r="N99" i="48" s="1"/>
  <c r="L98" i="48"/>
  <c r="J98" i="48" s="1"/>
  <c r="N98" i="48" s="1"/>
  <c r="L97" i="48"/>
  <c r="J97" i="48" s="1"/>
  <c r="N97" i="48" s="1"/>
  <c r="L96" i="48"/>
  <c r="J96" i="48"/>
  <c r="L95" i="48"/>
  <c r="J95" i="48"/>
  <c r="L94" i="48"/>
  <c r="J94" i="48" s="1"/>
  <c r="N94" i="48" s="1"/>
  <c r="R94" i="48" s="1"/>
  <c r="L93" i="48"/>
  <c r="J93" i="48" s="1"/>
  <c r="N93" i="48" s="1"/>
  <c r="R93" i="48" s="1"/>
  <c r="H89" i="48"/>
  <c r="L88" i="48"/>
  <c r="J88" i="48" s="1"/>
  <c r="L87" i="48"/>
  <c r="J87" i="48"/>
  <c r="L86" i="48"/>
  <c r="J86" i="48"/>
  <c r="L85" i="48"/>
  <c r="J85" i="48" s="1"/>
  <c r="L84" i="48"/>
  <c r="J84" i="48"/>
  <c r="L83" i="48"/>
  <c r="J83" i="48"/>
  <c r="L82" i="48"/>
  <c r="J82" i="48" s="1"/>
  <c r="L81" i="48"/>
  <c r="J81" i="48"/>
  <c r="L80" i="48"/>
  <c r="J80" i="48"/>
  <c r="L79" i="48"/>
  <c r="J79" i="48"/>
  <c r="L78" i="48"/>
  <c r="J78" i="48"/>
  <c r="H74" i="48"/>
  <c r="L73" i="48"/>
  <c r="J73" i="48"/>
  <c r="J72" i="48"/>
  <c r="J71" i="48"/>
  <c r="J70" i="48"/>
  <c r="L69" i="48"/>
  <c r="J69" i="48"/>
  <c r="J68" i="48"/>
  <c r="J67" i="48"/>
  <c r="J66" i="48"/>
  <c r="J64" i="48"/>
  <c r="J63" i="48"/>
  <c r="L62" i="48"/>
  <c r="J62" i="48"/>
  <c r="L61" i="48"/>
  <c r="J61" i="48"/>
  <c r="L60" i="48"/>
  <c r="J60" i="48"/>
  <c r="L59" i="48"/>
  <c r="J59" i="48"/>
  <c r="L58" i="48"/>
  <c r="J58" i="48"/>
  <c r="L57" i="48"/>
  <c r="J57" i="48"/>
  <c r="L56" i="48"/>
  <c r="J56" i="48"/>
  <c r="L55" i="48"/>
  <c r="J55" i="48"/>
  <c r="L54" i="48"/>
  <c r="J54" i="48"/>
  <c r="L53" i="48"/>
  <c r="J53" i="48"/>
  <c r="L52" i="48"/>
  <c r="J52" i="48"/>
  <c r="L51" i="48"/>
  <c r="J51" i="48"/>
  <c r="L50" i="48"/>
  <c r="J50" i="48"/>
  <c r="L49" i="48"/>
  <c r="J49" i="48"/>
  <c r="L48" i="48"/>
  <c r="J48" i="48"/>
  <c r="U47" i="48"/>
  <c r="L47" i="48"/>
  <c r="U46" i="48"/>
  <c r="L46" i="48"/>
  <c r="V45" i="48"/>
  <c r="U45" i="48"/>
  <c r="L45" i="48"/>
  <c r="V44" i="48"/>
  <c r="U44" i="48"/>
  <c r="L44" i="48"/>
  <c r="V43" i="48"/>
  <c r="U43" i="48"/>
  <c r="L43" i="48"/>
  <c r="V42" i="48"/>
  <c r="U42" i="48"/>
  <c r="L42" i="48"/>
  <c r="V41" i="48"/>
  <c r="U41" i="48"/>
  <c r="L41" i="48"/>
  <c r="V40" i="48"/>
  <c r="U40" i="48"/>
  <c r="L40" i="48"/>
  <c r="V39" i="48"/>
  <c r="U39" i="48"/>
  <c r="L39" i="48"/>
  <c r="V38" i="48"/>
  <c r="U38" i="48"/>
  <c r="L38" i="48"/>
  <c r="V37" i="48"/>
  <c r="U37" i="48"/>
  <c r="L37" i="48"/>
  <c r="V36" i="48"/>
  <c r="U36" i="48"/>
  <c r="L36" i="48"/>
  <c r="V35" i="48"/>
  <c r="U35" i="48"/>
  <c r="L35" i="48"/>
  <c r="V34" i="48"/>
  <c r="U34" i="48"/>
  <c r="L34" i="48"/>
  <c r="V33" i="48"/>
  <c r="U33" i="48"/>
  <c r="L33" i="48"/>
  <c r="V32" i="48"/>
  <c r="U32" i="48"/>
  <c r="L32" i="48"/>
  <c r="V31" i="48"/>
  <c r="U31" i="48"/>
  <c r="L31" i="48"/>
  <c r="V30" i="48"/>
  <c r="U30" i="48"/>
  <c r="L30" i="48"/>
  <c r="V29" i="48"/>
  <c r="U29" i="48"/>
  <c r="L29" i="48"/>
  <c r="V28" i="48"/>
  <c r="U28" i="48"/>
  <c r="L28" i="48"/>
  <c r="V27" i="48"/>
  <c r="U27" i="48"/>
  <c r="L27" i="48"/>
  <c r="V26" i="48"/>
  <c r="U26" i="48"/>
  <c r="L26" i="48"/>
  <c r="V25" i="48"/>
  <c r="U25" i="48"/>
  <c r="L25" i="48"/>
  <c r="V24" i="48"/>
  <c r="U24" i="48"/>
  <c r="L24" i="48"/>
  <c r="V23" i="48"/>
  <c r="U23" i="48"/>
  <c r="L23" i="48"/>
  <c r="V22" i="48"/>
  <c r="U22" i="48"/>
  <c r="L22" i="48"/>
  <c r="V21" i="48"/>
  <c r="U21" i="48"/>
  <c r="L21" i="48"/>
  <c r="V20" i="48"/>
  <c r="U20" i="48"/>
  <c r="L20" i="48"/>
  <c r="V19" i="48"/>
  <c r="U19" i="48"/>
  <c r="L19" i="48"/>
  <c r="V18" i="48"/>
  <c r="U18" i="48"/>
  <c r="L18" i="48"/>
  <c r="V17" i="48"/>
  <c r="U17" i="48"/>
  <c r="L17" i="48"/>
  <c r="L16" i="48"/>
  <c r="L15" i="48"/>
  <c r="L14" i="48"/>
  <c r="L13" i="48"/>
  <c r="L12" i="48"/>
  <c r="J12" i="48"/>
  <c r="U11" i="48"/>
  <c r="L11" i="48"/>
  <c r="U10" i="48"/>
  <c r="L71" i="48" s="1"/>
  <c r="L10" i="48"/>
  <c r="J10" i="48"/>
  <c r="L9" i="48"/>
  <c r="L88" i="49" l="1"/>
  <c r="N88" i="49" s="1"/>
  <c r="R88" i="49" s="1"/>
  <c r="N73" i="48"/>
  <c r="R73" i="48" s="1"/>
  <c r="P73" i="48" s="1"/>
  <c r="N83" i="48"/>
  <c r="R83" i="48" s="1"/>
  <c r="P83" i="48" s="1"/>
  <c r="N78" i="49"/>
  <c r="R78" i="49" s="1"/>
  <c r="L66" i="48"/>
  <c r="L63" i="48"/>
  <c r="N63" i="48" s="1"/>
  <c r="R63" i="48" s="1"/>
  <c r="P63" i="48" s="1"/>
  <c r="L64" i="49"/>
  <c r="N64" i="49" s="1"/>
  <c r="R64" i="49" s="1"/>
  <c r="L70" i="49"/>
  <c r="N70" i="49" s="1"/>
  <c r="R70" i="49" s="1"/>
  <c r="N69" i="48"/>
  <c r="R69" i="48" s="1"/>
  <c r="P69" i="48" s="1"/>
  <c r="L66" i="49"/>
  <c r="N66" i="49" s="1"/>
  <c r="P66" i="49" s="1"/>
  <c r="L95" i="49"/>
  <c r="N95" i="49" s="1"/>
  <c r="R95" i="49" s="1"/>
  <c r="N20" i="48"/>
  <c r="R20" i="48" s="1"/>
  <c r="P20" i="48" s="1"/>
  <c r="N24" i="48"/>
  <c r="R24" i="48" s="1"/>
  <c r="P24" i="48" s="1"/>
  <c r="N28" i="48"/>
  <c r="R28" i="48" s="1"/>
  <c r="P28" i="48" s="1"/>
  <c r="N32" i="48"/>
  <c r="R32" i="48" s="1"/>
  <c r="P32" i="48" s="1"/>
  <c r="N36" i="48"/>
  <c r="R36" i="48" s="1"/>
  <c r="P36" i="48" s="1"/>
  <c r="N40" i="48"/>
  <c r="R40" i="48" s="1"/>
  <c r="P40" i="48" s="1"/>
  <c r="N44" i="48"/>
  <c r="R44" i="48" s="1"/>
  <c r="P44" i="48" s="1"/>
  <c r="N93" i="49"/>
  <c r="R93" i="49" s="1"/>
  <c r="P93" i="49" s="1"/>
  <c r="L68" i="48"/>
  <c r="L70" i="48"/>
  <c r="N79" i="48"/>
  <c r="R79" i="48" s="1"/>
  <c r="P79" i="48" s="1"/>
  <c r="N81" i="48"/>
  <c r="R81" i="48" s="1"/>
  <c r="P81" i="48" s="1"/>
  <c r="N86" i="48"/>
  <c r="R86" i="48" s="1"/>
  <c r="P86" i="48" s="1"/>
  <c r="N95" i="48"/>
  <c r="P95" i="48" s="1"/>
  <c r="L63" i="49"/>
  <c r="L67" i="49"/>
  <c r="L80" i="49"/>
  <c r="N80" i="49" s="1"/>
  <c r="R80" i="49" s="1"/>
  <c r="N89" i="49"/>
  <c r="R89" i="49" s="1"/>
  <c r="P89" i="49" s="1"/>
  <c r="L72" i="49"/>
  <c r="N72" i="49" s="1"/>
  <c r="P72" i="49" s="1"/>
  <c r="L84" i="49"/>
  <c r="N84" i="49" s="1"/>
  <c r="R84" i="49" s="1"/>
  <c r="P84" i="49" s="1"/>
  <c r="N90" i="49"/>
  <c r="R90" i="49" s="1"/>
  <c r="P90" i="49" s="1"/>
  <c r="L92" i="49"/>
  <c r="N92" i="49" s="1"/>
  <c r="R92" i="49" s="1"/>
  <c r="N219" i="49"/>
  <c r="N48" i="48"/>
  <c r="R48" i="48" s="1"/>
  <c r="N50" i="48"/>
  <c r="R50" i="48" s="1"/>
  <c r="P50" i="48" s="1"/>
  <c r="N52" i="48"/>
  <c r="R52" i="48" s="1"/>
  <c r="P52" i="48" s="1"/>
  <c r="N54" i="48"/>
  <c r="R54" i="48" s="1"/>
  <c r="P54" i="48" s="1"/>
  <c r="N56" i="48"/>
  <c r="R56" i="48" s="1"/>
  <c r="P56" i="48" s="1"/>
  <c r="N58" i="48"/>
  <c r="R58" i="48" s="1"/>
  <c r="P58" i="48" s="1"/>
  <c r="N60" i="48"/>
  <c r="R60" i="48" s="1"/>
  <c r="P60" i="48" s="1"/>
  <c r="N62" i="48"/>
  <c r="R62" i="48" s="1"/>
  <c r="P62" i="48" s="1"/>
  <c r="L72" i="48"/>
  <c r="N78" i="48"/>
  <c r="R78" i="48" s="1"/>
  <c r="P78" i="48" s="1"/>
  <c r="N80" i="48"/>
  <c r="R80" i="48" s="1"/>
  <c r="P80" i="48" s="1"/>
  <c r="N87" i="48"/>
  <c r="R87" i="48" s="1"/>
  <c r="P87" i="48" s="1"/>
  <c r="N96" i="48"/>
  <c r="R96" i="48" s="1"/>
  <c r="P96" i="48" s="1"/>
  <c r="N11" i="48"/>
  <c r="R11" i="48" s="1"/>
  <c r="P11" i="48" s="1"/>
  <c r="N76" i="49"/>
  <c r="P76" i="49" s="1"/>
  <c r="N71" i="48"/>
  <c r="R71" i="48" s="1"/>
  <c r="P71" i="48" s="1"/>
  <c r="N18" i="48"/>
  <c r="R18" i="48" s="1"/>
  <c r="P18" i="48" s="1"/>
  <c r="N22" i="48"/>
  <c r="R22" i="48" s="1"/>
  <c r="P22" i="48" s="1"/>
  <c r="N26" i="48"/>
  <c r="R26" i="48" s="1"/>
  <c r="P26" i="48" s="1"/>
  <c r="N30" i="48"/>
  <c r="R30" i="48" s="1"/>
  <c r="P30" i="48" s="1"/>
  <c r="N34" i="48"/>
  <c r="R34" i="48" s="1"/>
  <c r="P34" i="48" s="1"/>
  <c r="N38" i="48"/>
  <c r="R38" i="48" s="1"/>
  <c r="P38" i="48" s="1"/>
  <c r="N42" i="48"/>
  <c r="R42" i="48" s="1"/>
  <c r="P42" i="48" s="1"/>
  <c r="N46" i="48"/>
  <c r="R46" i="48" s="1"/>
  <c r="P46" i="48" s="1"/>
  <c r="L65" i="48"/>
  <c r="L67" i="48"/>
  <c r="N67" i="48" s="1"/>
  <c r="R67" i="48" s="1"/>
  <c r="P67" i="48" s="1"/>
  <c r="N75" i="49"/>
  <c r="P75" i="49" s="1"/>
  <c r="N10" i="48"/>
  <c r="R10" i="48" s="1"/>
  <c r="P10" i="48" s="1"/>
  <c r="N49" i="48"/>
  <c r="R49" i="48" s="1"/>
  <c r="P49" i="48" s="1"/>
  <c r="N51" i="48"/>
  <c r="R51" i="48" s="1"/>
  <c r="P51" i="48" s="1"/>
  <c r="N53" i="48"/>
  <c r="R53" i="48" s="1"/>
  <c r="P53" i="48" s="1"/>
  <c r="N55" i="48"/>
  <c r="R55" i="48" s="1"/>
  <c r="P55" i="48" s="1"/>
  <c r="N57" i="48"/>
  <c r="R57" i="48" s="1"/>
  <c r="P57" i="48" s="1"/>
  <c r="N59" i="48"/>
  <c r="R59" i="48" s="1"/>
  <c r="P59" i="48" s="1"/>
  <c r="N61" i="48"/>
  <c r="R61" i="48" s="1"/>
  <c r="P61" i="48" s="1"/>
  <c r="N84" i="48"/>
  <c r="R84" i="48" s="1"/>
  <c r="P84" i="48" s="1"/>
  <c r="L133" i="49"/>
  <c r="N133" i="49" s="1"/>
  <c r="L125" i="49"/>
  <c r="N125" i="49" s="1"/>
  <c r="L117" i="49"/>
  <c r="N117" i="49" s="1"/>
  <c r="L109" i="49"/>
  <c r="L101" i="49"/>
  <c r="N101" i="49" s="1"/>
  <c r="R101" i="49" s="1"/>
  <c r="P101" i="49" s="1"/>
  <c r="P104" i="49" s="1"/>
  <c r="N13" i="48"/>
  <c r="R13" i="48" s="1"/>
  <c r="P13" i="48" s="1"/>
  <c r="N15" i="48"/>
  <c r="R15" i="48" s="1"/>
  <c r="P15" i="48" s="1"/>
  <c r="N17" i="48"/>
  <c r="R17" i="48" s="1"/>
  <c r="P17" i="48" s="1"/>
  <c r="N19" i="48"/>
  <c r="R19" i="48" s="1"/>
  <c r="P19" i="48" s="1"/>
  <c r="N21" i="48"/>
  <c r="R21" i="48" s="1"/>
  <c r="P21" i="48" s="1"/>
  <c r="N23" i="48"/>
  <c r="R23" i="48" s="1"/>
  <c r="P23" i="48" s="1"/>
  <c r="N25" i="48"/>
  <c r="R25" i="48" s="1"/>
  <c r="P25" i="48" s="1"/>
  <c r="N27" i="48"/>
  <c r="R27" i="48" s="1"/>
  <c r="P27" i="48" s="1"/>
  <c r="N29" i="48"/>
  <c r="R29" i="48" s="1"/>
  <c r="P29" i="48" s="1"/>
  <c r="N31" i="48"/>
  <c r="R31" i="48" s="1"/>
  <c r="P31" i="48" s="1"/>
  <c r="N33" i="48"/>
  <c r="R33" i="48" s="1"/>
  <c r="P33" i="48" s="1"/>
  <c r="N35" i="48"/>
  <c r="R35" i="48" s="1"/>
  <c r="P35" i="48" s="1"/>
  <c r="N37" i="48"/>
  <c r="R37" i="48" s="1"/>
  <c r="P37" i="48" s="1"/>
  <c r="N39" i="48"/>
  <c r="R39" i="48" s="1"/>
  <c r="P39" i="48" s="1"/>
  <c r="N41" i="48"/>
  <c r="R41" i="48" s="1"/>
  <c r="P41" i="48" s="1"/>
  <c r="N43" i="48"/>
  <c r="R43" i="48" s="1"/>
  <c r="P43" i="48" s="1"/>
  <c r="N45" i="48"/>
  <c r="R45" i="48" s="1"/>
  <c r="P45" i="48" s="1"/>
  <c r="N47" i="48"/>
  <c r="R47" i="48" s="1"/>
  <c r="P47" i="48" s="1"/>
  <c r="L68" i="49"/>
  <c r="N68" i="49" s="1"/>
  <c r="P68" i="49" s="1"/>
  <c r="L71" i="49"/>
  <c r="L77" i="49"/>
  <c r="H82" i="49"/>
  <c r="N82" i="49" s="1"/>
  <c r="R82" i="49" s="1"/>
  <c r="P219" i="49"/>
  <c r="P10" i="49"/>
  <c r="R10" i="49"/>
  <c r="J14" i="48"/>
  <c r="J16" i="48"/>
  <c r="P95" i="49"/>
  <c r="J9" i="48"/>
  <c r="P91" i="49"/>
  <c r="P94" i="49"/>
  <c r="P9" i="49"/>
  <c r="R14" i="49"/>
  <c r="P14" i="49"/>
  <c r="R16" i="49"/>
  <c r="P16" i="49"/>
  <c r="R52" i="49"/>
  <c r="P52" i="49"/>
  <c r="P54" i="49"/>
  <c r="R54" i="49"/>
  <c r="P56" i="49"/>
  <c r="R56" i="49"/>
  <c r="P58" i="49"/>
  <c r="R58" i="49"/>
  <c r="P60" i="49"/>
  <c r="R60" i="49"/>
  <c r="P62" i="49"/>
  <c r="R62" i="49"/>
  <c r="P74" i="49"/>
  <c r="R74" i="49"/>
  <c r="R81" i="49"/>
  <c r="P81" i="49"/>
  <c r="P83" i="49"/>
  <c r="R83" i="49"/>
  <c r="P87" i="49"/>
  <c r="R87" i="49"/>
  <c r="P12" i="49"/>
  <c r="N86" i="49"/>
  <c r="R100" i="49"/>
  <c r="R99" i="49"/>
  <c r="P98" i="48"/>
  <c r="R98" i="48"/>
  <c r="L64" i="48"/>
  <c r="N64" i="48" s="1"/>
  <c r="P97" i="48"/>
  <c r="R97" i="48"/>
  <c r="P99" i="48"/>
  <c r="R99" i="48"/>
  <c r="P101" i="48"/>
  <c r="R101" i="48"/>
  <c r="P93" i="48"/>
  <c r="P94" i="48"/>
  <c r="F22" i="21"/>
  <c r="H22" i="21"/>
  <c r="F31" i="21" l="1"/>
  <c r="P64" i="49"/>
  <c r="P80" i="49"/>
  <c r="R66" i="49"/>
  <c r="P88" i="49"/>
  <c r="P70" i="49"/>
  <c r="P78" i="49"/>
  <c r="R68" i="49"/>
  <c r="R76" i="49"/>
  <c r="R95" i="48"/>
  <c r="P92" i="49"/>
  <c r="N104" i="49"/>
  <c r="R64" i="48"/>
  <c r="P64" i="48"/>
  <c r="P48" i="48"/>
  <c r="R72" i="49"/>
  <c r="R75" i="49"/>
  <c r="P82" i="49"/>
  <c r="P133" i="49"/>
  <c r="P136" i="49" s="1"/>
  <c r="R133" i="49"/>
  <c r="N136" i="49"/>
  <c r="N128" i="49"/>
  <c r="R125" i="49"/>
  <c r="P125" i="49"/>
  <c r="P128" i="49" s="1"/>
  <c r="H96" i="49"/>
  <c r="H142" i="49" s="1"/>
  <c r="R86" i="49"/>
  <c r="P86" i="49"/>
  <c r="F29" i="19"/>
  <c r="I39" i="19" s="1"/>
  <c r="I24" i="19"/>
  <c r="I23" i="19"/>
  <c r="J53" i="215"/>
  <c r="I43" i="19" l="1"/>
  <c r="C37" i="39"/>
  <c r="F46" i="21"/>
  <c r="P29" i="21"/>
  <c r="R13" i="215" l="1"/>
  <c r="E109" i="216"/>
  <c r="C30" i="216"/>
  <c r="C28" i="216"/>
  <c r="G22" i="216"/>
  <c r="G21" i="216"/>
  <c r="G20" i="216"/>
  <c r="G19" i="216"/>
  <c r="G18" i="216"/>
  <c r="G17" i="216"/>
  <c r="G16" i="216"/>
  <c r="G15" i="216"/>
  <c r="G14" i="216"/>
  <c r="G13" i="216"/>
  <c r="D41" i="57"/>
  <c r="H13" i="215" l="1"/>
  <c r="T13" i="215"/>
  <c r="I14" i="216"/>
  <c r="I16" i="216"/>
  <c r="I18" i="216"/>
  <c r="I20" i="216"/>
  <c r="I22" i="216"/>
  <c r="I13" i="216"/>
  <c r="I15" i="216"/>
  <c r="I17" i="216"/>
  <c r="I19" i="216"/>
  <c r="I21" i="216"/>
  <c r="H23" i="57"/>
  <c r="F23" i="57" l="1"/>
  <c r="J23" i="57" s="1"/>
  <c r="F15" i="57"/>
  <c r="R99" i="56"/>
  <c r="V15" i="215" l="1"/>
  <c r="V17" i="215"/>
  <c r="V19" i="215"/>
  <c r="V21" i="215"/>
  <c r="V22" i="215"/>
  <c r="V24" i="215"/>
  <c r="V27" i="215"/>
  <c r="V29" i="215"/>
  <c r="V30" i="215"/>
  <c r="V32" i="215"/>
  <c r="V34" i="215"/>
  <c r="V36" i="215"/>
  <c r="V38" i="215"/>
  <c r="V40" i="215"/>
  <c r="V42" i="215"/>
  <c r="V44" i="215"/>
  <c r="V47" i="215"/>
  <c r="V49" i="215"/>
  <c r="V51" i="215"/>
  <c r="V14" i="215"/>
  <c r="V16" i="215"/>
  <c r="V18" i="215"/>
  <c r="V20" i="215"/>
  <c r="V45" i="215"/>
  <c r="V23" i="215"/>
  <c r="V25" i="215"/>
  <c r="V28" i="215"/>
  <c r="V37" i="215"/>
  <c r="V31" i="215"/>
  <c r="V33" i="215"/>
  <c r="V35" i="215"/>
  <c r="V26" i="215"/>
  <c r="V39" i="215"/>
  <c r="V41" i="215"/>
  <c r="V43" i="215"/>
  <c r="V46" i="215"/>
  <c r="V48" i="215"/>
  <c r="V50" i="215"/>
  <c r="V52" i="215"/>
  <c r="V13" i="215"/>
  <c r="H15" i="57"/>
  <c r="J15" i="57" s="1"/>
  <c r="L81" i="56"/>
  <c r="P14" i="215" l="1"/>
  <c r="X14" i="215" s="1"/>
  <c r="P16" i="215"/>
  <c r="X16" i="215" s="1"/>
  <c r="P18" i="215"/>
  <c r="X18" i="215" s="1"/>
  <c r="P20" i="215"/>
  <c r="X20" i="215" s="1"/>
  <c r="P45" i="215"/>
  <c r="X45" i="215" s="1"/>
  <c r="P23" i="215"/>
  <c r="X23" i="215" s="1"/>
  <c r="P25" i="215"/>
  <c r="X25" i="215" s="1"/>
  <c r="P28" i="215"/>
  <c r="X28" i="215" s="1"/>
  <c r="P37" i="215"/>
  <c r="X37" i="215" s="1"/>
  <c r="P31" i="215"/>
  <c r="X31" i="215" s="1"/>
  <c r="P33" i="215"/>
  <c r="X33" i="215" s="1"/>
  <c r="P35" i="215"/>
  <c r="X35" i="215" s="1"/>
  <c r="P26" i="215"/>
  <c r="X26" i="215" s="1"/>
  <c r="P39" i="215"/>
  <c r="X39" i="215" s="1"/>
  <c r="P41" i="215"/>
  <c r="X41" i="215" s="1"/>
  <c r="P43" i="215"/>
  <c r="X43" i="215" s="1"/>
  <c r="P46" i="215"/>
  <c r="X46" i="215" s="1"/>
  <c r="P48" i="215"/>
  <c r="X48" i="215" s="1"/>
  <c r="P50" i="215"/>
  <c r="X50" i="215" s="1"/>
  <c r="P52" i="215"/>
  <c r="X52" i="215" s="1"/>
  <c r="P15" i="215"/>
  <c r="X15" i="215" s="1"/>
  <c r="P17" i="215"/>
  <c r="X17" i="215" s="1"/>
  <c r="P19" i="215"/>
  <c r="X19" i="215" s="1"/>
  <c r="P21" i="215"/>
  <c r="X21" i="215" s="1"/>
  <c r="P22" i="215"/>
  <c r="X22" i="215" s="1"/>
  <c r="P24" i="215"/>
  <c r="X24" i="215" s="1"/>
  <c r="P27" i="215"/>
  <c r="X27" i="215" s="1"/>
  <c r="P29" i="215"/>
  <c r="X29" i="215" s="1"/>
  <c r="P30" i="215"/>
  <c r="X30" i="215" s="1"/>
  <c r="P32" i="215"/>
  <c r="X32" i="215" s="1"/>
  <c r="P34" i="215"/>
  <c r="X34" i="215" s="1"/>
  <c r="P36" i="215"/>
  <c r="X36" i="215" s="1"/>
  <c r="P38" i="215"/>
  <c r="X38" i="215" s="1"/>
  <c r="P40" i="215"/>
  <c r="X40" i="215" s="1"/>
  <c r="P42" i="215"/>
  <c r="X42" i="215" s="1"/>
  <c r="P44" i="215"/>
  <c r="X44" i="215" s="1"/>
  <c r="P47" i="215"/>
  <c r="X47" i="215" s="1"/>
  <c r="P49" i="215"/>
  <c r="X49" i="215" s="1"/>
  <c r="P51" i="215"/>
  <c r="X51" i="215" s="1"/>
  <c r="P13" i="215"/>
  <c r="X13" i="215" s="1"/>
  <c r="V53" i="215"/>
  <c r="W54" i="56"/>
  <c r="U54" i="56"/>
  <c r="S54" i="56"/>
  <c r="Q54" i="56"/>
  <c r="O54" i="56"/>
  <c r="K54" i="56"/>
  <c r="I54" i="56"/>
  <c r="C53" i="56"/>
  <c r="C52" i="56"/>
  <c r="C51" i="56"/>
  <c r="C50" i="56"/>
  <c r="C49" i="56" l="1"/>
  <c r="AF29" i="56"/>
  <c r="AL29" i="56" s="1"/>
  <c r="F29" i="56" s="1"/>
  <c r="T29" i="56" s="1"/>
  <c r="J29" i="56"/>
  <c r="AF28" i="56"/>
  <c r="AL28" i="56" s="1"/>
  <c r="F28" i="56" s="1"/>
  <c r="T28" i="56" s="1"/>
  <c r="J28" i="56"/>
  <c r="AF27" i="56"/>
  <c r="AL27" i="56" s="1"/>
  <c r="F27" i="56" s="1"/>
  <c r="J27" i="56"/>
  <c r="AF26" i="56"/>
  <c r="AL26" i="56" s="1"/>
  <c r="F26" i="56" s="1"/>
  <c r="T26" i="56" s="1"/>
  <c r="J26" i="56"/>
  <c r="AF25" i="56"/>
  <c r="AL25" i="56" s="1"/>
  <c r="F25" i="56" s="1"/>
  <c r="T25" i="56" s="1"/>
  <c r="J25" i="56"/>
  <c r="AJ22" i="56"/>
  <c r="AG14" i="53" s="1"/>
  <c r="AF22" i="56"/>
  <c r="AE14" i="53" s="1"/>
  <c r="J22" i="56"/>
  <c r="I14" i="53" s="1"/>
  <c r="AJ21" i="56"/>
  <c r="AG13" i="53" s="1"/>
  <c r="AF21" i="56"/>
  <c r="AE13" i="53" s="1"/>
  <c r="J21" i="56"/>
  <c r="I13" i="53" s="1"/>
  <c r="AJ20" i="56"/>
  <c r="AF20" i="56"/>
  <c r="J20" i="56"/>
  <c r="AJ19" i="56"/>
  <c r="AG12" i="53" s="1"/>
  <c r="AF19" i="56"/>
  <c r="AE12" i="53" s="1"/>
  <c r="J19" i="56"/>
  <c r="I12" i="53" s="1"/>
  <c r="AJ18" i="56"/>
  <c r="AF18" i="56"/>
  <c r="J18" i="56"/>
  <c r="AJ17" i="56"/>
  <c r="AF17" i="56"/>
  <c r="J17" i="56"/>
  <c r="AJ16" i="56"/>
  <c r="AF16" i="56"/>
  <c r="J16" i="56"/>
  <c r="AJ15" i="56"/>
  <c r="AF15" i="56"/>
  <c r="J15" i="56"/>
  <c r="I11" i="53" s="1"/>
  <c r="AJ14" i="56"/>
  <c r="AF14" i="56"/>
  <c r="J14" i="56"/>
  <c r="AJ13" i="56"/>
  <c r="AF13" i="56"/>
  <c r="J13" i="56"/>
  <c r="AJ12" i="56"/>
  <c r="AF12" i="56"/>
  <c r="R25" i="56" l="1"/>
  <c r="R26" i="56"/>
  <c r="R29" i="56"/>
  <c r="H27" i="56"/>
  <c r="L27" i="56"/>
  <c r="AL14" i="56"/>
  <c r="F14" i="56" s="1"/>
  <c r="T14" i="56" s="1"/>
  <c r="AL18" i="56"/>
  <c r="F18" i="56" s="1"/>
  <c r="H18" i="56" s="1"/>
  <c r="L28" i="56"/>
  <c r="H28" i="56"/>
  <c r="AL13" i="56"/>
  <c r="F13" i="56" s="1"/>
  <c r="H13" i="56" s="1"/>
  <c r="I22" i="53"/>
  <c r="I17" i="53"/>
  <c r="AL17" i="56"/>
  <c r="F17" i="56" s="1"/>
  <c r="R17" i="56" s="1"/>
  <c r="L25" i="56"/>
  <c r="H25" i="56"/>
  <c r="R27" i="56"/>
  <c r="L29" i="56"/>
  <c r="H29" i="56"/>
  <c r="AL12" i="56"/>
  <c r="F12" i="56" s="1"/>
  <c r="L12" i="56" s="1"/>
  <c r="AL16" i="56"/>
  <c r="F16" i="56" s="1"/>
  <c r="R16" i="56" s="1"/>
  <c r="AL20" i="56"/>
  <c r="F20" i="56" s="1"/>
  <c r="H20" i="56" s="1"/>
  <c r="L26" i="56"/>
  <c r="H26" i="56"/>
  <c r="T27" i="56"/>
  <c r="R28" i="56"/>
  <c r="L14" i="56"/>
  <c r="AL21" i="56"/>
  <c r="AI13" i="53" s="1"/>
  <c r="E13" i="53" s="1"/>
  <c r="E24" i="53" s="1"/>
  <c r="AL22" i="56"/>
  <c r="AG17" i="53"/>
  <c r="AF31" i="56"/>
  <c r="AL15" i="56"/>
  <c r="F15" i="56" s="1"/>
  <c r="AL19" i="56"/>
  <c r="F19" i="56" s="1"/>
  <c r="T17" i="56"/>
  <c r="AJ31" i="56"/>
  <c r="V12" i="56"/>
  <c r="P12" i="56"/>
  <c r="J12" i="56"/>
  <c r="T13" i="56" l="1"/>
  <c r="L17" i="56"/>
  <c r="F38" i="56"/>
  <c r="T20" i="56"/>
  <c r="T44" i="56" s="1"/>
  <c r="R20" i="56"/>
  <c r="R44" i="56" s="1"/>
  <c r="L20" i="56"/>
  <c r="L44" i="56" s="1"/>
  <c r="J44" i="56" s="1"/>
  <c r="R18" i="56"/>
  <c r="T12" i="56"/>
  <c r="T36" i="56" s="1"/>
  <c r="H17" i="56"/>
  <c r="H41" i="56" s="1"/>
  <c r="F41" i="56" s="1"/>
  <c r="N29" i="56"/>
  <c r="T18" i="56"/>
  <c r="L18" i="56"/>
  <c r="N18" i="56" s="1"/>
  <c r="L13" i="56"/>
  <c r="N13" i="56" s="1"/>
  <c r="H14" i="56"/>
  <c r="H38" i="56" s="1"/>
  <c r="N25" i="56"/>
  <c r="R14" i="56"/>
  <c r="R38" i="56" s="1"/>
  <c r="H16" i="56"/>
  <c r="H40" i="56" s="1"/>
  <c r="F40" i="56" s="1"/>
  <c r="T16" i="56"/>
  <c r="L16" i="56"/>
  <c r="H12" i="56"/>
  <c r="N28" i="56"/>
  <c r="J31" i="56"/>
  <c r="J36" i="56"/>
  <c r="R13" i="56"/>
  <c r="F37" i="56"/>
  <c r="N26" i="56"/>
  <c r="N27" i="56"/>
  <c r="F21" i="56"/>
  <c r="R21" i="56" s="1"/>
  <c r="Q13" i="53" s="1"/>
  <c r="L19" i="56"/>
  <c r="H19" i="56"/>
  <c r="L15" i="56"/>
  <c r="K11" i="53" s="1"/>
  <c r="K22" i="53" s="1"/>
  <c r="H15" i="56"/>
  <c r="F39" i="56"/>
  <c r="AI14" i="53"/>
  <c r="E14" i="53" s="1"/>
  <c r="E25" i="53" s="1"/>
  <c r="F22" i="56"/>
  <c r="AI11" i="53"/>
  <c r="E11" i="53" s="1"/>
  <c r="E22" i="53" s="1"/>
  <c r="AL31" i="56"/>
  <c r="AE11" i="53"/>
  <c r="AE17" i="53" s="1"/>
  <c r="R15" i="56"/>
  <c r="Q11" i="53" s="1"/>
  <c r="Q22" i="53" s="1"/>
  <c r="T15" i="56"/>
  <c r="S11" i="53" s="1"/>
  <c r="S22" i="53" s="1"/>
  <c r="H44" i="56"/>
  <c r="F44" i="56" s="1"/>
  <c r="AI12" i="53"/>
  <c r="H42" i="56"/>
  <c r="F42" i="56" s="1"/>
  <c r="F36" i="56"/>
  <c r="R12" i="56"/>
  <c r="V26" i="56"/>
  <c r="V27" i="56" s="1"/>
  <c r="V36" i="56"/>
  <c r="V13" i="56"/>
  <c r="P26" i="56"/>
  <c r="P36" i="56"/>
  <c r="P13" i="56"/>
  <c r="F31" i="29"/>
  <c r="N17" i="56" l="1"/>
  <c r="T21" i="56"/>
  <c r="S13" i="53" s="1"/>
  <c r="N20" i="56"/>
  <c r="X12" i="56"/>
  <c r="N14" i="56"/>
  <c r="F45" i="56"/>
  <c r="H21" i="56"/>
  <c r="G13" i="53" s="1"/>
  <c r="N16" i="56"/>
  <c r="L21" i="56"/>
  <c r="K13" i="53" s="1"/>
  <c r="L22" i="56"/>
  <c r="K14" i="53" s="1"/>
  <c r="H22" i="56"/>
  <c r="G14" i="53" s="1"/>
  <c r="R22" i="56"/>
  <c r="Q14" i="53" s="1"/>
  <c r="T22" i="56"/>
  <c r="S14" i="53" s="1"/>
  <c r="F46" i="56"/>
  <c r="G11" i="53"/>
  <c r="G22" i="53" s="1"/>
  <c r="M22" i="53" s="1"/>
  <c r="N15" i="56"/>
  <c r="M11" i="53" s="1"/>
  <c r="K12" i="53"/>
  <c r="F43" i="56"/>
  <c r="R19" i="56"/>
  <c r="Q12" i="53" s="1"/>
  <c r="T19" i="56"/>
  <c r="E12" i="53"/>
  <c r="E23" i="53" s="1"/>
  <c r="AI17" i="53"/>
  <c r="F31" i="56"/>
  <c r="L36" i="56"/>
  <c r="R36" i="56"/>
  <c r="X36" i="56" s="1"/>
  <c r="H36" i="56"/>
  <c r="N12" i="56"/>
  <c r="X26" i="56"/>
  <c r="V37" i="56"/>
  <c r="T37" i="56" s="1"/>
  <c r="R37" i="56" s="1"/>
  <c r="P37" i="56" s="1"/>
  <c r="V29" i="56"/>
  <c r="V14" i="56"/>
  <c r="V15" i="56" s="1"/>
  <c r="P27" i="56"/>
  <c r="P14" i="56"/>
  <c r="X13" i="56"/>
  <c r="N21" i="56" l="1"/>
  <c r="M13" i="53" s="1"/>
  <c r="R31" i="56"/>
  <c r="N22" i="56"/>
  <c r="M14" i="53" s="1"/>
  <c r="L31" i="56"/>
  <c r="K17" i="53"/>
  <c r="G12" i="53"/>
  <c r="N19" i="56"/>
  <c r="M12" i="53" s="1"/>
  <c r="S12" i="53"/>
  <c r="S17" i="53" s="1"/>
  <c r="T31" i="56"/>
  <c r="E17" i="53"/>
  <c r="Q17" i="53"/>
  <c r="Q23" i="53"/>
  <c r="H31" i="56"/>
  <c r="N36" i="56"/>
  <c r="U11" i="53"/>
  <c r="V16" i="56"/>
  <c r="X37" i="56"/>
  <c r="P38" i="56"/>
  <c r="P15" i="56"/>
  <c r="X14" i="56"/>
  <c r="N31" i="56" l="1"/>
  <c r="M17" i="53"/>
  <c r="G17" i="53"/>
  <c r="G23" i="53"/>
  <c r="O11" i="53"/>
  <c r="X15" i="56"/>
  <c r="W11" i="53" s="1"/>
  <c r="P39" i="56"/>
  <c r="P28" i="56"/>
  <c r="P16" i="56"/>
  <c r="V17" i="56"/>
  <c r="V18" i="56" s="1"/>
  <c r="V19" i="56" s="1"/>
  <c r="U22" i="53"/>
  <c r="U12" i="53" l="1"/>
  <c r="V20" i="56"/>
  <c r="P40" i="56"/>
  <c r="P17" i="56"/>
  <c r="P29" i="56"/>
  <c r="X29" i="56" s="1"/>
  <c r="X16" i="56"/>
  <c r="O22" i="53"/>
  <c r="W22" i="53" l="1"/>
  <c r="P18" i="56"/>
  <c r="P41" i="56"/>
  <c r="X17" i="56"/>
  <c r="V21" i="56"/>
  <c r="U13" i="53" s="1"/>
  <c r="U24" i="53" s="1"/>
  <c r="S24" i="53" s="1"/>
  <c r="Q24" i="53" s="1"/>
  <c r="V22" i="56" l="1"/>
  <c r="P42" i="56"/>
  <c r="P19" i="56"/>
  <c r="X18" i="56"/>
  <c r="V25" i="56" l="1"/>
  <c r="U14" i="53"/>
  <c r="U17" i="53" s="1"/>
  <c r="O12" i="53"/>
  <c r="P20" i="56"/>
  <c r="P43" i="56"/>
  <c r="X19" i="56"/>
  <c r="W12" i="53" s="1"/>
  <c r="O23" i="53" l="1"/>
  <c r="P44" i="56"/>
  <c r="P21" i="56"/>
  <c r="O13" i="53" s="1"/>
  <c r="O24" i="53" s="1"/>
  <c r="W24" i="53" s="1"/>
  <c r="X20" i="56"/>
  <c r="P53" i="215"/>
  <c r="P45" i="56" l="1"/>
  <c r="P22" i="56"/>
  <c r="O14" i="53" s="1"/>
  <c r="O17" i="53" s="1"/>
  <c r="X21" i="56"/>
  <c r="N44" i="56"/>
  <c r="W13" i="53" l="1"/>
  <c r="P46" i="56"/>
  <c r="X22" i="56"/>
  <c r="W14" i="53" s="1"/>
  <c r="P25" i="56"/>
  <c r="W17" i="53" l="1"/>
  <c r="X25" i="56"/>
  <c r="P31" i="56"/>
  <c r="K16" i="12" l="1"/>
  <c r="K23" i="12" s="1"/>
  <c r="E706" i="212" l="1"/>
  <c r="G706" i="212" s="1"/>
  <c r="F706" i="212" s="1"/>
  <c r="H706" i="212" s="1"/>
  <c r="D700" i="212"/>
  <c r="C700" i="212"/>
  <c r="E680" i="212"/>
  <c r="E676" i="212"/>
  <c r="E672" i="212"/>
  <c r="D667" i="212"/>
  <c r="C667" i="212"/>
  <c r="E665" i="212"/>
  <c r="B665" i="212" s="1"/>
  <c r="E663" i="212"/>
  <c r="B663" i="212" s="1"/>
  <c r="E662" i="212"/>
  <c r="B662" i="212" s="1"/>
  <c r="D660" i="212"/>
  <c r="C660" i="212"/>
  <c r="E658" i="212"/>
  <c r="B658" i="212" s="1"/>
  <c r="E657" i="212"/>
  <c r="B657" i="212" s="1"/>
  <c r="D651" i="212"/>
  <c r="C651" i="212"/>
  <c r="E649" i="212"/>
  <c r="B649" i="212" s="1"/>
  <c r="E647" i="212"/>
  <c r="E646" i="212"/>
  <c r="E645" i="212"/>
  <c r="B645" i="212" s="1"/>
  <c r="D643" i="212"/>
  <c r="C643" i="212"/>
  <c r="E641" i="212"/>
  <c r="B641" i="212" s="1"/>
  <c r="E640" i="212"/>
  <c r="E11" i="10" s="1"/>
  <c r="B640" i="212"/>
  <c r="E639" i="212"/>
  <c r="E638" i="212"/>
  <c r="E637" i="212"/>
  <c r="E636" i="212"/>
  <c r="D634" i="212"/>
  <c r="E632" i="212"/>
  <c r="B632" i="212" s="1"/>
  <c r="E631" i="212"/>
  <c r="B631" i="212" s="1"/>
  <c r="E630" i="212"/>
  <c r="B630" i="212" s="1"/>
  <c r="F626" i="212"/>
  <c r="E626" i="212"/>
  <c r="D626" i="212" s="1"/>
  <c r="B626" i="212" s="1"/>
  <c r="F625" i="212"/>
  <c r="E625" i="212"/>
  <c r="D625" i="212" s="1"/>
  <c r="B625" i="212" s="1"/>
  <c r="F624" i="212"/>
  <c r="E624" i="212"/>
  <c r="D624" i="212" s="1"/>
  <c r="B624" i="212" s="1"/>
  <c r="F623" i="212"/>
  <c r="E623" i="212"/>
  <c r="D623" i="212" s="1"/>
  <c r="B623" i="212" s="1"/>
  <c r="E622" i="212"/>
  <c r="C622" i="212" s="1"/>
  <c r="B622" i="212" s="1"/>
  <c r="E621" i="212"/>
  <c r="C621" i="212" s="1"/>
  <c r="B621" i="212" s="1"/>
  <c r="E619" i="212"/>
  <c r="C619" i="212" s="1"/>
  <c r="B619" i="212" s="1"/>
  <c r="E615" i="212"/>
  <c r="E611" i="212"/>
  <c r="E607" i="212"/>
  <c r="F603" i="212"/>
  <c r="E603" i="212"/>
  <c r="D603" i="212" s="1"/>
  <c r="B603" i="212" s="1"/>
  <c r="F602" i="212"/>
  <c r="E602" i="212"/>
  <c r="D602" i="212" s="1"/>
  <c r="B602" i="212" s="1"/>
  <c r="F601" i="212"/>
  <c r="E601" i="212"/>
  <c r="D601" i="212" s="1"/>
  <c r="B601" i="212" s="1"/>
  <c r="F600" i="212"/>
  <c r="E600" i="212"/>
  <c r="D600" i="212" s="1"/>
  <c r="B600" i="212" s="1"/>
  <c r="F599" i="212"/>
  <c r="E599" i="212"/>
  <c r="D599" i="212" s="1"/>
  <c r="B599" i="212" s="1"/>
  <c r="F598" i="212"/>
  <c r="E598" i="212"/>
  <c r="D598" i="212" s="1"/>
  <c r="B598" i="212" s="1"/>
  <c r="F597" i="212"/>
  <c r="E597" i="212"/>
  <c r="D597" i="212" s="1"/>
  <c r="B597" i="212" s="1"/>
  <c r="F596" i="212"/>
  <c r="E596" i="212"/>
  <c r="D596" i="212" s="1"/>
  <c r="B596" i="212" s="1"/>
  <c r="F595" i="212"/>
  <c r="E595" i="212"/>
  <c r="D595" i="212" s="1"/>
  <c r="B595" i="212" s="1"/>
  <c r="F594" i="212"/>
  <c r="E594" i="212"/>
  <c r="D594" i="212" s="1"/>
  <c r="B594" i="212" s="1"/>
  <c r="F593" i="212"/>
  <c r="E593" i="212"/>
  <c r="D593" i="212" s="1"/>
  <c r="B593" i="212" s="1"/>
  <c r="F592" i="212"/>
  <c r="E592" i="212"/>
  <c r="D592" i="212" s="1"/>
  <c r="B592" i="212" s="1"/>
  <c r="F591" i="212"/>
  <c r="E591" i="212"/>
  <c r="D591" i="212" s="1"/>
  <c r="B591" i="212" s="1"/>
  <c r="F590" i="212"/>
  <c r="E590" i="212"/>
  <c r="F589" i="212"/>
  <c r="E589" i="212"/>
  <c r="D589" i="212" s="1"/>
  <c r="B589" i="212" s="1"/>
  <c r="F588" i="212"/>
  <c r="E588" i="212"/>
  <c r="D588" i="212" s="1"/>
  <c r="B588" i="212" s="1"/>
  <c r="F587" i="212"/>
  <c r="E587" i="212"/>
  <c r="D587" i="212" s="1"/>
  <c r="B587" i="212" s="1"/>
  <c r="F586" i="212"/>
  <c r="E586" i="212"/>
  <c r="D586" i="212" s="1"/>
  <c r="B586" i="212" s="1"/>
  <c r="F585" i="212"/>
  <c r="E585" i="212"/>
  <c r="D585" i="212" s="1"/>
  <c r="B585" i="212" s="1"/>
  <c r="F584" i="212"/>
  <c r="E584" i="212"/>
  <c r="D584" i="212" s="1"/>
  <c r="B584" i="212" s="1"/>
  <c r="F583" i="212"/>
  <c r="E583" i="212"/>
  <c r="D583" i="212" s="1"/>
  <c r="B583" i="212" s="1"/>
  <c r="F581" i="212"/>
  <c r="E581" i="212"/>
  <c r="D581" i="212" s="1"/>
  <c r="B581" i="212" s="1"/>
  <c r="F580" i="212"/>
  <c r="E580" i="212"/>
  <c r="D580" i="212" s="1"/>
  <c r="B580" i="212" s="1"/>
  <c r="F579" i="212"/>
  <c r="E579" i="212"/>
  <c r="D579" i="212" s="1"/>
  <c r="B579" i="212" s="1"/>
  <c r="E578" i="212"/>
  <c r="C578" i="212" s="1"/>
  <c r="B578" i="212" s="1"/>
  <c r="E577" i="212"/>
  <c r="C577" i="212" s="1"/>
  <c r="B577" i="212" s="1"/>
  <c r="E576" i="212"/>
  <c r="C576" i="212" s="1"/>
  <c r="B576" i="212" s="1"/>
  <c r="E574" i="212"/>
  <c r="C574" i="212" s="1"/>
  <c r="B574" i="212" s="1"/>
  <c r="E573" i="212"/>
  <c r="C573" i="212" s="1"/>
  <c r="B573" i="212" s="1"/>
  <c r="E572" i="212"/>
  <c r="C572" i="212" s="1"/>
  <c r="B572" i="212" s="1"/>
  <c r="E571" i="212"/>
  <c r="C571" i="212" s="1"/>
  <c r="B571" i="212" s="1"/>
  <c r="E570" i="212"/>
  <c r="C570" i="212" s="1"/>
  <c r="B570" i="212" s="1"/>
  <c r="E569" i="212"/>
  <c r="C569" i="212" s="1"/>
  <c r="B569" i="212" s="1"/>
  <c r="E568" i="212"/>
  <c r="C568" i="212" s="1"/>
  <c r="B568" i="212" s="1"/>
  <c r="E567" i="212"/>
  <c r="C567" i="212" s="1"/>
  <c r="B567" i="212" s="1"/>
  <c r="E566" i="212"/>
  <c r="C566" i="212" s="1"/>
  <c r="B566" i="212" s="1"/>
  <c r="E565" i="212"/>
  <c r="C565" i="212" s="1"/>
  <c r="B565" i="212" s="1"/>
  <c r="E564" i="212"/>
  <c r="C564" i="212" s="1"/>
  <c r="B564" i="212" s="1"/>
  <c r="E563" i="212"/>
  <c r="C563" i="212" s="1"/>
  <c r="B563" i="212" s="1"/>
  <c r="E562" i="212"/>
  <c r="C562" i="212" s="1"/>
  <c r="B562" i="212" s="1"/>
  <c r="E561" i="212"/>
  <c r="C561" i="212" s="1"/>
  <c r="B561" i="212" s="1"/>
  <c r="E560" i="212"/>
  <c r="C560" i="212" s="1"/>
  <c r="B560" i="212" s="1"/>
  <c r="E559" i="212"/>
  <c r="C559" i="212" s="1"/>
  <c r="B559" i="212" s="1"/>
  <c r="E558" i="212"/>
  <c r="C558" i="212" s="1"/>
  <c r="B558" i="212" s="1"/>
  <c r="E557" i="212"/>
  <c r="C557" i="212" s="1"/>
  <c r="B557" i="212" s="1"/>
  <c r="E556" i="212"/>
  <c r="C556" i="212" s="1"/>
  <c r="B556" i="212" s="1"/>
  <c r="E555" i="212"/>
  <c r="C555" i="212" s="1"/>
  <c r="B555" i="212" s="1"/>
  <c r="E554" i="212"/>
  <c r="C554" i="212" s="1"/>
  <c r="B554" i="212" s="1"/>
  <c r="E553" i="212"/>
  <c r="C553" i="212" s="1"/>
  <c r="B553" i="212" s="1"/>
  <c r="E552" i="212"/>
  <c r="E548" i="212"/>
  <c r="E27" i="243" s="1"/>
  <c r="M27" i="243" s="1"/>
  <c r="E547" i="212"/>
  <c r="E26" i="243" s="1"/>
  <c r="M26" i="243" s="1"/>
  <c r="E546" i="212"/>
  <c r="E25" i="243" s="1"/>
  <c r="M25" i="243" s="1"/>
  <c r="E545" i="212"/>
  <c r="E24" i="243" s="1"/>
  <c r="M24" i="243" s="1"/>
  <c r="E544" i="212"/>
  <c r="E23" i="243" s="1"/>
  <c r="M23" i="243" s="1"/>
  <c r="E543" i="212"/>
  <c r="E22" i="243" s="1"/>
  <c r="M22" i="243" s="1"/>
  <c r="E542" i="212"/>
  <c r="E21" i="243" s="1"/>
  <c r="M21" i="243" s="1"/>
  <c r="E541" i="212"/>
  <c r="E20" i="243" s="1"/>
  <c r="F540" i="212"/>
  <c r="E540" i="212"/>
  <c r="F539" i="212"/>
  <c r="E539" i="212"/>
  <c r="F538" i="212"/>
  <c r="E538" i="212"/>
  <c r="F537" i="212"/>
  <c r="E537" i="212"/>
  <c r="F536" i="212"/>
  <c r="E536" i="212"/>
  <c r="F535" i="212"/>
  <c r="E535" i="212"/>
  <c r="E534" i="212"/>
  <c r="E533" i="212"/>
  <c r="E532" i="212"/>
  <c r="E531" i="212"/>
  <c r="E530" i="212"/>
  <c r="F526" i="212"/>
  <c r="E526" i="212"/>
  <c r="D526" i="212" s="1"/>
  <c r="B526" i="212" s="1"/>
  <c r="E525" i="212"/>
  <c r="E524" i="212"/>
  <c r="E523" i="212"/>
  <c r="D521" i="212"/>
  <c r="C521" i="212"/>
  <c r="E519" i="212"/>
  <c r="E13" i="245" s="1"/>
  <c r="M13" i="245" s="1"/>
  <c r="E518" i="212"/>
  <c r="E12" i="245" s="1"/>
  <c r="M12" i="245" s="1"/>
  <c r="E517" i="212"/>
  <c r="E11" i="245" s="1"/>
  <c r="M11" i="245" s="1"/>
  <c r="E516" i="212"/>
  <c r="D514" i="212"/>
  <c r="E512" i="212"/>
  <c r="B512" i="212" s="1"/>
  <c r="E511" i="212"/>
  <c r="B511" i="212" s="1"/>
  <c r="E510" i="212"/>
  <c r="B510" i="212" s="1"/>
  <c r="E509" i="212"/>
  <c r="B509" i="212" s="1"/>
  <c r="E508" i="212"/>
  <c r="B508" i="212" s="1"/>
  <c r="E507" i="212"/>
  <c r="B507" i="212" s="1"/>
  <c r="D505" i="212"/>
  <c r="C505" i="212"/>
  <c r="E503" i="212"/>
  <c r="F88" i="9" s="1"/>
  <c r="E501" i="212"/>
  <c r="B501" i="212" s="1"/>
  <c r="E500" i="212"/>
  <c r="B500" i="212" s="1"/>
  <c r="E499" i="212"/>
  <c r="B499" i="212" s="1"/>
  <c r="E498" i="212"/>
  <c r="B498" i="212" s="1"/>
  <c r="E497" i="212"/>
  <c r="E496" i="212"/>
  <c r="B496" i="212" s="1"/>
  <c r="E495" i="212"/>
  <c r="E494" i="212"/>
  <c r="B494" i="212" s="1"/>
  <c r="E493" i="212"/>
  <c r="B493" i="212" s="1"/>
  <c r="E492" i="212"/>
  <c r="B492" i="212" s="1"/>
  <c r="E490" i="212"/>
  <c r="D488" i="212"/>
  <c r="C488" i="212"/>
  <c r="E486" i="212"/>
  <c r="B486" i="212" s="1"/>
  <c r="E482" i="212"/>
  <c r="D478" i="212"/>
  <c r="E476" i="212"/>
  <c r="B476" i="212" s="1"/>
  <c r="E475" i="212"/>
  <c r="B475" i="212" s="1"/>
  <c r="E474" i="212"/>
  <c r="B474" i="212" s="1"/>
  <c r="E473" i="212"/>
  <c r="B473" i="212" s="1"/>
  <c r="E472" i="212"/>
  <c r="B472" i="212" s="1"/>
  <c r="E471" i="212"/>
  <c r="B471" i="212" s="1"/>
  <c r="E470" i="212"/>
  <c r="B470" i="212" s="1"/>
  <c r="E469" i="212"/>
  <c r="B469" i="212" s="1"/>
  <c r="D467" i="212"/>
  <c r="E465" i="212"/>
  <c r="E464" i="212"/>
  <c r="B464" i="212" s="1"/>
  <c r="E463" i="212"/>
  <c r="B463" i="212" s="1"/>
  <c r="E462" i="212"/>
  <c r="B462" i="212" s="1"/>
  <c r="E461" i="212"/>
  <c r="B461" i="212" s="1"/>
  <c r="E460" i="212"/>
  <c r="B460" i="212" s="1"/>
  <c r="E459" i="212"/>
  <c r="B459" i="212" s="1"/>
  <c r="E458" i="212"/>
  <c r="B458" i="212" s="1"/>
  <c r="E457" i="212"/>
  <c r="B457" i="212" s="1"/>
  <c r="E456" i="212"/>
  <c r="B456" i="212" s="1"/>
  <c r="E455" i="212"/>
  <c r="B455" i="212" s="1"/>
  <c r="E454" i="212"/>
  <c r="B454" i="212" s="1"/>
  <c r="D452" i="212"/>
  <c r="E450" i="212"/>
  <c r="B450" i="212" s="1"/>
  <c r="E449" i="212"/>
  <c r="B449" i="212" s="1"/>
  <c r="E448" i="212"/>
  <c r="B448" i="212" s="1"/>
  <c r="E447" i="212"/>
  <c r="B447" i="212" s="1"/>
  <c r="E446" i="212"/>
  <c r="B446" i="212" s="1"/>
  <c r="E445" i="212"/>
  <c r="B445" i="212" s="1"/>
  <c r="E444" i="212"/>
  <c r="B444" i="212" s="1"/>
  <c r="E443" i="212"/>
  <c r="B443" i="212" s="1"/>
  <c r="E442" i="212"/>
  <c r="B442" i="212" s="1"/>
  <c r="E441" i="212"/>
  <c r="B441" i="212" s="1"/>
  <c r="D439" i="212"/>
  <c r="E437" i="212"/>
  <c r="B437" i="212" s="1"/>
  <c r="E436" i="212"/>
  <c r="B436" i="212" s="1"/>
  <c r="E435" i="212"/>
  <c r="B435" i="212" s="1"/>
  <c r="E434" i="212"/>
  <c r="B434" i="212" s="1"/>
  <c r="E433" i="212"/>
  <c r="B433" i="212" s="1"/>
  <c r="E432" i="212"/>
  <c r="B432" i="212" s="1"/>
  <c r="E430" i="212"/>
  <c r="B430" i="212" s="1"/>
  <c r="E429" i="212"/>
  <c r="B429" i="212" s="1"/>
  <c r="D427" i="212"/>
  <c r="E425" i="212"/>
  <c r="E424" i="212"/>
  <c r="B424" i="212" s="1"/>
  <c r="E423" i="212"/>
  <c r="B423" i="212" s="1"/>
  <c r="E422" i="212"/>
  <c r="B422" i="212" s="1"/>
  <c r="E421" i="212"/>
  <c r="B421" i="212" s="1"/>
  <c r="E416" i="212"/>
  <c r="B416" i="212" s="1"/>
  <c r="D414" i="212"/>
  <c r="C414" i="212"/>
  <c r="E412" i="212"/>
  <c r="B412" i="212" s="1"/>
  <c r="E411" i="212"/>
  <c r="B411" i="212" s="1"/>
  <c r="E410" i="212"/>
  <c r="B410" i="212" s="1"/>
  <c r="E409" i="212"/>
  <c r="B409" i="212" s="1"/>
  <c r="E408" i="212"/>
  <c r="B408" i="212" s="1"/>
  <c r="E407" i="212"/>
  <c r="B407" i="212" s="1"/>
  <c r="E406" i="212"/>
  <c r="B406" i="212" s="1"/>
  <c r="E405" i="212"/>
  <c r="B405" i="212" s="1"/>
  <c r="E404" i="212"/>
  <c r="B404" i="212" s="1"/>
  <c r="E403" i="212"/>
  <c r="B403" i="212" s="1"/>
  <c r="E402" i="212"/>
  <c r="B402" i="212" s="1"/>
  <c r="E401" i="212"/>
  <c r="B401" i="212" s="1"/>
  <c r="D399" i="212"/>
  <c r="E397" i="212"/>
  <c r="B397" i="212" s="1"/>
  <c r="E396" i="212"/>
  <c r="B396" i="212" s="1"/>
  <c r="E395" i="212"/>
  <c r="B395" i="212" s="1"/>
  <c r="E394" i="212"/>
  <c r="B394" i="212" s="1"/>
  <c r="E393" i="212"/>
  <c r="B393" i="212" s="1"/>
  <c r="D391" i="212"/>
  <c r="E389" i="212"/>
  <c r="B389" i="212" s="1"/>
  <c r="E388" i="212"/>
  <c r="E387" i="212"/>
  <c r="B387" i="212" s="1"/>
  <c r="D385" i="212"/>
  <c r="E383" i="212"/>
  <c r="C383" i="212" s="1"/>
  <c r="B383" i="212" s="1"/>
  <c r="D381" i="212"/>
  <c r="E379" i="212"/>
  <c r="C10" i="244" s="1"/>
  <c r="G10" i="244" s="1"/>
  <c r="E378" i="212"/>
  <c r="C9" i="244" s="1"/>
  <c r="F374" i="212"/>
  <c r="E374" i="212"/>
  <c r="D374" i="212" s="1"/>
  <c r="B374" i="212" s="1"/>
  <c r="E373" i="212"/>
  <c r="F369" i="212"/>
  <c r="E369" i="212"/>
  <c r="D369" i="212" s="1"/>
  <c r="B369" i="212" s="1"/>
  <c r="E368" i="212"/>
  <c r="E356" i="212"/>
  <c r="C356" i="212" s="1"/>
  <c r="B356" i="212" s="1"/>
  <c r="E355" i="212"/>
  <c r="E354" i="212"/>
  <c r="C354" i="212" s="1"/>
  <c r="B354" i="212"/>
  <c r="E353" i="212"/>
  <c r="C353" i="212" s="1"/>
  <c r="E352" i="212"/>
  <c r="E350" i="212"/>
  <c r="E347" i="212"/>
  <c r="E346" i="212"/>
  <c r="E17" i="266" s="1"/>
  <c r="O17" i="266" s="1"/>
  <c r="E344" i="212"/>
  <c r="E343" i="212"/>
  <c r="E342" i="212"/>
  <c r="E341" i="212"/>
  <c r="E340" i="212"/>
  <c r="E11" i="266" s="1"/>
  <c r="E339" i="212"/>
  <c r="E10" i="266" s="1"/>
  <c r="O10" i="266" s="1"/>
  <c r="D332" i="212"/>
  <c r="C332" i="212"/>
  <c r="E330" i="212"/>
  <c r="E328" i="212"/>
  <c r="B328" i="212" s="1"/>
  <c r="E327" i="212"/>
  <c r="B327" i="212" s="1"/>
  <c r="E326" i="212"/>
  <c r="B326" i="212" s="1"/>
  <c r="G321" i="212"/>
  <c r="F321" i="212"/>
  <c r="E321" i="212"/>
  <c r="D321" i="212"/>
  <c r="C321" i="212"/>
  <c r="E318" i="212"/>
  <c r="D318" i="212"/>
  <c r="C318" i="212"/>
  <c r="D314" i="212"/>
  <c r="C314" i="212"/>
  <c r="E312" i="212"/>
  <c r="D310" i="212"/>
  <c r="C310" i="212"/>
  <c r="B308" i="212"/>
  <c r="E306" i="212"/>
  <c r="B306" i="212" s="1"/>
  <c r="E305" i="212"/>
  <c r="B305" i="212" s="1"/>
  <c r="E304" i="212"/>
  <c r="B304" i="212" s="1"/>
  <c r="E303" i="212"/>
  <c r="B303" i="212" s="1"/>
  <c r="E302" i="212"/>
  <c r="B302" i="212" s="1"/>
  <c r="E301" i="212"/>
  <c r="B301" i="212" s="1"/>
  <c r="E299" i="212"/>
  <c r="B299" i="212" s="1"/>
  <c r="D297" i="212"/>
  <c r="E295" i="212"/>
  <c r="B295" i="212" s="1"/>
  <c r="E293" i="212"/>
  <c r="D291" i="212"/>
  <c r="E289" i="212"/>
  <c r="B289" i="212" s="1"/>
  <c r="E288" i="212"/>
  <c r="D286" i="212"/>
  <c r="C286" i="212"/>
  <c r="E284" i="212"/>
  <c r="B284" i="212" s="1"/>
  <c r="D282" i="212"/>
  <c r="C282" i="212"/>
  <c r="E280" i="212"/>
  <c r="B280" i="212" s="1"/>
  <c r="E279" i="212"/>
  <c r="E278" i="212"/>
  <c r="B278" i="212" s="1"/>
  <c r="E277" i="212"/>
  <c r="B277" i="212" s="1"/>
  <c r="E276" i="212"/>
  <c r="B276" i="212" s="1"/>
  <c r="E275" i="212"/>
  <c r="D273" i="212"/>
  <c r="C273" i="212"/>
  <c r="E271" i="212"/>
  <c r="B271" i="212" s="1"/>
  <c r="E269" i="212"/>
  <c r="B269" i="212" s="1"/>
  <c r="E268" i="212"/>
  <c r="B268" i="212" s="1"/>
  <c r="E267" i="212"/>
  <c r="B267" i="212" s="1"/>
  <c r="E266" i="212"/>
  <c r="B266" i="212" s="1"/>
  <c r="E264" i="212"/>
  <c r="B264" i="212" s="1"/>
  <c r="D262" i="212"/>
  <c r="C262" i="212"/>
  <c r="E260" i="212"/>
  <c r="B260" i="212" s="1"/>
  <c r="E258" i="212"/>
  <c r="B258" i="212" s="1"/>
  <c r="E257" i="212"/>
  <c r="B257" i="212" s="1"/>
  <c r="E256" i="212"/>
  <c r="B256" i="212" s="1"/>
  <c r="E255" i="212"/>
  <c r="B255" i="212" s="1"/>
  <c r="E254" i="212"/>
  <c r="B254" i="212" s="1"/>
  <c r="F250" i="212"/>
  <c r="E250" i="212"/>
  <c r="F249" i="212"/>
  <c r="E249" i="212"/>
  <c r="D249" i="212" s="1"/>
  <c r="B249" i="212" s="1"/>
  <c r="F248" i="212"/>
  <c r="E248" i="212"/>
  <c r="D248" i="212" s="1"/>
  <c r="B248" i="212" s="1"/>
  <c r="F247" i="212"/>
  <c r="E247" i="212"/>
  <c r="D247" i="212" s="1"/>
  <c r="B247" i="212" s="1"/>
  <c r="F246" i="212"/>
  <c r="E246" i="212"/>
  <c r="E245" i="212"/>
  <c r="C245" i="212" s="1"/>
  <c r="B245" i="212" s="1"/>
  <c r="E244" i="212"/>
  <c r="C244" i="212" s="1"/>
  <c r="B244" i="212" s="1"/>
  <c r="E242" i="212"/>
  <c r="C242" i="212" s="1"/>
  <c r="B242" i="212" s="1"/>
  <c r="F241" i="212"/>
  <c r="E241" i="212"/>
  <c r="D241" i="212" s="1"/>
  <c r="B241" i="212" s="1"/>
  <c r="F240" i="212"/>
  <c r="E240" i="212"/>
  <c r="D240" i="212" s="1"/>
  <c r="B240" i="212" s="1"/>
  <c r="F239" i="212"/>
  <c r="E239" i="212"/>
  <c r="F238" i="212"/>
  <c r="E238" i="212"/>
  <c r="D238" i="212" s="1"/>
  <c r="E237" i="212"/>
  <c r="C237" i="212" s="1"/>
  <c r="B237" i="212" s="1"/>
  <c r="E236" i="212"/>
  <c r="E235" i="212"/>
  <c r="E59" i="268" s="1"/>
  <c r="D232" i="212"/>
  <c r="E229" i="212"/>
  <c r="D223" i="212"/>
  <c r="E221" i="212"/>
  <c r="E220" i="212"/>
  <c r="B220" i="212" s="1"/>
  <c r="E219" i="212"/>
  <c r="B219" i="212" s="1"/>
  <c r="E218" i="212"/>
  <c r="B218" i="212" s="1"/>
  <c r="E217" i="212"/>
  <c r="B217" i="212" s="1"/>
  <c r="E216" i="212"/>
  <c r="B216" i="212" s="1"/>
  <c r="E215" i="212"/>
  <c r="B215" i="212" s="1"/>
  <c r="E214" i="212"/>
  <c r="B214" i="212" s="1"/>
  <c r="E213" i="212"/>
  <c r="B213" i="212" s="1"/>
  <c r="E212" i="212"/>
  <c r="B212" i="212" s="1"/>
  <c r="E211" i="212"/>
  <c r="B211" i="212" s="1"/>
  <c r="E210" i="212"/>
  <c r="B210" i="212" s="1"/>
  <c r="E206" i="212"/>
  <c r="E205" i="212"/>
  <c r="E204" i="212"/>
  <c r="D197" i="212"/>
  <c r="C197" i="212"/>
  <c r="E195" i="212"/>
  <c r="B195" i="212" s="1"/>
  <c r="D193" i="212"/>
  <c r="C193" i="212"/>
  <c r="E191" i="212"/>
  <c r="B191" i="212" s="1"/>
  <c r="D189" i="212"/>
  <c r="C189" i="212"/>
  <c r="E187" i="212"/>
  <c r="B187" i="212" s="1"/>
  <c r="D185" i="212"/>
  <c r="C185" i="212"/>
  <c r="E183" i="212"/>
  <c r="B183" i="212" s="1"/>
  <c r="D180" i="212"/>
  <c r="C180" i="212"/>
  <c r="E178" i="212"/>
  <c r="B178" i="212" s="1"/>
  <c r="E177" i="212"/>
  <c r="B177" i="212" s="1"/>
  <c r="E176" i="212"/>
  <c r="B176" i="212" s="1"/>
  <c r="E175" i="212"/>
  <c r="B175" i="212" s="1"/>
  <c r="E174" i="212"/>
  <c r="B174" i="212" s="1"/>
  <c r="E173" i="212"/>
  <c r="B173" i="212" s="1"/>
  <c r="D171" i="212"/>
  <c r="E169" i="212"/>
  <c r="B169" i="212" s="1"/>
  <c r="E168" i="212"/>
  <c r="B168" i="212" s="1"/>
  <c r="D166" i="212"/>
  <c r="E164" i="212"/>
  <c r="C164" i="212" s="1"/>
  <c r="B164" i="212" s="1"/>
  <c r="E163" i="212"/>
  <c r="C163" i="212" s="1"/>
  <c r="B163" i="212" s="1"/>
  <c r="E159" i="212"/>
  <c r="C159" i="212" s="1"/>
  <c r="B159" i="212" s="1"/>
  <c r="E158" i="212"/>
  <c r="C158" i="212" s="1"/>
  <c r="B158" i="212" s="1"/>
  <c r="E157" i="212"/>
  <c r="C157" i="212" s="1"/>
  <c r="B157" i="212" s="1"/>
  <c r="E156" i="212"/>
  <c r="C156" i="212" s="1"/>
  <c r="F156" i="212" s="1"/>
  <c r="E155" i="212"/>
  <c r="C155" i="212" s="1"/>
  <c r="F155" i="212" s="1"/>
  <c r="F154" i="212"/>
  <c r="E154" i="212"/>
  <c r="D154" i="212" s="1"/>
  <c r="B154" i="212" s="1"/>
  <c r="F153" i="212"/>
  <c r="E153" i="212"/>
  <c r="D153" i="212" s="1"/>
  <c r="B153" i="212" s="1"/>
  <c r="F152" i="212"/>
  <c r="E152" i="212"/>
  <c r="D152" i="212" s="1"/>
  <c r="B152" i="212" s="1"/>
  <c r="F151" i="212"/>
  <c r="E151" i="212"/>
  <c r="D151" i="212" s="1"/>
  <c r="B151" i="212" s="1"/>
  <c r="F150" i="212"/>
  <c r="E150" i="212"/>
  <c r="D150" i="212" s="1"/>
  <c r="B150" i="212" s="1"/>
  <c r="F149" i="212"/>
  <c r="E149" i="212"/>
  <c r="D149" i="212" s="1"/>
  <c r="B149" i="212" s="1"/>
  <c r="F148" i="212"/>
  <c r="E148" i="212"/>
  <c r="D148" i="212" s="1"/>
  <c r="B148" i="212" s="1"/>
  <c r="F147" i="212"/>
  <c r="E147" i="212"/>
  <c r="D147" i="212" s="1"/>
  <c r="B147" i="212" s="1"/>
  <c r="F146" i="212"/>
  <c r="E146" i="212"/>
  <c r="D146" i="212" s="1"/>
  <c r="B146" i="212" s="1"/>
  <c r="F145" i="212"/>
  <c r="E145" i="212"/>
  <c r="D145" i="212" s="1"/>
  <c r="B145" i="212" s="1"/>
  <c r="F144" i="212"/>
  <c r="E144" i="212"/>
  <c r="D144" i="212" s="1"/>
  <c r="B144" i="212" s="1"/>
  <c r="F143" i="212"/>
  <c r="E143" i="212"/>
  <c r="D143" i="212" s="1"/>
  <c r="B143" i="212" s="1"/>
  <c r="F142" i="212"/>
  <c r="E142" i="212"/>
  <c r="D142" i="212" s="1"/>
  <c r="B142" i="212" s="1"/>
  <c r="F141" i="212"/>
  <c r="E141" i="212"/>
  <c r="D141" i="212" s="1"/>
  <c r="B141" i="212" s="1"/>
  <c r="F140" i="212"/>
  <c r="E140" i="212"/>
  <c r="D140" i="212" s="1"/>
  <c r="B140" i="212" s="1"/>
  <c r="F139" i="212"/>
  <c r="E139" i="212"/>
  <c r="F138" i="212"/>
  <c r="E138" i="212"/>
  <c r="D138" i="212" s="1"/>
  <c r="B138" i="212" s="1"/>
  <c r="F137" i="212"/>
  <c r="E137" i="212"/>
  <c r="F136" i="212"/>
  <c r="E136" i="212"/>
  <c r="D136" i="212" s="1"/>
  <c r="B136" i="212" s="1"/>
  <c r="F135" i="212"/>
  <c r="E135" i="212"/>
  <c r="D135" i="212" s="1"/>
  <c r="B135" i="212" s="1"/>
  <c r="F134" i="212"/>
  <c r="E134" i="212"/>
  <c r="D134" i="212" s="1"/>
  <c r="B134" i="212" s="1"/>
  <c r="F133" i="212"/>
  <c r="E133" i="212"/>
  <c r="D133" i="212" s="1"/>
  <c r="B133" i="212" s="1"/>
  <c r="F132" i="212"/>
  <c r="E132" i="212"/>
  <c r="D132" i="212" s="1"/>
  <c r="B132" i="212" s="1"/>
  <c r="F131" i="212"/>
  <c r="E131" i="212"/>
  <c r="F130" i="212"/>
  <c r="E130" i="212"/>
  <c r="D130" i="212" s="1"/>
  <c r="B130" i="212" s="1"/>
  <c r="F129" i="212"/>
  <c r="E129" i="212"/>
  <c r="F128" i="212"/>
  <c r="E128" i="212"/>
  <c r="D128" i="212" s="1"/>
  <c r="B128" i="212" s="1"/>
  <c r="E127" i="212"/>
  <c r="C127" i="212" s="1"/>
  <c r="B127" i="212" s="1"/>
  <c r="E126" i="212"/>
  <c r="C126" i="212" s="1"/>
  <c r="B126" i="212" s="1"/>
  <c r="E125" i="212"/>
  <c r="C125" i="212" s="1"/>
  <c r="B125" i="212" s="1"/>
  <c r="E123" i="212"/>
  <c r="C123" i="212" s="1"/>
  <c r="B123" i="212" s="1"/>
  <c r="E122" i="212"/>
  <c r="C122" i="212" s="1"/>
  <c r="B122" i="212" s="1"/>
  <c r="E121" i="212"/>
  <c r="C121" i="212" s="1"/>
  <c r="B121" i="212" s="1"/>
  <c r="E120" i="212"/>
  <c r="C120" i="212" s="1"/>
  <c r="B120" i="212" s="1"/>
  <c r="E119" i="212"/>
  <c r="C119" i="212" s="1"/>
  <c r="B119" i="212" s="1"/>
  <c r="E118" i="212"/>
  <c r="C118" i="212" s="1"/>
  <c r="B118" i="212" s="1"/>
  <c r="E117" i="212"/>
  <c r="C117" i="212" s="1"/>
  <c r="B117" i="212" s="1"/>
  <c r="E116" i="212"/>
  <c r="C116" i="212" s="1"/>
  <c r="B116" i="212" s="1"/>
  <c r="E115" i="212"/>
  <c r="C115" i="212" s="1"/>
  <c r="B115" i="212" s="1"/>
  <c r="E114" i="212"/>
  <c r="C114" i="212" s="1"/>
  <c r="B114" i="212" s="1"/>
  <c r="E113" i="212"/>
  <c r="C113" i="212" s="1"/>
  <c r="B113" i="212" s="1"/>
  <c r="E112" i="212"/>
  <c r="C112" i="212" s="1"/>
  <c r="B112" i="212" s="1"/>
  <c r="E111" i="212"/>
  <c r="C111" i="212" s="1"/>
  <c r="B111" i="212" s="1"/>
  <c r="E110" i="212"/>
  <c r="C110" i="212" s="1"/>
  <c r="B110" i="212" s="1"/>
  <c r="E109" i="212"/>
  <c r="C109" i="212" s="1"/>
  <c r="B109" i="212" s="1"/>
  <c r="E108" i="212"/>
  <c r="C108" i="212" s="1"/>
  <c r="B108" i="212" s="1"/>
  <c r="E107" i="212"/>
  <c r="C107" i="212" s="1"/>
  <c r="B107" i="212" s="1"/>
  <c r="E106" i="212"/>
  <c r="C106" i="212" s="1"/>
  <c r="B106" i="212" s="1"/>
  <c r="E105" i="212"/>
  <c r="C105" i="212" s="1"/>
  <c r="B105" i="212" s="1"/>
  <c r="E104" i="212"/>
  <c r="C104" i="212" s="1"/>
  <c r="B104" i="212" s="1"/>
  <c r="E103" i="212"/>
  <c r="C103" i="212" s="1"/>
  <c r="B103" i="212" s="1"/>
  <c r="E102" i="212"/>
  <c r="C102" i="212" s="1"/>
  <c r="B102" i="212" s="1"/>
  <c r="E101" i="212"/>
  <c r="C101" i="212" s="1"/>
  <c r="B101" i="212" s="1"/>
  <c r="E100" i="212"/>
  <c r="F96" i="212"/>
  <c r="E96" i="212"/>
  <c r="E93" i="212"/>
  <c r="F92" i="212"/>
  <c r="D92" i="212"/>
  <c r="D80" i="212"/>
  <c r="E78" i="212"/>
  <c r="C78" i="212" s="1"/>
  <c r="B78" i="212" s="1"/>
  <c r="E77" i="212"/>
  <c r="C77" i="212" s="1"/>
  <c r="B77" i="212" s="1"/>
  <c r="E76" i="212"/>
  <c r="C76" i="212" s="1"/>
  <c r="B76" i="212" s="1"/>
  <c r="E75" i="212"/>
  <c r="C75" i="212" s="1"/>
  <c r="B75" i="212" s="1"/>
  <c r="D73" i="212"/>
  <c r="E71" i="212"/>
  <c r="F67" i="212"/>
  <c r="E67" i="212"/>
  <c r="F66" i="212"/>
  <c r="E66" i="212"/>
  <c r="F65" i="212"/>
  <c r="E65" i="212"/>
  <c r="F64" i="212"/>
  <c r="E64" i="212"/>
  <c r="F63" i="212"/>
  <c r="E63" i="212"/>
  <c r="F62" i="212"/>
  <c r="E62" i="212"/>
  <c r="F61" i="212"/>
  <c r="E61" i="212"/>
  <c r="F60" i="212"/>
  <c r="E60" i="212"/>
  <c r="F59" i="212"/>
  <c r="E59" i="212"/>
  <c r="F58" i="212"/>
  <c r="E58" i="212"/>
  <c r="F57" i="212"/>
  <c r="E57" i="212"/>
  <c r="F56" i="212"/>
  <c r="E56" i="212"/>
  <c r="F55" i="212"/>
  <c r="E55" i="212"/>
  <c r="D55" i="212" s="1"/>
  <c r="F54" i="212"/>
  <c r="E54" i="212"/>
  <c r="F53" i="212"/>
  <c r="E53" i="212"/>
  <c r="F52" i="212"/>
  <c r="E52" i="212"/>
  <c r="F51" i="212"/>
  <c r="E51" i="212"/>
  <c r="F50" i="212"/>
  <c r="E50" i="212"/>
  <c r="F49" i="212"/>
  <c r="E49" i="212"/>
  <c r="F48" i="212"/>
  <c r="E48" i="212"/>
  <c r="F47" i="212"/>
  <c r="E47" i="212"/>
  <c r="D47" i="212" s="1"/>
  <c r="F46" i="212"/>
  <c r="E46" i="212"/>
  <c r="F45" i="212"/>
  <c r="E45" i="212"/>
  <c r="D45" i="212" s="1"/>
  <c r="B45" i="212" s="1"/>
  <c r="F44" i="212"/>
  <c r="E44" i="212"/>
  <c r="D44" i="212" s="1"/>
  <c r="B44" i="212" s="1"/>
  <c r="F43" i="212"/>
  <c r="E43" i="212"/>
  <c r="D43" i="212" s="1"/>
  <c r="B43" i="212" s="1"/>
  <c r="F42" i="212"/>
  <c r="E42" i="212"/>
  <c r="D42" i="212" s="1"/>
  <c r="B42" i="212" s="1"/>
  <c r="F41" i="212"/>
  <c r="E41" i="212"/>
  <c r="D41" i="212" s="1"/>
  <c r="B41" i="212" s="1"/>
  <c r="F40" i="212"/>
  <c r="E40" i="212"/>
  <c r="D40" i="212" s="1"/>
  <c r="B40" i="212" s="1"/>
  <c r="E39" i="212"/>
  <c r="E46" i="268" s="1"/>
  <c r="K46" i="268" s="1"/>
  <c r="E38" i="212"/>
  <c r="E37" i="212"/>
  <c r="E36" i="212"/>
  <c r="E34" i="212"/>
  <c r="E33" i="212"/>
  <c r="E32" i="212"/>
  <c r="E31" i="212"/>
  <c r="E30" i="212"/>
  <c r="C30" i="212" s="1"/>
  <c r="B30" i="212" s="1"/>
  <c r="E29" i="212"/>
  <c r="E28" i="212"/>
  <c r="E27" i="212"/>
  <c r="E26" i="212"/>
  <c r="E25" i="212"/>
  <c r="E24" i="212"/>
  <c r="E23" i="212"/>
  <c r="E22" i="212"/>
  <c r="E21" i="212"/>
  <c r="E20" i="212"/>
  <c r="E18" i="212"/>
  <c r="E17" i="212"/>
  <c r="E16" i="212"/>
  <c r="E15" i="212"/>
  <c r="E14" i="212"/>
  <c r="E13" i="212"/>
  <c r="E12" i="212"/>
  <c r="E11" i="212"/>
  <c r="E10" i="212"/>
  <c r="E9" i="212"/>
  <c r="E10" i="268" s="1"/>
  <c r="N189" i="9"/>
  <c r="A189" i="9"/>
  <c r="N184" i="9"/>
  <c r="H183" i="9"/>
  <c r="J182" i="9"/>
  <c r="L176" i="9"/>
  <c r="H176" i="9"/>
  <c r="F176" i="9"/>
  <c r="N174" i="9"/>
  <c r="J173" i="9"/>
  <c r="N173" i="9" s="1"/>
  <c r="J170" i="9"/>
  <c r="J169" i="9"/>
  <c r="N168" i="9"/>
  <c r="L166" i="9"/>
  <c r="H166" i="9"/>
  <c r="J164" i="9"/>
  <c r="J162" i="9"/>
  <c r="J161" i="9"/>
  <c r="N161" i="9" s="1"/>
  <c r="J160" i="9"/>
  <c r="N160" i="9" s="1"/>
  <c r="J159" i="9"/>
  <c r="N159" i="9" s="1"/>
  <c r="N158" i="9"/>
  <c r="J157" i="9"/>
  <c r="J156" i="9"/>
  <c r="L153" i="9"/>
  <c r="H153" i="9"/>
  <c r="F153" i="9"/>
  <c r="J151" i="9"/>
  <c r="N150" i="9"/>
  <c r="J149" i="9"/>
  <c r="J148" i="9"/>
  <c r="J147" i="9"/>
  <c r="J146" i="9"/>
  <c r="J145" i="9"/>
  <c r="J144" i="9"/>
  <c r="J143" i="9"/>
  <c r="J142" i="9"/>
  <c r="J163" i="9"/>
  <c r="J137" i="9"/>
  <c r="J136" i="9"/>
  <c r="A128" i="9"/>
  <c r="N126" i="9"/>
  <c r="A126" i="9"/>
  <c r="K10" i="268" l="1"/>
  <c r="D10" i="261"/>
  <c r="B497" i="212"/>
  <c r="C14" i="212"/>
  <c r="B14" i="212" s="1"/>
  <c r="E17" i="268"/>
  <c r="C23" i="212"/>
  <c r="B23" i="212" s="1"/>
  <c r="E28" i="268"/>
  <c r="C36" i="212"/>
  <c r="B36" i="212" s="1"/>
  <c r="E43" i="268"/>
  <c r="C229" i="212"/>
  <c r="D9" i="264" s="1"/>
  <c r="F9" i="264" s="1"/>
  <c r="E65" i="268"/>
  <c r="E66" i="268" s="1"/>
  <c r="C20" i="212"/>
  <c r="B20" i="212" s="1"/>
  <c r="E25" i="268"/>
  <c r="C32" i="212"/>
  <c r="B32" i="212" s="1"/>
  <c r="E38" i="268"/>
  <c r="C16" i="212"/>
  <c r="B16" i="212" s="1"/>
  <c r="E19" i="268"/>
  <c r="C25" i="212"/>
  <c r="B25" i="212" s="1"/>
  <c r="E30" i="268"/>
  <c r="C38" i="212"/>
  <c r="B38" i="212" s="1"/>
  <c r="E45" i="268"/>
  <c r="C10" i="212"/>
  <c r="B10" i="212" s="1"/>
  <c r="E11" i="268"/>
  <c r="C18" i="212"/>
  <c r="B18" i="212" s="1"/>
  <c r="E22" i="268"/>
  <c r="C27" i="212"/>
  <c r="B27" i="212" s="1"/>
  <c r="E32" i="268"/>
  <c r="C31" i="212"/>
  <c r="B31" i="212" s="1"/>
  <c r="E37" i="268"/>
  <c r="C11" i="212"/>
  <c r="B11" i="212" s="1"/>
  <c r="E14" i="268"/>
  <c r="C15" i="212"/>
  <c r="B15" i="212" s="1"/>
  <c r="E18" i="268"/>
  <c r="C24" i="212"/>
  <c r="B24" i="212" s="1"/>
  <c r="E29" i="268"/>
  <c r="C28" i="212"/>
  <c r="B28" i="212" s="1"/>
  <c r="E33" i="268"/>
  <c r="C37" i="212"/>
  <c r="B37" i="212" s="1"/>
  <c r="E44" i="268"/>
  <c r="K44" i="268" s="1"/>
  <c r="C12" i="212"/>
  <c r="F12" i="212" s="1"/>
  <c r="E15" i="268"/>
  <c r="C21" i="212"/>
  <c r="B21" i="212" s="1"/>
  <c r="E26" i="268"/>
  <c r="C29" i="212"/>
  <c r="B29" i="212" s="1"/>
  <c r="E34" i="268"/>
  <c r="C33" i="212"/>
  <c r="B33" i="212" s="1"/>
  <c r="E40" i="268"/>
  <c r="C13" i="212"/>
  <c r="B13" i="212" s="1"/>
  <c r="E16" i="268"/>
  <c r="C17" i="212"/>
  <c r="B17" i="212" s="1"/>
  <c r="E20" i="268"/>
  <c r="C22" i="212"/>
  <c r="B22" i="212" s="1"/>
  <c r="E27" i="268"/>
  <c r="C26" i="212"/>
  <c r="B26" i="212" s="1"/>
  <c r="E31" i="268"/>
  <c r="C34" i="212"/>
  <c r="B34" i="212" s="1"/>
  <c r="E41" i="268"/>
  <c r="C236" i="212"/>
  <c r="B236" i="212" s="1"/>
  <c r="E60" i="268"/>
  <c r="E62" i="268" s="1"/>
  <c r="E63" i="268" s="1"/>
  <c r="K18" i="266"/>
  <c r="C341" i="212"/>
  <c r="B341" i="212" s="1"/>
  <c r="E12" i="266"/>
  <c r="O12" i="266" s="1"/>
  <c r="C342" i="212"/>
  <c r="B342" i="212" s="1"/>
  <c r="E13" i="266"/>
  <c r="O13" i="266" s="1"/>
  <c r="C343" i="212"/>
  <c r="B343" i="212" s="1"/>
  <c r="E14" i="266"/>
  <c r="O14" i="266" s="1"/>
  <c r="C344" i="212"/>
  <c r="B344" i="212" s="1"/>
  <c r="E15" i="266"/>
  <c r="O15" i="266" s="1"/>
  <c r="B229" i="212"/>
  <c r="F94" i="9"/>
  <c r="C100" i="212"/>
  <c r="B100" i="212" s="1"/>
  <c r="E161" i="212"/>
  <c r="E10" i="228"/>
  <c r="I10" i="228" s="1"/>
  <c r="E10" i="245"/>
  <c r="G9" i="244"/>
  <c r="G11" i="244" s="1"/>
  <c r="C11" i="244"/>
  <c r="C531" i="212"/>
  <c r="B531" i="212" s="1"/>
  <c r="E10" i="243"/>
  <c r="M10" i="243" s="1"/>
  <c r="D539" i="212"/>
  <c r="B539" i="212" s="1"/>
  <c r="E18" i="243"/>
  <c r="M18" i="243" s="1"/>
  <c r="C532" i="212"/>
  <c r="B532" i="212" s="1"/>
  <c r="E11" i="243"/>
  <c r="M11" i="243" s="1"/>
  <c r="D535" i="212"/>
  <c r="E14" i="243"/>
  <c r="M14" i="243" s="1"/>
  <c r="G20" i="243"/>
  <c r="G28" i="243" s="1"/>
  <c r="C533" i="212"/>
  <c r="B533" i="212" s="1"/>
  <c r="E12" i="243"/>
  <c r="M12" i="243" s="1"/>
  <c r="D536" i="212"/>
  <c r="B536" i="212" s="1"/>
  <c r="E15" i="243"/>
  <c r="M15" i="243" s="1"/>
  <c r="D538" i="212"/>
  <c r="B538" i="212" s="1"/>
  <c r="E17" i="243"/>
  <c r="M17" i="243" s="1"/>
  <c r="D540" i="212"/>
  <c r="B540" i="212" s="1"/>
  <c r="E19" i="243"/>
  <c r="M19" i="243" s="1"/>
  <c r="D537" i="212"/>
  <c r="B537" i="212" s="1"/>
  <c r="E16" i="243"/>
  <c r="M16" i="243" s="1"/>
  <c r="C530" i="212"/>
  <c r="B530" i="212" s="1"/>
  <c r="E9" i="243"/>
  <c r="C534" i="212"/>
  <c r="B534" i="212" s="1"/>
  <c r="E13" i="243"/>
  <c r="M13" i="243" s="1"/>
  <c r="B517" i="212"/>
  <c r="E11" i="228"/>
  <c r="I11" i="228" s="1"/>
  <c r="B518" i="212"/>
  <c r="E12" i="228"/>
  <c r="I12" i="228" s="1"/>
  <c r="B519" i="212"/>
  <c r="E13" i="228"/>
  <c r="I13" i="228" s="1"/>
  <c r="F12" i="29"/>
  <c r="N163" i="9"/>
  <c r="F10" i="29"/>
  <c r="J139" i="9"/>
  <c r="B503" i="212"/>
  <c r="J88" i="9"/>
  <c r="B646" i="212"/>
  <c r="F111" i="9"/>
  <c r="F49" i="9" s="1"/>
  <c r="B647" i="212"/>
  <c r="F110" i="9"/>
  <c r="F48" i="9" s="1"/>
  <c r="C339" i="212"/>
  <c r="F73" i="9"/>
  <c r="M403" i="221" s="1"/>
  <c r="M404" i="221" s="1"/>
  <c r="M405" i="221" s="1"/>
  <c r="J166" i="9"/>
  <c r="J176" i="9"/>
  <c r="D670" i="212"/>
  <c r="E613" i="212"/>
  <c r="K613" i="212" s="1"/>
  <c r="C611" i="212"/>
  <c r="E609" i="212"/>
  <c r="K609" i="212" s="1"/>
  <c r="C607" i="212"/>
  <c r="E617" i="212"/>
  <c r="K617" i="212" s="1"/>
  <c r="C615" i="212"/>
  <c r="B680" i="212"/>
  <c r="C680" i="212"/>
  <c r="B672" i="212"/>
  <c r="C672" i="212"/>
  <c r="B368" i="212"/>
  <c r="C368" i="212"/>
  <c r="B676" i="212"/>
  <c r="C676" i="212"/>
  <c r="N144" i="9"/>
  <c r="N157" i="9"/>
  <c r="N146" i="9"/>
  <c r="L25" i="229"/>
  <c r="B156" i="212"/>
  <c r="L24" i="229"/>
  <c r="N148" i="9"/>
  <c r="B221" i="212"/>
  <c r="C221" i="212"/>
  <c r="C223" i="212" s="1"/>
  <c r="B293" i="212"/>
  <c r="C293" i="212"/>
  <c r="C297" i="212" s="1"/>
  <c r="D350" i="212"/>
  <c r="B350" i="212" s="1"/>
  <c r="F350" i="212"/>
  <c r="G350" i="212" s="1"/>
  <c r="B355" i="212"/>
  <c r="C355" i="212"/>
  <c r="B378" i="212"/>
  <c r="C378" i="212"/>
  <c r="B425" i="212"/>
  <c r="C425" i="212"/>
  <c r="C427" i="212" s="1"/>
  <c r="B525" i="212"/>
  <c r="C525" i="212"/>
  <c r="B288" i="212"/>
  <c r="C288" i="212"/>
  <c r="C291" i="212" s="1"/>
  <c r="D347" i="212"/>
  <c r="D358" i="212" s="1"/>
  <c r="F347" i="212"/>
  <c r="G347" i="212" s="1"/>
  <c r="B352" i="212"/>
  <c r="C352" i="212"/>
  <c r="B465" i="212"/>
  <c r="C465" i="212"/>
  <c r="C467" i="212" s="1"/>
  <c r="B523" i="212"/>
  <c r="C523" i="212"/>
  <c r="F523" i="212" s="1"/>
  <c r="G523" i="212" s="1"/>
  <c r="B541" i="212"/>
  <c r="C541" i="212"/>
  <c r="B543" i="212"/>
  <c r="C543" i="212"/>
  <c r="B545" i="212"/>
  <c r="C545" i="212"/>
  <c r="D547" i="212"/>
  <c r="B547" i="212" s="1"/>
  <c r="C547" i="212"/>
  <c r="F547" i="212" s="1"/>
  <c r="G547" i="212" s="1"/>
  <c r="D548" i="212"/>
  <c r="B548" i="212" s="1"/>
  <c r="C548" i="212"/>
  <c r="F548" i="212" s="1"/>
  <c r="B379" i="212"/>
  <c r="C379" i="212"/>
  <c r="B524" i="212"/>
  <c r="C524" i="212"/>
  <c r="B542" i="212"/>
  <c r="C542" i="212"/>
  <c r="B544" i="212"/>
  <c r="C544" i="212"/>
  <c r="B546" i="212"/>
  <c r="C546" i="212"/>
  <c r="F83" i="56"/>
  <c r="B482" i="212"/>
  <c r="E484" i="212"/>
  <c r="B238" i="212"/>
  <c r="C235" i="212"/>
  <c r="F235" i="212" s="1"/>
  <c r="E252" i="212"/>
  <c r="N34" i="30" s="1"/>
  <c r="B206" i="212"/>
  <c r="B205" i="212"/>
  <c r="E208" i="212"/>
  <c r="C670" i="212"/>
  <c r="B39" i="212"/>
  <c r="C39" i="212"/>
  <c r="B96" i="212"/>
  <c r="D96" i="212"/>
  <c r="B49" i="212"/>
  <c r="D49" i="212"/>
  <c r="B51" i="212"/>
  <c r="D51" i="212"/>
  <c r="B53" i="212"/>
  <c r="D53" i="212"/>
  <c r="B57" i="212"/>
  <c r="D57" i="212"/>
  <c r="B59" i="212"/>
  <c r="D59" i="212"/>
  <c r="B61" i="212"/>
  <c r="D61" i="212"/>
  <c r="B63" i="212"/>
  <c r="D63" i="212"/>
  <c r="B65" i="212"/>
  <c r="D65" i="212"/>
  <c r="B67" i="212"/>
  <c r="D67" i="212"/>
  <c r="D93" i="212"/>
  <c r="B93" i="212" s="1"/>
  <c r="C93" i="212"/>
  <c r="E98" i="212"/>
  <c r="G32" i="30" s="1"/>
  <c r="D21" i="233" s="1"/>
  <c r="B46" i="212"/>
  <c r="D46" i="212"/>
  <c r="B48" i="212"/>
  <c r="D48" i="212"/>
  <c r="B50" i="212"/>
  <c r="D50" i="212"/>
  <c r="B52" i="212"/>
  <c r="D52" i="212"/>
  <c r="B54" i="212"/>
  <c r="D54" i="212"/>
  <c r="B56" i="212"/>
  <c r="D56" i="212"/>
  <c r="B58" i="212"/>
  <c r="D58" i="212"/>
  <c r="B60" i="212"/>
  <c r="D60" i="212"/>
  <c r="B62" i="212"/>
  <c r="D62" i="212"/>
  <c r="B64" i="212"/>
  <c r="D64" i="212"/>
  <c r="B66" i="212"/>
  <c r="D66" i="212"/>
  <c r="G47" i="212"/>
  <c r="E10" i="10"/>
  <c r="D31" i="10" s="1"/>
  <c r="B388" i="212"/>
  <c r="G137" i="212"/>
  <c r="G129" i="212"/>
  <c r="G590" i="212"/>
  <c r="J153" i="9"/>
  <c r="B636" i="212"/>
  <c r="D20" i="213"/>
  <c r="B353" i="212"/>
  <c r="B615" i="212"/>
  <c r="B638" i="212"/>
  <c r="G55" i="212"/>
  <c r="G131" i="212"/>
  <c r="G139" i="212"/>
  <c r="F676" i="212"/>
  <c r="N142" i="9"/>
  <c r="F178" i="9"/>
  <c r="F180" i="9" s="1"/>
  <c r="F186" i="9" s="1"/>
  <c r="P186" i="9" s="1"/>
  <c r="L178" i="9"/>
  <c r="N182" i="9"/>
  <c r="N151" i="9"/>
  <c r="N156" i="9"/>
  <c r="N162" i="9"/>
  <c r="N169" i="9"/>
  <c r="N170" i="9"/>
  <c r="J183" i="9"/>
  <c r="N183" i="9" s="1"/>
  <c r="N143" i="9"/>
  <c r="N145" i="9"/>
  <c r="N147" i="9"/>
  <c r="N149" i="9"/>
  <c r="N164" i="9"/>
  <c r="C9" i="212"/>
  <c r="B9" i="212" s="1"/>
  <c r="B47" i="212"/>
  <c r="B55" i="212"/>
  <c r="D129" i="212"/>
  <c r="B129" i="212" s="1"/>
  <c r="D131" i="212"/>
  <c r="B131" i="212" s="1"/>
  <c r="D137" i="212"/>
  <c r="B137" i="212" s="1"/>
  <c r="D139" i="212"/>
  <c r="B139" i="212" s="1"/>
  <c r="G144" i="212"/>
  <c r="G150" i="212"/>
  <c r="G152" i="212"/>
  <c r="B155" i="212"/>
  <c r="G156" i="212"/>
  <c r="F163" i="212"/>
  <c r="G163" i="212" s="1"/>
  <c r="C166" i="212"/>
  <c r="E166" i="212"/>
  <c r="G26" i="30" s="1"/>
  <c r="E197" i="212"/>
  <c r="E232" i="212"/>
  <c r="N28" i="30" s="1"/>
  <c r="E291" i="212"/>
  <c r="E371" i="212"/>
  <c r="K371" i="212" s="1"/>
  <c r="E605" i="212"/>
  <c r="K605" i="212" s="1"/>
  <c r="F557" i="212"/>
  <c r="G557" i="212" s="1"/>
  <c r="G624" i="212"/>
  <c r="E674" i="212"/>
  <c r="E189" i="212"/>
  <c r="E488" i="212"/>
  <c r="D590" i="212"/>
  <c r="B590" i="212" s="1"/>
  <c r="B607" i="212"/>
  <c r="B611" i="212"/>
  <c r="E628" i="212"/>
  <c r="F672" i="212"/>
  <c r="E678" i="212"/>
  <c r="P40" i="30"/>
  <c r="P35" i="30"/>
  <c r="P29" i="30"/>
  <c r="P23" i="30"/>
  <c r="G43" i="212"/>
  <c r="G51" i="212"/>
  <c r="G59" i="212"/>
  <c r="G128" i="212"/>
  <c r="G130" i="212"/>
  <c r="G132" i="212"/>
  <c r="G134" i="212"/>
  <c r="G136" i="212"/>
  <c r="G138" i="212"/>
  <c r="G140" i="212"/>
  <c r="G142" i="212"/>
  <c r="G146" i="212"/>
  <c r="G148" i="212"/>
  <c r="G154" i="212"/>
  <c r="G239" i="212"/>
  <c r="G246" i="212"/>
  <c r="Q40" i="30"/>
  <c r="Q35" i="30"/>
  <c r="Q29" i="30"/>
  <c r="Q23" i="30"/>
  <c r="G133" i="212"/>
  <c r="G135" i="212"/>
  <c r="G141" i="212"/>
  <c r="G143" i="212"/>
  <c r="G145" i="212"/>
  <c r="G147" i="212"/>
  <c r="G149" i="212"/>
  <c r="G151" i="212"/>
  <c r="G153" i="212"/>
  <c r="G241" i="212"/>
  <c r="G248" i="212"/>
  <c r="G250" i="212"/>
  <c r="G581" i="212"/>
  <c r="G598" i="212"/>
  <c r="G623" i="212"/>
  <c r="B92" i="212"/>
  <c r="B12" i="212"/>
  <c r="B275" i="212"/>
  <c r="N18" i="30"/>
  <c r="B312" i="212"/>
  <c r="E314" i="212"/>
  <c r="N21" i="30" s="1"/>
  <c r="B330" i="212"/>
  <c r="B339" i="212"/>
  <c r="C340" i="212"/>
  <c r="B340" i="212" s="1"/>
  <c r="E358" i="212"/>
  <c r="K358" i="212" s="1"/>
  <c r="B347" i="212"/>
  <c r="B535" i="212"/>
  <c r="G40" i="212"/>
  <c r="G44" i="212"/>
  <c r="G48" i="212"/>
  <c r="G52" i="212"/>
  <c r="G56" i="212"/>
  <c r="G60" i="212"/>
  <c r="G61" i="212"/>
  <c r="G62" i="212"/>
  <c r="G63" i="212"/>
  <c r="G64" i="212"/>
  <c r="G65" i="212"/>
  <c r="G66" i="212"/>
  <c r="G67" i="212"/>
  <c r="E73" i="212"/>
  <c r="L15" i="229" s="1"/>
  <c r="F75" i="212"/>
  <c r="E80" i="212"/>
  <c r="G92" i="212"/>
  <c r="E180" i="212"/>
  <c r="G39" i="30" s="1"/>
  <c r="D23" i="233" s="1"/>
  <c r="E223" i="212"/>
  <c r="D239" i="212"/>
  <c r="B239" i="212" s="1"/>
  <c r="G240" i="212"/>
  <c r="D246" i="212"/>
  <c r="B246" i="212" s="1"/>
  <c r="G247" i="212"/>
  <c r="D250" i="212"/>
  <c r="B250" i="212" s="1"/>
  <c r="E273" i="212"/>
  <c r="N42" i="30" s="1"/>
  <c r="B279" i="212"/>
  <c r="G41" i="212"/>
  <c r="G45" i="212"/>
  <c r="G49" i="212"/>
  <c r="G53" i="212"/>
  <c r="G57" i="212"/>
  <c r="G14" i="26"/>
  <c r="G42" i="212"/>
  <c r="G46" i="212"/>
  <c r="G50" i="212"/>
  <c r="G54" i="212"/>
  <c r="G58" i="212"/>
  <c r="E69" i="212"/>
  <c r="C71" i="212"/>
  <c r="C80" i="212"/>
  <c r="G96" i="212"/>
  <c r="F105" i="212"/>
  <c r="G105" i="212" s="1"/>
  <c r="G155" i="212"/>
  <c r="E171" i="212"/>
  <c r="G38" i="30" s="1"/>
  <c r="D22" i="233" s="1"/>
  <c r="E185" i="212"/>
  <c r="E193" i="212"/>
  <c r="G238" i="212"/>
  <c r="G249" i="212"/>
  <c r="E262" i="212"/>
  <c r="E282" i="212"/>
  <c r="E297" i="212"/>
  <c r="E332" i="212"/>
  <c r="C346" i="212"/>
  <c r="B346" i="212" s="1"/>
  <c r="B490" i="212"/>
  <c r="J83" i="56"/>
  <c r="B516" i="212"/>
  <c r="C13" i="54"/>
  <c r="B637" i="212"/>
  <c r="E14" i="10"/>
  <c r="B639" i="212"/>
  <c r="E13" i="10"/>
  <c r="E12" i="10" s="1"/>
  <c r="G369" i="212"/>
  <c r="C373" i="212"/>
  <c r="G374" i="212"/>
  <c r="E376" i="212"/>
  <c r="E381" i="212"/>
  <c r="K381" i="212" s="1"/>
  <c r="C385" i="212"/>
  <c r="E427" i="212"/>
  <c r="K427" i="212" s="1"/>
  <c r="E439" i="212"/>
  <c r="K439" i="212" s="1"/>
  <c r="E452" i="212"/>
  <c r="K452" i="212" s="1"/>
  <c r="E514" i="212"/>
  <c r="E528" i="212"/>
  <c r="G535" i="212"/>
  <c r="G536" i="212"/>
  <c r="G538" i="212"/>
  <c r="G539" i="212"/>
  <c r="G579" i="212"/>
  <c r="G583" i="212"/>
  <c r="G585" i="212"/>
  <c r="G586" i="212"/>
  <c r="G588" i="212"/>
  <c r="G591" i="212"/>
  <c r="G593" i="212"/>
  <c r="G594" i="212"/>
  <c r="G596" i="212"/>
  <c r="G599" i="212"/>
  <c r="G601" i="212"/>
  <c r="G602" i="212"/>
  <c r="G625" i="212"/>
  <c r="D628" i="212"/>
  <c r="E634" i="212"/>
  <c r="E651" i="212"/>
  <c r="E660" i="212"/>
  <c r="E700" i="212"/>
  <c r="F700" i="212" s="1"/>
  <c r="F502" i="212" s="1"/>
  <c r="G502" i="212" s="1"/>
  <c r="B495" i="212"/>
  <c r="D371" i="212"/>
  <c r="F383" i="212"/>
  <c r="F385" i="212" s="1"/>
  <c r="E385" i="212" s="1"/>
  <c r="K385" i="212" s="1"/>
  <c r="E391" i="212"/>
  <c r="E399" i="212"/>
  <c r="E414" i="212"/>
  <c r="E467" i="212"/>
  <c r="K467" i="212" s="1"/>
  <c r="E478" i="212"/>
  <c r="E505" i="212"/>
  <c r="K505" i="212" s="1"/>
  <c r="E521" i="212"/>
  <c r="K521" i="212" s="1"/>
  <c r="G537" i="212"/>
  <c r="G540" i="212"/>
  <c r="E550" i="212"/>
  <c r="K550" i="212" s="1"/>
  <c r="C552" i="212"/>
  <c r="G580" i="212"/>
  <c r="G584" i="212"/>
  <c r="G587" i="212"/>
  <c r="G589" i="212"/>
  <c r="G592" i="212"/>
  <c r="G595" i="212"/>
  <c r="G597" i="212"/>
  <c r="G600" i="212"/>
  <c r="G603" i="212"/>
  <c r="C628" i="212"/>
  <c r="G626" i="212" s="1"/>
  <c r="E643" i="212"/>
  <c r="E667" i="212"/>
  <c r="N12" i="30"/>
  <c r="K399" i="212" l="1"/>
  <c r="K20" i="268"/>
  <c r="D21" i="261"/>
  <c r="K26" i="268"/>
  <c r="D26" i="261"/>
  <c r="K29" i="268"/>
  <c r="D29" i="261"/>
  <c r="K28" i="268"/>
  <c r="D28" i="261"/>
  <c r="K31" i="268"/>
  <c r="D31" i="261"/>
  <c r="K40" i="268"/>
  <c r="D38" i="261"/>
  <c r="K14" i="268"/>
  <c r="D14" i="261"/>
  <c r="K32" i="268"/>
  <c r="D32" i="261"/>
  <c r="K11" i="268"/>
  <c r="D11" i="261"/>
  <c r="K30" i="268"/>
  <c r="D30" i="261"/>
  <c r="K38" i="268"/>
  <c r="D37" i="261"/>
  <c r="K41" i="268"/>
  <c r="D39" i="261"/>
  <c r="K27" i="268"/>
  <c r="D27" i="261"/>
  <c r="K16" i="268"/>
  <c r="D16" i="261"/>
  <c r="K34" i="268"/>
  <c r="D34" i="261"/>
  <c r="K15" i="268"/>
  <c r="D15" i="261"/>
  <c r="O15" i="261" s="1"/>
  <c r="K33" i="268"/>
  <c r="D33" i="261"/>
  <c r="K18" i="268"/>
  <c r="D18" i="261"/>
  <c r="K37" i="268"/>
  <c r="D36" i="261"/>
  <c r="K22" i="268"/>
  <c r="D22" i="261"/>
  <c r="K45" i="268"/>
  <c r="D42" i="261"/>
  <c r="K19" i="268"/>
  <c r="D19" i="261"/>
  <c r="K25" i="268"/>
  <c r="D25" i="261"/>
  <c r="K43" i="268"/>
  <c r="D41" i="261"/>
  <c r="K17" i="268"/>
  <c r="D17" i="261"/>
  <c r="C232" i="212"/>
  <c r="I497" i="212"/>
  <c r="F229" i="212"/>
  <c r="F232" i="212" s="1"/>
  <c r="E48" i="268"/>
  <c r="E49" i="268" s="1"/>
  <c r="O11" i="266"/>
  <c r="O18" i="266" s="1"/>
  <c r="E18" i="266"/>
  <c r="D13" i="264"/>
  <c r="G12" i="212"/>
  <c r="M403" i="249"/>
  <c r="M404" i="249" s="1"/>
  <c r="M405" i="249" s="1"/>
  <c r="C161" i="212"/>
  <c r="F100" i="212"/>
  <c r="G100" i="212" s="1"/>
  <c r="G9" i="26"/>
  <c r="E14" i="245"/>
  <c r="M10" i="245"/>
  <c r="M14" i="245" s="1"/>
  <c r="J87" i="9" s="1"/>
  <c r="F530" i="212"/>
  <c r="G530" i="212" s="1"/>
  <c r="M9" i="243"/>
  <c r="E28" i="243"/>
  <c r="M20" i="243"/>
  <c r="E14" i="228"/>
  <c r="I14" i="228" s="1"/>
  <c r="I18" i="228" s="1"/>
  <c r="F18" i="29"/>
  <c r="F33" i="29" s="1"/>
  <c r="K478" i="212"/>
  <c r="F89" i="9"/>
  <c r="K391" i="212"/>
  <c r="F100" i="9"/>
  <c r="J178" i="9"/>
  <c r="H178" i="9" s="1"/>
  <c r="F417" i="212"/>
  <c r="G417" i="212" s="1"/>
  <c r="F481" i="212"/>
  <c r="G481" i="212" s="1"/>
  <c r="F329" i="212"/>
  <c r="G329" i="212" s="1"/>
  <c r="F259" i="212"/>
  <c r="G259" i="212" s="1"/>
  <c r="F270" i="212"/>
  <c r="G270" i="212" s="1"/>
  <c r="L28" i="229"/>
  <c r="C528" i="212"/>
  <c r="G526" i="212" s="1"/>
  <c r="C550" i="212"/>
  <c r="C613" i="212"/>
  <c r="F611" i="212"/>
  <c r="C371" i="212"/>
  <c r="F368" i="212"/>
  <c r="F607" i="212"/>
  <c r="G607" i="212" s="1"/>
  <c r="G609" i="212" s="1"/>
  <c r="F609" i="212" s="1"/>
  <c r="C609" i="212"/>
  <c r="C617" i="212"/>
  <c r="F615" i="212"/>
  <c r="G548" i="212"/>
  <c r="D550" i="212"/>
  <c r="G29" i="30"/>
  <c r="D20" i="233"/>
  <c r="G16" i="30"/>
  <c r="E15" i="12"/>
  <c r="C10" i="242" s="1"/>
  <c r="M10" i="242" s="1"/>
  <c r="G15" i="26"/>
  <c r="L14" i="229"/>
  <c r="L18" i="229" s="1"/>
  <c r="E14" i="12"/>
  <c r="C9" i="242" s="1"/>
  <c r="M9" i="242" s="1"/>
  <c r="N41" i="30"/>
  <c r="Q41" i="30" s="1"/>
  <c r="E20" i="12"/>
  <c r="I20" i="12" s="1"/>
  <c r="D18" i="233" s="1"/>
  <c r="N20" i="30"/>
  <c r="P20" i="30" s="1"/>
  <c r="E21" i="12"/>
  <c r="I21" i="12" s="1"/>
  <c r="D19" i="233" s="1"/>
  <c r="C381" i="212"/>
  <c r="G676" i="212"/>
  <c r="C678" i="212"/>
  <c r="G672" i="212"/>
  <c r="C674" i="212"/>
  <c r="F480" i="212"/>
  <c r="F491" i="212"/>
  <c r="G491" i="212" s="1"/>
  <c r="F307" i="212"/>
  <c r="G307" i="212" s="1"/>
  <c r="F431" i="212"/>
  <c r="G431" i="212" s="1"/>
  <c r="F294" i="212"/>
  <c r="G294" i="212" s="1"/>
  <c r="F300" i="212"/>
  <c r="G300" i="212" s="1"/>
  <c r="C208" i="212"/>
  <c r="B235" i="212"/>
  <c r="C252" i="212"/>
  <c r="D252" i="212"/>
  <c r="G235" i="212"/>
  <c r="F201" i="212"/>
  <c r="G201" i="212" s="1"/>
  <c r="F200" i="212"/>
  <c r="G200" i="212" s="1"/>
  <c r="F199" i="212"/>
  <c r="G199" i="212" s="1"/>
  <c r="F203" i="212"/>
  <c r="G203" i="212" s="1"/>
  <c r="F202" i="212"/>
  <c r="G202" i="212" s="1"/>
  <c r="D98" i="212"/>
  <c r="C98" i="212"/>
  <c r="F93" i="212"/>
  <c r="D617" i="212"/>
  <c r="D605" i="212"/>
  <c r="C69" i="212"/>
  <c r="G40" i="30"/>
  <c r="D613" i="212"/>
  <c r="D69" i="212"/>
  <c r="D161" i="212"/>
  <c r="R83" i="56"/>
  <c r="R29" i="30"/>
  <c r="K643" i="212"/>
  <c r="K414" i="212"/>
  <c r="N176" i="9"/>
  <c r="N153" i="9"/>
  <c r="N166" i="9"/>
  <c r="C10" i="45"/>
  <c r="C9" i="45" s="1"/>
  <c r="K628" i="212"/>
  <c r="F112" i="9"/>
  <c r="R23" i="30"/>
  <c r="D609" i="212"/>
  <c r="R40" i="30"/>
  <c r="G383" i="212"/>
  <c r="G385" i="212" s="1"/>
  <c r="P12" i="30"/>
  <c r="F639" i="212"/>
  <c r="G639" i="212" s="1"/>
  <c r="F638" i="212"/>
  <c r="G638" i="212" s="1"/>
  <c r="F637" i="212"/>
  <c r="G637" i="212" s="1"/>
  <c r="F546" i="212"/>
  <c r="G546" i="212" s="1"/>
  <c r="F545" i="212"/>
  <c r="G545" i="212" s="1"/>
  <c r="F544" i="212"/>
  <c r="G544" i="212" s="1"/>
  <c r="F543" i="212"/>
  <c r="G543" i="212" s="1"/>
  <c r="F542" i="212"/>
  <c r="G542" i="212" s="1"/>
  <c r="F541" i="212"/>
  <c r="G541" i="212" s="1"/>
  <c r="F525" i="212"/>
  <c r="G525" i="212" s="1"/>
  <c r="F524" i="212"/>
  <c r="F516" i="212"/>
  <c r="F512" i="212"/>
  <c r="G512" i="212" s="1"/>
  <c r="F511" i="212"/>
  <c r="G511" i="212" s="1"/>
  <c r="F510" i="212"/>
  <c r="G510" i="212" s="1"/>
  <c r="F509" i="212"/>
  <c r="G509" i="212" s="1"/>
  <c r="F508" i="212"/>
  <c r="G508" i="212" s="1"/>
  <c r="F490" i="212"/>
  <c r="F482" i="212"/>
  <c r="F469" i="212"/>
  <c r="F454" i="212"/>
  <c r="F450" i="212"/>
  <c r="G450" i="212" s="1"/>
  <c r="F449" i="212"/>
  <c r="G449" i="212" s="1"/>
  <c r="F448" i="212"/>
  <c r="G448" i="212" s="1"/>
  <c r="F447" i="212"/>
  <c r="G447" i="212" s="1"/>
  <c r="F446" i="212"/>
  <c r="G446" i="212" s="1"/>
  <c r="F445" i="212"/>
  <c r="G445" i="212" s="1"/>
  <c r="F444" i="212"/>
  <c r="G444" i="212" s="1"/>
  <c r="F443" i="212"/>
  <c r="G443" i="212" s="1"/>
  <c r="F442" i="212"/>
  <c r="G442" i="212" s="1"/>
  <c r="F437" i="212"/>
  <c r="G437" i="212" s="1"/>
  <c r="F436" i="212"/>
  <c r="G436" i="212" s="1"/>
  <c r="F435" i="212"/>
  <c r="G435" i="212" s="1"/>
  <c r="F434" i="212"/>
  <c r="G434" i="212" s="1"/>
  <c r="F433" i="212"/>
  <c r="G433" i="212" s="1"/>
  <c r="F432" i="212"/>
  <c r="G432" i="212" s="1"/>
  <c r="F430" i="212"/>
  <c r="G430" i="212" s="1"/>
  <c r="F425" i="212"/>
  <c r="G425" i="212" s="1"/>
  <c r="F424" i="212"/>
  <c r="G424" i="212" s="1"/>
  <c r="F423" i="212"/>
  <c r="G423" i="212" s="1"/>
  <c r="F422" i="212"/>
  <c r="G422" i="212" s="1"/>
  <c r="F401" i="212"/>
  <c r="F393" i="212"/>
  <c r="F379" i="212"/>
  <c r="G379" i="212" s="1"/>
  <c r="F640" i="212"/>
  <c r="G640" i="212" s="1"/>
  <c r="F519" i="212"/>
  <c r="G519" i="212" s="1"/>
  <c r="F518" i="212"/>
  <c r="G518" i="212" s="1"/>
  <c r="F517" i="212"/>
  <c r="G517" i="212" s="1"/>
  <c r="F507" i="212"/>
  <c r="F503" i="212"/>
  <c r="G503" i="212" s="1"/>
  <c r="F501" i="212"/>
  <c r="G501" i="212" s="1"/>
  <c r="F500" i="212"/>
  <c r="G500" i="212" s="1"/>
  <c r="F499" i="212"/>
  <c r="G499" i="212" s="1"/>
  <c r="F498" i="212"/>
  <c r="F497" i="212"/>
  <c r="G497" i="212" s="1"/>
  <c r="F496" i="212"/>
  <c r="G496" i="212" s="1"/>
  <c r="F495" i="212"/>
  <c r="G495" i="212" s="1"/>
  <c r="F494" i="212"/>
  <c r="G494" i="212" s="1"/>
  <c r="F493" i="212"/>
  <c r="G493" i="212" s="1"/>
  <c r="F492" i="212"/>
  <c r="G492" i="212" s="1"/>
  <c r="F486" i="212"/>
  <c r="F476" i="212"/>
  <c r="G476" i="212" s="1"/>
  <c r="F475" i="212"/>
  <c r="G475" i="212" s="1"/>
  <c r="F474" i="212"/>
  <c r="G474" i="212" s="1"/>
  <c r="F473" i="212"/>
  <c r="G473" i="212" s="1"/>
  <c r="F472" i="212"/>
  <c r="G472" i="212" s="1"/>
  <c r="F471" i="212"/>
  <c r="G471" i="212" s="1"/>
  <c r="F470" i="212"/>
  <c r="G470" i="212" s="1"/>
  <c r="F465" i="212"/>
  <c r="G465" i="212" s="1"/>
  <c r="F464" i="212"/>
  <c r="G464" i="212" s="1"/>
  <c r="F463" i="212"/>
  <c r="G463" i="212" s="1"/>
  <c r="F462" i="212"/>
  <c r="G462" i="212" s="1"/>
  <c r="F461" i="212"/>
  <c r="G461" i="212" s="1"/>
  <c r="F460" i="212"/>
  <c r="G460" i="212" s="1"/>
  <c r="F459" i="212"/>
  <c r="G459" i="212" s="1"/>
  <c r="F458" i="212"/>
  <c r="G458" i="212" s="1"/>
  <c r="F457" i="212"/>
  <c r="G457" i="212" s="1"/>
  <c r="F456" i="212"/>
  <c r="G456" i="212" s="1"/>
  <c r="F455" i="212"/>
  <c r="G455" i="212" s="1"/>
  <c r="F441" i="212"/>
  <c r="F429" i="212"/>
  <c r="F421" i="212"/>
  <c r="F416" i="212"/>
  <c r="F412" i="212"/>
  <c r="G412" i="212" s="1"/>
  <c r="F411" i="212"/>
  <c r="G411" i="212" s="1"/>
  <c r="F410" i="212"/>
  <c r="G410" i="212" s="1"/>
  <c r="F409" i="212"/>
  <c r="G409" i="212" s="1"/>
  <c r="F408" i="212"/>
  <c r="G408" i="212" s="1"/>
  <c r="F407" i="212"/>
  <c r="G407" i="212" s="1"/>
  <c r="F406" i="212"/>
  <c r="G406" i="212" s="1"/>
  <c r="F405" i="212"/>
  <c r="G405" i="212" s="1"/>
  <c r="F404" i="212"/>
  <c r="G404" i="212" s="1"/>
  <c r="F403" i="212"/>
  <c r="G403" i="212" s="1"/>
  <c r="F402" i="212"/>
  <c r="G402" i="212" s="1"/>
  <c r="F397" i="212"/>
  <c r="G397" i="212" s="1"/>
  <c r="F396" i="212"/>
  <c r="G396" i="212" s="1"/>
  <c r="F395" i="212"/>
  <c r="G395" i="212" s="1"/>
  <c r="F394" i="212"/>
  <c r="G394" i="212" s="1"/>
  <c r="F378" i="212"/>
  <c r="F330" i="212"/>
  <c r="G330" i="212" s="1"/>
  <c r="F328" i="212"/>
  <c r="G328" i="212" s="1"/>
  <c r="F316" i="212"/>
  <c r="F312" i="212"/>
  <c r="F306" i="212"/>
  <c r="G306" i="212" s="1"/>
  <c r="F305" i="212"/>
  <c r="G305" i="212" s="1"/>
  <c r="F304" i="212"/>
  <c r="G304" i="212" s="1"/>
  <c r="F303" i="212"/>
  <c r="G303" i="212" s="1"/>
  <c r="F302" i="212"/>
  <c r="G302" i="212" s="1"/>
  <c r="F301" i="212"/>
  <c r="G301" i="212" s="1"/>
  <c r="F295" i="212"/>
  <c r="G295" i="212" s="1"/>
  <c r="F293" i="212"/>
  <c r="F275" i="212"/>
  <c r="F271" i="212"/>
  <c r="G271" i="212" s="1"/>
  <c r="F269" i="212"/>
  <c r="G269" i="212" s="1"/>
  <c r="F268" i="212"/>
  <c r="G268" i="212" s="1"/>
  <c r="F267" i="212"/>
  <c r="G267" i="212" s="1"/>
  <c r="F221" i="212"/>
  <c r="G221" i="212" s="1"/>
  <c r="F220" i="212"/>
  <c r="G220" i="212" s="1"/>
  <c r="F219" i="212"/>
  <c r="G219" i="212" s="1"/>
  <c r="F218" i="212"/>
  <c r="G218" i="212" s="1"/>
  <c r="F217" i="212"/>
  <c r="G217" i="212" s="1"/>
  <c r="F216" i="212"/>
  <c r="G216" i="212" s="1"/>
  <c r="F215" i="212"/>
  <c r="G215" i="212" s="1"/>
  <c r="F214" i="212"/>
  <c r="G214" i="212" s="1"/>
  <c r="F213" i="212"/>
  <c r="G213" i="212" s="1"/>
  <c r="F212" i="212"/>
  <c r="G212" i="212" s="1"/>
  <c r="F211" i="212"/>
  <c r="G211" i="212" s="1"/>
  <c r="F204" i="212"/>
  <c r="F191" i="212"/>
  <c r="F183" i="212"/>
  <c r="F178" i="212"/>
  <c r="G178" i="212" s="1"/>
  <c r="F177" i="212"/>
  <c r="G177" i="212" s="1"/>
  <c r="F176" i="212"/>
  <c r="G176" i="212" s="1"/>
  <c r="F175" i="212"/>
  <c r="G175" i="212" s="1"/>
  <c r="F174" i="212"/>
  <c r="G174" i="212" s="1"/>
  <c r="F168" i="212"/>
  <c r="F327" i="212"/>
  <c r="G327" i="212" s="1"/>
  <c r="F326" i="212"/>
  <c r="F299" i="212"/>
  <c r="F289" i="212"/>
  <c r="F288" i="212"/>
  <c r="G288" i="212" s="1"/>
  <c r="F284" i="212"/>
  <c r="F280" i="212"/>
  <c r="G280" i="212" s="1"/>
  <c r="F279" i="212"/>
  <c r="G279" i="212" s="1"/>
  <c r="F278" i="212"/>
  <c r="G278" i="212" s="1"/>
  <c r="F277" i="212"/>
  <c r="G277" i="212" s="1"/>
  <c r="F276" i="212"/>
  <c r="G276" i="212" s="1"/>
  <c r="F260" i="212"/>
  <c r="G260" i="212" s="1"/>
  <c r="F258" i="212"/>
  <c r="G258" i="212" s="1"/>
  <c r="F257" i="212"/>
  <c r="G257" i="212" s="1"/>
  <c r="F256" i="212"/>
  <c r="G256" i="212" s="1"/>
  <c r="F255" i="212"/>
  <c r="G255" i="212" s="1"/>
  <c r="F210" i="212"/>
  <c r="F206" i="212"/>
  <c r="G206" i="212" s="1"/>
  <c r="F205" i="212"/>
  <c r="G205" i="212" s="1"/>
  <c r="F195" i="212"/>
  <c r="F187" i="212"/>
  <c r="F173" i="212"/>
  <c r="F169" i="212"/>
  <c r="G169" i="212" s="1"/>
  <c r="E16" i="10"/>
  <c r="E15" i="10" s="1"/>
  <c r="E18" i="10" s="1"/>
  <c r="N83" i="56"/>
  <c r="K634" i="212"/>
  <c r="D528" i="212"/>
  <c r="K528" i="212"/>
  <c r="G11" i="30"/>
  <c r="G14" i="30" s="1"/>
  <c r="E226" i="212"/>
  <c r="N37" i="30"/>
  <c r="R35" i="30" s="1"/>
  <c r="Q34" i="30"/>
  <c r="Q37" i="30" s="1"/>
  <c r="P34" i="30"/>
  <c r="G35" i="30"/>
  <c r="Q18" i="30"/>
  <c r="P18" i="30"/>
  <c r="E670" i="212"/>
  <c r="F75" i="9" s="1"/>
  <c r="F77" i="9" s="1"/>
  <c r="B552" i="212"/>
  <c r="F552" i="212"/>
  <c r="C605" i="212"/>
  <c r="D376" i="212"/>
  <c r="K376" i="212"/>
  <c r="B373" i="212"/>
  <c r="C376" i="212"/>
  <c r="F373" i="212"/>
  <c r="B71" i="212"/>
  <c r="C73" i="212"/>
  <c r="Q42" i="30"/>
  <c r="P42" i="30"/>
  <c r="Q21" i="30"/>
  <c r="P21" i="30"/>
  <c r="K514" i="212"/>
  <c r="K660" i="212"/>
  <c r="G45" i="30"/>
  <c r="D25" i="233" s="1"/>
  <c r="C358" i="212"/>
  <c r="G75" i="212"/>
  <c r="F108" i="9"/>
  <c r="F107" i="9"/>
  <c r="H107" i="9" s="1"/>
  <c r="F106" i="9"/>
  <c r="F102" i="9"/>
  <c r="F101" i="9"/>
  <c r="J101" i="9" s="1"/>
  <c r="F97" i="9"/>
  <c r="F95" i="9"/>
  <c r="J95" i="9" s="1"/>
  <c r="K48" i="268" l="1"/>
  <c r="G229" i="212"/>
  <c r="G232" i="212" s="1"/>
  <c r="G498" i="212"/>
  <c r="F13" i="264"/>
  <c r="G65" i="268"/>
  <c r="G66" i="268" s="1"/>
  <c r="Q20" i="30"/>
  <c r="R20" i="30" s="1"/>
  <c r="P15" i="261"/>
  <c r="M28" i="243"/>
  <c r="J83" i="9" s="1"/>
  <c r="M12" i="242"/>
  <c r="C12" i="242"/>
  <c r="G36" i="228"/>
  <c r="G29" i="228"/>
  <c r="I29" i="228" s="1"/>
  <c r="G25" i="228"/>
  <c r="I25" i="228" s="1"/>
  <c r="G37" i="228"/>
  <c r="G32" i="228"/>
  <c r="I32" i="228" s="1"/>
  <c r="G28" i="228"/>
  <c r="I28" i="228" s="1"/>
  <c r="G24" i="228"/>
  <c r="I24" i="228" s="1"/>
  <c r="G34" i="228"/>
  <c r="G33" i="228"/>
  <c r="G31" i="228"/>
  <c r="I31" i="228" s="1"/>
  <c r="G27" i="228"/>
  <c r="I27" i="228" s="1"/>
  <c r="G23" i="228"/>
  <c r="I23" i="228" s="1"/>
  <c r="G35" i="228"/>
  <c r="G30" i="228"/>
  <c r="I30" i="228" s="1"/>
  <c r="G26" i="228"/>
  <c r="I26" i="228" s="1"/>
  <c r="G22" i="228"/>
  <c r="I22" i="228" s="1"/>
  <c r="G480" i="212"/>
  <c r="F96" i="9"/>
  <c r="N45" i="30"/>
  <c r="M36" i="229"/>
  <c r="E19" i="12"/>
  <c r="P41" i="30"/>
  <c r="R41" i="30" s="1"/>
  <c r="F613" i="212"/>
  <c r="G611" i="212"/>
  <c r="G613" i="212" s="1"/>
  <c r="D703" i="212"/>
  <c r="D702" i="212"/>
  <c r="F617" i="212"/>
  <c r="G615" i="212"/>
  <c r="G617" i="212" s="1"/>
  <c r="G368" i="212"/>
  <c r="G371" i="212" s="1"/>
  <c r="F371" i="212"/>
  <c r="C702" i="212"/>
  <c r="C703" i="212"/>
  <c r="G42" i="30"/>
  <c r="D24" i="233"/>
  <c r="Q45" i="30"/>
  <c r="G678" i="212"/>
  <c r="F678" i="212" s="1"/>
  <c r="D678" i="212"/>
  <c r="G674" i="212"/>
  <c r="F674" i="212" s="1"/>
  <c r="D674" i="212"/>
  <c r="F484" i="212"/>
  <c r="F208" i="212"/>
  <c r="F98" i="212"/>
  <c r="G93" i="212"/>
  <c r="G98" i="212" s="1"/>
  <c r="C226" i="212"/>
  <c r="D226" i="212"/>
  <c r="P37" i="30"/>
  <c r="R37" i="30" s="1"/>
  <c r="N178" i="9"/>
  <c r="N180" i="9" s="1"/>
  <c r="L180" i="9" s="1"/>
  <c r="J180" i="9" s="1"/>
  <c r="H180" i="9" s="1"/>
  <c r="N101" i="9"/>
  <c r="N95" i="9"/>
  <c r="R42" i="30"/>
  <c r="F376" i="212"/>
  <c r="G373" i="212"/>
  <c r="G376" i="212" s="1"/>
  <c r="F189" i="212"/>
  <c r="G187" i="212"/>
  <c r="G189" i="212" s="1"/>
  <c r="F223" i="212"/>
  <c r="G210" i="212"/>
  <c r="G223" i="212" s="1"/>
  <c r="G299" i="212"/>
  <c r="F193" i="212"/>
  <c r="G191" i="212"/>
  <c r="G193" i="212" s="1"/>
  <c r="F297" i="212"/>
  <c r="G293" i="212"/>
  <c r="G297" i="212" s="1"/>
  <c r="F314" i="212"/>
  <c r="G312" i="212"/>
  <c r="G314" i="212" s="1"/>
  <c r="F381" i="212"/>
  <c r="G378" i="212"/>
  <c r="G381" i="212" s="1"/>
  <c r="F419" i="212"/>
  <c r="E419" i="212" s="1"/>
  <c r="G416" i="212"/>
  <c r="F439" i="212"/>
  <c r="G429" i="212"/>
  <c r="G439" i="212" s="1"/>
  <c r="F488" i="212"/>
  <c r="G486" i="212"/>
  <c r="G488" i="212" s="1"/>
  <c r="F514" i="212"/>
  <c r="G507" i="212"/>
  <c r="G514" i="212" s="1"/>
  <c r="F414" i="212"/>
  <c r="G401" i="212"/>
  <c r="G414" i="212" s="1"/>
  <c r="F478" i="212"/>
  <c r="G469" i="212"/>
  <c r="G478" i="212" s="1"/>
  <c r="F505" i="212"/>
  <c r="I498" i="212" s="1"/>
  <c r="G490" i="212"/>
  <c r="F521" i="212"/>
  <c r="G516" i="212"/>
  <c r="G521" i="212" s="1"/>
  <c r="J107" i="9"/>
  <c r="R34" i="30"/>
  <c r="G19" i="30"/>
  <c r="G22" i="30" s="1"/>
  <c r="R21" i="30" s="1"/>
  <c r="G552" i="212"/>
  <c r="R18" i="30"/>
  <c r="F180" i="212"/>
  <c r="G173" i="212"/>
  <c r="G180" i="212" s="1"/>
  <c r="F197" i="212"/>
  <c r="G195" i="212"/>
  <c r="G197" i="212" s="1"/>
  <c r="F286" i="212"/>
  <c r="E286" i="212" s="1"/>
  <c r="G284" i="212"/>
  <c r="G286" i="212" s="1"/>
  <c r="F291" i="212"/>
  <c r="G289" i="212"/>
  <c r="G291" i="212" s="1"/>
  <c r="F332" i="212"/>
  <c r="G326" i="212"/>
  <c r="F171" i="212"/>
  <c r="G168" i="212"/>
  <c r="G171" i="212" s="1"/>
  <c r="F185" i="212"/>
  <c r="G183" i="212"/>
  <c r="G185" i="212" s="1"/>
  <c r="G204" i="212"/>
  <c r="G208" i="212" s="1"/>
  <c r="F282" i="212"/>
  <c r="G275" i="212"/>
  <c r="G282" i="212" s="1"/>
  <c r="F318" i="212"/>
  <c r="G316" i="212"/>
  <c r="G318" i="212" s="1"/>
  <c r="F427" i="212"/>
  <c r="G421" i="212"/>
  <c r="G427" i="212" s="1"/>
  <c r="F452" i="212"/>
  <c r="G441" i="212"/>
  <c r="G452" i="212" s="1"/>
  <c r="F399" i="212"/>
  <c r="G393" i="212"/>
  <c r="G399" i="212" s="1"/>
  <c r="F467" i="212"/>
  <c r="G454" i="212"/>
  <c r="G467" i="212" s="1"/>
  <c r="G482" i="212"/>
  <c r="F528" i="212"/>
  <c r="G524" i="212"/>
  <c r="G528" i="212" s="1"/>
  <c r="L91" i="9"/>
  <c r="K50" i="268" l="1"/>
  <c r="G505" i="212"/>
  <c r="P45" i="30"/>
  <c r="G484" i="212"/>
  <c r="N31" i="30"/>
  <c r="Q28" i="30"/>
  <c r="Q31" i="30" s="1"/>
  <c r="P28" i="30"/>
  <c r="E703" i="212"/>
  <c r="F703" i="212" s="1"/>
  <c r="F680" i="212" s="1"/>
  <c r="C682" i="212" s="1"/>
  <c r="C685" i="212" s="1"/>
  <c r="C704" i="212"/>
  <c r="N107" i="9"/>
  <c r="N22" i="30"/>
  <c r="K484" i="212"/>
  <c r="K419" i="212"/>
  <c r="G419" i="212" s="1"/>
  <c r="E654" i="212"/>
  <c r="F99" i="9"/>
  <c r="J99" i="9" s="1"/>
  <c r="D704" i="212"/>
  <c r="F87" i="9"/>
  <c r="F86" i="9"/>
  <c r="J86" i="9" s="1"/>
  <c r="F85" i="9"/>
  <c r="J85" i="9" s="1"/>
  <c r="F84" i="9"/>
  <c r="J84" i="9" s="1"/>
  <c r="F83" i="9"/>
  <c r="H83" i="9" s="1"/>
  <c r="F82" i="9"/>
  <c r="J82" i="9" s="1"/>
  <c r="C81" i="9"/>
  <c r="C143" i="9" s="1"/>
  <c r="F80" i="9"/>
  <c r="J75" i="9"/>
  <c r="J74" i="9"/>
  <c r="I58" i="268" l="1"/>
  <c r="K58" i="268" s="1"/>
  <c r="I65" i="268"/>
  <c r="I60" i="268"/>
  <c r="K60" i="268" s="1"/>
  <c r="I59" i="268"/>
  <c r="K59" i="268" s="1"/>
  <c r="J77" i="9"/>
  <c r="P31" i="30"/>
  <c r="R31" i="30" s="1"/>
  <c r="R28" i="30"/>
  <c r="E704" i="212"/>
  <c r="F704" i="212" s="1"/>
  <c r="N74" i="9"/>
  <c r="N12" i="9" s="1"/>
  <c r="N84" i="9"/>
  <c r="N75" i="9"/>
  <c r="N82" i="9"/>
  <c r="N85" i="9"/>
  <c r="N86" i="9"/>
  <c r="N83" i="9"/>
  <c r="N99" i="9"/>
  <c r="D654" i="212"/>
  <c r="K654" i="212"/>
  <c r="F682" i="212"/>
  <c r="E682" i="212" s="1"/>
  <c r="E685" i="212" s="1"/>
  <c r="E688" i="212" s="1"/>
  <c r="G680" i="212"/>
  <c r="Q22" i="30"/>
  <c r="P22" i="30"/>
  <c r="A66" i="9"/>
  <c r="N64" i="9"/>
  <c r="A64" i="9"/>
  <c r="K62" i="268" l="1"/>
  <c r="G18" i="12" s="1"/>
  <c r="K65" i="268"/>
  <c r="H73" i="9"/>
  <c r="H77" i="9" s="1"/>
  <c r="G682" i="212"/>
  <c r="D682" i="212"/>
  <c r="D685" i="212" s="1"/>
  <c r="D688" i="212" s="1"/>
  <c r="R22" i="30"/>
  <c r="E693" i="212"/>
  <c r="N13" i="30" s="1"/>
  <c r="L60" i="9"/>
  <c r="L59" i="9"/>
  <c r="L58" i="9"/>
  <c r="K68" i="268" l="1"/>
  <c r="J112" i="9" s="1"/>
  <c r="P13" i="30"/>
  <c r="Q13" i="30"/>
  <c r="N15" i="30"/>
  <c r="F50" i="9"/>
  <c r="R13" i="30" l="1"/>
  <c r="F46" i="9"/>
  <c r="L45" i="9"/>
  <c r="J45" i="9"/>
  <c r="H45" i="9" s="1"/>
  <c r="F45" i="9"/>
  <c r="L44" i="9"/>
  <c r="F44" i="9"/>
  <c r="L40" i="9"/>
  <c r="F40" i="9"/>
  <c r="N38" i="9" s="1"/>
  <c r="F39" i="260" s="1"/>
  <c r="R39" i="260" s="1"/>
  <c r="G39" i="260" s="1"/>
  <c r="L38" i="9"/>
  <c r="J38" i="9"/>
  <c r="H38" i="9"/>
  <c r="F38" i="9"/>
  <c r="N37" i="9" s="1"/>
  <c r="F38" i="260" s="1"/>
  <c r="R38" i="260" s="1"/>
  <c r="G38" i="260" s="1"/>
  <c r="L37" i="9"/>
  <c r="J37" i="9"/>
  <c r="H37" i="9"/>
  <c r="F37" i="9" s="1"/>
  <c r="L36" i="9"/>
  <c r="H36" i="9"/>
  <c r="L35" i="9"/>
  <c r="L34" i="9"/>
  <c r="L33" i="9"/>
  <c r="J33" i="9"/>
  <c r="H33" i="9"/>
  <c r="F33" i="9"/>
  <c r="L32" i="9"/>
  <c r="F32" i="9"/>
  <c r="L27" i="9"/>
  <c r="H27" i="9"/>
  <c r="L26" i="9"/>
  <c r="L25" i="9"/>
  <c r="F25" i="9"/>
  <c r="N24" i="9" s="1"/>
  <c r="F24" i="260" s="1"/>
  <c r="J24" i="260" s="1"/>
  <c r="L24" i="9"/>
  <c r="J24" i="9"/>
  <c r="H24" i="9"/>
  <c r="F24" i="9"/>
  <c r="N23" i="9" s="1"/>
  <c r="F23" i="260" s="1"/>
  <c r="P23" i="260" s="1"/>
  <c r="L23" i="9"/>
  <c r="J23" i="9"/>
  <c r="H23" i="9"/>
  <c r="F23" i="9"/>
  <c r="N22" i="9" s="1"/>
  <c r="F22" i="260" s="1"/>
  <c r="K22" i="260" s="1"/>
  <c r="L22" i="9"/>
  <c r="J22" i="9"/>
  <c r="H22" i="9"/>
  <c r="F22" i="9"/>
  <c r="N21" i="9" s="1"/>
  <c r="F21" i="260" s="1"/>
  <c r="M21" i="260" s="1"/>
  <c r="L21" i="9"/>
  <c r="J21" i="9"/>
  <c r="H21" i="9"/>
  <c r="F21" i="9"/>
  <c r="N20" i="9" s="1"/>
  <c r="F20" i="260" s="1"/>
  <c r="R20" i="260" s="1"/>
  <c r="G20" i="260" s="1"/>
  <c r="L20" i="9"/>
  <c r="J20" i="9"/>
  <c r="H20" i="9"/>
  <c r="F20" i="9"/>
  <c r="L19" i="9"/>
  <c r="H19" i="9"/>
  <c r="L18" i="9"/>
  <c r="F18" i="9"/>
  <c r="M61" i="260" l="1"/>
  <c r="C37" i="259" s="1"/>
  <c r="C21" i="255" s="1"/>
  <c r="E21" i="255" s="1"/>
  <c r="G21" i="260"/>
  <c r="K61" i="260"/>
  <c r="C34" i="259" s="1"/>
  <c r="C18" i="255" s="1"/>
  <c r="E18" i="255" s="1"/>
  <c r="G22" i="260"/>
  <c r="P61" i="260"/>
  <c r="C40" i="259" s="1"/>
  <c r="C23" i="255" s="1"/>
  <c r="E23" i="255" s="1"/>
  <c r="I23" i="255" s="1"/>
  <c r="L23" i="255" s="1"/>
  <c r="M23" i="255" s="1"/>
  <c r="G23" i="260"/>
  <c r="G24" i="260"/>
  <c r="J61" i="260"/>
  <c r="C33" i="259" s="1"/>
  <c r="C17" i="255" s="1"/>
  <c r="E17" i="255" s="1"/>
  <c r="N45" i="9"/>
  <c r="F47" i="260" s="1"/>
  <c r="V47" i="260" s="1"/>
  <c r="G47" i="260" s="1"/>
  <c r="G12" i="22"/>
  <c r="L13" i="9"/>
  <c r="J13" i="9"/>
  <c r="H13" i="9"/>
  <c r="F13" i="9"/>
  <c r="J12" i="9"/>
  <c r="H12" i="9"/>
  <c r="F12" i="9"/>
  <c r="J21" i="255" l="1"/>
  <c r="F21" i="255"/>
  <c r="J17" i="255"/>
  <c r="F17" i="255"/>
  <c r="F18" i="255"/>
  <c r="J18" i="255"/>
  <c r="J15" i="9"/>
  <c r="F11" i="9"/>
  <c r="D11" i="11" l="1"/>
  <c r="D25" i="10"/>
  <c r="D29" i="10" s="1"/>
  <c r="L17" i="255"/>
  <c r="M17" i="255" s="1"/>
  <c r="L21" i="255"/>
  <c r="M21" i="255" s="1"/>
  <c r="L18" i="255"/>
  <c r="M18" i="255" s="1"/>
  <c r="D10" i="29"/>
  <c r="F15" i="9"/>
  <c r="H11" i="9"/>
  <c r="H15" i="9" s="1"/>
  <c r="E46" i="10" l="1"/>
  <c r="E33" i="10"/>
  <c r="D22" i="29"/>
  <c r="H10" i="29"/>
  <c r="D15" i="39" l="1"/>
  <c r="C11" i="224" s="1"/>
  <c r="D11" i="224" s="1"/>
  <c r="C12" i="39"/>
  <c r="C9" i="39"/>
  <c r="D469" i="211"/>
  <c r="D470" i="211" s="1"/>
  <c r="D466" i="211"/>
  <c r="C13" i="39" l="1"/>
  <c r="D10" i="39" s="1"/>
  <c r="D16" i="39"/>
  <c r="C8" i="224" s="1"/>
  <c r="D8" i="224" s="1"/>
  <c r="Z26" i="56"/>
  <c r="E43" i="227" s="1"/>
  <c r="Z29" i="56"/>
  <c r="E46" i="227" s="1"/>
  <c r="Z28" i="56"/>
  <c r="E45" i="227" s="1"/>
  <c r="Z27" i="56"/>
  <c r="E44" i="227" s="1"/>
  <c r="D17" i="39"/>
  <c r="W836" i="247" l="1"/>
  <c r="W837" i="247" s="1"/>
  <c r="S836" i="247"/>
  <c r="S837" i="247" s="1"/>
  <c r="O836" i="247"/>
  <c r="O837" i="247" s="1"/>
  <c r="G836" i="247"/>
  <c r="G837" i="247" s="1"/>
  <c r="X798" i="247"/>
  <c r="X799" i="247" s="1"/>
  <c r="T798" i="247"/>
  <c r="T799" i="247" s="1"/>
  <c r="P798" i="247"/>
  <c r="P799" i="247" s="1"/>
  <c r="L798" i="247"/>
  <c r="L799" i="247" s="1"/>
  <c r="Y690" i="247"/>
  <c r="Y691" i="247" s="1"/>
  <c r="U690" i="247"/>
  <c r="U691" i="247" s="1"/>
  <c r="Q690" i="247"/>
  <c r="Q691" i="247" s="1"/>
  <c r="M690" i="247"/>
  <c r="M691" i="247" s="1"/>
  <c r="E690" i="247"/>
  <c r="E691" i="247" s="1"/>
  <c r="E854" i="247" s="1"/>
  <c r="D51" i="261" s="1"/>
  <c r="V20" i="247"/>
  <c r="V21" i="247" s="1"/>
  <c r="R20" i="247"/>
  <c r="R21" i="247" s="1"/>
  <c r="N20" i="247"/>
  <c r="N21" i="247" s="1"/>
  <c r="F20" i="247"/>
  <c r="F21" i="247" s="1"/>
  <c r="V836" i="247"/>
  <c r="V837" i="247" s="1"/>
  <c r="R836" i="247"/>
  <c r="R837" i="247" s="1"/>
  <c r="N836" i="247"/>
  <c r="N837" i="247" s="1"/>
  <c r="F836" i="247"/>
  <c r="F837" i="247" s="1"/>
  <c r="W798" i="247"/>
  <c r="W799" i="247" s="1"/>
  <c r="S798" i="247"/>
  <c r="S799" i="247" s="1"/>
  <c r="O798" i="247"/>
  <c r="O799" i="247" s="1"/>
  <c r="G798" i="247"/>
  <c r="G799" i="247" s="1"/>
  <c r="X690" i="247"/>
  <c r="X691" i="247" s="1"/>
  <c r="T690" i="247"/>
  <c r="T691" i="247" s="1"/>
  <c r="P690" i="247"/>
  <c r="P691" i="247" s="1"/>
  <c r="L690" i="247"/>
  <c r="L691" i="247" s="1"/>
  <c r="Y20" i="247"/>
  <c r="Y21" i="247" s="1"/>
  <c r="U20" i="247"/>
  <c r="U21" i="247" s="1"/>
  <c r="Q20" i="247"/>
  <c r="Q21" i="247" s="1"/>
  <c r="M20" i="247"/>
  <c r="M21" i="247" s="1"/>
  <c r="E20" i="247"/>
  <c r="E21" i="247" s="1"/>
  <c r="E853" i="247" s="1"/>
  <c r="T836" i="247"/>
  <c r="T837" i="247" s="1"/>
  <c r="L836" i="247"/>
  <c r="L837" i="247" s="1"/>
  <c r="U798" i="247"/>
  <c r="U799" i="247" s="1"/>
  <c r="M798" i="247"/>
  <c r="M799" i="247" s="1"/>
  <c r="V690" i="247"/>
  <c r="V691" i="247" s="1"/>
  <c r="N690" i="247"/>
  <c r="N691" i="247" s="1"/>
  <c r="W20" i="247"/>
  <c r="W21" i="247" s="1"/>
  <c r="O20" i="247"/>
  <c r="O21" i="247" s="1"/>
  <c r="X836" i="247"/>
  <c r="X837" i="247" s="1"/>
  <c r="M836" i="247"/>
  <c r="M837" i="247" s="1"/>
  <c r="R798" i="247"/>
  <c r="R799" i="247" s="1"/>
  <c r="E798" i="247"/>
  <c r="E799" i="247" s="1"/>
  <c r="E855" i="247" s="1"/>
  <c r="D52" i="261" s="1"/>
  <c r="O690" i="247"/>
  <c r="O691" i="247" s="1"/>
  <c r="T20" i="247"/>
  <c r="T21" i="247" s="1"/>
  <c r="G20" i="247"/>
  <c r="G21" i="247" s="1"/>
  <c r="Q836" i="247"/>
  <c r="Q837" i="247" s="1"/>
  <c r="V798" i="247"/>
  <c r="V799" i="247" s="1"/>
  <c r="W690" i="247"/>
  <c r="W691" i="247" s="1"/>
  <c r="F690" i="247"/>
  <c r="F691" i="247" s="1"/>
  <c r="L20" i="247"/>
  <c r="L21" i="247" s="1"/>
  <c r="P836" i="247"/>
  <c r="P837" i="247" s="1"/>
  <c r="N798" i="247"/>
  <c r="N799" i="247" s="1"/>
  <c r="G690" i="247"/>
  <c r="G691" i="247" s="1"/>
  <c r="E836" i="247"/>
  <c r="E837" i="247" s="1"/>
  <c r="E856" i="247" s="1"/>
  <c r="D53" i="261" s="1"/>
  <c r="F798" i="247"/>
  <c r="F799" i="247" s="1"/>
  <c r="X20" i="247"/>
  <c r="X21" i="247" s="1"/>
  <c r="Q798" i="247"/>
  <c r="Q799" i="247" s="1"/>
  <c r="P20" i="247"/>
  <c r="P21" i="247" s="1"/>
  <c r="S690" i="247"/>
  <c r="S691" i="247" s="1"/>
  <c r="Y836" i="247"/>
  <c r="Y837" i="247" s="1"/>
  <c r="R690" i="247"/>
  <c r="R691" i="247" s="1"/>
  <c r="U836" i="247"/>
  <c r="U837" i="247" s="1"/>
  <c r="Y798" i="247"/>
  <c r="Y799" i="247" s="1"/>
  <c r="S20" i="247"/>
  <c r="S21" i="247" s="1"/>
  <c r="D7" i="39"/>
  <c r="B119" i="226" s="1"/>
  <c r="C12" i="224"/>
  <c r="D12" i="224" s="1"/>
  <c r="C26" i="226"/>
  <c r="E67" i="227"/>
  <c r="I67" i="227" s="1"/>
  <c r="E35" i="228"/>
  <c r="I35" i="228" s="1"/>
  <c r="I44" i="227"/>
  <c r="M44" i="227"/>
  <c r="E69" i="227"/>
  <c r="I69" i="227" s="1"/>
  <c r="E37" i="228"/>
  <c r="I37" i="228" s="1"/>
  <c r="I46" i="227"/>
  <c r="M46" i="227"/>
  <c r="E36" i="228"/>
  <c r="I36" i="228" s="1"/>
  <c r="M45" i="227"/>
  <c r="E68" i="227"/>
  <c r="I68" i="227" s="1"/>
  <c r="I45" i="227"/>
  <c r="I43" i="227"/>
  <c r="E66" i="227"/>
  <c r="I66" i="227" s="1"/>
  <c r="E34" i="228"/>
  <c r="I34" i="228" s="1"/>
  <c r="M43" i="227"/>
  <c r="I47" i="19"/>
  <c r="Z25" i="56"/>
  <c r="E42" i="227" s="1"/>
  <c r="D15" i="214"/>
  <c r="F55" i="215"/>
  <c r="G106" i="216"/>
  <c r="G104" i="216"/>
  <c r="G102" i="216"/>
  <c r="G100" i="216"/>
  <c r="G98" i="216"/>
  <c r="G96" i="216"/>
  <c r="G94" i="216"/>
  <c r="G90" i="216"/>
  <c r="G88" i="216"/>
  <c r="G86" i="216"/>
  <c r="G82" i="216"/>
  <c r="G78" i="216"/>
  <c r="G74" i="216"/>
  <c r="G70" i="216"/>
  <c r="G62" i="216"/>
  <c r="G60" i="216"/>
  <c r="G56" i="216"/>
  <c r="G52" i="216"/>
  <c r="G48" i="216"/>
  <c r="G42" i="216"/>
  <c r="G38" i="216"/>
  <c r="G105" i="216"/>
  <c r="G103" i="216"/>
  <c r="G101" i="216"/>
  <c r="G99" i="216"/>
  <c r="G97" i="216"/>
  <c r="G95" i="216"/>
  <c r="G93" i="216"/>
  <c r="G91" i="216"/>
  <c r="G89" i="216"/>
  <c r="G87" i="216"/>
  <c r="G85" i="216"/>
  <c r="G83" i="216"/>
  <c r="G81" i="216"/>
  <c r="G79" i="216"/>
  <c r="G77" i="216"/>
  <c r="G75" i="216"/>
  <c r="G73" i="216"/>
  <c r="G71" i="216"/>
  <c r="G69" i="216"/>
  <c r="G63" i="216"/>
  <c r="G61" i="216"/>
  <c r="G59" i="216"/>
  <c r="G57" i="216"/>
  <c r="G55" i="216"/>
  <c r="G53" i="216"/>
  <c r="G51" i="216"/>
  <c r="G49" i="216"/>
  <c r="G47" i="216"/>
  <c r="G45" i="216"/>
  <c r="G43" i="216"/>
  <c r="G41" i="216"/>
  <c r="G39" i="216"/>
  <c r="G37" i="216"/>
  <c r="G92" i="216"/>
  <c r="G84" i="216"/>
  <c r="G80" i="216"/>
  <c r="G76" i="216"/>
  <c r="G72" i="216"/>
  <c r="G58" i="216"/>
  <c r="G54" i="216"/>
  <c r="G50" i="216"/>
  <c r="G46" i="216"/>
  <c r="G44" i="216"/>
  <c r="G40" i="216"/>
  <c r="T52" i="56"/>
  <c r="P52" i="56"/>
  <c r="J52" i="56"/>
  <c r="F52" i="56"/>
  <c r="R52" i="56"/>
  <c r="L52" i="56"/>
  <c r="H52" i="56"/>
  <c r="R50" i="56"/>
  <c r="J50" i="56"/>
  <c r="T50" i="56"/>
  <c r="P50" i="56"/>
  <c r="L50" i="56"/>
  <c r="H50" i="56"/>
  <c r="V50" i="56"/>
  <c r="F50" i="56"/>
  <c r="R51" i="56"/>
  <c r="T51" i="56"/>
  <c r="P51" i="56"/>
  <c r="J51" i="56"/>
  <c r="F51" i="56"/>
  <c r="L51" i="56"/>
  <c r="H51" i="56"/>
  <c r="F53" i="56"/>
  <c r="T53" i="56"/>
  <c r="P53" i="56"/>
  <c r="L53" i="56"/>
  <c r="H53" i="56"/>
  <c r="V53" i="56"/>
  <c r="R53" i="56"/>
  <c r="J53" i="56"/>
  <c r="D50" i="261" l="1"/>
  <c r="O50" i="261" s="1"/>
  <c r="P50" i="261" s="1"/>
  <c r="E857" i="247"/>
  <c r="I53" i="19"/>
  <c r="J96" i="9" s="1"/>
  <c r="S848" i="247"/>
  <c r="X848" i="247"/>
  <c r="T848" i="247"/>
  <c r="Q848" i="247"/>
  <c r="U848" i="247"/>
  <c r="R848" i="247"/>
  <c r="N848" i="247"/>
  <c r="P848" i="247"/>
  <c r="L848" i="247"/>
  <c r="O848" i="247"/>
  <c r="E848" i="247"/>
  <c r="G27" i="26" s="1"/>
  <c r="Y848" i="247"/>
  <c r="V848" i="247"/>
  <c r="G848" i="247"/>
  <c r="W848" i="247"/>
  <c r="M848" i="247"/>
  <c r="F848" i="247"/>
  <c r="G23" i="229" s="1"/>
  <c r="C7" i="224"/>
  <c r="D7" i="224" s="1"/>
  <c r="C9" i="224"/>
  <c r="D9" i="224" s="1"/>
  <c r="E33" i="228"/>
  <c r="I33" i="228" s="1"/>
  <c r="I39" i="228" s="1"/>
  <c r="I42" i="227"/>
  <c r="I48" i="227" s="1"/>
  <c r="M42" i="227"/>
  <c r="M48" i="227" s="1"/>
  <c r="E65" i="227"/>
  <c r="I65" i="227" s="1"/>
  <c r="I71" i="227" s="1"/>
  <c r="I53" i="216"/>
  <c r="C49" i="226"/>
  <c r="H26" i="226"/>
  <c r="J26" i="226"/>
  <c r="C28" i="226"/>
  <c r="I90" i="216"/>
  <c r="I70" i="216"/>
  <c r="I86" i="216"/>
  <c r="I38" i="216"/>
  <c r="I75" i="216"/>
  <c r="I52" i="216"/>
  <c r="I88" i="216"/>
  <c r="I60" i="216"/>
  <c r="I45" i="216"/>
  <c r="I83" i="216"/>
  <c r="I78" i="216"/>
  <c r="I43" i="216"/>
  <c r="I62" i="216"/>
  <c r="G26" i="216"/>
  <c r="P49" i="56"/>
  <c r="P54" i="56" s="1"/>
  <c r="F49" i="56"/>
  <c r="L49" i="56"/>
  <c r="V49" i="56"/>
  <c r="T49" i="56" s="1"/>
  <c r="J49" i="56"/>
  <c r="R49" i="56"/>
  <c r="H49" i="56"/>
  <c r="N53" i="56"/>
  <c r="I49" i="216"/>
  <c r="I57" i="216"/>
  <c r="I71" i="216"/>
  <c r="I79" i="216"/>
  <c r="I91" i="216"/>
  <c r="I42" i="216"/>
  <c r="I96" i="216"/>
  <c r="I100" i="216"/>
  <c r="I46" i="216"/>
  <c r="I54" i="216"/>
  <c r="I76" i="216"/>
  <c r="I84" i="216"/>
  <c r="I104" i="216"/>
  <c r="I37" i="216"/>
  <c r="I61" i="216"/>
  <c r="I87" i="216"/>
  <c r="X53" i="56"/>
  <c r="N52" i="56"/>
  <c r="Y15" i="214"/>
  <c r="U15" i="214"/>
  <c r="Q15" i="214"/>
  <c r="M15" i="214"/>
  <c r="I15" i="214"/>
  <c r="AD15" i="214"/>
  <c r="W15" i="214"/>
  <c r="R80" i="56" s="1"/>
  <c r="S15" i="214"/>
  <c r="O15" i="214"/>
  <c r="K15" i="214"/>
  <c r="G15" i="214"/>
  <c r="E15" i="214" s="1"/>
  <c r="N50" i="56"/>
  <c r="X50" i="56"/>
  <c r="I39" i="216"/>
  <c r="I63" i="216"/>
  <c r="I40" i="216"/>
  <c r="I44" i="216"/>
  <c r="I48" i="216"/>
  <c r="I56" i="216"/>
  <c r="I74" i="216"/>
  <c r="I82" i="216"/>
  <c r="I94" i="216"/>
  <c r="I98" i="216"/>
  <c r="I102" i="216"/>
  <c r="I106" i="216"/>
  <c r="I41" i="216"/>
  <c r="I51" i="216"/>
  <c r="I59" i="216"/>
  <c r="I69" i="216"/>
  <c r="I77" i="216"/>
  <c r="I85" i="216"/>
  <c r="I89" i="216"/>
  <c r="I95" i="216"/>
  <c r="I99" i="216"/>
  <c r="I103" i="216"/>
  <c r="N51" i="56"/>
  <c r="P55" i="215"/>
  <c r="P57" i="215" s="1"/>
  <c r="V55" i="215"/>
  <c r="V57" i="215" s="1"/>
  <c r="R55" i="215"/>
  <c r="N55" i="215"/>
  <c r="J55" i="215"/>
  <c r="H55" i="215" s="1"/>
  <c r="X55" i="215"/>
  <c r="T55" i="215"/>
  <c r="L55" i="215"/>
  <c r="I50" i="216"/>
  <c r="I58" i="216"/>
  <c r="I72" i="216"/>
  <c r="I80" i="216"/>
  <c r="I92" i="216"/>
  <c r="I47" i="216"/>
  <c r="I55" i="216"/>
  <c r="I73" i="216"/>
  <c r="I81" i="216"/>
  <c r="I93" i="216"/>
  <c r="I97" i="216"/>
  <c r="I101" i="216"/>
  <c r="I105" i="216"/>
  <c r="G29" i="26" l="1"/>
  <c r="K54" i="268"/>
  <c r="N96" i="9"/>
  <c r="J34" i="9"/>
  <c r="H96" i="9"/>
  <c r="H34" i="9" s="1"/>
  <c r="F34" i="9" s="1"/>
  <c r="N33" i="9" s="1"/>
  <c r="F34" i="260" s="1"/>
  <c r="G13" i="229"/>
  <c r="D13" i="224"/>
  <c r="H40" i="9" s="1"/>
  <c r="C30" i="226"/>
  <c r="C31" i="226"/>
  <c r="H49" i="226"/>
  <c r="H28" i="226"/>
  <c r="M50" i="227"/>
  <c r="M51" i="227"/>
  <c r="I42" i="228"/>
  <c r="I41" i="228"/>
  <c r="J49" i="226"/>
  <c r="J28" i="226"/>
  <c r="C114" i="226"/>
  <c r="C116" i="226" s="1"/>
  <c r="C72" i="226"/>
  <c r="C51" i="226"/>
  <c r="I73" i="227"/>
  <c r="I74" i="227"/>
  <c r="I50" i="227"/>
  <c r="I51" i="227"/>
  <c r="N49" i="56"/>
  <c r="X49" i="56"/>
  <c r="J57" i="215"/>
  <c r="N80" i="56"/>
  <c r="J80" i="56" s="1"/>
  <c r="I109" i="216"/>
  <c r="S34" i="260" l="1"/>
  <c r="R34" i="260" s="1"/>
  <c r="G34" i="260" s="1"/>
  <c r="K56" i="268"/>
  <c r="J106" i="9" s="1"/>
  <c r="C95" i="226"/>
  <c r="C97" i="226" s="1"/>
  <c r="C74" i="226"/>
  <c r="J30" i="226"/>
  <c r="J31" i="226"/>
  <c r="J25" i="9"/>
  <c r="H87" i="9"/>
  <c r="H25" i="9" s="1"/>
  <c r="N87" i="9"/>
  <c r="J25" i="229"/>
  <c r="M25" i="229"/>
  <c r="I25" i="229"/>
  <c r="H72" i="226"/>
  <c r="H74" i="226" s="1"/>
  <c r="H51" i="226"/>
  <c r="J15" i="229"/>
  <c r="I15" i="229"/>
  <c r="M15" i="229"/>
  <c r="C54" i="226"/>
  <c r="C53" i="226"/>
  <c r="J72" i="226"/>
  <c r="J51" i="226"/>
  <c r="H30" i="226"/>
  <c r="H31" i="226"/>
  <c r="J95" i="226" l="1"/>
  <c r="J97" i="226" s="1"/>
  <c r="J74" i="226"/>
  <c r="H95" i="226"/>
  <c r="H97" i="226" s="1"/>
  <c r="C99" i="226"/>
  <c r="C100" i="226"/>
  <c r="J53" i="226"/>
  <c r="J54" i="226"/>
  <c r="H54" i="226"/>
  <c r="H53" i="226"/>
  <c r="C77" i="226"/>
  <c r="C76" i="226"/>
  <c r="C103" i="226" l="1"/>
  <c r="H76" i="226"/>
  <c r="H77" i="226"/>
  <c r="J77" i="226"/>
  <c r="J76" i="226"/>
  <c r="C104" i="226"/>
  <c r="H100" i="226"/>
  <c r="H99" i="226"/>
  <c r="J99" i="226"/>
  <c r="J103" i="226" s="1"/>
  <c r="J100" i="226"/>
  <c r="H104" i="226" l="1"/>
  <c r="H103" i="226"/>
  <c r="J104" i="226"/>
  <c r="K56" i="19"/>
  <c r="M56" i="19" s="1"/>
  <c r="D10" i="213" l="1"/>
  <c r="G16" i="26"/>
  <c r="G18" i="26" s="1"/>
  <c r="F81" i="9"/>
  <c r="J81" i="9" s="1"/>
  <c r="I26" i="216"/>
  <c r="G27" i="216"/>
  <c r="I27" i="216" s="1"/>
  <c r="G28" i="216"/>
  <c r="I28" i="216" s="1"/>
  <c r="G29" i="216"/>
  <c r="I29" i="216" s="1"/>
  <c r="G30" i="216"/>
  <c r="I30" i="216" s="1"/>
  <c r="I65" i="216"/>
  <c r="I116" i="216" s="1"/>
  <c r="I117" i="216"/>
  <c r="J89" i="9"/>
  <c r="V38" i="56"/>
  <c r="V39" i="56"/>
  <c r="V40" i="56"/>
  <c r="V41" i="56"/>
  <c r="V42" i="56"/>
  <c r="V43" i="56"/>
  <c r="V44" i="56"/>
  <c r="X44" i="56" s="1"/>
  <c r="V45" i="56"/>
  <c r="V46" i="56"/>
  <c r="V51" i="56"/>
  <c r="X51" i="56" s="1"/>
  <c r="F98" i="9"/>
  <c r="J98" i="9" s="1"/>
  <c r="J102" i="9"/>
  <c r="I23" i="53"/>
  <c r="K23" i="53"/>
  <c r="G24" i="53"/>
  <c r="I24" i="53"/>
  <c r="K24" i="53"/>
  <c r="G25" i="53"/>
  <c r="I25" i="53"/>
  <c r="K25" i="53"/>
  <c r="S23" i="53"/>
  <c r="U23" i="53"/>
  <c r="O25" i="53"/>
  <c r="O27" i="53" s="1"/>
  <c r="Q25" i="53"/>
  <c r="Q27" i="53" s="1"/>
  <c r="S25" i="53"/>
  <c r="U25" i="53"/>
  <c r="M20" i="12"/>
  <c r="M21" i="12"/>
  <c r="N13" i="9"/>
  <c r="F11" i="260" s="1"/>
  <c r="Z11" i="260" s="1"/>
  <c r="G11" i="260" s="1"/>
  <c r="N25" i="9"/>
  <c r="F25" i="260" s="1"/>
  <c r="L25" i="260" s="1"/>
  <c r="G25" i="260" s="1"/>
  <c r="N34" i="9"/>
  <c r="F35" i="260" s="1"/>
  <c r="R35" i="260" s="1"/>
  <c r="F121" i="9"/>
  <c r="J121" i="9" s="1"/>
  <c r="J120" i="9"/>
  <c r="J58" i="9" s="1"/>
  <c r="F109" i="9"/>
  <c r="J109" i="9" s="1"/>
  <c r="F122" i="9"/>
  <c r="F60" i="9" s="1"/>
  <c r="F26" i="9"/>
  <c r="F36" i="29"/>
  <c r="C12" i="45"/>
  <c r="C16" i="45" s="1"/>
  <c r="F35" i="9"/>
  <c r="L85" i="56"/>
  <c r="E308" i="212"/>
  <c r="D324" i="212"/>
  <c r="D335" i="212" s="1"/>
  <c r="C324" i="212"/>
  <c r="C335" i="212" s="1"/>
  <c r="G332" i="212"/>
  <c r="C701" i="212"/>
  <c r="D701" i="212"/>
  <c r="F531" i="212"/>
  <c r="F532" i="212"/>
  <c r="F533" i="212"/>
  <c r="G533" i="212" s="1"/>
  <c r="F534" i="212"/>
  <c r="G534" i="212" s="1"/>
  <c r="F553" i="212"/>
  <c r="G553" i="212" s="1"/>
  <c r="F554" i="212"/>
  <c r="G554" i="212" s="1"/>
  <c r="F555" i="212"/>
  <c r="G555" i="212" s="1"/>
  <c r="F556" i="212"/>
  <c r="G556" i="212" s="1"/>
  <c r="F558" i="212"/>
  <c r="G558" i="212" s="1"/>
  <c r="F559" i="212"/>
  <c r="G559" i="212" s="1"/>
  <c r="F560" i="212"/>
  <c r="G560" i="212" s="1"/>
  <c r="F561" i="212"/>
  <c r="G561" i="212" s="1"/>
  <c r="F562" i="212"/>
  <c r="G562" i="212" s="1"/>
  <c r="F563" i="212"/>
  <c r="G563" i="212" s="1"/>
  <c r="F564" i="212"/>
  <c r="G564" i="212" s="1"/>
  <c r="F565" i="212"/>
  <c r="G565" i="212" s="1"/>
  <c r="F566" i="212"/>
  <c r="G566" i="212" s="1"/>
  <c r="F567" i="212"/>
  <c r="G567" i="212" s="1"/>
  <c r="F568" i="212"/>
  <c r="G568" i="212" s="1"/>
  <c r="F569" i="212"/>
  <c r="G569" i="212" s="1"/>
  <c r="F570" i="212"/>
  <c r="G570" i="212" s="1"/>
  <c r="F571" i="212"/>
  <c r="G571" i="212" s="1"/>
  <c r="F572" i="212"/>
  <c r="G572" i="212" s="1"/>
  <c r="F573" i="212"/>
  <c r="G573" i="212" s="1"/>
  <c r="F574" i="212"/>
  <c r="G574" i="212" s="1"/>
  <c r="F576" i="212"/>
  <c r="G576" i="212" s="1"/>
  <c r="F577" i="212"/>
  <c r="G577" i="212" s="1"/>
  <c r="F578" i="212"/>
  <c r="G578" i="212" s="1"/>
  <c r="F619" i="212"/>
  <c r="G619" i="212" s="1"/>
  <c r="F621" i="212"/>
  <c r="G621" i="212" s="1"/>
  <c r="F622" i="212"/>
  <c r="G622" i="212" s="1"/>
  <c r="F339" i="212"/>
  <c r="G339" i="212" s="1"/>
  <c r="F340" i="212"/>
  <c r="G340" i="212" s="1"/>
  <c r="F341" i="212"/>
  <c r="G341" i="212" s="1"/>
  <c r="F342" i="212"/>
  <c r="G342" i="212" s="1"/>
  <c r="F343" i="212"/>
  <c r="G343" i="212" s="1"/>
  <c r="F344" i="212"/>
  <c r="G344" i="212" s="1"/>
  <c r="F346" i="212"/>
  <c r="G346" i="212" s="1"/>
  <c r="F355" i="212"/>
  <c r="G355" i="212" s="1"/>
  <c r="F356" i="212"/>
  <c r="G356" i="212" s="1"/>
  <c r="G531" i="212"/>
  <c r="G47" i="30"/>
  <c r="G703" i="212"/>
  <c r="H703" i="212" s="1"/>
  <c r="F9" i="212"/>
  <c r="F10" i="212"/>
  <c r="F11" i="212"/>
  <c r="F13" i="212"/>
  <c r="F14" i="212"/>
  <c r="F15" i="212"/>
  <c r="F16" i="212"/>
  <c r="F17" i="212"/>
  <c r="F18" i="212"/>
  <c r="F20" i="212"/>
  <c r="F21" i="212"/>
  <c r="F22" i="212"/>
  <c r="F23" i="212"/>
  <c r="F24" i="212"/>
  <c r="F25" i="212"/>
  <c r="F26" i="212"/>
  <c r="F27" i="212"/>
  <c r="F28" i="212"/>
  <c r="F29" i="212"/>
  <c r="F30" i="212"/>
  <c r="G30" i="212" s="1"/>
  <c r="F31" i="212"/>
  <c r="F32" i="212"/>
  <c r="F33" i="212"/>
  <c r="F34" i="212"/>
  <c r="F36" i="212"/>
  <c r="F37" i="212"/>
  <c r="F38" i="212"/>
  <c r="G38" i="212" s="1"/>
  <c r="F39" i="212"/>
  <c r="G39" i="212" s="1"/>
  <c r="E702" i="212"/>
  <c r="F76" i="212"/>
  <c r="F77" i="212"/>
  <c r="F78" i="212"/>
  <c r="F101" i="212"/>
  <c r="G101" i="212" s="1"/>
  <c r="F102" i="212"/>
  <c r="G102" i="212" s="1"/>
  <c r="F103" i="212"/>
  <c r="G103" i="212" s="1"/>
  <c r="F104" i="212"/>
  <c r="G104" i="212" s="1"/>
  <c r="F106" i="212"/>
  <c r="G106" i="212" s="1"/>
  <c r="F107" i="212"/>
  <c r="G107" i="212" s="1"/>
  <c r="F108" i="212"/>
  <c r="G108" i="212" s="1"/>
  <c r="F109" i="212"/>
  <c r="G109" i="212" s="1"/>
  <c r="F110" i="212"/>
  <c r="G110" i="212" s="1"/>
  <c r="F111" i="212"/>
  <c r="G111" i="212" s="1"/>
  <c r="F112" i="212"/>
  <c r="G112" i="212" s="1"/>
  <c r="F113" i="212"/>
  <c r="G113" i="212" s="1"/>
  <c r="F114" i="212"/>
  <c r="G114" i="212" s="1"/>
  <c r="F115" i="212"/>
  <c r="G115" i="212" s="1"/>
  <c r="F116" i="212"/>
  <c r="G116" i="212" s="1"/>
  <c r="F117" i="212"/>
  <c r="G117" i="212" s="1"/>
  <c r="F118" i="212"/>
  <c r="G118" i="212" s="1"/>
  <c r="F119" i="212"/>
  <c r="G119" i="212" s="1"/>
  <c r="F120" i="212"/>
  <c r="G120" i="212" s="1"/>
  <c r="F121" i="212"/>
  <c r="G121" i="212" s="1"/>
  <c r="F122" i="212"/>
  <c r="G122" i="212" s="1"/>
  <c r="F123" i="212"/>
  <c r="G123" i="212" s="1"/>
  <c r="F125" i="212"/>
  <c r="G125" i="212" s="1"/>
  <c r="F126" i="212"/>
  <c r="G126" i="212" s="1"/>
  <c r="F127" i="212"/>
  <c r="G127" i="212" s="1"/>
  <c r="F157" i="212"/>
  <c r="G157" i="212" s="1"/>
  <c r="F158" i="212"/>
  <c r="G158" i="212" s="1"/>
  <c r="F159" i="212"/>
  <c r="G159" i="212" s="1"/>
  <c r="F236" i="212"/>
  <c r="G35" i="26" s="1"/>
  <c r="G39" i="26" s="1"/>
  <c r="F237" i="212"/>
  <c r="G237" i="212" s="1"/>
  <c r="F242" i="212"/>
  <c r="G242" i="212" s="1"/>
  <c r="F244" i="212"/>
  <c r="G244" i="212" s="1"/>
  <c r="F245" i="212"/>
  <c r="G245" i="212" s="1"/>
  <c r="F164" i="212"/>
  <c r="G164" i="212" s="1"/>
  <c r="G166" i="212" s="1"/>
  <c r="F71" i="212"/>
  <c r="G700" i="212"/>
  <c r="H700" i="212" s="1"/>
  <c r="H59" i="9"/>
  <c r="G704" i="212"/>
  <c r="H704" i="212" s="1"/>
  <c r="Q12" i="30"/>
  <c r="R12" i="30" s="1"/>
  <c r="P15" i="30"/>
  <c r="R45" i="30"/>
  <c r="T46" i="56"/>
  <c r="R46" i="56"/>
  <c r="T45" i="56"/>
  <c r="R45" i="56"/>
  <c r="T43" i="56"/>
  <c r="R43" i="56"/>
  <c r="T42" i="56"/>
  <c r="R42" i="56"/>
  <c r="T41" i="56"/>
  <c r="R41" i="56"/>
  <c r="T40" i="56"/>
  <c r="R40" i="56"/>
  <c r="T39" i="56"/>
  <c r="R39" i="56"/>
  <c r="T38" i="56"/>
  <c r="V83" i="56"/>
  <c r="L29" i="9"/>
  <c r="N82" i="48"/>
  <c r="P82" i="48" s="1"/>
  <c r="N85" i="48"/>
  <c r="P85" i="48" s="1"/>
  <c r="N88" i="48"/>
  <c r="P88" i="48" s="1"/>
  <c r="N100" i="48"/>
  <c r="P100" i="48" s="1"/>
  <c r="P102" i="48" s="1"/>
  <c r="N12" i="48"/>
  <c r="R12" i="48" s="1"/>
  <c r="N9" i="48"/>
  <c r="P9" i="48" s="1"/>
  <c r="N14" i="48"/>
  <c r="P14" i="48" s="1"/>
  <c r="N16" i="48"/>
  <c r="P16" i="48" s="1"/>
  <c r="N65" i="48"/>
  <c r="P65" i="48" s="1"/>
  <c r="N66" i="48"/>
  <c r="P66" i="48" s="1"/>
  <c r="N68" i="48"/>
  <c r="P68" i="48" s="1"/>
  <c r="N70" i="48"/>
  <c r="P70" i="48" s="1"/>
  <c r="N72" i="48"/>
  <c r="P72" i="48" s="1"/>
  <c r="G20" i="26" l="1"/>
  <c r="G32" i="26" s="1"/>
  <c r="H106" i="9" s="1"/>
  <c r="G35" i="260"/>
  <c r="G78" i="212"/>
  <c r="O53" i="261"/>
  <c r="P53" i="261" s="1"/>
  <c r="G34" i="212"/>
  <c r="O39" i="261"/>
  <c r="P39" i="261" s="1"/>
  <c r="G26" i="212"/>
  <c r="K31" i="261"/>
  <c r="G22" i="212"/>
  <c r="H27" i="261"/>
  <c r="P27" i="261" s="1"/>
  <c r="G17" i="212"/>
  <c r="F21" i="261"/>
  <c r="P21" i="261" s="1"/>
  <c r="G13" i="212"/>
  <c r="F16" i="261"/>
  <c r="G71" i="212"/>
  <c r="G73" i="212" s="1"/>
  <c r="G77" i="212"/>
  <c r="O52" i="261"/>
  <c r="P52" i="261" s="1"/>
  <c r="G33" i="212"/>
  <c r="O38" i="261"/>
  <c r="P38" i="261" s="1"/>
  <c r="G29" i="212"/>
  <c r="N34" i="261"/>
  <c r="P34" i="261" s="1"/>
  <c r="G25" i="212"/>
  <c r="L30" i="261"/>
  <c r="G21" i="212"/>
  <c r="N26" i="261"/>
  <c r="P26" i="261" s="1"/>
  <c r="G16" i="212"/>
  <c r="O19" i="261"/>
  <c r="G11" i="212"/>
  <c r="N14" i="261"/>
  <c r="G76" i="212"/>
  <c r="G37" i="212"/>
  <c r="O42" i="261"/>
  <c r="P42" i="261" s="1"/>
  <c r="G32" i="212"/>
  <c r="O37" i="261"/>
  <c r="P37" i="261" s="1"/>
  <c r="G28" i="212"/>
  <c r="M33" i="261"/>
  <c r="G24" i="212"/>
  <c r="J29" i="261"/>
  <c r="G20" i="212"/>
  <c r="H25" i="261"/>
  <c r="P25" i="261" s="1"/>
  <c r="G15" i="212"/>
  <c r="N18" i="261"/>
  <c r="P18" i="261" s="1"/>
  <c r="G10" i="212"/>
  <c r="E11" i="261"/>
  <c r="P11" i="261" s="1"/>
  <c r="G36" i="212"/>
  <c r="O41" i="261"/>
  <c r="P41" i="261" s="1"/>
  <c r="G31" i="212"/>
  <c r="O36" i="261"/>
  <c r="P36" i="261" s="1"/>
  <c r="G27" i="212"/>
  <c r="K32" i="261"/>
  <c r="P32" i="261" s="1"/>
  <c r="G23" i="212"/>
  <c r="G18" i="212"/>
  <c r="F22" i="261"/>
  <c r="P22" i="261" s="1"/>
  <c r="G14" i="212"/>
  <c r="H17" i="261"/>
  <c r="G9" i="212"/>
  <c r="E10" i="261"/>
  <c r="F47" i="9"/>
  <c r="F52" i="9" s="1"/>
  <c r="D10" i="233"/>
  <c r="G48" i="30"/>
  <c r="H220" i="49"/>
  <c r="H221" i="49" s="1"/>
  <c r="J50" i="9"/>
  <c r="G27" i="53"/>
  <c r="X41" i="56"/>
  <c r="X45" i="56"/>
  <c r="X46" i="56"/>
  <c r="X38" i="56"/>
  <c r="T54" i="56"/>
  <c r="X43" i="56"/>
  <c r="X42" i="56"/>
  <c r="R54" i="56"/>
  <c r="X40" i="56"/>
  <c r="R14" i="48"/>
  <c r="X27" i="56"/>
  <c r="E310" i="212"/>
  <c r="N19" i="30" s="1"/>
  <c r="N74" i="48"/>
  <c r="F252" i="212"/>
  <c r="E701" i="212"/>
  <c r="F701" i="212" s="1"/>
  <c r="F308" i="212"/>
  <c r="F310" i="212" s="1"/>
  <c r="N89" i="48"/>
  <c r="R68" i="48"/>
  <c r="R72" i="48"/>
  <c r="R65" i="48"/>
  <c r="S27" i="53"/>
  <c r="N102" i="48"/>
  <c r="U27" i="53"/>
  <c r="X39" i="56"/>
  <c r="I27" i="53"/>
  <c r="K27" i="53"/>
  <c r="F104" i="9"/>
  <c r="F19" i="9"/>
  <c r="G605" i="212"/>
  <c r="F80" i="212"/>
  <c r="W23" i="53"/>
  <c r="M23" i="53"/>
  <c r="E27" i="53"/>
  <c r="C10" i="54" s="1"/>
  <c r="N120" i="9"/>
  <c r="R9" i="48"/>
  <c r="R70" i="48"/>
  <c r="R66" i="48"/>
  <c r="R16" i="48"/>
  <c r="R100" i="48"/>
  <c r="R85" i="48"/>
  <c r="P89" i="48"/>
  <c r="Q15" i="30"/>
  <c r="F166" i="212"/>
  <c r="F91" i="9"/>
  <c r="F36" i="9"/>
  <c r="F114" i="9"/>
  <c r="W25" i="53"/>
  <c r="M24" i="53"/>
  <c r="V28" i="56"/>
  <c r="F550" i="212"/>
  <c r="M25" i="53"/>
  <c r="J27" i="9"/>
  <c r="N89" i="9"/>
  <c r="N27" i="9" s="1"/>
  <c r="F27" i="260" s="1"/>
  <c r="R27" i="260" s="1"/>
  <c r="G27" i="260" s="1"/>
  <c r="F27" i="9"/>
  <c r="F39" i="9"/>
  <c r="N102" i="9"/>
  <c r="J36" i="9"/>
  <c r="J40" i="9"/>
  <c r="G702" i="212"/>
  <c r="F702" i="212"/>
  <c r="J19" i="9"/>
  <c r="N81" i="9"/>
  <c r="G628" i="212"/>
  <c r="P12" i="48"/>
  <c r="P74" i="48" s="1"/>
  <c r="R88" i="48"/>
  <c r="R82" i="48"/>
  <c r="F161" i="212"/>
  <c r="F69" i="212"/>
  <c r="G532" i="212"/>
  <c r="G550" i="212" s="1"/>
  <c r="F605" i="212"/>
  <c r="F59" i="9"/>
  <c r="N98" i="9"/>
  <c r="F628" i="212"/>
  <c r="I32" i="216"/>
  <c r="I115" i="216" s="1"/>
  <c r="I118" i="216" s="1"/>
  <c r="N88" i="9" s="1"/>
  <c r="J59" i="9"/>
  <c r="N121" i="9"/>
  <c r="G161" i="212"/>
  <c r="F73" i="212"/>
  <c r="G236" i="212"/>
  <c r="G252" i="212" s="1"/>
  <c r="N28" i="261" l="1"/>
  <c r="P28" i="261" s="1"/>
  <c r="G80" i="212"/>
  <c r="G69" i="212"/>
  <c r="D44" i="261"/>
  <c r="P17" i="261"/>
  <c r="H62" i="261"/>
  <c r="C7" i="259" s="1"/>
  <c r="D15" i="254" s="1"/>
  <c r="P33" i="261"/>
  <c r="M62" i="261"/>
  <c r="C12" i="259" s="1"/>
  <c r="D20" i="254" s="1"/>
  <c r="N62" i="261"/>
  <c r="C13" i="259" s="1"/>
  <c r="D21" i="254" s="1"/>
  <c r="P14" i="261"/>
  <c r="F62" i="261"/>
  <c r="C5" i="259" s="1"/>
  <c r="D13" i="254" s="1"/>
  <c r="P16" i="261"/>
  <c r="P29" i="261"/>
  <c r="J62" i="261"/>
  <c r="C9" i="259" s="1"/>
  <c r="D17" i="254" s="1"/>
  <c r="O51" i="261"/>
  <c r="P51" i="261" s="1"/>
  <c r="P55" i="261" s="1"/>
  <c r="D55" i="261"/>
  <c r="P19" i="261"/>
  <c r="L62" i="261"/>
  <c r="C11" i="259" s="1"/>
  <c r="D19" i="254" s="1"/>
  <c r="P30" i="261"/>
  <c r="D48" i="261"/>
  <c r="O46" i="261"/>
  <c r="P46" i="261" s="1"/>
  <c r="P48" i="261" s="1"/>
  <c r="K62" i="261"/>
  <c r="C10" i="259" s="1"/>
  <c r="D18" i="254" s="1"/>
  <c r="G18" i="254" s="1"/>
  <c r="G30" i="254" s="1"/>
  <c r="P31" i="261"/>
  <c r="C30" i="39"/>
  <c r="J100" i="9" s="1"/>
  <c r="D12" i="29"/>
  <c r="D16" i="29" s="1"/>
  <c r="F42" i="9"/>
  <c r="F43" i="9" s="1"/>
  <c r="E324" i="212"/>
  <c r="E335" i="212" s="1"/>
  <c r="E692" i="212" s="1"/>
  <c r="E694" i="212" s="1"/>
  <c r="F648" i="212"/>
  <c r="G648" i="212" s="1"/>
  <c r="F664" i="212"/>
  <c r="G664" i="212" s="1"/>
  <c r="H112" i="9"/>
  <c r="H50" i="9" s="1"/>
  <c r="N112" i="9"/>
  <c r="C705" i="212"/>
  <c r="E18" i="12"/>
  <c r="F29" i="9"/>
  <c r="G308" i="212"/>
  <c r="G310" i="212" s="1"/>
  <c r="F636" i="212"/>
  <c r="G636" i="212" s="1"/>
  <c r="F387" i="212"/>
  <c r="G387" i="212" s="1"/>
  <c r="G701" i="212"/>
  <c r="H701" i="212" s="1"/>
  <c r="F226" i="212"/>
  <c r="F388" i="212"/>
  <c r="G388" i="212" s="1"/>
  <c r="F645" i="212"/>
  <c r="G645" i="212" s="1"/>
  <c r="F663" i="212"/>
  <c r="G663" i="212" s="1"/>
  <c r="F646" i="212"/>
  <c r="G646" i="212" s="1"/>
  <c r="F658" i="212"/>
  <c r="G658" i="212" s="1"/>
  <c r="F647" i="212"/>
  <c r="G647" i="212" s="1"/>
  <c r="F662" i="212"/>
  <c r="G662" i="212" s="1"/>
  <c r="F389" i="212"/>
  <c r="G389" i="212" s="1"/>
  <c r="F353" i="212"/>
  <c r="G353" i="212" s="1"/>
  <c r="F632" i="212"/>
  <c r="F665" i="212"/>
  <c r="G665" i="212" s="1"/>
  <c r="F352" i="212"/>
  <c r="G352" i="212" s="1"/>
  <c r="F631" i="212"/>
  <c r="C9" i="50"/>
  <c r="F630" i="212"/>
  <c r="F649" i="212"/>
  <c r="G649" i="212" s="1"/>
  <c r="F657" i="212"/>
  <c r="G657" i="212" s="1"/>
  <c r="F641" i="212"/>
  <c r="G641" i="212" s="1"/>
  <c r="F354" i="212"/>
  <c r="G354" i="212" s="1"/>
  <c r="R15" i="30"/>
  <c r="F116" i="9"/>
  <c r="F118" i="9" s="1"/>
  <c r="F124" i="9" s="1"/>
  <c r="M27" i="53"/>
  <c r="C10" i="50" s="1"/>
  <c r="W27" i="53"/>
  <c r="C11" i="50" s="1"/>
  <c r="H702" i="212"/>
  <c r="V52" i="56"/>
  <c r="X28" i="56"/>
  <c r="X31" i="56" s="1"/>
  <c r="V31" i="56"/>
  <c r="N40" i="9"/>
  <c r="F41" i="260" s="1"/>
  <c r="R41" i="260" s="1"/>
  <c r="G41" i="260" s="1"/>
  <c r="N36" i="9"/>
  <c r="F37" i="260" s="1"/>
  <c r="R37" i="260" s="1"/>
  <c r="G37" i="260" s="1"/>
  <c r="N19" i="9"/>
  <c r="F19" i="260" s="1"/>
  <c r="H19" i="260" s="1"/>
  <c r="P19" i="30"/>
  <c r="P25" i="30" s="1"/>
  <c r="P47" i="30" s="1"/>
  <c r="N25" i="30"/>
  <c r="Q19" i="30"/>
  <c r="Q25" i="30" s="1"/>
  <c r="Q47" i="30" s="1"/>
  <c r="J26" i="9"/>
  <c r="N59" i="9"/>
  <c r="N58" i="9"/>
  <c r="D705" i="212"/>
  <c r="H17" i="254" l="1"/>
  <c r="G226" i="212"/>
  <c r="H61" i="260"/>
  <c r="C30" i="259" s="1"/>
  <c r="C14" i="255" s="1"/>
  <c r="E14" i="255" s="1"/>
  <c r="F14" i="255" s="1"/>
  <c r="G19" i="260"/>
  <c r="O62" i="261"/>
  <c r="C14" i="259" s="1"/>
  <c r="D23" i="254" s="1"/>
  <c r="E17" i="254"/>
  <c r="E15" i="254"/>
  <c r="H15" i="254"/>
  <c r="E21" i="254"/>
  <c r="H21" i="254"/>
  <c r="E20" i="254"/>
  <c r="H20" i="254"/>
  <c r="P10" i="261"/>
  <c r="P44" i="261" s="1"/>
  <c r="P59" i="261" s="1"/>
  <c r="P62" i="261" s="1"/>
  <c r="E62" i="261"/>
  <c r="C4" i="259" s="1"/>
  <c r="J18" i="254"/>
  <c r="K18" i="254" s="1"/>
  <c r="H19" i="254"/>
  <c r="J19" i="254" s="1"/>
  <c r="K19" i="254" s="1"/>
  <c r="E13" i="254"/>
  <c r="H13" i="254"/>
  <c r="D59" i="261"/>
  <c r="D62" i="261" s="1"/>
  <c r="G11" i="22"/>
  <c r="D18" i="29"/>
  <c r="C31" i="39"/>
  <c r="E25" i="222" s="1"/>
  <c r="D18" i="213"/>
  <c r="N50" i="9"/>
  <c r="F52" i="260" s="1"/>
  <c r="V52" i="260" s="1"/>
  <c r="P124" i="9"/>
  <c r="F125" i="9"/>
  <c r="E705" i="212"/>
  <c r="F705" i="212" s="1"/>
  <c r="I18" i="12"/>
  <c r="D16" i="233" s="1"/>
  <c r="G631" i="212"/>
  <c r="G632" i="212"/>
  <c r="G630" i="212"/>
  <c r="F660" i="212"/>
  <c r="F651" i="212"/>
  <c r="G651" i="212"/>
  <c r="F358" i="212"/>
  <c r="G660" i="212"/>
  <c r="G667" i="212"/>
  <c r="G643" i="212"/>
  <c r="F667" i="212"/>
  <c r="G391" i="212"/>
  <c r="F634" i="212"/>
  <c r="F391" i="212"/>
  <c r="G358" i="212"/>
  <c r="F643" i="212"/>
  <c r="F30" i="9"/>
  <c r="G10" i="22"/>
  <c r="R19" i="30"/>
  <c r="F54" i="9"/>
  <c r="V54" i="56"/>
  <c r="X52" i="56"/>
  <c r="X54" i="56" s="1"/>
  <c r="N47" i="30"/>
  <c r="N48" i="30" s="1"/>
  <c r="R25" i="30"/>
  <c r="N26" i="9"/>
  <c r="F26" i="260" s="1"/>
  <c r="L26" i="260" s="1"/>
  <c r="G26" i="260" s="1"/>
  <c r="H26" i="9"/>
  <c r="J14" i="255" l="1"/>
  <c r="C15" i="259"/>
  <c r="C26" i="259" s="1"/>
  <c r="D12" i="254"/>
  <c r="J15" i="254"/>
  <c r="K15" i="254" s="1"/>
  <c r="J17" i="254"/>
  <c r="K17" i="254" s="1"/>
  <c r="P63" i="261"/>
  <c r="J21" i="254"/>
  <c r="K21" i="254" s="1"/>
  <c r="G52" i="260"/>
  <c r="J13" i="254"/>
  <c r="K13" i="254" s="1"/>
  <c r="J20" i="254"/>
  <c r="K20" i="254" s="1"/>
  <c r="F264" i="212"/>
  <c r="G264" i="212" s="1"/>
  <c r="F265" i="212"/>
  <c r="G265" i="212" s="1"/>
  <c r="F254" i="212"/>
  <c r="G254" i="212" s="1"/>
  <c r="G262" i="212" s="1"/>
  <c r="F266" i="212"/>
  <c r="G266" i="212" s="1"/>
  <c r="G705" i="212"/>
  <c r="H705" i="212" s="1"/>
  <c r="M18" i="12"/>
  <c r="G14" i="22"/>
  <c r="G16" i="22" s="1"/>
  <c r="E17" i="12" s="1"/>
  <c r="C634" i="212"/>
  <c r="C654" i="212" s="1"/>
  <c r="C688" i="212" s="1"/>
  <c r="G685" i="212" s="1"/>
  <c r="F685" i="212" s="1"/>
  <c r="G634" i="212"/>
  <c r="K651" i="212"/>
  <c r="F654" i="212"/>
  <c r="F670" i="212"/>
  <c r="G654" i="212"/>
  <c r="G670" i="212"/>
  <c r="N49" i="30"/>
  <c r="N50" i="30"/>
  <c r="R47" i="30"/>
  <c r="D30" i="254" l="1"/>
  <c r="H12" i="254"/>
  <c r="H30" i="254" s="1"/>
  <c r="E12" i="254"/>
  <c r="E30" i="254" s="1"/>
  <c r="D25" i="254"/>
  <c r="D24" i="254" s="1"/>
  <c r="L14" i="255"/>
  <c r="M14" i="255" s="1"/>
  <c r="G273" i="212"/>
  <c r="G324" i="212" s="1"/>
  <c r="G335" i="212" s="1"/>
  <c r="F262" i="212"/>
  <c r="F273" i="212"/>
  <c r="G688" i="212"/>
  <c r="F688" i="212"/>
  <c r="H654" i="212"/>
  <c r="H31" i="254" l="1"/>
  <c r="E31" i="254"/>
  <c r="G31" i="254"/>
  <c r="F31" i="254"/>
  <c r="J12" i="254"/>
  <c r="K12" i="254" s="1"/>
  <c r="F27" i="254"/>
  <c r="F324" i="212"/>
  <c r="F335" i="212" s="1"/>
  <c r="H688" i="212"/>
  <c r="G23" i="254" l="1"/>
  <c r="G22" i="254"/>
  <c r="E23" i="254"/>
  <c r="D31" i="254"/>
  <c r="E22" i="254"/>
  <c r="H23" i="254"/>
  <c r="H22" i="254"/>
  <c r="F14" i="213"/>
  <c r="G24" i="254" l="1"/>
  <c r="G25" i="254" s="1"/>
  <c r="G27" i="254" s="1"/>
  <c r="H24" i="254"/>
  <c r="H25" i="254" s="1"/>
  <c r="H27" i="254" s="1"/>
  <c r="J23" i="254"/>
  <c r="K23" i="254" s="1"/>
  <c r="E24" i="254"/>
  <c r="N186" i="9"/>
  <c r="O186" i="9" s="1"/>
  <c r="L186" i="9"/>
  <c r="J186" i="9"/>
  <c r="H186" i="9"/>
  <c r="E25" i="254" l="1"/>
  <c r="J24" i="254"/>
  <c r="K24" i="254" s="1"/>
  <c r="H12" i="29"/>
  <c r="H18" i="29" s="1"/>
  <c r="D33" i="29"/>
  <c r="E27" i="254" l="1"/>
  <c r="D27" i="254" s="1"/>
  <c r="J25" i="254"/>
  <c r="K25" i="254" s="1"/>
  <c r="H33" i="29"/>
  <c r="D24" i="29"/>
  <c r="D27" i="29" s="1"/>
  <c r="H100" i="9" l="1"/>
  <c r="H39" i="9" s="1"/>
  <c r="J39" i="9" l="1"/>
  <c r="I11" i="11"/>
  <c r="H39" i="56" l="1"/>
  <c r="J39" i="56"/>
  <c r="L39" i="56"/>
  <c r="N39" i="56" l="1"/>
  <c r="N109" i="49"/>
  <c r="R109" i="49" s="1"/>
  <c r="R117" i="49"/>
  <c r="R116" i="49"/>
  <c r="N13" i="215"/>
  <c r="N107" i="49"/>
  <c r="N110" i="49"/>
  <c r="P110" i="49" s="1"/>
  <c r="P117" i="49" l="1"/>
  <c r="P116" i="49"/>
  <c r="R110" i="49"/>
  <c r="P107" i="49"/>
  <c r="N120" i="49"/>
  <c r="R107" i="49"/>
  <c r="P109" i="49"/>
  <c r="F29" i="21"/>
  <c r="J16" i="21" s="1"/>
  <c r="C34" i="39" s="1"/>
  <c r="C35" i="39" s="1"/>
  <c r="P120" i="49" l="1"/>
  <c r="N30" i="21"/>
  <c r="J22" i="21"/>
  <c r="F44" i="21" s="1"/>
  <c r="L37" i="56"/>
  <c r="L38" i="56"/>
  <c r="L40" i="56"/>
  <c r="L41" i="56"/>
  <c r="L42" i="56"/>
  <c r="L43" i="56"/>
  <c r="L45" i="56"/>
  <c r="L46" i="56"/>
  <c r="J46" i="56"/>
  <c r="H46" i="56"/>
  <c r="J42" i="56"/>
  <c r="J41" i="56"/>
  <c r="J40" i="56"/>
  <c r="J38" i="56"/>
  <c r="J37" i="56"/>
  <c r="H37" i="56"/>
  <c r="F54" i="56"/>
  <c r="J43" i="56"/>
  <c r="H43" i="56"/>
  <c r="J45" i="56"/>
  <c r="H45" i="56"/>
  <c r="J29" i="21" l="1"/>
  <c r="N42" i="56"/>
  <c r="N46" i="56"/>
  <c r="N43" i="56"/>
  <c r="L54" i="56"/>
  <c r="J54" i="56"/>
  <c r="N38" i="56"/>
  <c r="N41" i="56"/>
  <c r="N45" i="56"/>
  <c r="N40" i="56"/>
  <c r="N29" i="21"/>
  <c r="G39" i="12"/>
  <c r="H54" i="56"/>
  <c r="N37" i="56"/>
  <c r="N54" i="56" l="1"/>
  <c r="R29" i="21"/>
  <c r="N31" i="21"/>
  <c r="G40" i="12"/>
  <c r="F53" i="215" l="1"/>
  <c r="F57" i="215" s="1"/>
  <c r="L53" i="215" l="1"/>
  <c r="L57" i="215" s="1"/>
  <c r="T53" i="215"/>
  <c r="T57" i="215" s="1"/>
  <c r="J79" i="56"/>
  <c r="J81" i="56" s="1"/>
  <c r="H53" i="215"/>
  <c r="H57" i="215" s="1"/>
  <c r="R53" i="215"/>
  <c r="R57" i="215" s="1"/>
  <c r="J85" i="56" l="1"/>
  <c r="N53" i="215"/>
  <c r="N57" i="215" s="1"/>
  <c r="X53" i="215"/>
  <c r="X57" i="215" s="1"/>
  <c r="R79" i="56" l="1"/>
  <c r="N79" i="56"/>
  <c r="H32" i="9" l="1"/>
  <c r="J94" i="9"/>
  <c r="N94" i="9" l="1"/>
  <c r="J32" i="9"/>
  <c r="N32" i="9" l="1"/>
  <c r="F33" i="260" l="1"/>
  <c r="N63" i="49"/>
  <c r="R63" i="49" s="1"/>
  <c r="N65" i="49"/>
  <c r="R65" i="49" s="1"/>
  <c r="N67" i="49"/>
  <c r="R67" i="49" s="1"/>
  <c r="N71" i="49"/>
  <c r="R71" i="49" s="1"/>
  <c r="N77" i="49"/>
  <c r="R77" i="49" s="1"/>
  <c r="N79" i="49"/>
  <c r="R79" i="49" s="1"/>
  <c r="N11" i="49"/>
  <c r="R11" i="49" s="1"/>
  <c r="N13" i="49"/>
  <c r="P13" i="49" s="1"/>
  <c r="N15" i="49"/>
  <c r="P15" i="49" s="1"/>
  <c r="N17" i="49"/>
  <c r="P17" i="49" s="1"/>
  <c r="N18" i="49"/>
  <c r="P18" i="49" s="1"/>
  <c r="N19" i="49"/>
  <c r="P19" i="49" s="1"/>
  <c r="N20" i="49"/>
  <c r="P20" i="49" s="1"/>
  <c r="N21" i="49"/>
  <c r="P21" i="49" s="1"/>
  <c r="N22" i="49"/>
  <c r="P22" i="49" s="1"/>
  <c r="N23" i="49"/>
  <c r="P23" i="49" s="1"/>
  <c r="N24" i="49"/>
  <c r="P24" i="49" s="1"/>
  <c r="N25" i="49"/>
  <c r="P25" i="49" s="1"/>
  <c r="N26" i="49"/>
  <c r="P26" i="49" s="1"/>
  <c r="N27" i="49"/>
  <c r="P27" i="49" s="1"/>
  <c r="N28" i="49"/>
  <c r="R28" i="49" s="1"/>
  <c r="N29" i="49"/>
  <c r="P29" i="49" s="1"/>
  <c r="N30" i="49"/>
  <c r="P30" i="49" s="1"/>
  <c r="N31" i="49"/>
  <c r="P31" i="49" s="1"/>
  <c r="N32" i="49"/>
  <c r="P32" i="49" s="1"/>
  <c r="N33" i="49"/>
  <c r="P33" i="49" s="1"/>
  <c r="N34" i="49"/>
  <c r="P34" i="49" s="1"/>
  <c r="N35" i="49"/>
  <c r="P35" i="49" s="1"/>
  <c r="N36" i="49"/>
  <c r="R36" i="49" s="1"/>
  <c r="N37" i="49"/>
  <c r="P37" i="49" s="1"/>
  <c r="N38" i="49"/>
  <c r="R38" i="49" s="1"/>
  <c r="N39" i="49"/>
  <c r="P39" i="49" s="1"/>
  <c r="N40" i="49"/>
  <c r="P40" i="49" s="1"/>
  <c r="N41" i="49"/>
  <c r="P41" i="49" s="1"/>
  <c r="N42" i="49"/>
  <c r="P42" i="49" s="1"/>
  <c r="N43" i="49"/>
  <c r="P43" i="49" s="1"/>
  <c r="N44" i="49"/>
  <c r="P44" i="49" s="1"/>
  <c r="N45" i="49"/>
  <c r="P45" i="49" s="1"/>
  <c r="N46" i="49"/>
  <c r="P46" i="49" s="1"/>
  <c r="N47" i="49"/>
  <c r="P47" i="49" s="1"/>
  <c r="N48" i="49"/>
  <c r="P48" i="49" s="1"/>
  <c r="N49" i="49"/>
  <c r="P49" i="49" s="1"/>
  <c r="N50" i="49"/>
  <c r="P50" i="49" s="1"/>
  <c r="N51" i="49"/>
  <c r="P51" i="49" s="1"/>
  <c r="N53" i="49"/>
  <c r="P53" i="49" s="1"/>
  <c r="N55" i="49"/>
  <c r="P55" i="49" s="1"/>
  <c r="N57" i="49"/>
  <c r="P57" i="49" s="1"/>
  <c r="N59" i="49"/>
  <c r="P59" i="49" s="1"/>
  <c r="N61" i="49"/>
  <c r="P61" i="49" s="1"/>
  <c r="N69" i="49"/>
  <c r="P69" i="49" s="1"/>
  <c r="N73" i="49"/>
  <c r="P73" i="49" s="1"/>
  <c r="P160" i="49"/>
  <c r="P162" i="49" s="1"/>
  <c r="P63" i="49"/>
  <c r="N162" i="49"/>
  <c r="H162" i="49"/>
  <c r="S33" i="260" l="1"/>
  <c r="P77" i="49"/>
  <c r="R57" i="49"/>
  <c r="R30" i="49"/>
  <c r="R50" i="49"/>
  <c r="P38" i="49"/>
  <c r="R34" i="49"/>
  <c r="R42" i="49"/>
  <c r="R22" i="49"/>
  <c r="P67" i="49"/>
  <c r="P71" i="49"/>
  <c r="R18" i="49"/>
  <c r="P11" i="49"/>
  <c r="R44" i="49"/>
  <c r="P28" i="49"/>
  <c r="R53" i="49"/>
  <c r="R20" i="49"/>
  <c r="P36" i="49"/>
  <c r="R46" i="49"/>
  <c r="R26" i="49"/>
  <c r="P79" i="49"/>
  <c r="P65" i="49"/>
  <c r="R73" i="49"/>
  <c r="N96" i="49"/>
  <c r="D17" i="233"/>
  <c r="R61" i="49"/>
  <c r="R48" i="49"/>
  <c r="R40" i="49"/>
  <c r="R32" i="49"/>
  <c r="R24" i="49"/>
  <c r="R15" i="49"/>
  <c r="R69" i="49"/>
  <c r="R59" i="49"/>
  <c r="R55" i="49"/>
  <c r="R51" i="49"/>
  <c r="R49" i="49"/>
  <c r="R47" i="49"/>
  <c r="R45" i="49"/>
  <c r="R43" i="49"/>
  <c r="R41" i="49"/>
  <c r="R39" i="49"/>
  <c r="R37" i="49"/>
  <c r="R35" i="49"/>
  <c r="R33" i="49"/>
  <c r="R31" i="49"/>
  <c r="R29" i="49"/>
  <c r="R27" i="49"/>
  <c r="R25" i="49"/>
  <c r="R23" i="49"/>
  <c r="R21" i="49"/>
  <c r="R19" i="49"/>
  <c r="R17" i="49"/>
  <c r="R13" i="49"/>
  <c r="L33" i="260" l="1"/>
  <c r="G33" i="260" s="1"/>
  <c r="P96" i="49"/>
  <c r="C17" i="54"/>
  <c r="N108" i="49"/>
  <c r="R108" i="49" s="1"/>
  <c r="N112" i="49" l="1"/>
  <c r="N142" i="49" s="1"/>
  <c r="E16" i="12" s="1"/>
  <c r="E23" i="12" s="1"/>
  <c r="P108" i="49"/>
  <c r="P112" i="49" s="1"/>
  <c r="P142" i="49" s="1"/>
  <c r="I39" i="12" l="1"/>
  <c r="I23" i="225" l="1"/>
  <c r="C23" i="225"/>
  <c r="C26" i="225" s="1"/>
  <c r="C28" i="225" s="1"/>
  <c r="C54" i="225" s="1"/>
  <c r="H14" i="229" l="1"/>
  <c r="H18" i="229" s="1"/>
  <c r="C62" i="225"/>
  <c r="C65" i="225" s="1"/>
  <c r="I26" i="225"/>
  <c r="I28" i="225" s="1"/>
  <c r="I54" i="225" s="1"/>
  <c r="H24" i="229" l="1"/>
  <c r="H28" i="229" s="1"/>
  <c r="M14" i="229"/>
  <c r="I14" i="229"/>
  <c r="I18" i="229" s="1"/>
  <c r="J14" i="229"/>
  <c r="J18" i="229" s="1"/>
  <c r="I29" i="26"/>
  <c r="J29" i="26" s="1"/>
  <c r="M18" i="229" l="1"/>
  <c r="M24" i="229"/>
  <c r="J24" i="229"/>
  <c r="J28" i="229" s="1"/>
  <c r="I24" i="229"/>
  <c r="I28" i="229" s="1"/>
  <c r="N106" i="9"/>
  <c r="H44" i="9"/>
  <c r="J44" i="9"/>
  <c r="I14" i="12" l="1"/>
  <c r="M14" i="12" s="1"/>
  <c r="D13" i="233"/>
  <c r="M28" i="229"/>
  <c r="D15" i="11"/>
  <c r="N44" i="9"/>
  <c r="D17" i="213"/>
  <c r="F15" i="11" l="1"/>
  <c r="F46" i="260"/>
  <c r="V46" i="260" s="1"/>
  <c r="I15" i="12"/>
  <c r="M15" i="12" s="1"/>
  <c r="M16" i="12" s="1"/>
  <c r="D14" i="233"/>
  <c r="G16" i="12"/>
  <c r="G46" i="260" l="1"/>
  <c r="V61" i="260"/>
  <c r="C54" i="259" s="1"/>
  <c r="C34" i="255" s="1"/>
  <c r="E34" i="255" s="1"/>
  <c r="I16" i="12"/>
  <c r="J34" i="255" l="1"/>
  <c r="I34" i="255"/>
  <c r="F34" i="255"/>
  <c r="T95" i="56"/>
  <c r="T96" i="56" s="1"/>
  <c r="T77" i="56" s="1"/>
  <c r="P77" i="56" s="1"/>
  <c r="L77" i="56" s="1"/>
  <c r="H77" i="56" s="1"/>
  <c r="E3" i="59"/>
  <c r="E35" i="59" s="1"/>
  <c r="F35" i="59" s="1"/>
  <c r="I14" i="63"/>
  <c r="I16" i="63" s="1"/>
  <c r="E405" i="59" l="1"/>
  <c r="F405" i="59" s="1"/>
  <c r="E291" i="59"/>
  <c r="F291" i="59" s="1"/>
  <c r="E153" i="59"/>
  <c r="F153" i="59" s="1"/>
  <c r="E386" i="59"/>
  <c r="F386" i="59" s="1"/>
  <c r="E205" i="59"/>
  <c r="F205" i="59" s="1"/>
  <c r="E485" i="59"/>
  <c r="F485" i="59" s="1"/>
  <c r="E94" i="59"/>
  <c r="F94" i="59" s="1"/>
  <c r="E438" i="59"/>
  <c r="F438" i="59" s="1"/>
  <c r="E46" i="59"/>
  <c r="F46" i="59" s="1"/>
  <c r="E321" i="59"/>
  <c r="F321" i="59" s="1"/>
  <c r="E499" i="59"/>
  <c r="F499" i="59" s="1"/>
  <c r="E373" i="59"/>
  <c r="F373" i="59" s="1"/>
  <c r="E60" i="59"/>
  <c r="F60" i="59" s="1"/>
  <c r="E494" i="59"/>
  <c r="F494" i="59" s="1"/>
  <c r="E222" i="59"/>
  <c r="F222" i="59" s="1"/>
  <c r="E453" i="59"/>
  <c r="F453" i="59" s="1"/>
  <c r="E284" i="59"/>
  <c r="F284" i="59" s="1"/>
  <c r="E471" i="59"/>
  <c r="F471" i="59" s="1"/>
  <c r="E478" i="59"/>
  <c r="F478" i="59" s="1"/>
  <c r="E190" i="59"/>
  <c r="F190" i="59" s="1"/>
  <c r="E30" i="59"/>
  <c r="F30" i="59" s="1"/>
  <c r="E365" i="59"/>
  <c r="F365" i="59" s="1"/>
  <c r="E446" i="59"/>
  <c r="F446" i="59" s="1"/>
  <c r="E306" i="59"/>
  <c r="F306" i="59" s="1"/>
  <c r="E119" i="59"/>
  <c r="F119" i="59" s="1"/>
  <c r="E492" i="59"/>
  <c r="F492" i="59" s="1"/>
  <c r="E413" i="59"/>
  <c r="F413" i="59" s="1"/>
  <c r="E328" i="59"/>
  <c r="F328" i="59" s="1"/>
  <c r="E216" i="59"/>
  <c r="F216" i="59" s="1"/>
  <c r="E77" i="59"/>
  <c r="F77" i="59" s="1"/>
  <c r="E80" i="59"/>
  <c r="F80" i="59" s="1"/>
  <c r="E186" i="59"/>
  <c r="F186" i="59" s="1"/>
  <c r="E342" i="59"/>
  <c r="F342" i="59" s="1"/>
  <c r="E371" i="59"/>
  <c r="F371" i="59" s="1"/>
  <c r="E444" i="59"/>
  <c r="F444" i="59" s="1"/>
  <c r="E269" i="59"/>
  <c r="F269" i="59" s="1"/>
  <c r="E133" i="59"/>
  <c r="F133" i="59" s="1"/>
  <c r="E360" i="59"/>
  <c r="F360" i="59" s="1"/>
  <c r="E310" i="59"/>
  <c r="F310" i="59" s="1"/>
  <c r="E507" i="59"/>
  <c r="F507" i="59" s="1"/>
  <c r="E454" i="59"/>
  <c r="F454" i="59" s="1"/>
  <c r="E414" i="59"/>
  <c r="F414" i="59" s="1"/>
  <c r="E322" i="59"/>
  <c r="F322" i="59" s="1"/>
  <c r="E247" i="59"/>
  <c r="F247" i="59" s="1"/>
  <c r="E135" i="59"/>
  <c r="F135" i="59" s="1"/>
  <c r="E71" i="59"/>
  <c r="F71" i="59" s="1"/>
  <c r="E505" i="59"/>
  <c r="F505" i="59" s="1"/>
  <c r="E465" i="59"/>
  <c r="F465" i="59" s="1"/>
  <c r="E420" i="59"/>
  <c r="F420" i="59" s="1"/>
  <c r="E380" i="59"/>
  <c r="F380" i="59" s="1"/>
  <c r="E345" i="59"/>
  <c r="F345" i="59" s="1"/>
  <c r="E301" i="59"/>
  <c r="F301" i="59" s="1"/>
  <c r="E233" i="59"/>
  <c r="F233" i="59" s="1"/>
  <c r="E172" i="59"/>
  <c r="F172" i="59" s="1"/>
  <c r="E88" i="59"/>
  <c r="F88" i="59" s="1"/>
  <c r="E512" i="59"/>
  <c r="F512" i="59" s="1"/>
  <c r="E252" i="59"/>
  <c r="F252" i="59" s="1"/>
  <c r="E382" i="59"/>
  <c r="F382" i="59" s="1"/>
  <c r="E227" i="59"/>
  <c r="F227" i="59" s="1"/>
  <c r="E67" i="59"/>
  <c r="F67" i="59" s="1"/>
  <c r="E138" i="59"/>
  <c r="F138" i="59" s="1"/>
  <c r="E462" i="59"/>
  <c r="F462" i="59" s="1"/>
  <c r="E431" i="59"/>
  <c r="F431" i="59" s="1"/>
  <c r="E338" i="59"/>
  <c r="F338" i="59" s="1"/>
  <c r="E274" i="59"/>
  <c r="F274" i="59" s="1"/>
  <c r="E174" i="59"/>
  <c r="F174" i="59" s="1"/>
  <c r="E87" i="59"/>
  <c r="F87" i="59" s="1"/>
  <c r="E11" i="59"/>
  <c r="F11" i="59" s="1"/>
  <c r="E473" i="59"/>
  <c r="F473" i="59" s="1"/>
  <c r="E437" i="59"/>
  <c r="F437" i="59" s="1"/>
  <c r="E397" i="59"/>
  <c r="F397" i="59" s="1"/>
  <c r="E352" i="59"/>
  <c r="F352" i="59" s="1"/>
  <c r="E308" i="59"/>
  <c r="F308" i="59" s="1"/>
  <c r="E249" i="59"/>
  <c r="F249" i="59" s="1"/>
  <c r="E189" i="59"/>
  <c r="F189" i="59" s="1"/>
  <c r="E108" i="59"/>
  <c r="F108" i="59" s="1"/>
  <c r="E49" i="59"/>
  <c r="F49" i="59" s="1"/>
  <c r="E299" i="59"/>
  <c r="F299" i="59" s="1"/>
  <c r="E426" i="59"/>
  <c r="F426" i="59" s="1"/>
  <c r="E279" i="59"/>
  <c r="F279" i="59" s="1"/>
  <c r="E107" i="59"/>
  <c r="F107" i="59" s="1"/>
  <c r="E18" i="59"/>
  <c r="F18" i="59" s="1"/>
  <c r="E502" i="59"/>
  <c r="F502" i="59" s="1"/>
  <c r="E470" i="59"/>
  <c r="F470" i="59" s="1"/>
  <c r="E455" i="59"/>
  <c r="F455" i="59" s="1"/>
  <c r="E430" i="59"/>
  <c r="F430" i="59" s="1"/>
  <c r="E398" i="59"/>
  <c r="F398" i="59" s="1"/>
  <c r="E354" i="59"/>
  <c r="F354" i="59" s="1"/>
  <c r="E238" i="59"/>
  <c r="F238" i="59" s="1"/>
  <c r="E206" i="59"/>
  <c r="F206" i="59" s="1"/>
  <c r="E158" i="59"/>
  <c r="F158" i="59" s="1"/>
  <c r="E126" i="59"/>
  <c r="F126" i="59" s="1"/>
  <c r="E95" i="59"/>
  <c r="F95" i="59" s="1"/>
  <c r="E62" i="59"/>
  <c r="F62" i="59" s="1"/>
  <c r="E22" i="59"/>
  <c r="F22" i="59" s="1"/>
  <c r="E500" i="59"/>
  <c r="F500" i="59" s="1"/>
  <c r="E481" i="59"/>
  <c r="F481" i="59" s="1"/>
  <c r="E461" i="59"/>
  <c r="F461" i="59" s="1"/>
  <c r="E445" i="59"/>
  <c r="F445" i="59" s="1"/>
  <c r="E421" i="59"/>
  <c r="F421" i="59" s="1"/>
  <c r="E396" i="59"/>
  <c r="F396" i="59" s="1"/>
  <c r="E381" i="59"/>
  <c r="F381" i="59" s="1"/>
  <c r="E357" i="59"/>
  <c r="F357" i="59" s="1"/>
  <c r="E337" i="59"/>
  <c r="F337" i="59" s="1"/>
  <c r="E316" i="59"/>
  <c r="F316" i="59" s="1"/>
  <c r="E296" i="59"/>
  <c r="F296" i="59" s="1"/>
  <c r="E265" i="59"/>
  <c r="F265" i="59" s="1"/>
  <c r="E229" i="59"/>
  <c r="F229" i="59" s="1"/>
  <c r="E201" i="59"/>
  <c r="F201" i="59" s="1"/>
  <c r="E173" i="59"/>
  <c r="F173" i="59" s="1"/>
  <c r="E125" i="59"/>
  <c r="F125" i="59" s="1"/>
  <c r="E84" i="59"/>
  <c r="F84" i="59" s="1"/>
  <c r="E57" i="59"/>
  <c r="F57" i="59" s="1"/>
  <c r="E487" i="59"/>
  <c r="F487" i="59" s="1"/>
  <c r="E324" i="59"/>
  <c r="F324" i="59" s="1"/>
  <c r="E152" i="59"/>
  <c r="F152" i="59" s="1"/>
  <c r="E498" i="59"/>
  <c r="F498" i="59" s="1"/>
  <c r="E410" i="59"/>
  <c r="F410" i="59" s="1"/>
  <c r="E335" i="59"/>
  <c r="F335" i="59" s="1"/>
  <c r="E263" i="59"/>
  <c r="F263" i="59" s="1"/>
  <c r="E179" i="59"/>
  <c r="F179" i="59" s="1"/>
  <c r="E90" i="59"/>
  <c r="F90" i="59" s="1"/>
  <c r="E506" i="59"/>
  <c r="F506" i="59" s="1"/>
  <c r="E486" i="59"/>
  <c r="F486" i="59" s="1"/>
  <c r="E463" i="59"/>
  <c r="F463" i="59" s="1"/>
  <c r="E447" i="59"/>
  <c r="F447" i="59" s="1"/>
  <c r="E422" i="59"/>
  <c r="F422" i="59" s="1"/>
  <c r="E370" i="59"/>
  <c r="F370" i="59" s="1"/>
  <c r="E339" i="59"/>
  <c r="F339" i="59" s="1"/>
  <c r="E290" i="59"/>
  <c r="F290" i="59" s="1"/>
  <c r="E258" i="59"/>
  <c r="F258" i="59" s="1"/>
  <c r="E223" i="59"/>
  <c r="F223" i="59" s="1"/>
  <c r="E183" i="59"/>
  <c r="F183" i="59" s="1"/>
  <c r="E142" i="59"/>
  <c r="F142" i="59" s="1"/>
  <c r="E110" i="59"/>
  <c r="F110" i="59" s="1"/>
  <c r="E78" i="59"/>
  <c r="F78" i="59" s="1"/>
  <c r="E47" i="59"/>
  <c r="F47" i="59" s="1"/>
  <c r="E513" i="59"/>
  <c r="F513" i="59" s="1"/>
  <c r="E493" i="59"/>
  <c r="F493" i="59" s="1"/>
  <c r="E468" i="59"/>
  <c r="F468" i="59" s="1"/>
  <c r="E448" i="59"/>
  <c r="F448" i="59" s="1"/>
  <c r="E429" i="59"/>
  <c r="F429" i="59" s="1"/>
  <c r="E404" i="59"/>
  <c r="F404" i="59" s="1"/>
  <c r="E389" i="59"/>
  <c r="F389" i="59" s="1"/>
  <c r="E364" i="59"/>
  <c r="F364" i="59" s="1"/>
  <c r="E344" i="59"/>
  <c r="F344" i="59" s="1"/>
  <c r="E329" i="59"/>
  <c r="F329" i="59" s="1"/>
  <c r="E309" i="59"/>
  <c r="F309" i="59" s="1"/>
  <c r="E281" i="59"/>
  <c r="F281" i="59" s="1"/>
  <c r="E244" i="59"/>
  <c r="F244" i="59" s="1"/>
  <c r="E217" i="59"/>
  <c r="F217" i="59" s="1"/>
  <c r="E184" i="59"/>
  <c r="F184" i="59" s="1"/>
  <c r="E144" i="59"/>
  <c r="F144" i="59" s="1"/>
  <c r="E109" i="59"/>
  <c r="F109" i="59" s="1"/>
  <c r="E73" i="59"/>
  <c r="F73" i="59" s="1"/>
  <c r="E12" i="59"/>
  <c r="F12" i="59" s="1"/>
  <c r="E387" i="59"/>
  <c r="F387" i="59" s="1"/>
  <c r="E251" i="59"/>
  <c r="F251" i="59" s="1"/>
  <c r="E92" i="59"/>
  <c r="F92" i="59" s="1"/>
  <c r="E458" i="59"/>
  <c r="F458" i="59" s="1"/>
  <c r="E366" i="59"/>
  <c r="F366" i="59" s="1"/>
  <c r="E303" i="59"/>
  <c r="F303" i="59" s="1"/>
  <c r="E211" i="59"/>
  <c r="F211" i="59" s="1"/>
  <c r="E139" i="59"/>
  <c r="F139" i="59" s="1"/>
  <c r="E7" i="59"/>
  <c r="F7" i="59" s="1"/>
  <c r="E43" i="59"/>
  <c r="F43" i="59" s="1"/>
  <c r="E75" i="59"/>
  <c r="F75" i="59" s="1"/>
  <c r="E106" i="59"/>
  <c r="F106" i="59" s="1"/>
  <c r="E154" i="59"/>
  <c r="F154" i="59" s="1"/>
  <c r="E243" i="59"/>
  <c r="F243" i="59" s="1"/>
  <c r="E278" i="59"/>
  <c r="F278" i="59" s="1"/>
  <c r="E350" i="59"/>
  <c r="F350" i="59" s="1"/>
  <c r="E395" i="59"/>
  <c r="F395" i="59" s="1"/>
  <c r="E435" i="59"/>
  <c r="F435" i="59" s="1"/>
  <c r="E467" i="59"/>
  <c r="F467" i="59" s="1"/>
  <c r="E20" i="59"/>
  <c r="F20" i="59" s="1"/>
  <c r="E116" i="59"/>
  <c r="F116" i="59" s="1"/>
  <c r="E176" i="59"/>
  <c r="F176" i="59" s="1"/>
  <c r="E275" i="59"/>
  <c r="F275" i="59" s="1"/>
  <c r="E323" i="59"/>
  <c r="F323" i="59" s="1"/>
  <c r="E400" i="59"/>
  <c r="F400" i="59" s="1"/>
  <c r="E496" i="59"/>
  <c r="F496" i="59" s="1"/>
  <c r="E24" i="59"/>
  <c r="F24" i="59" s="1"/>
  <c r="E48" i="59"/>
  <c r="F48" i="59" s="1"/>
  <c r="E76" i="59"/>
  <c r="F76" i="59" s="1"/>
  <c r="E93" i="59"/>
  <c r="F93" i="59" s="1"/>
  <c r="E112" i="59"/>
  <c r="F112" i="59" s="1"/>
  <c r="E137" i="59"/>
  <c r="F137" i="59" s="1"/>
  <c r="E161" i="59"/>
  <c r="F161" i="59" s="1"/>
  <c r="E181" i="59"/>
  <c r="F181" i="59" s="1"/>
  <c r="E192" i="59"/>
  <c r="F192" i="59" s="1"/>
  <c r="E209" i="59"/>
  <c r="F209" i="59" s="1"/>
  <c r="E220" i="59"/>
  <c r="F220" i="59" s="1"/>
  <c r="E236" i="59"/>
  <c r="F236" i="59" s="1"/>
  <c r="E253" i="59"/>
  <c r="F253" i="59" s="1"/>
  <c r="E268" i="59"/>
  <c r="F268" i="59" s="1"/>
  <c r="E292" i="59"/>
  <c r="F292" i="59" s="1"/>
  <c r="E305" i="59"/>
  <c r="F305" i="59" s="1"/>
  <c r="E313" i="59"/>
  <c r="F313" i="59" s="1"/>
  <c r="E320" i="59"/>
  <c r="F320" i="59" s="1"/>
  <c r="E333" i="59"/>
  <c r="F333" i="59" s="1"/>
  <c r="E341" i="59"/>
  <c r="F341" i="59" s="1"/>
  <c r="E349" i="59"/>
  <c r="F349" i="59" s="1"/>
  <c r="E356" i="59"/>
  <c r="F356" i="59" s="1"/>
  <c r="E369" i="59"/>
  <c r="F369" i="59" s="1"/>
  <c r="E372" i="59"/>
  <c r="F372" i="59" s="1"/>
  <c r="E385" i="59"/>
  <c r="F385" i="59" s="1"/>
  <c r="E393" i="59"/>
  <c r="F393" i="59" s="1"/>
  <c r="E409" i="59"/>
  <c r="F409" i="59" s="1"/>
  <c r="E412" i="59"/>
  <c r="F412" i="59" s="1"/>
  <c r="E425" i="59"/>
  <c r="F425" i="59" s="1"/>
  <c r="E433" i="59"/>
  <c r="F433" i="59" s="1"/>
  <c r="E436" i="59"/>
  <c r="F436" i="59" s="1"/>
  <c r="E457" i="59"/>
  <c r="F457" i="59" s="1"/>
  <c r="E464" i="59"/>
  <c r="F464" i="59" s="1"/>
  <c r="E477" i="59"/>
  <c r="F477" i="59" s="1"/>
  <c r="E484" i="59"/>
  <c r="F484" i="59" s="1"/>
  <c r="E497" i="59"/>
  <c r="F497" i="59" s="1"/>
  <c r="E509" i="59"/>
  <c r="F509" i="59" s="1"/>
  <c r="E10" i="59"/>
  <c r="F10" i="59" s="1"/>
  <c r="E39" i="59"/>
  <c r="F39" i="59" s="1"/>
  <c r="E54" i="59"/>
  <c r="F54" i="59" s="1"/>
  <c r="E70" i="59"/>
  <c r="F70" i="59" s="1"/>
  <c r="E86" i="59"/>
  <c r="F86" i="59" s="1"/>
  <c r="E102" i="59"/>
  <c r="F102" i="59" s="1"/>
  <c r="E118" i="59"/>
  <c r="F118" i="59" s="1"/>
  <c r="E134" i="59"/>
  <c r="F134" i="59" s="1"/>
  <c r="E150" i="59"/>
  <c r="F150" i="59" s="1"/>
  <c r="E167" i="59"/>
  <c r="F167" i="59" s="1"/>
  <c r="E182" i="59"/>
  <c r="F182" i="59" s="1"/>
  <c r="E198" i="59"/>
  <c r="F198" i="59" s="1"/>
  <c r="E215" i="59"/>
  <c r="F215" i="59" s="1"/>
  <c r="E231" i="59"/>
  <c r="F231" i="59" s="1"/>
  <c r="E246" i="59"/>
  <c r="F246" i="59" s="1"/>
  <c r="E267" i="59"/>
  <c r="F267" i="59" s="1"/>
  <c r="E283" i="59"/>
  <c r="F283" i="59" s="1"/>
  <c r="E298" i="59"/>
  <c r="F298" i="59" s="1"/>
  <c r="E315" i="59"/>
  <c r="F315" i="59" s="1"/>
  <c r="E331" i="59"/>
  <c r="F331" i="59" s="1"/>
  <c r="E346" i="59"/>
  <c r="F346" i="59" s="1"/>
  <c r="E363" i="59"/>
  <c r="F363" i="59" s="1"/>
  <c r="E379" i="59"/>
  <c r="F379" i="59" s="1"/>
  <c r="E407" i="59"/>
  <c r="F407" i="59" s="1"/>
  <c r="E423" i="59"/>
  <c r="F423" i="59" s="1"/>
  <c r="E19" i="59"/>
  <c r="F19" i="59" s="1"/>
  <c r="E50" i="59"/>
  <c r="F50" i="59" s="1"/>
  <c r="E82" i="59"/>
  <c r="F82" i="59" s="1"/>
  <c r="E122" i="59"/>
  <c r="F122" i="59" s="1"/>
  <c r="E170" i="59"/>
  <c r="F170" i="59" s="1"/>
  <c r="E202" i="59"/>
  <c r="F202" i="59" s="1"/>
  <c r="E242" i="59"/>
  <c r="F242" i="59" s="1"/>
  <c r="E295" i="59"/>
  <c r="F295" i="59" s="1"/>
  <c r="E327" i="59"/>
  <c r="F327" i="59" s="1"/>
  <c r="E367" i="59"/>
  <c r="F367" i="59" s="1"/>
  <c r="E394" i="59"/>
  <c r="F394" i="59" s="1"/>
  <c r="E442" i="59"/>
  <c r="F442" i="59" s="1"/>
  <c r="E483" i="59"/>
  <c r="F483" i="59" s="1"/>
  <c r="E56" i="59"/>
  <c r="F56" i="59" s="1"/>
  <c r="E128" i="59"/>
  <c r="F128" i="59" s="1"/>
  <c r="E212" i="59"/>
  <c r="F212" i="59" s="1"/>
  <c r="E300" i="59"/>
  <c r="F300" i="59" s="1"/>
  <c r="E348" i="59"/>
  <c r="F348" i="59" s="1"/>
  <c r="E428" i="59"/>
  <c r="F428" i="59" s="1"/>
  <c r="E503" i="59"/>
  <c r="F503" i="59" s="1"/>
  <c r="E36" i="59"/>
  <c r="F36" i="59" s="1"/>
  <c r="E52" i="59"/>
  <c r="F52" i="59" s="1"/>
  <c r="E69" i="59"/>
  <c r="F69" i="59" s="1"/>
  <c r="E85" i="59"/>
  <c r="F85" i="59" s="1"/>
  <c r="E101" i="59"/>
  <c r="F101" i="59" s="1"/>
  <c r="E117" i="59"/>
  <c r="F117" i="59" s="1"/>
  <c r="E136" i="59"/>
  <c r="F136" i="59" s="1"/>
  <c r="E169" i="59"/>
  <c r="F169" i="59" s="1"/>
  <c r="E180" i="59"/>
  <c r="F180" i="59" s="1"/>
  <c r="E208" i="59"/>
  <c r="F208" i="59" s="1"/>
  <c r="E225" i="59"/>
  <c r="F225" i="59" s="1"/>
  <c r="E241" i="59"/>
  <c r="F241" i="59" s="1"/>
  <c r="E257" i="59"/>
  <c r="F257" i="59" s="1"/>
  <c r="E277" i="59"/>
  <c r="F277" i="59" s="1"/>
  <c r="E297" i="59"/>
  <c r="F297" i="59" s="1"/>
  <c r="E304" i="59"/>
  <c r="F304" i="59" s="1"/>
  <c r="E317" i="59"/>
  <c r="F317" i="59" s="1"/>
  <c r="E325" i="59"/>
  <c r="F325" i="59" s="1"/>
  <c r="E332" i="59"/>
  <c r="F332" i="59" s="1"/>
  <c r="E340" i="59"/>
  <c r="F340" i="59" s="1"/>
  <c r="E353" i="59"/>
  <c r="F353" i="59" s="1"/>
  <c r="E361" i="59"/>
  <c r="F361" i="59" s="1"/>
  <c r="E368" i="59"/>
  <c r="F368" i="59" s="1"/>
  <c r="E377" i="59"/>
  <c r="F377" i="59" s="1"/>
  <c r="E384" i="59"/>
  <c r="F384" i="59" s="1"/>
  <c r="E392" i="59"/>
  <c r="F392" i="59" s="1"/>
  <c r="E401" i="59"/>
  <c r="F401" i="59" s="1"/>
  <c r="E408" i="59"/>
  <c r="F408" i="59" s="1"/>
  <c r="E417" i="59"/>
  <c r="F417" i="59" s="1"/>
  <c r="E424" i="59"/>
  <c r="F424" i="59" s="1"/>
  <c r="E432" i="59"/>
  <c r="F432" i="59" s="1"/>
  <c r="E441" i="59"/>
  <c r="F441" i="59" s="1"/>
  <c r="E449" i="59"/>
  <c r="F449" i="59" s="1"/>
  <c r="E456" i="59"/>
  <c r="F456" i="59" s="1"/>
  <c r="E469" i="59"/>
  <c r="F469" i="59" s="1"/>
  <c r="E476" i="59"/>
  <c r="F476" i="59" s="1"/>
  <c r="E489" i="59"/>
  <c r="F489" i="59" s="1"/>
  <c r="E501" i="59"/>
  <c r="F501" i="59" s="1"/>
  <c r="E508" i="59"/>
  <c r="F508" i="59" s="1"/>
  <c r="E23" i="59"/>
  <c r="F23" i="59" s="1"/>
  <c r="E38" i="59"/>
  <c r="F38" i="59" s="1"/>
  <c r="E63" i="59"/>
  <c r="F63" i="59" s="1"/>
  <c r="E111" i="59"/>
  <c r="F111" i="59" s="1"/>
  <c r="E143" i="59"/>
  <c r="F143" i="59" s="1"/>
  <c r="E159" i="59"/>
  <c r="F159" i="59" s="1"/>
  <c r="E166" i="59"/>
  <c r="F166" i="59" s="1"/>
  <c r="E191" i="59"/>
  <c r="F191" i="59" s="1"/>
  <c r="E207" i="59"/>
  <c r="F207" i="59" s="1"/>
  <c r="E214" i="59"/>
  <c r="F214" i="59" s="1"/>
  <c r="E230" i="59"/>
  <c r="F230" i="59" s="1"/>
  <c r="E250" i="59"/>
  <c r="F250" i="59" s="1"/>
  <c r="E266" i="59"/>
  <c r="F266" i="59" s="1"/>
  <c r="E282" i="59"/>
  <c r="F282" i="59" s="1"/>
  <c r="E307" i="59"/>
  <c r="F307" i="59" s="1"/>
  <c r="E314" i="59"/>
  <c r="F314" i="59" s="1"/>
  <c r="E330" i="59"/>
  <c r="F330" i="59" s="1"/>
  <c r="E355" i="59"/>
  <c r="F355" i="59" s="1"/>
  <c r="E362" i="59"/>
  <c r="F362" i="59" s="1"/>
  <c r="E378" i="59"/>
  <c r="F378" i="59" s="1"/>
  <c r="E406" i="59"/>
  <c r="F406" i="59" s="1"/>
  <c r="R77" i="56"/>
  <c r="N77" i="56" s="1"/>
  <c r="N78" i="56" s="1"/>
  <c r="E14" i="59"/>
  <c r="F14" i="59" s="1"/>
  <c r="E26" i="59"/>
  <c r="F26" i="59" s="1"/>
  <c r="E51" i="59"/>
  <c r="F51" i="59" s="1"/>
  <c r="E83" i="59"/>
  <c r="F83" i="59" s="1"/>
  <c r="E99" i="59"/>
  <c r="F99" i="59" s="1"/>
  <c r="E114" i="59"/>
  <c r="F114" i="59" s="1"/>
  <c r="E131" i="59"/>
  <c r="F131" i="59" s="1"/>
  <c r="E146" i="59"/>
  <c r="F146" i="59" s="1"/>
  <c r="E171" i="59"/>
  <c r="F171" i="59" s="1"/>
  <c r="E203" i="59"/>
  <c r="F203" i="59" s="1"/>
  <c r="E218" i="59"/>
  <c r="F218" i="59" s="1"/>
  <c r="E234" i="59"/>
  <c r="F234" i="59" s="1"/>
  <c r="E254" i="59"/>
  <c r="F254" i="59" s="1"/>
  <c r="E270" i="59"/>
  <c r="F270" i="59" s="1"/>
  <c r="E286" i="59"/>
  <c r="F286" i="59" s="1"/>
  <c r="E311" i="59"/>
  <c r="F311" i="59" s="1"/>
  <c r="E343" i="59"/>
  <c r="F343" i="59" s="1"/>
  <c r="E359" i="59"/>
  <c r="F359" i="59" s="1"/>
  <c r="E374" i="59"/>
  <c r="F374" i="59" s="1"/>
  <c r="E391" i="59"/>
  <c r="F391" i="59" s="1"/>
  <c r="E402" i="59"/>
  <c r="F402" i="59" s="1"/>
  <c r="E427" i="59"/>
  <c r="F427" i="59" s="1"/>
  <c r="E459" i="59"/>
  <c r="F459" i="59" s="1"/>
  <c r="E474" i="59"/>
  <c r="F474" i="59" s="1"/>
  <c r="E490" i="59"/>
  <c r="F490" i="59" s="1"/>
  <c r="E510" i="59"/>
  <c r="F510" i="59" s="1"/>
  <c r="E31" i="59"/>
  <c r="F31" i="59" s="1"/>
  <c r="E68" i="59"/>
  <c r="F68" i="59" s="1"/>
  <c r="E164" i="59"/>
  <c r="F164" i="59" s="1"/>
  <c r="E199" i="59"/>
  <c r="F199" i="59" s="1"/>
  <c r="E240" i="59"/>
  <c r="F240" i="59" s="1"/>
  <c r="E259" i="59"/>
  <c r="F259" i="59" s="1"/>
  <c r="E288" i="59"/>
  <c r="F288" i="59" s="1"/>
  <c r="E388" i="59"/>
  <c r="F388" i="59" s="1"/>
  <c r="E415" i="59"/>
  <c r="F415" i="59" s="1"/>
  <c r="E439" i="59"/>
  <c r="F439" i="59" s="1"/>
  <c r="E488" i="59"/>
  <c r="F488" i="59" s="1"/>
  <c r="E8" i="59"/>
  <c r="F8" i="59" s="1"/>
  <c r="E21" i="59"/>
  <c r="F21" i="59" s="1"/>
  <c r="E33" i="59"/>
  <c r="F33" i="59" s="1"/>
  <c r="E45" i="59"/>
  <c r="F45" i="59" s="1"/>
  <c r="E53" i="59"/>
  <c r="F53" i="59" s="1"/>
  <c r="E61" i="59"/>
  <c r="F61" i="59" s="1"/>
  <c r="E64" i="59"/>
  <c r="F64" i="59" s="1"/>
  <c r="E89" i="59"/>
  <c r="F89" i="59" s="1"/>
  <c r="E96" i="59"/>
  <c r="F96" i="59" s="1"/>
  <c r="E105" i="59"/>
  <c r="F105" i="59" s="1"/>
  <c r="E113" i="59"/>
  <c r="F113" i="59" s="1"/>
  <c r="E120" i="59"/>
  <c r="F120" i="59" s="1"/>
  <c r="E129" i="59"/>
  <c r="F129" i="59" s="1"/>
  <c r="E145" i="59"/>
  <c r="F145" i="59" s="1"/>
  <c r="E148" i="59"/>
  <c r="F148" i="59" s="1"/>
  <c r="E156" i="59"/>
  <c r="F156" i="59" s="1"/>
  <c r="E165" i="59"/>
  <c r="F165" i="59" s="1"/>
  <c r="E185" i="59"/>
  <c r="F185" i="59" s="1"/>
  <c r="E193" i="59"/>
  <c r="F193" i="59" s="1"/>
  <c r="E196" i="59"/>
  <c r="F196" i="59" s="1"/>
  <c r="E221" i="59"/>
  <c r="F221" i="59" s="1"/>
  <c r="E237" i="59"/>
  <c r="F237" i="59" s="1"/>
  <c r="E245" i="59"/>
  <c r="F245" i="59" s="1"/>
  <c r="E261" i="59"/>
  <c r="F261" i="59" s="1"/>
  <c r="E272" i="59"/>
  <c r="F272" i="59" s="1"/>
  <c r="E285" i="59"/>
  <c r="F285" i="59" s="1"/>
  <c r="E293" i="59"/>
  <c r="F293" i="59" s="1"/>
  <c r="D20" i="63"/>
  <c r="F20" i="63" s="1"/>
  <c r="E15" i="59"/>
  <c r="F15" i="59" s="1"/>
  <c r="E42" i="59"/>
  <c r="F42" i="59" s="1"/>
  <c r="E58" i="59"/>
  <c r="F58" i="59" s="1"/>
  <c r="E74" i="59"/>
  <c r="F74" i="59" s="1"/>
  <c r="E115" i="59"/>
  <c r="F115" i="59" s="1"/>
  <c r="E147" i="59"/>
  <c r="F147" i="59" s="1"/>
  <c r="E163" i="59"/>
  <c r="F163" i="59" s="1"/>
  <c r="E178" i="59"/>
  <c r="F178" i="59" s="1"/>
  <c r="E195" i="59"/>
  <c r="F195" i="59" s="1"/>
  <c r="E210" i="59"/>
  <c r="F210" i="59" s="1"/>
  <c r="E235" i="59"/>
  <c r="F235" i="59" s="1"/>
  <c r="E271" i="59"/>
  <c r="F271" i="59" s="1"/>
  <c r="E302" i="59"/>
  <c r="F302" i="59" s="1"/>
  <c r="E318" i="59"/>
  <c r="F318" i="59" s="1"/>
  <c r="E334" i="59"/>
  <c r="F334" i="59" s="1"/>
  <c r="E375" i="59"/>
  <c r="F375" i="59" s="1"/>
  <c r="E403" i="59"/>
  <c r="F403" i="59" s="1"/>
  <c r="E419" i="59"/>
  <c r="F419" i="59" s="1"/>
  <c r="E434" i="59"/>
  <c r="F434" i="59" s="1"/>
  <c r="E451" i="59"/>
  <c r="F451" i="59" s="1"/>
  <c r="E466" i="59"/>
  <c r="F466" i="59" s="1"/>
  <c r="E491" i="59"/>
  <c r="F491" i="59" s="1"/>
  <c r="E32" i="59"/>
  <c r="F32" i="59" s="1"/>
  <c r="E55" i="59"/>
  <c r="F55" i="59" s="1"/>
  <c r="E103" i="59"/>
  <c r="F103" i="59" s="1"/>
  <c r="E127" i="59"/>
  <c r="F127" i="59" s="1"/>
  <c r="E151" i="59"/>
  <c r="F151" i="59" s="1"/>
  <c r="E188" i="59"/>
  <c r="F188" i="59" s="1"/>
  <c r="E228" i="59"/>
  <c r="F228" i="59" s="1"/>
  <c r="E260" i="59"/>
  <c r="F260" i="59" s="1"/>
  <c r="E336" i="59"/>
  <c r="F336" i="59" s="1"/>
  <c r="E399" i="59"/>
  <c r="F399" i="59" s="1"/>
  <c r="E440" i="59"/>
  <c r="F440" i="59" s="1"/>
  <c r="E460" i="59"/>
  <c r="F460" i="59" s="1"/>
  <c r="E480" i="59"/>
  <c r="F480" i="59" s="1"/>
  <c r="E495" i="59"/>
  <c r="F495" i="59" s="1"/>
  <c r="E9" i="59"/>
  <c r="F9" i="59" s="1"/>
  <c r="E17" i="59"/>
  <c r="F17" i="59" s="1"/>
  <c r="E29" i="59"/>
  <c r="F29" i="59" s="1"/>
  <c r="E41" i="59"/>
  <c r="F41" i="59" s="1"/>
  <c r="E65" i="59"/>
  <c r="F65" i="59" s="1"/>
  <c r="E72" i="59"/>
  <c r="F72" i="59" s="1"/>
  <c r="E81" i="59"/>
  <c r="F81" i="59" s="1"/>
  <c r="E97" i="59"/>
  <c r="F97" i="59" s="1"/>
  <c r="E100" i="59"/>
  <c r="F100" i="59" s="1"/>
  <c r="E121" i="59"/>
  <c r="F121" i="59" s="1"/>
  <c r="E124" i="59"/>
  <c r="F124" i="59" s="1"/>
  <c r="E132" i="59"/>
  <c r="F132" i="59" s="1"/>
  <c r="E141" i="59"/>
  <c r="F141" i="59" s="1"/>
  <c r="E149" i="59"/>
  <c r="F149" i="59" s="1"/>
  <c r="E157" i="59"/>
  <c r="F157" i="59" s="1"/>
  <c r="E160" i="59"/>
  <c r="F160" i="59" s="1"/>
  <c r="E168" i="59"/>
  <c r="F168" i="59" s="1"/>
  <c r="E177" i="59"/>
  <c r="F177" i="59" s="1"/>
  <c r="E197" i="59"/>
  <c r="F197" i="59" s="1"/>
  <c r="E204" i="59"/>
  <c r="F204" i="59" s="1"/>
  <c r="E213" i="59"/>
  <c r="F213" i="59" s="1"/>
  <c r="E224" i="59"/>
  <c r="F224" i="59" s="1"/>
  <c r="E232" i="59"/>
  <c r="F232" i="59" s="1"/>
  <c r="E248" i="59"/>
  <c r="F248" i="59" s="1"/>
  <c r="E256" i="59"/>
  <c r="F256" i="59" s="1"/>
  <c r="E264" i="59"/>
  <c r="F264" i="59" s="1"/>
  <c r="E273" i="59"/>
  <c r="F273" i="59" s="1"/>
  <c r="E280" i="59"/>
  <c r="F280" i="59" s="1"/>
  <c r="E289" i="59"/>
  <c r="F289" i="59" s="1"/>
  <c r="E6" i="59"/>
  <c r="F6" i="59" s="1"/>
  <c r="E27" i="59"/>
  <c r="F27" i="59" s="1"/>
  <c r="E34" i="59"/>
  <c r="F34" i="59" s="1"/>
  <c r="E59" i="59"/>
  <c r="F59" i="59" s="1"/>
  <c r="E66" i="59"/>
  <c r="F66" i="59" s="1"/>
  <c r="E91" i="59"/>
  <c r="F91" i="59" s="1"/>
  <c r="E98" i="59"/>
  <c r="F98" i="59" s="1"/>
  <c r="E123" i="59"/>
  <c r="F123" i="59" s="1"/>
  <c r="E130" i="59"/>
  <c r="F130" i="59" s="1"/>
  <c r="E155" i="59"/>
  <c r="F155" i="59" s="1"/>
  <c r="E162" i="59"/>
  <c r="F162" i="59" s="1"/>
  <c r="E187" i="59"/>
  <c r="F187" i="59" s="1"/>
  <c r="E194" i="59"/>
  <c r="F194" i="59" s="1"/>
  <c r="E219" i="59"/>
  <c r="F219" i="59" s="1"/>
  <c r="E226" i="59"/>
  <c r="F226" i="59" s="1"/>
  <c r="E255" i="59"/>
  <c r="F255" i="59" s="1"/>
  <c r="E262" i="59"/>
  <c r="F262" i="59" s="1"/>
  <c r="E287" i="59"/>
  <c r="F287" i="59" s="1"/>
  <c r="E294" i="59"/>
  <c r="F294" i="59" s="1"/>
  <c r="E319" i="59"/>
  <c r="F319" i="59" s="1"/>
  <c r="E326" i="59"/>
  <c r="F326" i="59" s="1"/>
  <c r="E351" i="59"/>
  <c r="F351" i="59" s="1"/>
  <c r="E358" i="59"/>
  <c r="F358" i="59" s="1"/>
  <c r="E383" i="59"/>
  <c r="F383" i="59" s="1"/>
  <c r="E390" i="59"/>
  <c r="F390" i="59" s="1"/>
  <c r="E411" i="59"/>
  <c r="F411" i="59" s="1"/>
  <c r="E418" i="59"/>
  <c r="F418" i="59" s="1"/>
  <c r="E443" i="59"/>
  <c r="F443" i="59" s="1"/>
  <c r="E450" i="59"/>
  <c r="F450" i="59" s="1"/>
  <c r="E475" i="59"/>
  <c r="F475" i="59" s="1"/>
  <c r="E482" i="59"/>
  <c r="F482" i="59" s="1"/>
  <c r="E511" i="59"/>
  <c r="F511" i="59" s="1"/>
  <c r="E44" i="59"/>
  <c r="F44" i="59" s="1"/>
  <c r="E79" i="59"/>
  <c r="F79" i="59" s="1"/>
  <c r="E104" i="59"/>
  <c r="F104" i="59" s="1"/>
  <c r="E140" i="59"/>
  <c r="F140" i="59" s="1"/>
  <c r="E175" i="59"/>
  <c r="F175" i="59" s="1"/>
  <c r="E200" i="59"/>
  <c r="F200" i="59" s="1"/>
  <c r="E239" i="59"/>
  <c r="F239" i="59" s="1"/>
  <c r="E276" i="59"/>
  <c r="F276" i="59" s="1"/>
  <c r="E312" i="59"/>
  <c r="F312" i="59" s="1"/>
  <c r="E347" i="59"/>
  <c r="F347" i="59" s="1"/>
  <c r="E376" i="59"/>
  <c r="F376" i="59" s="1"/>
  <c r="E416" i="59"/>
  <c r="F416" i="59" s="1"/>
  <c r="E452" i="59"/>
  <c r="F452" i="59" s="1"/>
  <c r="E472" i="59"/>
  <c r="F472" i="59" s="1"/>
  <c r="E479" i="59"/>
  <c r="F479" i="59" s="1"/>
  <c r="E504" i="59"/>
  <c r="F504" i="59" s="1"/>
  <c r="E13" i="59"/>
  <c r="F13" i="59" s="1"/>
  <c r="E16" i="59"/>
  <c r="F16" i="59" s="1"/>
  <c r="E25" i="59"/>
  <c r="F25" i="59" s="1"/>
  <c r="E28" i="59"/>
  <c r="F28" i="59" s="1"/>
  <c r="E37" i="59"/>
  <c r="F37" i="59" s="1"/>
  <c r="E40" i="59"/>
  <c r="F40" i="59" s="1"/>
  <c r="R78" i="56" l="1"/>
  <c r="T78" i="56" s="1"/>
  <c r="T81" i="56" s="1"/>
  <c r="T85" i="56" s="1"/>
  <c r="P78" i="56"/>
  <c r="P81" i="56" s="1"/>
  <c r="P85" i="56" s="1"/>
  <c r="N81" i="56"/>
  <c r="D21" i="213" s="1"/>
  <c r="J77" i="56"/>
  <c r="F77" i="56" s="1"/>
  <c r="F78" i="56" s="1"/>
  <c r="F81" i="56" s="1"/>
  <c r="H91" i="9" l="1"/>
  <c r="F85" i="56"/>
  <c r="R81" i="56"/>
  <c r="R85" i="56" s="1"/>
  <c r="N85" i="56"/>
  <c r="H18" i="9"/>
  <c r="H29" i="9" s="1"/>
  <c r="J80" i="9"/>
  <c r="J91" i="9" s="1"/>
  <c r="H78" i="56"/>
  <c r="H81" i="56" s="1"/>
  <c r="H85" i="56" s="1"/>
  <c r="H35" i="9" l="1"/>
  <c r="H42" i="9" s="1"/>
  <c r="E35" i="10"/>
  <c r="H108" i="9" s="1"/>
  <c r="C15" i="45"/>
  <c r="C18" i="45" s="1"/>
  <c r="E18" i="45" s="1"/>
  <c r="V85" i="56"/>
  <c r="V81" i="56"/>
  <c r="J18" i="9"/>
  <c r="J29" i="9" s="1"/>
  <c r="D13" i="11" s="1"/>
  <c r="N80" i="9"/>
  <c r="J97" i="9" l="1"/>
  <c r="J35" i="9" s="1"/>
  <c r="J42" i="9" s="1"/>
  <c r="D14" i="11" s="1"/>
  <c r="H104" i="9"/>
  <c r="H46" i="9"/>
  <c r="J108" i="9"/>
  <c r="J46" i="9" s="1"/>
  <c r="D16" i="11" s="1"/>
  <c r="N18" i="9"/>
  <c r="F18" i="260" s="1"/>
  <c r="N91" i="9"/>
  <c r="D15" i="213" s="1"/>
  <c r="G20" i="22"/>
  <c r="L18" i="260" l="1"/>
  <c r="F30" i="260"/>
  <c r="N97" i="9"/>
  <c r="N35" i="9" s="1"/>
  <c r="J104" i="9"/>
  <c r="G22" i="22"/>
  <c r="N29" i="9"/>
  <c r="F13" i="11" s="1"/>
  <c r="C9" i="54"/>
  <c r="C11" i="54" s="1"/>
  <c r="E10" i="54" s="1"/>
  <c r="C18" i="54" s="1"/>
  <c r="C19" i="54" s="1"/>
  <c r="C21" i="50" s="1"/>
  <c r="F36" i="260" l="1"/>
  <c r="S36" i="260" s="1"/>
  <c r="L36" i="260" s="1"/>
  <c r="G18" i="260"/>
  <c r="J59" i="215"/>
  <c r="J61" i="215" s="1"/>
  <c r="L59" i="215"/>
  <c r="L61" i="215" s="1"/>
  <c r="N59" i="215"/>
  <c r="N61" i="215" s="1"/>
  <c r="C17" i="50" s="1"/>
  <c r="X59" i="215"/>
  <c r="X61" i="215" s="1"/>
  <c r="C18" i="50" s="1"/>
  <c r="V59" i="215"/>
  <c r="V61" i="215" s="1"/>
  <c r="C14" i="54"/>
  <c r="C15" i="54" s="1"/>
  <c r="C12" i="50" s="1"/>
  <c r="C14" i="50" s="1"/>
  <c r="H59" i="215"/>
  <c r="H61" i="215" s="1"/>
  <c r="C23" i="54"/>
  <c r="C24" i="54" s="1"/>
  <c r="C26" i="50" s="1"/>
  <c r="F59" i="215"/>
  <c r="F61" i="215" s="1"/>
  <c r="C16" i="50" s="1"/>
  <c r="P59" i="215"/>
  <c r="P61" i="215" s="1"/>
  <c r="C27" i="54"/>
  <c r="C28" i="54" s="1"/>
  <c r="C27" i="50" s="1"/>
  <c r="T59" i="215"/>
  <c r="T61" i="215" s="1"/>
  <c r="R59" i="215"/>
  <c r="R61" i="215" s="1"/>
  <c r="E9" i="54"/>
  <c r="E11" i="54" s="1"/>
  <c r="L61" i="260" l="1"/>
  <c r="C36" i="259" s="1"/>
  <c r="C20" i="255" s="1"/>
  <c r="E20" i="255" s="1"/>
  <c r="I20" i="255" s="1"/>
  <c r="C19" i="50"/>
  <c r="C22" i="50" s="1"/>
  <c r="J47" i="9" s="1"/>
  <c r="C28" i="50"/>
  <c r="H47" i="9"/>
  <c r="N109" i="9"/>
  <c r="N47" i="9" s="1"/>
  <c r="F49" i="260" s="1"/>
  <c r="S49" i="260" l="1"/>
  <c r="S61" i="260" s="1"/>
  <c r="C46" i="259" s="1"/>
  <c r="C28" i="255" s="1"/>
  <c r="E28" i="255" s="1"/>
  <c r="H28" i="255" s="1"/>
  <c r="L28" i="255" s="1"/>
  <c r="M28" i="255" s="1"/>
  <c r="R61" i="260"/>
  <c r="C42" i="259" s="1"/>
  <c r="C25" i="255" s="1"/>
  <c r="E25" i="255" s="1"/>
  <c r="I25" i="255" s="1"/>
  <c r="J20" i="255"/>
  <c r="F20" i="255"/>
  <c r="D19" i="213"/>
  <c r="F17" i="11"/>
  <c r="D17" i="11"/>
  <c r="D11" i="213"/>
  <c r="I27" i="255" l="1"/>
  <c r="L20" i="255"/>
  <c r="M20" i="255" s="1"/>
  <c r="F25" i="255"/>
  <c r="G36" i="260"/>
  <c r="H27" i="255"/>
  <c r="J25" i="255"/>
  <c r="J27" i="255" s="1"/>
  <c r="G49" i="260"/>
  <c r="D26" i="213"/>
  <c r="D12" i="213"/>
  <c r="L25" i="255" l="1"/>
  <c r="M25" i="255" s="1"/>
  <c r="L27" i="255"/>
  <c r="M27" i="255" s="1"/>
  <c r="F16" i="9"/>
  <c r="F56" i="9"/>
  <c r="E12" i="12" s="1"/>
  <c r="E26" i="12" s="1"/>
  <c r="F62" i="9" l="1"/>
  <c r="I40" i="12" s="1"/>
  <c r="P62" i="9" l="1"/>
  <c r="G19" i="12" l="1"/>
  <c r="M19" i="12"/>
  <c r="L20" i="2" l="1"/>
  <c r="N20" i="2" s="1"/>
  <c r="J25" i="2"/>
  <c r="L25" i="2" s="1"/>
  <c r="N25" i="2" s="1"/>
  <c r="P25" i="2" s="1"/>
  <c r="J26" i="2"/>
  <c r="L26" i="2" s="1"/>
  <c r="N26" i="2" s="1"/>
  <c r="P26" i="2" s="1"/>
  <c r="J27" i="2"/>
  <c r="L27" i="2" s="1"/>
  <c r="N27" i="2" s="1"/>
  <c r="P27" i="2" s="1"/>
  <c r="J28" i="2"/>
  <c r="L28" i="2" s="1"/>
  <c r="N28" i="2" s="1"/>
  <c r="P28" i="2" s="1"/>
  <c r="C54" i="253" l="1"/>
  <c r="C52" i="253" l="1"/>
  <c r="Z14" i="267"/>
  <c r="I21" i="253" s="1"/>
  <c r="G27" i="252" l="1"/>
  <c r="G13" i="253" s="1"/>
  <c r="M27" i="252"/>
  <c r="M13" i="253" s="1"/>
  <c r="O27" i="252"/>
  <c r="O13" i="253" s="1"/>
  <c r="N27" i="252"/>
  <c r="N13" i="253" s="1"/>
  <c r="P27" i="252"/>
  <c r="P13" i="253" s="1"/>
  <c r="L27" i="252"/>
  <c r="L13" i="253" s="1"/>
  <c r="K27" i="252"/>
  <c r="K13" i="253" s="1"/>
  <c r="J27" i="252"/>
  <c r="J13" i="253" s="1"/>
  <c r="I27" i="252"/>
  <c r="I13" i="253" s="1"/>
  <c r="H27" i="252"/>
  <c r="H13" i="253" s="1"/>
  <c r="Q27" i="252" l="1"/>
  <c r="Q13" i="253" s="1"/>
  <c r="I20" i="253" s="1"/>
  <c r="K20" i="253" s="1"/>
  <c r="Q20" i="253" s="1"/>
  <c r="U266" i="249" l="1"/>
  <c r="U267" i="249"/>
  <c r="U268" i="249"/>
  <c r="U269" i="249"/>
  <c r="U272" i="249" s="1"/>
  <c r="U274" i="249" s="1"/>
  <c r="U270" i="249"/>
  <c r="U271" i="249"/>
  <c r="U210" i="221" l="1"/>
  <c r="U211" i="221"/>
  <c r="U213" i="221" s="1"/>
  <c r="W213" i="221" s="1"/>
  <c r="U215" i="221"/>
  <c r="U216" i="221"/>
  <c r="U219" i="221"/>
  <c r="U220" i="221"/>
  <c r="U222" i="221" s="1"/>
  <c r="W222" i="221"/>
  <c r="U223" i="221"/>
  <c r="U224" i="221"/>
  <c r="U226" i="221" s="1"/>
  <c r="W226" i="221"/>
  <c r="U227" i="221"/>
  <c r="U228" i="221"/>
  <c r="U230" i="221" s="1"/>
  <c r="W230" i="221" s="1"/>
  <c r="U266" i="221"/>
  <c r="U267" i="221"/>
  <c r="U268" i="221"/>
  <c r="U269" i="221"/>
  <c r="U270" i="221"/>
  <c r="U271" i="221"/>
  <c r="U386" i="221"/>
  <c r="U387" i="221" s="1"/>
  <c r="U389" i="221"/>
  <c r="W389" i="221" s="1"/>
  <c r="U390" i="221"/>
  <c r="U391" i="221" s="1"/>
  <c r="U393" i="221" s="1"/>
  <c r="W393" i="221" s="1"/>
  <c r="U394" i="221"/>
  <c r="U395" i="221" s="1"/>
  <c r="U397" i="221"/>
  <c r="W397" i="221" s="1"/>
  <c r="L21" i="2"/>
  <c r="N21" i="2"/>
  <c r="U218" i="221" l="1"/>
  <c r="W218" i="221" s="1"/>
  <c r="U272" i="221"/>
  <c r="U274" i="221" s="1"/>
  <c r="W274" i="221" s="1"/>
  <c r="D15" i="233"/>
  <c r="D28" i="233"/>
  <c r="L11" i="9"/>
  <c r="N11" i="9"/>
  <c r="P11" i="9"/>
  <c r="L15" i="9"/>
  <c r="N15" i="9"/>
  <c r="L39" i="9"/>
  <c r="N39" i="9"/>
  <c r="L42" i="9"/>
  <c r="N42" i="9"/>
  <c r="L46" i="9"/>
  <c r="N46" i="9"/>
  <c r="P46" i="9"/>
  <c r="H48" i="9"/>
  <c r="J48" i="9"/>
  <c r="L48" i="9"/>
  <c r="N48" i="9"/>
  <c r="H49" i="9"/>
  <c r="J49" i="9"/>
  <c r="L49" i="9"/>
  <c r="N49" i="9"/>
  <c r="H52" i="9"/>
  <c r="J52" i="9"/>
  <c r="L52" i="9"/>
  <c r="N52" i="9"/>
  <c r="H54" i="9"/>
  <c r="J54" i="9"/>
  <c r="L54" i="9"/>
  <c r="N54" i="9"/>
  <c r="H56" i="9"/>
  <c r="J56" i="9"/>
  <c r="L56" i="9"/>
  <c r="N56" i="9"/>
  <c r="H60" i="9"/>
  <c r="J60" i="9"/>
  <c r="N60" i="9"/>
  <c r="H62" i="9"/>
  <c r="J62" i="9"/>
  <c r="L62" i="9"/>
  <c r="N62" i="9"/>
  <c r="O62" i="9"/>
  <c r="L73" i="9"/>
  <c r="N73" i="9"/>
  <c r="L77" i="9"/>
  <c r="N77" i="9"/>
  <c r="L100" i="9"/>
  <c r="N100" i="9"/>
  <c r="L104" i="9"/>
  <c r="N104" i="9"/>
  <c r="L108" i="9"/>
  <c r="N108" i="9"/>
  <c r="H110" i="9"/>
  <c r="J110" i="9"/>
  <c r="L110" i="9"/>
  <c r="N110" i="9"/>
  <c r="H111" i="9"/>
  <c r="J111" i="9"/>
  <c r="L111" i="9"/>
  <c r="N111" i="9"/>
  <c r="H114" i="9"/>
  <c r="J114" i="9"/>
  <c r="L114" i="9"/>
  <c r="N114" i="9"/>
  <c r="H116" i="9"/>
  <c r="J116" i="9"/>
  <c r="L116" i="9"/>
  <c r="N116" i="9"/>
  <c r="H118" i="9"/>
  <c r="J118" i="9"/>
  <c r="L118" i="9"/>
  <c r="N118" i="9"/>
  <c r="H122" i="9"/>
  <c r="J122" i="9"/>
  <c r="N122" i="9"/>
  <c r="H124" i="9"/>
  <c r="J124" i="9"/>
  <c r="L124" i="9"/>
  <c r="N124" i="9"/>
  <c r="O124" i="9"/>
  <c r="G12" i="12"/>
  <c r="I12" i="12"/>
  <c r="K12" i="12"/>
  <c r="M12" i="12"/>
  <c r="G17" i="12"/>
  <c r="I17" i="12"/>
  <c r="M17" i="12"/>
  <c r="G23" i="12"/>
  <c r="I23" i="12"/>
  <c r="M23" i="12"/>
  <c r="I26" i="12"/>
  <c r="M26" i="12"/>
  <c r="K39" i="12"/>
  <c r="M39" i="12"/>
  <c r="K40" i="12"/>
  <c r="M40" i="12"/>
  <c r="K10" i="267"/>
  <c r="L10" i="267"/>
  <c r="M10" i="267"/>
  <c r="Y10" i="267"/>
  <c r="AA10" i="267"/>
  <c r="K11" i="267"/>
  <c r="L11" i="267"/>
  <c r="M11" i="267"/>
  <c r="Y11" i="267"/>
  <c r="AA11" i="267"/>
  <c r="K12" i="267"/>
  <c r="L12" i="267"/>
  <c r="M12" i="267"/>
  <c r="Y12" i="267"/>
  <c r="AA12" i="267"/>
  <c r="K13" i="267"/>
  <c r="L13" i="267"/>
  <c r="M13" i="267"/>
  <c r="Y13" i="267"/>
  <c r="AA13" i="267"/>
  <c r="K14" i="267"/>
  <c r="L14" i="267"/>
  <c r="M14" i="267"/>
  <c r="Y14" i="267"/>
  <c r="AA14" i="267"/>
  <c r="K15" i="267"/>
  <c r="L15" i="267"/>
  <c r="M15" i="267"/>
  <c r="K16" i="267"/>
  <c r="L16" i="267"/>
  <c r="M16" i="267"/>
  <c r="K17" i="267"/>
  <c r="L17" i="267"/>
  <c r="M17" i="267"/>
  <c r="K18" i="267"/>
  <c r="L18" i="267"/>
  <c r="M18" i="267"/>
  <c r="Y18" i="267"/>
  <c r="AA18" i="267"/>
  <c r="Y19" i="267"/>
  <c r="AA19" i="267"/>
  <c r="Y20" i="267"/>
  <c r="AA20" i="267"/>
  <c r="Y21" i="267"/>
  <c r="AA21" i="267"/>
  <c r="K22" i="267"/>
  <c r="L22" i="267"/>
  <c r="M22" i="267"/>
  <c r="Y22" i="267"/>
  <c r="AA22" i="267"/>
  <c r="K23" i="267"/>
  <c r="L23" i="267"/>
  <c r="M23" i="267"/>
  <c r="Y23" i="267"/>
  <c r="AA23" i="267"/>
  <c r="K24" i="267"/>
  <c r="L24" i="267"/>
  <c r="M24" i="267"/>
  <c r="K25" i="267"/>
  <c r="L25" i="267"/>
  <c r="M25" i="267"/>
  <c r="K26" i="267"/>
  <c r="L26" i="267"/>
  <c r="M26" i="267"/>
  <c r="K27" i="267"/>
  <c r="L27" i="267"/>
  <c r="M27" i="267"/>
  <c r="Y27" i="267"/>
  <c r="AA27" i="267"/>
  <c r="K28" i="267"/>
  <c r="L28" i="267"/>
  <c r="M28" i="267"/>
  <c r="Y28" i="267"/>
  <c r="AA28" i="267"/>
  <c r="K29" i="267"/>
  <c r="L29" i="267"/>
  <c r="M29" i="267"/>
  <c r="Y29" i="267"/>
  <c r="AA29" i="267"/>
  <c r="K30" i="267"/>
  <c r="L30" i="267"/>
  <c r="M30" i="267"/>
  <c r="Y30" i="267"/>
  <c r="AA30" i="267"/>
  <c r="K31" i="267"/>
  <c r="L31" i="267"/>
  <c r="M31" i="267"/>
  <c r="K32" i="267"/>
  <c r="L32" i="267"/>
  <c r="M32" i="267"/>
  <c r="K33" i="267"/>
  <c r="L33" i="267"/>
  <c r="M33" i="267"/>
  <c r="K34" i="267"/>
  <c r="L34" i="267"/>
  <c r="M34" i="267"/>
  <c r="K35" i="267"/>
  <c r="L35" i="267"/>
  <c r="M35" i="267"/>
  <c r="K36" i="267"/>
  <c r="L36" i="267"/>
  <c r="M36" i="267"/>
  <c r="K37" i="267"/>
  <c r="L37" i="267"/>
  <c r="M37" i="267"/>
  <c r="K38" i="267"/>
  <c r="L38" i="267"/>
  <c r="M38" i="267"/>
  <c r="K39" i="267"/>
  <c r="L39" i="267"/>
  <c r="M39" i="267"/>
  <c r="K40" i="267"/>
  <c r="L40" i="267"/>
  <c r="M40" i="267"/>
  <c r="K41" i="267"/>
  <c r="L41" i="267"/>
  <c r="M41" i="267"/>
  <c r="K42" i="267"/>
  <c r="L42" i="267"/>
  <c r="M42" i="267"/>
  <c r="K43" i="267"/>
  <c r="L43" i="267"/>
  <c r="M43" i="267"/>
  <c r="K44" i="267"/>
  <c r="L44" i="267"/>
  <c r="M44" i="267"/>
  <c r="K45" i="267"/>
  <c r="L45" i="267"/>
  <c r="M45" i="267"/>
  <c r="K49" i="267"/>
  <c r="L49" i="267"/>
  <c r="M49" i="267"/>
  <c r="K50" i="267"/>
  <c r="L50" i="267"/>
  <c r="M50" i="267"/>
  <c r="K51" i="267"/>
  <c r="L51" i="267"/>
  <c r="M51" i="267"/>
  <c r="K52" i="267"/>
  <c r="L52" i="267"/>
  <c r="M52" i="267"/>
  <c r="K53" i="267"/>
  <c r="L53" i="267"/>
  <c r="M53" i="267"/>
  <c r="K54" i="267"/>
  <c r="L54" i="267"/>
  <c r="M54" i="267"/>
  <c r="K55" i="267"/>
  <c r="L55" i="267"/>
  <c r="M55" i="267"/>
  <c r="K56" i="267"/>
  <c r="L56" i="267"/>
  <c r="M56" i="267"/>
  <c r="K57" i="267"/>
  <c r="L57" i="267"/>
  <c r="M57" i="267"/>
  <c r="K58" i="267"/>
  <c r="L58" i="267"/>
  <c r="M58" i="267"/>
  <c r="K59" i="267"/>
  <c r="L59" i="267"/>
  <c r="M59" i="267"/>
  <c r="K60" i="267"/>
  <c r="L60" i="267"/>
  <c r="M60" i="267"/>
  <c r="K61" i="267"/>
  <c r="L61" i="267"/>
  <c r="M61" i="267"/>
  <c r="K62" i="267"/>
  <c r="L62" i="267"/>
  <c r="M62" i="267"/>
  <c r="K63" i="267"/>
  <c r="L63" i="267"/>
  <c r="M63" i="267"/>
  <c r="Y5" i="221"/>
  <c r="Z6" i="221"/>
  <c r="Y7" i="221"/>
  <c r="S13" i="221"/>
  <c r="U13" i="221"/>
  <c r="S14" i="221"/>
  <c r="U14" i="221"/>
  <c r="S15" i="221"/>
  <c r="U15" i="221"/>
  <c r="S16" i="221"/>
  <c r="U16" i="221"/>
  <c r="S17" i="221"/>
  <c r="U17" i="221"/>
  <c r="S18" i="221"/>
  <c r="U18" i="221"/>
  <c r="U19" i="221"/>
  <c r="U21" i="221"/>
  <c r="W21" i="221"/>
  <c r="X21" i="221"/>
  <c r="S23" i="221"/>
  <c r="U23" i="221"/>
  <c r="S24" i="221"/>
  <c r="U24" i="221"/>
  <c r="S25" i="221"/>
  <c r="U25" i="221"/>
  <c r="S26" i="221"/>
  <c r="U26" i="221"/>
  <c r="S27" i="221"/>
  <c r="U27" i="221"/>
  <c r="S28" i="221"/>
  <c r="U28" i="221"/>
  <c r="U29" i="221"/>
  <c r="U31" i="221"/>
  <c r="W31" i="221"/>
  <c r="X31" i="221"/>
  <c r="S33" i="221"/>
  <c r="U33" i="221"/>
  <c r="S34" i="221"/>
  <c r="U34" i="221"/>
  <c r="S35" i="221"/>
  <c r="U35" i="221"/>
  <c r="S36" i="221"/>
  <c r="U36" i="221"/>
  <c r="S37" i="221"/>
  <c r="U37" i="221"/>
  <c r="S38" i="221"/>
  <c r="U38" i="221"/>
  <c r="U39" i="221"/>
  <c r="U41" i="221"/>
  <c r="W41" i="221"/>
  <c r="X41" i="221"/>
  <c r="S43" i="221"/>
  <c r="U43" i="221"/>
  <c r="S44" i="221"/>
  <c r="U44" i="221"/>
  <c r="S45" i="221"/>
  <c r="U45" i="221"/>
  <c r="S46" i="221"/>
  <c r="U46" i="221"/>
  <c r="S47" i="221"/>
  <c r="U47" i="221"/>
  <c r="S48" i="221"/>
  <c r="U48" i="221"/>
  <c r="U49" i="221"/>
  <c r="U51" i="221"/>
  <c r="W51" i="221"/>
  <c r="X51" i="221"/>
  <c r="S53" i="221"/>
  <c r="U53" i="221"/>
  <c r="S54" i="221"/>
  <c r="U54" i="221"/>
  <c r="S55" i="221"/>
  <c r="U55" i="221"/>
  <c r="S56" i="221"/>
  <c r="U56" i="221"/>
  <c r="S57" i="221"/>
  <c r="U57" i="221"/>
  <c r="S58" i="221"/>
  <c r="U58" i="221"/>
  <c r="U59" i="221"/>
  <c r="U61" i="221"/>
  <c r="W61" i="221"/>
  <c r="X61" i="221"/>
  <c r="S63" i="221"/>
  <c r="U63" i="221"/>
  <c r="S64" i="221"/>
  <c r="U64" i="221"/>
  <c r="S65" i="221"/>
  <c r="U65" i="221"/>
  <c r="S66" i="221"/>
  <c r="U66" i="221"/>
  <c r="S67" i="221"/>
  <c r="U67" i="221"/>
  <c r="S68" i="221"/>
  <c r="U68" i="221"/>
  <c r="U69" i="221"/>
  <c r="U71" i="221"/>
  <c r="W71" i="221"/>
  <c r="X71" i="221"/>
  <c r="S73" i="221"/>
  <c r="U73" i="221"/>
  <c r="S74" i="221"/>
  <c r="U74" i="221"/>
  <c r="S75" i="221"/>
  <c r="U75" i="221"/>
  <c r="S76" i="221"/>
  <c r="U76" i="221"/>
  <c r="S77" i="221"/>
  <c r="U77" i="221"/>
  <c r="S78" i="221"/>
  <c r="U78" i="221"/>
  <c r="U79" i="221"/>
  <c r="U81" i="221"/>
  <c r="W81" i="221"/>
  <c r="X81" i="221"/>
  <c r="S83" i="221"/>
  <c r="U83" i="221"/>
  <c r="S84" i="221"/>
  <c r="U84" i="221"/>
  <c r="S85" i="221"/>
  <c r="U85" i="221"/>
  <c r="S86" i="221"/>
  <c r="U86" i="221"/>
  <c r="S87" i="221"/>
  <c r="U87" i="221"/>
  <c r="S88" i="221"/>
  <c r="U88" i="221"/>
  <c r="U89" i="221"/>
  <c r="U91" i="221"/>
  <c r="W91" i="221"/>
  <c r="X91" i="221"/>
  <c r="S93" i="221"/>
  <c r="U93" i="221"/>
  <c r="S94" i="221"/>
  <c r="U94" i="221"/>
  <c r="S95" i="221"/>
  <c r="U95" i="221"/>
  <c r="S96" i="221"/>
  <c r="U96" i="221"/>
  <c r="S97" i="221"/>
  <c r="U97" i="221"/>
  <c r="S98" i="221"/>
  <c r="U98" i="221"/>
  <c r="U99" i="221"/>
  <c r="U101" i="221"/>
  <c r="W101" i="221"/>
  <c r="X101" i="221"/>
  <c r="S104" i="221"/>
  <c r="U104" i="221"/>
  <c r="S105" i="221"/>
  <c r="U105" i="221"/>
  <c r="S106" i="221"/>
  <c r="U106" i="221"/>
  <c r="S107" i="221"/>
  <c r="U107" i="221"/>
  <c r="S108" i="221"/>
  <c r="U108" i="221"/>
  <c r="U109" i="221"/>
  <c r="U111" i="221"/>
  <c r="W111" i="221"/>
  <c r="X111" i="221"/>
  <c r="S113" i="221"/>
  <c r="U113" i="221"/>
  <c r="S114" i="221"/>
  <c r="U114" i="221"/>
  <c r="S115" i="221"/>
  <c r="U115" i="221"/>
  <c r="S116" i="221"/>
  <c r="U116" i="221"/>
  <c r="S117" i="221"/>
  <c r="U117" i="221"/>
  <c r="U118" i="221"/>
  <c r="U120" i="221"/>
  <c r="W120" i="221"/>
  <c r="X120" i="221"/>
  <c r="S122" i="221"/>
  <c r="U122" i="221"/>
  <c r="S123" i="221"/>
  <c r="U123" i="221"/>
  <c r="S124" i="221"/>
  <c r="U124" i="221"/>
  <c r="S125" i="221"/>
  <c r="U125" i="221"/>
  <c r="S126" i="221"/>
  <c r="U126" i="221"/>
  <c r="U127" i="221"/>
  <c r="U129" i="221"/>
  <c r="W129" i="221"/>
  <c r="X129" i="221"/>
  <c r="S131" i="221"/>
  <c r="U131" i="221"/>
  <c r="S132" i="221"/>
  <c r="U132" i="221"/>
  <c r="S133" i="221"/>
  <c r="U133" i="221"/>
  <c r="S134" i="221"/>
  <c r="U134" i="221"/>
  <c r="S135" i="221"/>
  <c r="U135" i="221"/>
  <c r="U136" i="221"/>
  <c r="U138" i="221"/>
  <c r="W138" i="221"/>
  <c r="X138" i="221"/>
  <c r="S140" i="221"/>
  <c r="U140" i="221"/>
  <c r="S141" i="221"/>
  <c r="U141" i="221"/>
  <c r="S142" i="221"/>
  <c r="U142" i="221"/>
  <c r="S143" i="221"/>
  <c r="U143" i="221"/>
  <c r="S144" i="221"/>
  <c r="U144" i="221"/>
  <c r="U145" i="221"/>
  <c r="U147" i="221"/>
  <c r="W147" i="221"/>
  <c r="X147" i="221"/>
  <c r="S149" i="221"/>
  <c r="U149" i="221"/>
  <c r="S150" i="221"/>
  <c r="U150" i="221"/>
  <c r="S151" i="221"/>
  <c r="U151" i="221"/>
  <c r="S152" i="221"/>
  <c r="U152" i="221"/>
  <c r="S153" i="221"/>
  <c r="U153" i="221"/>
  <c r="U154" i="221"/>
  <c r="U156" i="221"/>
  <c r="W156" i="221"/>
  <c r="X156" i="221"/>
  <c r="S159" i="221"/>
  <c r="U159" i="221"/>
  <c r="S160" i="221"/>
  <c r="U160" i="221"/>
  <c r="S161" i="221"/>
  <c r="U161" i="221"/>
  <c r="U162" i="221"/>
  <c r="U164" i="221"/>
  <c r="W164" i="221"/>
  <c r="X164" i="221"/>
  <c r="S166" i="221"/>
  <c r="U166" i="221"/>
  <c r="S167" i="221"/>
  <c r="U167" i="221"/>
  <c r="S168" i="221"/>
  <c r="U168" i="221"/>
  <c r="U169" i="221"/>
  <c r="U171" i="221"/>
  <c r="W171" i="221"/>
  <c r="X171" i="221"/>
  <c r="S173" i="221"/>
  <c r="U173" i="221"/>
  <c r="S174" i="221"/>
  <c r="U174" i="221"/>
  <c r="S175" i="221"/>
  <c r="U175" i="221"/>
  <c r="U176" i="221"/>
  <c r="U178" i="221"/>
  <c r="W178" i="221"/>
  <c r="X178" i="221"/>
  <c r="S180" i="221"/>
  <c r="U180" i="221"/>
  <c r="S181" i="221"/>
  <c r="U181" i="221"/>
  <c r="U182" i="221"/>
  <c r="U184" i="221"/>
  <c r="W184" i="221"/>
  <c r="X184" i="221"/>
  <c r="S186" i="221"/>
  <c r="U186" i="221"/>
  <c r="S187" i="221"/>
  <c r="U187" i="221"/>
  <c r="U188" i="221"/>
  <c r="U190" i="221"/>
  <c r="W190" i="221"/>
  <c r="X190" i="221"/>
  <c r="S192" i="221"/>
  <c r="U192" i="221"/>
  <c r="S193" i="221"/>
  <c r="U193" i="221"/>
  <c r="U194" i="221"/>
  <c r="U196" i="221"/>
  <c r="W196" i="221"/>
  <c r="X196" i="221"/>
  <c r="S198" i="221"/>
  <c r="U198" i="221"/>
  <c r="S199" i="221"/>
  <c r="U199" i="221"/>
  <c r="U200" i="221"/>
  <c r="U202" i="221"/>
  <c r="W202" i="221"/>
  <c r="X202" i="221"/>
  <c r="S204" i="221"/>
  <c r="U204" i="221"/>
  <c r="S205" i="221"/>
  <c r="U205" i="221"/>
  <c r="U206" i="221"/>
  <c r="U208" i="221"/>
  <c r="W208" i="221"/>
  <c r="U232" i="221"/>
  <c r="S236" i="221"/>
  <c r="U236" i="221"/>
  <c r="S237" i="221"/>
  <c r="U237" i="221"/>
  <c r="S238" i="221"/>
  <c r="U238" i="221"/>
  <c r="S239" i="221"/>
  <c r="U239" i="221"/>
  <c r="S240" i="221"/>
  <c r="U240" i="221"/>
  <c r="S241" i="221"/>
  <c r="U241" i="221"/>
  <c r="U242" i="221"/>
  <c r="U244" i="221"/>
  <c r="W244" i="221"/>
  <c r="S246" i="221"/>
  <c r="U246" i="221"/>
  <c r="S247" i="221"/>
  <c r="U247" i="221"/>
  <c r="S248" i="221"/>
  <c r="U248" i="221"/>
  <c r="S249" i="221"/>
  <c r="U249" i="221"/>
  <c r="S250" i="221"/>
  <c r="U250" i="221"/>
  <c r="S251" i="221"/>
  <c r="U251" i="221"/>
  <c r="U252" i="221"/>
  <c r="U254" i="221"/>
  <c r="W254" i="221"/>
  <c r="S256" i="221"/>
  <c r="U256" i="221"/>
  <c r="S257" i="221"/>
  <c r="U257" i="221"/>
  <c r="S258" i="221"/>
  <c r="U258" i="221"/>
  <c r="S259" i="221"/>
  <c r="U259" i="221"/>
  <c r="S260" i="221"/>
  <c r="U260" i="221"/>
  <c r="S261" i="221"/>
  <c r="U261" i="221"/>
  <c r="U262" i="221"/>
  <c r="U264" i="221"/>
  <c r="W264" i="221"/>
  <c r="S276" i="221"/>
  <c r="U276" i="221"/>
  <c r="S277" i="221"/>
  <c r="U277" i="221"/>
  <c r="S278" i="221"/>
  <c r="U278" i="221"/>
  <c r="S279" i="221"/>
  <c r="U279" i="221"/>
  <c r="S280" i="221"/>
  <c r="U280" i="221"/>
  <c r="S281" i="221"/>
  <c r="U281" i="221"/>
  <c r="U282" i="221"/>
  <c r="U284" i="221"/>
  <c r="W284" i="221"/>
  <c r="S286" i="221"/>
  <c r="U286" i="221"/>
  <c r="S287" i="221"/>
  <c r="U287" i="221"/>
  <c r="S288" i="221"/>
  <c r="U288" i="221"/>
  <c r="S289" i="221"/>
  <c r="U289" i="221"/>
  <c r="S290" i="221"/>
  <c r="U290" i="221"/>
  <c r="S291" i="221"/>
  <c r="U291" i="221"/>
  <c r="U292" i="221"/>
  <c r="U294" i="221"/>
  <c r="W294" i="221"/>
  <c r="S296" i="221"/>
  <c r="U296" i="221"/>
  <c r="S297" i="221"/>
  <c r="U297" i="221"/>
  <c r="S298" i="221"/>
  <c r="U298" i="221"/>
  <c r="S299" i="221"/>
  <c r="U299" i="221"/>
  <c r="S300" i="221"/>
  <c r="U300" i="221"/>
  <c r="S301" i="221"/>
  <c r="U301" i="221"/>
  <c r="U302" i="221"/>
  <c r="U304" i="221"/>
  <c r="W304" i="221"/>
  <c r="X304" i="221"/>
  <c r="S306" i="221"/>
  <c r="U306" i="221"/>
  <c r="S307" i="221"/>
  <c r="U307" i="221"/>
  <c r="S308" i="221"/>
  <c r="U308" i="221"/>
  <c r="S309" i="221"/>
  <c r="U309" i="221"/>
  <c r="S310" i="221"/>
  <c r="U310" i="221"/>
  <c r="S311" i="221"/>
  <c r="U311" i="221"/>
  <c r="U312" i="221"/>
  <c r="U314" i="221"/>
  <c r="W314" i="221"/>
  <c r="X314" i="221"/>
  <c r="S316" i="221"/>
  <c r="U316" i="221"/>
  <c r="S317" i="221"/>
  <c r="U317" i="221"/>
  <c r="S318" i="221"/>
  <c r="U318" i="221"/>
  <c r="S319" i="221"/>
  <c r="U319" i="221"/>
  <c r="S320" i="221"/>
  <c r="U320" i="221"/>
  <c r="S321" i="221"/>
  <c r="U321" i="221"/>
  <c r="U322" i="221"/>
  <c r="U324" i="221"/>
  <c r="W324" i="221"/>
  <c r="S326" i="221"/>
  <c r="U326" i="221"/>
  <c r="S327" i="221"/>
  <c r="U327" i="221"/>
  <c r="S328" i="221"/>
  <c r="U328" i="221"/>
  <c r="S329" i="221"/>
  <c r="U329" i="221"/>
  <c r="S330" i="221"/>
  <c r="U330" i="221"/>
  <c r="U331" i="221"/>
  <c r="U333" i="221"/>
  <c r="W333" i="221"/>
  <c r="S335" i="221"/>
  <c r="U335" i="221"/>
  <c r="S336" i="221"/>
  <c r="U336" i="221"/>
  <c r="S337" i="221"/>
  <c r="U337" i="221"/>
  <c r="S338" i="221"/>
  <c r="U338" i="221"/>
  <c r="S339" i="221"/>
  <c r="U339" i="221"/>
  <c r="U340" i="221"/>
  <c r="U342" i="221"/>
  <c r="W342" i="221"/>
  <c r="S344" i="221"/>
  <c r="U344" i="221"/>
  <c r="S345" i="221"/>
  <c r="U345" i="221"/>
  <c r="S346" i="221"/>
  <c r="U346" i="221"/>
  <c r="S347" i="221"/>
  <c r="U347" i="221"/>
  <c r="S348" i="221"/>
  <c r="U348" i="221"/>
  <c r="U349" i="221"/>
  <c r="U351" i="221"/>
  <c r="W351" i="221"/>
  <c r="S353" i="221"/>
  <c r="U353" i="221"/>
  <c r="S354" i="221"/>
  <c r="U354" i="221"/>
  <c r="S355" i="221"/>
  <c r="U355" i="221"/>
  <c r="S356" i="221"/>
  <c r="U356" i="221"/>
  <c r="S357" i="221"/>
  <c r="U357" i="221"/>
  <c r="U358" i="221"/>
  <c r="U360" i="221"/>
  <c r="W360" i="221"/>
  <c r="S362" i="221"/>
  <c r="U362" i="221"/>
  <c r="S363" i="221"/>
  <c r="U363" i="221"/>
  <c r="S364" i="221"/>
  <c r="U364" i="221"/>
  <c r="S365" i="221"/>
  <c r="U365" i="221"/>
  <c r="S366" i="221"/>
  <c r="U366" i="221"/>
  <c r="U367" i="221"/>
  <c r="U369" i="221"/>
  <c r="W369" i="221"/>
  <c r="S371" i="221"/>
  <c r="U371" i="221"/>
  <c r="S372" i="221"/>
  <c r="U372" i="221"/>
  <c r="S373" i="221"/>
  <c r="U373" i="221"/>
  <c r="S374" i="221"/>
  <c r="U374" i="221"/>
  <c r="S375" i="221"/>
  <c r="U375" i="221"/>
  <c r="U376" i="221"/>
  <c r="U378" i="221"/>
  <c r="W378" i="221"/>
  <c r="S380" i="221"/>
  <c r="U380" i="221"/>
  <c r="S381" i="221"/>
  <c r="U381" i="221"/>
  <c r="U382" i="221"/>
  <c r="U384" i="221"/>
  <c r="W384" i="221"/>
  <c r="U398" i="221"/>
  <c r="U401" i="221"/>
  <c r="X5" i="249"/>
  <c r="S13" i="249"/>
  <c r="U13" i="249"/>
  <c r="S14" i="249"/>
  <c r="U14" i="249"/>
  <c r="S15" i="249"/>
  <c r="U15" i="249"/>
  <c r="S16" i="249"/>
  <c r="U16" i="249"/>
  <c r="S17" i="249"/>
  <c r="U17" i="249"/>
  <c r="S18" i="249"/>
  <c r="U18" i="249"/>
  <c r="U19" i="249"/>
  <c r="U21" i="249"/>
  <c r="S23" i="249"/>
  <c r="U23" i="249"/>
  <c r="S24" i="249"/>
  <c r="U24" i="249"/>
  <c r="S25" i="249"/>
  <c r="U25" i="249"/>
  <c r="S26" i="249"/>
  <c r="U26" i="249"/>
  <c r="S27" i="249"/>
  <c r="U27" i="249"/>
  <c r="S28" i="249"/>
  <c r="U28" i="249"/>
  <c r="U29" i="249"/>
  <c r="U31" i="249"/>
  <c r="S33" i="249"/>
  <c r="U33" i="249"/>
  <c r="S34" i="249"/>
  <c r="U34" i="249"/>
  <c r="S35" i="249"/>
  <c r="U35" i="249"/>
  <c r="S36" i="249"/>
  <c r="U36" i="249"/>
  <c r="S37" i="249"/>
  <c r="U37" i="249"/>
  <c r="S38" i="249"/>
  <c r="U38" i="249"/>
  <c r="U39" i="249"/>
  <c r="U41" i="249"/>
  <c r="S43" i="249"/>
  <c r="U43" i="249"/>
  <c r="S44" i="249"/>
  <c r="U44" i="249"/>
  <c r="S45" i="249"/>
  <c r="U45" i="249"/>
  <c r="S46" i="249"/>
  <c r="U46" i="249"/>
  <c r="S47" i="249"/>
  <c r="U47" i="249"/>
  <c r="S48" i="249"/>
  <c r="U48" i="249"/>
  <c r="U49" i="249"/>
  <c r="U51" i="249"/>
  <c r="S53" i="249"/>
  <c r="U53" i="249"/>
  <c r="S54" i="249"/>
  <c r="U54" i="249"/>
  <c r="S55" i="249"/>
  <c r="U55" i="249"/>
  <c r="S56" i="249"/>
  <c r="U56" i="249"/>
  <c r="S57" i="249"/>
  <c r="U57" i="249"/>
  <c r="S58" i="249"/>
  <c r="U58" i="249"/>
  <c r="U59" i="249"/>
  <c r="U61" i="249"/>
  <c r="S63" i="249"/>
  <c r="U63" i="249"/>
  <c r="S64" i="249"/>
  <c r="U64" i="249"/>
  <c r="S65" i="249"/>
  <c r="U65" i="249"/>
  <c r="S66" i="249"/>
  <c r="U66" i="249"/>
  <c r="S67" i="249"/>
  <c r="U67" i="249"/>
  <c r="S68" i="249"/>
  <c r="U68" i="249"/>
  <c r="U69" i="249"/>
  <c r="U71" i="249"/>
  <c r="S73" i="249"/>
  <c r="U73" i="249"/>
  <c r="S74" i="249"/>
  <c r="U74" i="249"/>
  <c r="S75" i="249"/>
  <c r="U75" i="249"/>
  <c r="S76" i="249"/>
  <c r="U76" i="249"/>
  <c r="S77" i="249"/>
  <c r="U77" i="249"/>
  <c r="S78" i="249"/>
  <c r="U78" i="249"/>
  <c r="U79" i="249"/>
  <c r="U81" i="249"/>
  <c r="S83" i="249"/>
  <c r="U83" i="249"/>
  <c r="S84" i="249"/>
  <c r="U84" i="249"/>
  <c r="S85" i="249"/>
  <c r="U85" i="249"/>
  <c r="S86" i="249"/>
  <c r="U86" i="249"/>
  <c r="S87" i="249"/>
  <c r="U87" i="249"/>
  <c r="S88" i="249"/>
  <c r="U88" i="249"/>
  <c r="U89" i="249"/>
  <c r="U91" i="249"/>
  <c r="S93" i="249"/>
  <c r="U93" i="249"/>
  <c r="S94" i="249"/>
  <c r="U94" i="249"/>
  <c r="S95" i="249"/>
  <c r="U95" i="249"/>
  <c r="S96" i="249"/>
  <c r="U96" i="249"/>
  <c r="S97" i="249"/>
  <c r="U97" i="249"/>
  <c r="S98" i="249"/>
  <c r="U98" i="249"/>
  <c r="U99" i="249"/>
  <c r="U101" i="249"/>
  <c r="S104" i="249"/>
  <c r="U104" i="249"/>
  <c r="S105" i="249"/>
  <c r="U105" i="249"/>
  <c r="S106" i="249"/>
  <c r="U106" i="249"/>
  <c r="S107" i="249"/>
  <c r="U107" i="249"/>
  <c r="S108" i="249"/>
  <c r="U108" i="249"/>
  <c r="U109" i="249"/>
  <c r="U111" i="249"/>
  <c r="S113" i="249"/>
  <c r="U113" i="249"/>
  <c r="S114" i="249"/>
  <c r="U114" i="249"/>
  <c r="S115" i="249"/>
  <c r="U115" i="249"/>
  <c r="S116" i="249"/>
  <c r="U116" i="249"/>
  <c r="S117" i="249"/>
  <c r="U117" i="249"/>
  <c r="U118" i="249"/>
  <c r="U120" i="249"/>
  <c r="S122" i="249"/>
  <c r="U122" i="249"/>
  <c r="S123" i="249"/>
  <c r="U123" i="249"/>
  <c r="S124" i="249"/>
  <c r="U124" i="249"/>
  <c r="S125" i="249"/>
  <c r="U125" i="249"/>
  <c r="S126" i="249"/>
  <c r="U126" i="249"/>
  <c r="U127" i="249"/>
  <c r="U129" i="249"/>
  <c r="S131" i="249"/>
  <c r="U131" i="249"/>
  <c r="S132" i="249"/>
  <c r="U132" i="249"/>
  <c r="S133" i="249"/>
  <c r="U133" i="249"/>
  <c r="S134" i="249"/>
  <c r="U134" i="249"/>
  <c r="S135" i="249"/>
  <c r="U135" i="249"/>
  <c r="U136" i="249"/>
  <c r="U138" i="249"/>
  <c r="S140" i="249"/>
  <c r="U140" i="249"/>
  <c r="S141" i="249"/>
  <c r="U141" i="249"/>
  <c r="S142" i="249"/>
  <c r="U142" i="249"/>
  <c r="S143" i="249"/>
  <c r="U143" i="249"/>
  <c r="S144" i="249"/>
  <c r="U144" i="249"/>
  <c r="U145" i="249"/>
  <c r="U147" i="249"/>
  <c r="S149" i="249"/>
  <c r="U149" i="249"/>
  <c r="S150" i="249"/>
  <c r="U150" i="249"/>
  <c r="S151" i="249"/>
  <c r="U151" i="249"/>
  <c r="S152" i="249"/>
  <c r="U152" i="249"/>
  <c r="S153" i="249"/>
  <c r="U153" i="249"/>
  <c r="U154" i="249"/>
  <c r="U156" i="249"/>
  <c r="S159" i="249"/>
  <c r="U159" i="249"/>
  <c r="S160" i="249"/>
  <c r="U160" i="249"/>
  <c r="S161" i="249"/>
  <c r="U161" i="249"/>
  <c r="U162" i="249"/>
  <c r="U164" i="249"/>
  <c r="S166" i="249"/>
  <c r="U166" i="249"/>
  <c r="S167" i="249"/>
  <c r="U167" i="249"/>
  <c r="S168" i="249"/>
  <c r="U168" i="249"/>
  <c r="U169" i="249"/>
  <c r="U171" i="249"/>
  <c r="S173" i="249"/>
  <c r="U173" i="249"/>
  <c r="S174" i="249"/>
  <c r="U174" i="249"/>
  <c r="S175" i="249"/>
  <c r="U175" i="249"/>
  <c r="U176" i="249"/>
  <c r="U178" i="249"/>
  <c r="S180" i="249"/>
  <c r="U180" i="249"/>
  <c r="S181" i="249"/>
  <c r="U181" i="249"/>
  <c r="U182" i="249"/>
  <c r="U184" i="249"/>
  <c r="S186" i="249"/>
  <c r="U186" i="249"/>
  <c r="S187" i="249"/>
  <c r="U187" i="249"/>
  <c r="U188" i="249"/>
  <c r="U190" i="249"/>
  <c r="S192" i="249"/>
  <c r="U192" i="249"/>
  <c r="S193" i="249"/>
  <c r="U193" i="249"/>
  <c r="U194" i="249"/>
  <c r="U196" i="249"/>
  <c r="S198" i="249"/>
  <c r="U198" i="249"/>
  <c r="S199" i="249"/>
  <c r="U199" i="249"/>
  <c r="U200" i="249"/>
  <c r="U202" i="249"/>
  <c r="S204" i="249"/>
  <c r="U204" i="249"/>
  <c r="S205" i="249"/>
  <c r="U205" i="249"/>
  <c r="U206" i="249"/>
  <c r="U208" i="249"/>
  <c r="S210" i="249"/>
  <c r="U210" i="249"/>
  <c r="U211" i="249"/>
  <c r="U213" i="249"/>
  <c r="S215" i="249"/>
  <c r="U215" i="249"/>
  <c r="U216" i="249"/>
  <c r="U218" i="249"/>
  <c r="S219" i="249"/>
  <c r="U219" i="249"/>
  <c r="U220" i="249"/>
  <c r="U222" i="249"/>
  <c r="S223" i="249"/>
  <c r="U223" i="249"/>
  <c r="U224" i="249"/>
  <c r="U226" i="249"/>
  <c r="S227" i="249"/>
  <c r="U227" i="249"/>
  <c r="U228" i="249"/>
  <c r="U230" i="249"/>
  <c r="U232" i="249"/>
  <c r="S236" i="249"/>
  <c r="U236" i="249"/>
  <c r="S237" i="249"/>
  <c r="U237" i="249"/>
  <c r="S238" i="249"/>
  <c r="U238" i="249"/>
  <c r="S239" i="249"/>
  <c r="U239" i="249"/>
  <c r="S240" i="249"/>
  <c r="U240" i="249"/>
  <c r="S241" i="249"/>
  <c r="U241" i="249"/>
  <c r="U242" i="249"/>
  <c r="U244" i="249"/>
  <c r="S246" i="249"/>
  <c r="U246" i="249"/>
  <c r="S247" i="249"/>
  <c r="U247" i="249"/>
  <c r="S248" i="249"/>
  <c r="U248" i="249"/>
  <c r="S249" i="249"/>
  <c r="U249" i="249"/>
  <c r="S250" i="249"/>
  <c r="U250" i="249"/>
  <c r="S251" i="249"/>
  <c r="U251" i="249"/>
  <c r="U252" i="249"/>
  <c r="U254" i="249"/>
  <c r="S256" i="249"/>
  <c r="U256" i="249"/>
  <c r="S257" i="249"/>
  <c r="U257" i="249"/>
  <c r="S258" i="249"/>
  <c r="U258" i="249"/>
  <c r="S259" i="249"/>
  <c r="U259" i="249"/>
  <c r="S260" i="249"/>
  <c r="U260" i="249"/>
  <c r="S261" i="249"/>
  <c r="U261" i="249"/>
  <c r="U262" i="249"/>
  <c r="U264" i="249"/>
  <c r="S276" i="249"/>
  <c r="U276" i="249"/>
  <c r="S277" i="249"/>
  <c r="U277" i="249"/>
  <c r="S278" i="249"/>
  <c r="U278" i="249"/>
  <c r="S279" i="249"/>
  <c r="U279" i="249"/>
  <c r="S280" i="249"/>
  <c r="U280" i="249"/>
  <c r="S281" i="249"/>
  <c r="U281" i="249"/>
  <c r="U282" i="249"/>
  <c r="U284" i="249"/>
  <c r="S286" i="249"/>
  <c r="U286" i="249"/>
  <c r="S287" i="249"/>
  <c r="U287" i="249"/>
  <c r="S288" i="249"/>
  <c r="U288" i="249"/>
  <c r="S289" i="249"/>
  <c r="U289" i="249"/>
  <c r="S290" i="249"/>
  <c r="U290" i="249"/>
  <c r="S291" i="249"/>
  <c r="U291" i="249"/>
  <c r="U292" i="249"/>
  <c r="U294" i="249"/>
  <c r="S296" i="249"/>
  <c r="U296" i="249"/>
  <c r="S297" i="249"/>
  <c r="U297" i="249"/>
  <c r="S298" i="249"/>
  <c r="U298" i="249"/>
  <c r="S299" i="249"/>
  <c r="U299" i="249"/>
  <c r="S300" i="249"/>
  <c r="U300" i="249"/>
  <c r="S301" i="249"/>
  <c r="U301" i="249"/>
  <c r="U302" i="249"/>
  <c r="U304" i="249"/>
  <c r="S306" i="249"/>
  <c r="U306" i="249"/>
  <c r="S307" i="249"/>
  <c r="U307" i="249"/>
  <c r="S308" i="249"/>
  <c r="U308" i="249"/>
  <c r="S309" i="249"/>
  <c r="U309" i="249"/>
  <c r="S310" i="249"/>
  <c r="U310" i="249"/>
  <c r="S311" i="249"/>
  <c r="U311" i="249"/>
  <c r="U312" i="249"/>
  <c r="U314" i="249"/>
  <c r="S316" i="249"/>
  <c r="U316" i="249"/>
  <c r="S317" i="249"/>
  <c r="U317" i="249"/>
  <c r="S318" i="249"/>
  <c r="U318" i="249"/>
  <c r="S319" i="249"/>
  <c r="U319" i="249"/>
  <c r="S320" i="249"/>
  <c r="U320" i="249"/>
  <c r="S321" i="249"/>
  <c r="U321" i="249"/>
  <c r="U322" i="249"/>
  <c r="U324" i="249"/>
  <c r="S326" i="249"/>
  <c r="U326" i="249"/>
  <c r="S327" i="249"/>
  <c r="U327" i="249"/>
  <c r="S328" i="249"/>
  <c r="U328" i="249"/>
  <c r="S329" i="249"/>
  <c r="U329" i="249"/>
  <c r="S330" i="249"/>
  <c r="U330" i="249"/>
  <c r="U331" i="249"/>
  <c r="U333" i="249"/>
  <c r="S335" i="249"/>
  <c r="U335" i="249"/>
  <c r="S336" i="249"/>
  <c r="U336" i="249"/>
  <c r="S337" i="249"/>
  <c r="U337" i="249"/>
  <c r="S338" i="249"/>
  <c r="U338" i="249"/>
  <c r="S339" i="249"/>
  <c r="U339" i="249"/>
  <c r="U340" i="249"/>
  <c r="U342" i="249"/>
  <c r="S344" i="249"/>
  <c r="U344" i="249"/>
  <c r="S345" i="249"/>
  <c r="U345" i="249"/>
  <c r="S346" i="249"/>
  <c r="U346" i="249"/>
  <c r="S347" i="249"/>
  <c r="U347" i="249"/>
  <c r="S348" i="249"/>
  <c r="U348" i="249"/>
  <c r="U349" i="249"/>
  <c r="U351" i="249"/>
  <c r="S353" i="249"/>
  <c r="U353" i="249"/>
  <c r="S354" i="249"/>
  <c r="U354" i="249"/>
  <c r="S355" i="249"/>
  <c r="U355" i="249"/>
  <c r="S356" i="249"/>
  <c r="U356" i="249"/>
  <c r="S357" i="249"/>
  <c r="U357" i="249"/>
  <c r="U358" i="249"/>
  <c r="U360" i="249"/>
  <c r="S362" i="249"/>
  <c r="U362" i="249"/>
  <c r="S363" i="249"/>
  <c r="U363" i="249"/>
  <c r="S364" i="249"/>
  <c r="U364" i="249"/>
  <c r="S365" i="249"/>
  <c r="U365" i="249"/>
  <c r="S366" i="249"/>
  <c r="U366" i="249"/>
  <c r="U367" i="249"/>
  <c r="U369" i="249"/>
  <c r="S371" i="249"/>
  <c r="U371" i="249"/>
  <c r="S372" i="249"/>
  <c r="U372" i="249"/>
  <c r="S373" i="249"/>
  <c r="U373" i="249"/>
  <c r="S374" i="249"/>
  <c r="U374" i="249"/>
  <c r="S375" i="249"/>
  <c r="U375" i="249"/>
  <c r="U376" i="249"/>
  <c r="U378" i="249"/>
  <c r="S380" i="249"/>
  <c r="U380" i="249"/>
  <c r="S381" i="249"/>
  <c r="U381" i="249"/>
  <c r="U382" i="249"/>
  <c r="U384" i="249"/>
  <c r="S386" i="249"/>
  <c r="U386" i="249"/>
  <c r="U387" i="249"/>
  <c r="U389" i="249"/>
  <c r="S390" i="249"/>
  <c r="U390" i="249"/>
  <c r="U391" i="249"/>
  <c r="U393" i="249"/>
  <c r="S394" i="249"/>
  <c r="U394" i="249"/>
  <c r="U395" i="249"/>
  <c r="U397" i="249"/>
  <c r="U398" i="249"/>
  <c r="U401" i="249"/>
  <c r="U403" i="249"/>
  <c r="U404" i="249"/>
  <c r="U405" i="249"/>
  <c r="D16" i="213"/>
  <c r="D22" i="213"/>
  <c r="D25" i="213"/>
  <c r="D27" i="213"/>
  <c r="E12" i="222"/>
  <c r="E13" i="222"/>
  <c r="E15" i="222"/>
  <c r="E18" i="222"/>
  <c r="E19" i="222"/>
  <c r="E21" i="222"/>
  <c r="E22" i="222"/>
  <c r="E24" i="222"/>
  <c r="E27" i="222"/>
  <c r="E29" i="222"/>
  <c r="F13" i="252"/>
  <c r="R13" i="252"/>
  <c r="T13" i="252"/>
  <c r="F14" i="252"/>
  <c r="R14" i="252"/>
  <c r="T14" i="252"/>
  <c r="F15" i="252"/>
  <c r="R15" i="252"/>
  <c r="T15" i="252"/>
  <c r="F16" i="252"/>
  <c r="R16" i="252"/>
  <c r="T16" i="252"/>
  <c r="F17" i="252"/>
  <c r="R17" i="252"/>
  <c r="F18" i="252"/>
  <c r="R18" i="252"/>
  <c r="F19" i="252"/>
  <c r="R19" i="252"/>
  <c r="F20" i="252"/>
  <c r="R20" i="252"/>
  <c r="S23" i="252"/>
  <c r="S24" i="252"/>
  <c r="S25" i="252"/>
  <c r="G28" i="252"/>
  <c r="H28" i="252"/>
  <c r="I28" i="252"/>
  <c r="J28" i="252"/>
  <c r="K28" i="252"/>
  <c r="L28" i="252"/>
  <c r="M28" i="252"/>
  <c r="N28" i="252"/>
  <c r="O28" i="252"/>
  <c r="P28" i="252"/>
  <c r="Q28" i="252"/>
  <c r="F31" i="252"/>
  <c r="F32" i="252"/>
  <c r="F33" i="252"/>
  <c r="F34" i="252"/>
  <c r="F35" i="252"/>
  <c r="F36" i="252"/>
  <c r="F37" i="252"/>
  <c r="F38" i="252"/>
  <c r="S39" i="252"/>
  <c r="G43" i="252"/>
  <c r="H43" i="252"/>
  <c r="I43" i="252"/>
  <c r="J43" i="252"/>
  <c r="K43" i="252"/>
  <c r="L43" i="252"/>
  <c r="M43" i="252"/>
  <c r="N43" i="252"/>
  <c r="O43" i="252"/>
  <c r="P43" i="252"/>
  <c r="Q43" i="252"/>
  <c r="E45" i="252"/>
  <c r="F45" i="252"/>
  <c r="E47" i="252"/>
  <c r="F47" i="252"/>
  <c r="F50" i="252"/>
  <c r="G50" i="252"/>
  <c r="H50" i="252"/>
  <c r="I50" i="252"/>
  <c r="J50" i="252"/>
  <c r="K50" i="252"/>
  <c r="L50" i="252"/>
  <c r="M50" i="252"/>
  <c r="N50" i="252"/>
  <c r="O50" i="252"/>
  <c r="P50" i="252"/>
  <c r="Q50" i="252"/>
  <c r="E51" i="252"/>
  <c r="F51" i="252"/>
  <c r="G51" i="252"/>
  <c r="H51" i="252"/>
  <c r="I51" i="252"/>
  <c r="J51" i="252"/>
  <c r="K51" i="252"/>
  <c r="L51" i="252"/>
  <c r="M51" i="252"/>
  <c r="N51" i="252"/>
  <c r="O51" i="252"/>
  <c r="P51" i="252"/>
  <c r="Q51" i="252"/>
  <c r="E52" i="252"/>
  <c r="F52" i="252"/>
  <c r="E53" i="252"/>
  <c r="F53" i="252"/>
  <c r="Q53" i="252"/>
  <c r="Q54" i="252"/>
  <c r="G14" i="253"/>
  <c r="H14" i="253"/>
  <c r="I14" i="253"/>
  <c r="J14" i="253"/>
  <c r="K14" i="253"/>
  <c r="L14" i="253"/>
  <c r="M14" i="253"/>
  <c r="N14" i="253"/>
  <c r="O14" i="253"/>
  <c r="P14" i="253"/>
  <c r="Q14" i="253"/>
  <c r="G21" i="253"/>
  <c r="K21" i="253"/>
  <c r="Q21" i="253"/>
  <c r="Q22" i="253"/>
  <c r="Q24" i="253"/>
  <c r="C51" i="253"/>
  <c r="F29" i="255"/>
  <c r="H29" i="255"/>
  <c r="I29" i="255"/>
  <c r="J29" i="255"/>
  <c r="L29" i="255"/>
  <c r="M29" i="255"/>
  <c r="C30" i="255"/>
  <c r="E30" i="255"/>
  <c r="F30" i="255"/>
  <c r="H30" i="255"/>
  <c r="I30" i="255"/>
  <c r="J30" i="255"/>
  <c r="L30" i="255"/>
  <c r="M30" i="255"/>
  <c r="C31" i="255"/>
  <c r="E31" i="255"/>
  <c r="F31" i="255"/>
  <c r="H31" i="255"/>
  <c r="I31" i="255"/>
  <c r="J31" i="255"/>
  <c r="L31" i="255"/>
  <c r="M31" i="255"/>
  <c r="C32" i="255"/>
  <c r="E32" i="255"/>
  <c r="F32" i="255"/>
  <c r="H32" i="255"/>
  <c r="I32" i="255"/>
  <c r="J32" i="255"/>
  <c r="C33" i="255"/>
  <c r="E33" i="255"/>
  <c r="F33" i="255"/>
  <c r="H33" i="255"/>
  <c r="I33" i="255"/>
  <c r="J33" i="255"/>
  <c r="C35" i="255"/>
  <c r="E35" i="255"/>
  <c r="F35" i="255"/>
  <c r="I35" i="255"/>
  <c r="J35" i="255"/>
  <c r="C36" i="255"/>
  <c r="E36" i="255"/>
  <c r="F36" i="255"/>
  <c r="I36" i="255"/>
  <c r="J36" i="255"/>
  <c r="C37" i="255"/>
  <c r="E37" i="255"/>
  <c r="F37" i="255"/>
  <c r="I37" i="255"/>
  <c r="J37" i="255"/>
  <c r="C38" i="255"/>
  <c r="E38" i="255"/>
  <c r="F38" i="255"/>
  <c r="H38" i="255"/>
  <c r="I38" i="255"/>
  <c r="J38" i="255"/>
  <c r="L38" i="255"/>
  <c r="F49" i="255"/>
  <c r="G49" i="255"/>
  <c r="H49" i="255"/>
  <c r="I49" i="255"/>
  <c r="J49" i="255"/>
  <c r="K49" i="255"/>
  <c r="C28" i="259"/>
  <c r="C48" i="259"/>
  <c r="C50" i="259"/>
  <c r="C55" i="259"/>
  <c r="C56" i="259"/>
  <c r="C57" i="259"/>
  <c r="F9" i="260"/>
  <c r="G9" i="260"/>
  <c r="Z9" i="260"/>
  <c r="F12" i="260"/>
  <c r="F15" i="260"/>
  <c r="F40" i="260"/>
  <c r="G40" i="260"/>
  <c r="U40" i="260"/>
  <c r="F44" i="260"/>
  <c r="F48" i="260"/>
  <c r="G48" i="260"/>
  <c r="W48" i="260"/>
  <c r="F50" i="260"/>
  <c r="G50" i="260"/>
  <c r="X50" i="260"/>
  <c r="F51" i="260"/>
  <c r="G51" i="260"/>
  <c r="X51" i="260"/>
  <c r="F55" i="260"/>
  <c r="F57" i="260"/>
  <c r="F59" i="260"/>
  <c r="G59" i="260"/>
  <c r="Y59" i="260"/>
  <c r="F61" i="260"/>
  <c r="U61" i="260"/>
  <c r="W61" i="260"/>
  <c r="X61" i="260"/>
  <c r="Y61" i="260"/>
  <c r="Z61" i="260"/>
  <c r="F11" i="11"/>
  <c r="F14" i="11"/>
  <c r="F16" i="11"/>
  <c r="D18" i="11"/>
  <c r="F18" i="11"/>
  <c r="D20" i="11"/>
  <c r="F20" i="11"/>
  <c r="D22" i="11"/>
  <c r="F22" i="11"/>
  <c r="D23" i="11"/>
  <c r="F23" i="11"/>
  <c r="D24" i="11"/>
  <c r="F24" i="11"/>
  <c r="D26" i="11"/>
  <c r="F26" i="11"/>
  <c r="D30" i="11"/>
  <c r="F30" i="11"/>
  <c r="D32" i="11"/>
  <c r="F32" i="11"/>
  <c r="D34" i="11"/>
  <c r="F34" i="11"/>
  <c r="D37" i="11"/>
  <c r="F37" i="11"/>
  <c r="D31" i="29"/>
  <c r="H31" i="29"/>
  <c r="D36" i="29"/>
  <c r="H36" i="29"/>
  <c r="P30" i="21"/>
  <c r="R30" i="21"/>
  <c r="R31" i="21"/>
  <c r="F42" i="21"/>
  <c r="F49" i="21"/>
  <c r="E40" i="10"/>
  <c r="E44" i="10"/>
  <c r="E48" i="10"/>
  <c r="G21" i="22"/>
  <c r="G24" i="22"/>
  <c r="G26" i="22"/>
  <c r="J12" i="2"/>
  <c r="L12" i="2"/>
  <c r="N12" i="2"/>
  <c r="P12" i="2"/>
  <c r="J13" i="2"/>
  <c r="L13" i="2"/>
  <c r="N13" i="2"/>
  <c r="P13" i="2"/>
  <c r="J14" i="2"/>
  <c r="L14" i="2"/>
  <c r="N14" i="2"/>
  <c r="P14" i="2"/>
  <c r="J15" i="2"/>
  <c r="L15" i="2"/>
  <c r="N15" i="2"/>
  <c r="P15" i="2"/>
  <c r="J16" i="2"/>
  <c r="L16" i="2"/>
  <c r="N16" i="2"/>
  <c r="P16" i="2"/>
  <c r="J17" i="2"/>
  <c r="L17" i="2"/>
  <c r="N17" i="2"/>
  <c r="P17" i="2"/>
  <c r="J18" i="2"/>
  <c r="L18" i="2"/>
  <c r="N18" i="2"/>
  <c r="P18" i="2"/>
</calcChain>
</file>

<file path=xl/comments1.xml><?xml version="1.0" encoding="utf-8"?>
<comments xmlns="http://schemas.openxmlformats.org/spreadsheetml/2006/main">
  <authors>
    <author>dliskoff</author>
  </authors>
  <commentList>
    <comment ref="B14" authorId="0">
      <text>
        <r>
          <rPr>
            <b/>
            <sz val="9"/>
            <color indexed="81"/>
            <rFont val="Tahoma"/>
            <family val="2"/>
          </rPr>
          <t>dliskoff:</t>
        </r>
        <r>
          <rPr>
            <sz val="9"/>
            <color indexed="81"/>
            <rFont val="Tahoma"/>
            <family val="2"/>
          </rPr>
          <t xml:space="preserve">
New hire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dliskoff:</t>
        </r>
        <r>
          <rPr>
            <sz val="9"/>
            <color indexed="81"/>
            <rFont val="Tahoma"/>
            <family val="2"/>
          </rPr>
          <t xml:space="preserve">
New hire
</t>
        </r>
      </text>
    </comment>
    <comment ref="B37" authorId="0">
      <text>
        <r>
          <rPr>
            <b/>
            <sz val="9"/>
            <color indexed="81"/>
            <rFont val="Tahoma"/>
            <family val="2"/>
          </rPr>
          <t>dliskoff:</t>
        </r>
        <r>
          <rPr>
            <sz val="9"/>
            <color indexed="81"/>
            <rFont val="Tahoma"/>
            <family val="2"/>
          </rPr>
          <t xml:space="preserve">
New hire
</t>
        </r>
      </text>
    </comment>
    <comment ref="B45" authorId="0">
      <text>
        <r>
          <rPr>
            <b/>
            <sz val="9"/>
            <color indexed="81"/>
            <rFont val="Tahoma"/>
            <family val="2"/>
          </rPr>
          <t>dliskoff:</t>
        </r>
        <r>
          <rPr>
            <sz val="9"/>
            <color indexed="81"/>
            <rFont val="Tahoma"/>
            <family val="2"/>
          </rPr>
          <t xml:space="preserve">
New hire
</t>
        </r>
      </text>
    </comment>
  </commentList>
</comments>
</file>

<file path=xl/comments2.xml><?xml version="1.0" encoding="utf-8"?>
<comments xmlns="http://schemas.openxmlformats.org/spreadsheetml/2006/main">
  <authors>
    <author>Steve Lubertozzi</author>
  </authors>
  <commentList>
    <comment ref="D49" authorId="0">
      <text>
        <r>
          <rPr>
            <b/>
            <sz val="9"/>
            <color indexed="81"/>
            <rFont val="Geneva"/>
          </rPr>
          <t>Steve Lubertozzi:</t>
        </r>
        <r>
          <rPr>
            <sz val="9"/>
            <color indexed="81"/>
            <rFont val="Geneva"/>
          </rPr>
          <t xml:space="preserve">
TB 6019040</t>
        </r>
      </text>
    </comment>
    <comment ref="G49" authorId="0">
      <text>
        <r>
          <rPr>
            <b/>
            <sz val="9"/>
            <color indexed="81"/>
            <rFont val="Geneva"/>
          </rPr>
          <t>Steve Lubertozzi:</t>
        </r>
        <r>
          <rPr>
            <sz val="9"/>
            <color indexed="81"/>
            <rFont val="Geneva"/>
          </rPr>
          <t xml:space="preserve">
TB 6019045
TB 6019050
TB 6019054</t>
        </r>
      </text>
    </comment>
    <comment ref="K49" authorId="0">
      <text>
        <r>
          <rPr>
            <b/>
            <sz val="9"/>
            <color indexed="81"/>
            <rFont val="Geneva"/>
          </rPr>
          <t>Steve Lubertozzi:</t>
        </r>
        <r>
          <rPr>
            <sz val="9"/>
            <color indexed="81"/>
            <rFont val="Geneva"/>
          </rPr>
          <t xml:space="preserve">
TB 4081201
TB 4091123
TB 4091060
TB 4091050</t>
        </r>
      </text>
    </comment>
    <comment ref="O49" authorId="0">
      <text>
        <r>
          <rPr>
            <b/>
            <sz val="9"/>
            <color indexed="81"/>
            <rFont val="Geneva"/>
          </rPr>
          <t>Steve Lubertozzi:</t>
        </r>
        <r>
          <rPr>
            <sz val="9"/>
            <color indexed="81"/>
            <rFont val="Geneva"/>
          </rPr>
          <t xml:space="preserve">
TB 904.9</t>
        </r>
      </text>
    </comment>
  </commentList>
</comments>
</file>

<file path=xl/comments3.xml><?xml version="1.0" encoding="utf-8"?>
<comments xmlns="http://schemas.openxmlformats.org/spreadsheetml/2006/main">
  <authors>
    <author xml:space="preserve"> </author>
  </authors>
  <commentList>
    <comment ref="H162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No change in June 08
</t>
        </r>
      </text>
    </comment>
  </commentList>
</comments>
</file>

<file path=xl/sharedStrings.xml><?xml version="1.0" encoding="utf-8"?>
<sst xmlns="http://schemas.openxmlformats.org/spreadsheetml/2006/main" count="9793" uniqueCount="4013">
  <si>
    <t>Cash</t>
  </si>
  <si>
    <t>Pension &amp; Other Benefits</t>
  </si>
  <si>
    <t>W/P [l]</t>
  </si>
  <si>
    <t>CPI Increase</t>
  </si>
  <si>
    <t>Date</t>
  </si>
  <si>
    <t>Beginning</t>
  </si>
  <si>
    <t>Ending</t>
  </si>
  <si>
    <t>A ROR</t>
  </si>
  <si>
    <r>
      <t xml:space="preserve">Source: </t>
    </r>
    <r>
      <rPr>
        <b/>
        <u/>
        <sz val="10"/>
        <rFont val="Courier New"/>
        <family val="3"/>
      </rPr>
      <t>www.bls.gov</t>
    </r>
  </si>
  <si>
    <r>
      <t>Series Id:    </t>
    </r>
    <r>
      <rPr>
        <sz val="10"/>
        <color indexed="8"/>
        <rFont val="Courier New"/>
        <family val="3"/>
      </rPr>
      <t>CUSR0000SA0</t>
    </r>
  </si>
  <si>
    <t>Seasonally Adjusted</t>
  </si>
  <si>
    <r>
      <t>Area:         </t>
    </r>
    <r>
      <rPr>
        <sz val="10"/>
        <color indexed="8"/>
        <rFont val="Courier New"/>
        <family val="3"/>
      </rPr>
      <t>U.S. city average</t>
    </r>
  </si>
  <si>
    <r>
      <t>Item:         </t>
    </r>
    <r>
      <rPr>
        <sz val="10"/>
        <color indexed="8"/>
        <rFont val="Courier New"/>
        <family val="3"/>
      </rPr>
      <t>All items</t>
    </r>
  </si>
  <si>
    <t>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</si>
  <si>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</si>
  <si>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</si>
  <si>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</si>
  <si>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</si>
  <si>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</si>
  <si>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</si>
  <si>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</si>
  <si>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</si>
  <si>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</si>
  <si>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</si>
  <si>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</si>
  <si>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</si>
  <si>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Test Year Ended 6/30/08</t>
  </si>
  <si>
    <t>http://www.bls.gov/cpi/cpid0806.pdf</t>
  </si>
  <si>
    <t xml:space="preserve">    OUTSIDE LAB FEES-LAB,LAND</t>
  </si>
  <si>
    <t xml:space="preserve">    REPAIRS &amp; MAINT-MAINT,LAND</t>
  </si>
  <si>
    <t xml:space="preserve">    UNIFORMS</t>
  </si>
  <si>
    <t xml:space="preserve">    WEATHER/HURRICANE COSTS</t>
  </si>
  <si>
    <t xml:space="preserve">   SEWER RODDING</t>
  </si>
  <si>
    <t xml:space="preserve">   SLUDGE HAULING</t>
  </si>
  <si>
    <t xml:space="preserve">    DEPREC-ORGANIZATION</t>
  </si>
  <si>
    <t xml:space="preserve">    DEPREC-FRANCHISES</t>
  </si>
  <si>
    <t xml:space="preserve">    DEPREC-STRUCT &amp; IMPRV SRC</t>
  </si>
  <si>
    <t xml:space="preserve">    DEPREC-STRUCT &amp; IMPRV WTP</t>
  </si>
  <si>
    <t xml:space="preserve">    DEPREC-STRUCT &amp; IMPRV DIST</t>
  </si>
  <si>
    <t xml:space="preserve">    DEPREC-STRUCT &amp; IMPRV GEN</t>
  </si>
  <si>
    <t xml:space="preserve">    DEPREC-COLLECTING RESERVOI</t>
  </si>
  <si>
    <t xml:space="preserve">    DEPREC-LAKE, RIVER, OTHER</t>
  </si>
  <si>
    <t xml:space="preserve">    DEPREC-WELLS &amp; SPRINGS</t>
  </si>
  <si>
    <t xml:space="preserve">    DEPREC-INFILTRATION GALLER</t>
  </si>
  <si>
    <t xml:space="preserve">    DEPREC-SUPPLY MAINS</t>
  </si>
  <si>
    <t xml:space="preserve">    DEPREC-POWER GEN EQP</t>
  </si>
  <si>
    <t xml:space="preserve">    DEPREC-ELEC PUMP EQP SRC P</t>
  </si>
  <si>
    <t xml:space="preserve">    DEPREC-ELEC PUMP EQP WTP</t>
  </si>
  <si>
    <t xml:space="preserve">    DEPREC-ELEC PUMP EQP TRANS</t>
  </si>
  <si>
    <t xml:space="preserve">    DEPREC-WATER TREATMENT EQP</t>
  </si>
  <si>
    <t xml:space="preserve">    DEPREC-DIST RESV &amp; STANDPI</t>
  </si>
  <si>
    <t xml:space="preserve">    DEPREC-TRANS &amp; DISTR MAINS</t>
  </si>
  <si>
    <t xml:space="preserve">    DEPREC-SERVICE LINES</t>
  </si>
  <si>
    <t xml:space="preserve">    DEPREC-METERS</t>
  </si>
  <si>
    <t xml:space="preserve">    DEPREC-METER INSTALLS</t>
  </si>
  <si>
    <t>Overtime</t>
  </si>
  <si>
    <t>Middlesboro</t>
  </si>
  <si>
    <t>Clinton</t>
  </si>
  <si>
    <t>Basis for Salary Allocation</t>
  </si>
  <si>
    <t>Employee</t>
  </si>
  <si>
    <t>Calculation of Salary and Benefits Allocated to the City of Clinton Sewer Operations</t>
  </si>
  <si>
    <t>WSCK</t>
  </si>
  <si>
    <t>Taxes Other Than Income</t>
  </si>
  <si>
    <t>Uncollectible Accounts</t>
  </si>
  <si>
    <t>Benefits</t>
  </si>
  <si>
    <t>Total Operator Allocation</t>
  </si>
  <si>
    <t>TYE</t>
  </si>
  <si>
    <t xml:space="preserve">    State Tax Rate</t>
  </si>
  <si>
    <t>Annualized</t>
  </si>
  <si>
    <t>S</t>
  </si>
  <si>
    <t>Maintenance Testing</t>
  </si>
  <si>
    <t>Total Federal Taxes</t>
  </si>
  <si>
    <t>Outside Services - Other</t>
  </si>
  <si>
    <t xml:space="preserve">Total </t>
  </si>
  <si>
    <t>General Expenses</t>
  </si>
  <si>
    <t>Estimated</t>
  </si>
  <si>
    <t>Project</t>
  </si>
  <si>
    <t>WSC of KY</t>
  </si>
  <si>
    <t>Debt Ratio</t>
  </si>
  <si>
    <t>Embedded Cost of Debt</t>
  </si>
  <si>
    <t>Allocation</t>
  </si>
  <si>
    <t>Method</t>
  </si>
  <si>
    <t xml:space="preserve">  Total State Income Taxes</t>
  </si>
  <si>
    <t>Schedule E</t>
  </si>
  <si>
    <t>Meters</t>
  </si>
  <si>
    <t>Trial Balance Variance</t>
  </si>
  <si>
    <t>Customers:</t>
  </si>
  <si>
    <t>Office</t>
  </si>
  <si>
    <t>Transportation</t>
  </si>
  <si>
    <t>Computers</t>
  </si>
  <si>
    <t>Amortization Expense per year</t>
  </si>
  <si>
    <t>Total Operator Salary</t>
  </si>
  <si>
    <t>Sewer</t>
  </si>
  <si>
    <t xml:space="preserve">Retained earnings </t>
  </si>
  <si>
    <t>6.58%, $9,000,000 due in annual installments</t>
  </si>
  <si>
    <t>beginning in 2017 through 2035</t>
  </si>
  <si>
    <t xml:space="preserve">    AMORT-OTHER TANGIBLE PLT W</t>
  </si>
  <si>
    <t xml:space="preserve">    AMORT-WATER-TAP</t>
  </si>
  <si>
    <t xml:space="preserve">    AMORT-WTR MGMT FEE</t>
  </si>
  <si>
    <t xml:space="preserve">    AMORT-WTR RES CAP FEE</t>
  </si>
  <si>
    <t xml:space="preserve">    AMORT-WTR PLT MOD FEE</t>
  </si>
  <si>
    <t>Structure</t>
  </si>
  <si>
    <t>Adjustments (Water/Sewer)</t>
  </si>
  <si>
    <t>Current Assets</t>
  </si>
  <si>
    <t>Depreciation Expense</t>
  </si>
  <si>
    <t>As</t>
  </si>
  <si>
    <t>State Income Taxes</t>
  </si>
  <si>
    <t>Total Revenue</t>
  </si>
  <si>
    <t>Income Taxes - Federal</t>
  </si>
  <si>
    <t>Distrib. Reservoirs &amp; Standpipes</t>
  </si>
  <si>
    <t>Other</t>
  </si>
  <si>
    <t>Deferred Charges</t>
  </si>
  <si>
    <t>Test Year</t>
  </si>
  <si>
    <t>Interest on Debt</t>
  </si>
  <si>
    <t>Common shares, $.10 par value; authorized and</t>
  </si>
  <si>
    <t>issued 1,000 shares</t>
  </si>
  <si>
    <t>Other Current Assets</t>
  </si>
  <si>
    <t>(Invoiced and Estimated)</t>
  </si>
  <si>
    <t>Calculation of Income Taxes</t>
  </si>
  <si>
    <t xml:space="preserve">   LOSS ON DEBT REFINANCING</t>
  </si>
  <si>
    <t xml:space="preserve">    S/T INT EXP BANK ONE</t>
  </si>
  <si>
    <t xml:space="preserve">    S/T INT EXP CUSTOMERS DEP</t>
  </si>
  <si>
    <t xml:space="preserve">    S/T INT EXP CHARGES</t>
  </si>
  <si>
    <t xml:space="preserve">    S/T INT EXP OTHER</t>
  </si>
  <si>
    <t xml:space="preserve">    S/T INT EXP BK OF AMERICA</t>
  </si>
  <si>
    <t xml:space="preserve">    S/T INT EXP C &amp; S NATL BK</t>
  </si>
  <si>
    <t xml:space="preserve">    S/T INT EXP NATIONS BANK</t>
  </si>
  <si>
    <t xml:space="preserve">    S/T INT EXP FIRST UNION</t>
  </si>
  <si>
    <t xml:space="preserve">    S/T INT EXP UTIL SUP AMER</t>
  </si>
  <si>
    <t xml:space="preserve">    S/T INT EXP MISC</t>
  </si>
  <si>
    <t xml:space="preserve">   INTEREST DURING CONSTRUCTIO</t>
  </si>
  <si>
    <t xml:space="preserve">   SALE OF UTILITY PROPERTY</t>
  </si>
  <si>
    <t xml:space="preserve">    CURRENT TAX-FIT-SOLD CO</t>
  </si>
  <si>
    <t xml:space="preserve">    DEFERRED TAX-FIT-SOLD CO</t>
  </si>
  <si>
    <t xml:space="preserve">    CURRENT TAX-SIT-SOLD CO</t>
  </si>
  <si>
    <t xml:space="preserve">    DEFERRED TAX-SIT-SOLD CO</t>
  </si>
  <si>
    <t xml:space="preserve">    TAX EFFECT OF CAP TRANS</t>
  </si>
  <si>
    <t>SUTA</t>
  </si>
  <si>
    <t>General Expense</t>
  </si>
  <si>
    <t>Proposed</t>
  </si>
  <si>
    <t>Capital Stock and Retained Earnings</t>
  </si>
  <si>
    <t>w/p [i]</t>
  </si>
  <si>
    <t>w/p [j]</t>
  </si>
  <si>
    <t>w/p [k]</t>
  </si>
  <si>
    <t>w/p [l]</t>
  </si>
  <si>
    <t>Service Revenues - Water</t>
  </si>
  <si>
    <t>KY</t>
  </si>
  <si>
    <t>Income Statement</t>
  </si>
  <si>
    <t>Long-Term Debt</t>
  </si>
  <si>
    <t>Common Equity</t>
  </si>
  <si>
    <t>Account Name</t>
  </si>
  <si>
    <t>Total Health Insurance</t>
  </si>
  <si>
    <t>Total Other Benefits</t>
  </si>
  <si>
    <t>Wp-c2</t>
  </si>
  <si>
    <t>Utilities Inc</t>
  </si>
  <si>
    <t>WSC KY ERC</t>
  </si>
  <si>
    <t>Income Statement - CSV Output</t>
  </si>
  <si>
    <t xml:space="preserve">WSC KY ERC </t>
  </si>
  <si>
    <t>ERC %</t>
  </si>
  <si>
    <t>For the Three Months Ending March 31, 2008</t>
  </si>
  <si>
    <t>Object Account</t>
  </si>
  <si>
    <t>Year to Date Actual</t>
  </si>
  <si>
    <t>Exp to be allocated</t>
  </si>
  <si>
    <t>KY ERC%</t>
  </si>
  <si>
    <t>TOTAL OPERATING EXPENSES</t>
  </si>
  <si>
    <t xml:space="preserve"> OPERATING EXPENSES</t>
  </si>
  <si>
    <t xml:space="preserve">  OPERATING EXPENSES CONSOL</t>
  </si>
  <si>
    <t xml:space="preserve">   PURCHASED WATER EXPENSE</t>
  </si>
  <si>
    <t xml:space="preserve">   PURCHASED SEWER TREATMENT</t>
  </si>
  <si>
    <t xml:space="preserve">   ELEC PWR - WATER SYSTEM</t>
  </si>
  <si>
    <t xml:space="preserve">   ELEC PWR - SWR SYSTEM</t>
  </si>
  <si>
    <t xml:space="preserve">   CHEMICALS</t>
  </si>
  <si>
    <t xml:space="preserve">   BAD DEBT EXPENSE</t>
  </si>
  <si>
    <t xml:space="preserve">   BILLING &amp; CUSTOMER SERVICE</t>
  </si>
  <si>
    <t xml:space="preserve">   EMPLOYEE PENSION&amp;BENEFITS</t>
  </si>
  <si>
    <t xml:space="preserve">   INSURANCE EXPENSE</t>
  </si>
  <si>
    <t xml:space="preserve">   IT DEPARTMENT</t>
  </si>
  <si>
    <t xml:space="preserve">   MISCELLANEOUS EXPENSE</t>
  </si>
  <si>
    <t xml:space="preserve">   OFFICE EXPENSE</t>
  </si>
  <si>
    <t xml:space="preserve">   OFFICE UTILITIES/MAINTENANC</t>
  </si>
  <si>
    <t xml:space="preserve">   OUTSIDE SERVICE EXPENSE</t>
  </si>
  <si>
    <t xml:space="preserve">   REGULATORY COMMISSION EXP</t>
  </si>
  <si>
    <t xml:space="preserve">   RENT EXPENSE</t>
  </si>
  <si>
    <t xml:space="preserve">   SALARIES &amp; WAGES</t>
  </si>
  <si>
    <t xml:space="preserve">   TRAVEL EXPENSE</t>
  </si>
  <si>
    <t xml:space="preserve">   FLEET TRANSPORTATION EXPENS</t>
  </si>
  <si>
    <t xml:space="preserve">   MAINTENANCE TESTING</t>
  </si>
  <si>
    <t xml:space="preserve">   MAINTENANCE-WATER PLANT</t>
  </si>
  <si>
    <t xml:space="preserve">   MAINTENANCE-SEWER PLANT</t>
  </si>
  <si>
    <t xml:space="preserve">   MAINTENANCE-WTR&amp;SWR PLANT</t>
  </si>
  <si>
    <t xml:space="preserve">  DEPRECIATION &amp; AMORT NET</t>
  </si>
  <si>
    <t xml:space="preserve">   DEPRECIATION EXP-WATER</t>
  </si>
  <si>
    <t xml:space="preserve">   DEPRECIATION EXP-SEWER</t>
  </si>
  <si>
    <t xml:space="preserve">   DEPRECIATION EXP-REUSE</t>
  </si>
  <si>
    <t xml:space="preserve">   DEPREC EXP-AUTO TRANS</t>
  </si>
  <si>
    <t xml:space="preserve">   DEPREC EXP-COMPUTER</t>
  </si>
  <si>
    <t xml:space="preserve">   AMORT EXP-CIA-WATER</t>
  </si>
  <si>
    <t xml:space="preserve">   AMORT EXP-CIA-SEWER</t>
  </si>
  <si>
    <t xml:space="preserve">   AMORT EXP-REUSE</t>
  </si>
  <si>
    <t xml:space="preserve">  TAXES OTHER THAN INCOME</t>
  </si>
  <si>
    <t xml:space="preserve">   PAYROLL TAXES</t>
  </si>
  <si>
    <t xml:space="preserve">   PROPERTY &amp; OTHER TAXES</t>
  </si>
  <si>
    <t xml:space="preserve">  INCOME TAXES</t>
  </si>
  <si>
    <t>TOTAL OTHER INCOME &amp; EXPENSE</t>
  </si>
  <si>
    <t xml:space="preserve"> OTHER INCOME</t>
  </si>
  <si>
    <t xml:space="preserve">  OTHER INCOME</t>
  </si>
  <si>
    <t xml:space="preserve">   MISCELLANEOUS INCOME</t>
  </si>
  <si>
    <t xml:space="preserve">   RENTAL / OTHER INCOME</t>
  </si>
  <si>
    <t xml:space="preserve"> OTHER EXPENSE</t>
  </si>
  <si>
    <t xml:space="preserve">  INTEREST EXPENSE</t>
  </si>
  <si>
    <t xml:space="preserve">   LONG TERM INTEREST EXP</t>
  </si>
  <si>
    <t xml:space="preserve">   SHORT TERM INTEREST EXP</t>
  </si>
  <si>
    <t xml:space="preserve">  ALLOW FUNDS USED CONSTR</t>
  </si>
  <si>
    <t xml:space="preserve">  GAIN/LOSS ON DISPOSITION</t>
  </si>
  <si>
    <t xml:space="preserve">   TAX EFFECT OF CAP TRANS</t>
  </si>
  <si>
    <t xml:space="preserve">    Net Income (Loss)</t>
  </si>
  <si>
    <t>Wp-c3</t>
  </si>
  <si>
    <t>For the Six Months Ending June 30, 2008</t>
  </si>
  <si>
    <t>Total Percentage Allocated to Clinton Sewer Operations Per JDE Salary Allocation Report</t>
  </si>
  <si>
    <t xml:space="preserve">Operator </t>
  </si>
  <si>
    <t>Operator Salaries</t>
  </si>
  <si>
    <t>Operator Payroll taxes</t>
  </si>
  <si>
    <t>Operator Benefits</t>
  </si>
  <si>
    <t>Office Salaries</t>
  </si>
  <si>
    <t>Office Payroll taxes</t>
  </si>
  <si>
    <t>Office Benefits</t>
  </si>
  <si>
    <t>Total O &amp; M Expense Reduction</t>
  </si>
  <si>
    <t>Total General Expense Reduction</t>
  </si>
  <si>
    <t>Reallocation</t>
  </si>
  <si>
    <t>State Allocations</t>
  </si>
  <si>
    <t>Per Books</t>
  </si>
  <si>
    <t>2Q 2008 Regional</t>
  </si>
  <si>
    <t xml:space="preserve">1Q 2008 Regional </t>
  </si>
  <si>
    <t xml:space="preserve">2Q 2008 WSC </t>
  </si>
  <si>
    <t xml:space="preserve">1Q 2008 WSC </t>
  </si>
  <si>
    <t>A</t>
  </si>
  <si>
    <t>B</t>
  </si>
  <si>
    <t>C</t>
  </si>
  <si>
    <t>D</t>
  </si>
  <si>
    <t>E</t>
  </si>
  <si>
    <t>Gallons</t>
  </si>
  <si>
    <t>Bills</t>
  </si>
  <si>
    <t xml:space="preserve">    OFFICE MACHINE/HEAT&amp;COOL</t>
  </si>
  <si>
    <t xml:space="preserve">    OTHER OFFICE UTILITIES</t>
  </si>
  <si>
    <t xml:space="preserve">    TELEMETERING PHONE EXPENSE</t>
  </si>
  <si>
    <t xml:space="preserve">    ACCOUNTING STUDIES</t>
  </si>
  <si>
    <t xml:space="preserve">    AUDIT FEES</t>
  </si>
  <si>
    <t xml:space="preserve">    EMPLOY FINDER FEES</t>
  </si>
  <si>
    <t xml:space="preserve">    ENGINEERING FEES</t>
  </si>
  <si>
    <t xml:space="preserve">    LEGAL FEES</t>
  </si>
  <si>
    <t xml:space="preserve">    MANAGEMENT FEES</t>
  </si>
  <si>
    <t xml:space="preserve">    PAYROLL SERVICES</t>
  </si>
  <si>
    <t xml:space="preserve">    TAX RETURN REVIEW</t>
  </si>
  <si>
    <t xml:space="preserve">    TEMP EMPLOY - CLERICAL</t>
  </si>
  <si>
    <t xml:space="preserve">    OTHER OUTSIDE SERVICES</t>
  </si>
  <si>
    <t xml:space="preserve">    RATE CASE AMORT EXPENSE</t>
  </si>
  <si>
    <t xml:space="preserve">    MISC REG MATTERS COMM EXP</t>
  </si>
  <si>
    <t xml:space="preserve">    WATER RESOURCE CONSERV EXP</t>
  </si>
  <si>
    <t xml:space="preserve">    RENT</t>
  </si>
  <si>
    <t xml:space="preserve">    TEST-SAFE WATER DRINKING</t>
  </si>
  <si>
    <t xml:space="preserve">    TEST-SEWER</t>
  </si>
  <si>
    <t xml:space="preserve">    WATER-MAINT SUPPLIES</t>
  </si>
  <si>
    <t xml:space="preserve">    WATER-MAINT REPAIRS</t>
  </si>
  <si>
    <t xml:space="preserve">    WATER-MAIN BREAKS</t>
  </si>
  <si>
    <t xml:space="preserve">    WATER-ELEC EQUIPT REPAIR</t>
  </si>
  <si>
    <t xml:space="preserve">    WATER-PERMITS</t>
  </si>
  <si>
    <t xml:space="preserve">    WATER-OTHER MAINT EXP</t>
  </si>
  <si>
    <t xml:space="preserve">    SEWER-MAINT SUPPLIES</t>
  </si>
  <si>
    <t xml:space="preserve">    SEWER-MAINT REPAIRS</t>
  </si>
  <si>
    <t xml:space="preserve">    SEWER-MAIN BREAKS</t>
  </si>
  <si>
    <t xml:space="preserve">    SEWER-ELEC EQUIPT REPAIR</t>
  </si>
  <si>
    <t xml:space="preserve">    SEWER-PERMITS</t>
  </si>
  <si>
    <t xml:space="preserve">    SEWER-OTHER MAINT EXP</t>
  </si>
  <si>
    <t xml:space="preserve">    DEFERRED MAINT EXPENSE</t>
  </si>
  <si>
    <t xml:space="preserve">    COMMUNICATION EXPENSE</t>
  </si>
  <si>
    <t xml:space="preserve">    EQUIPMENT RENTALS</t>
  </si>
  <si>
    <t xml:space="preserve">    OPER CONTRACTED WORKERS</t>
  </si>
  <si>
    <t>Plant Restatement</t>
  </si>
  <si>
    <t>Through Acquisition</t>
  </si>
  <si>
    <t>7,000 @ .8%</t>
  </si>
  <si>
    <t>WATER SERVICE CORPORATION OF KENTUCKY</t>
  </si>
  <si>
    <t># of Trips/</t>
  </si>
  <si>
    <t>Service Revenues - Sewer</t>
  </si>
  <si>
    <t>Miscellaneous Revenues</t>
  </si>
  <si>
    <t>General Ledger Plant Additions</t>
  </si>
  <si>
    <t>Schedule D</t>
  </si>
  <si>
    <t>Income from Management Services</t>
  </si>
  <si>
    <t>Depr. Rate</t>
  </si>
  <si>
    <t>Acc. Depr.</t>
  </si>
  <si>
    <t>Fully Deprec.</t>
  </si>
  <si>
    <t>Type</t>
  </si>
  <si>
    <t>Term</t>
  </si>
  <si>
    <t>Plant</t>
  </si>
  <si>
    <t>Common</t>
  </si>
  <si>
    <t>Vehicle</t>
  </si>
  <si>
    <t>Complete Through 9/05</t>
  </si>
  <si>
    <t>Contributions in Aid of Construction</t>
  </si>
  <si>
    <t>Plant at Acquisition</t>
  </si>
  <si>
    <t>Subtotal</t>
  </si>
  <si>
    <t>Contributions in Aid of Construction 2003 Additions</t>
  </si>
  <si>
    <t>w/p [o]</t>
  </si>
  <si>
    <t>Turner, John</t>
  </si>
  <si>
    <t>Less:  State I/T</t>
  </si>
  <si>
    <t>Rent</t>
  </si>
  <si>
    <t>Insurance</t>
  </si>
  <si>
    <t xml:space="preserve">Estimated Additions </t>
  </si>
  <si>
    <t>Rental Car</t>
  </si>
  <si>
    <t>TOTAL CAPITALIZATION</t>
  </si>
  <si>
    <t>%</t>
  </si>
  <si>
    <t>Office Supplies &amp; Other Office Exp.</t>
  </si>
  <si>
    <t>Regulatory Commission Exp.</t>
  </si>
  <si>
    <t>Current and Accrued Liabilities</t>
  </si>
  <si>
    <t>Service Lines</t>
  </si>
  <si>
    <t>Maintenance and Repair</t>
  </si>
  <si>
    <t>Total</t>
  </si>
  <si>
    <t>Depreciation &amp; Amortization</t>
  </si>
  <si>
    <t>Interest Expense</t>
  </si>
  <si>
    <t>Purchased Power</t>
  </si>
  <si>
    <t>75% Water</t>
  </si>
  <si>
    <t>Net Plant In Service</t>
  </si>
  <si>
    <t>Cash Working Capital</t>
  </si>
  <si>
    <t>Retirement</t>
  </si>
  <si>
    <t>Advances In Aid of Construction</t>
  </si>
  <si>
    <t>w/p [p]</t>
  </si>
  <si>
    <t>Rate Case Expense</t>
  </si>
  <si>
    <t>Percentage</t>
  </si>
  <si>
    <t>FICA</t>
  </si>
  <si>
    <t>FUTA</t>
  </si>
  <si>
    <t>COMMON SHAREHOLDERS' EQUITY:</t>
  </si>
  <si>
    <t>Fed Ex, mailings, postage, and miscellaneous costs</t>
  </si>
  <si>
    <t xml:space="preserve">    AMORT-STRUCT/IMPRV TREAT P</t>
  </si>
  <si>
    <t xml:space="preserve">    AMORT-STRUCT/IMPRV RCLM WT</t>
  </si>
  <si>
    <t xml:space="preserve">    AMORT-STRUCT/IMPRV RCLM DI</t>
  </si>
  <si>
    <t xml:space="preserve">    AMORT-STRUCT/IMPRV GEN PLT</t>
  </si>
  <si>
    <t xml:space="preserve">    AMORT-POWER GEN EQUIP COLL</t>
  </si>
  <si>
    <t xml:space="preserve">    AMORT-POWER GEN EQUIP PUMP</t>
  </si>
  <si>
    <t xml:space="preserve">    AMORT-POWER GEN EQUIP TREA</t>
  </si>
  <si>
    <t xml:space="preserve">    AMORT-POWER GEN EQUIP RCLM</t>
  </si>
  <si>
    <t xml:space="preserve">    AMORT-SEWER FORCE MAIN/SRV</t>
  </si>
  <si>
    <t xml:space="preserve">    AMORT-SEWER GRAVITY MAIN/M</t>
  </si>
  <si>
    <t xml:space="preserve">    AMORT-SPECIAL COLL STRUCTU</t>
  </si>
  <si>
    <t xml:space="preserve">    AMORT-SERVICES TO CUSTOMER</t>
  </si>
  <si>
    <t xml:space="preserve">    AMORT-FLOW MEASURE DEVICES</t>
  </si>
  <si>
    <t xml:space="preserve">    AMORT-FLOW MEASURE INSTALL</t>
  </si>
  <si>
    <t xml:space="preserve">    AMORT-RECEIVING WELLS</t>
  </si>
  <si>
    <t xml:space="preserve">    AMORT-PUMP EQP PUMP PLT</t>
  </si>
  <si>
    <t xml:space="preserve">    AMORT-PUMP EQP RCLM WTP</t>
  </si>
  <si>
    <t xml:space="preserve">    AMORT-PUMP EQP RCLM DIST</t>
  </si>
  <si>
    <t xml:space="preserve">    AMORT-TREAT/DISP EQUIP LAG</t>
  </si>
  <si>
    <t xml:space="preserve">    AMORT-TREAT/DISP EQUIP TRT</t>
  </si>
  <si>
    <t xml:space="preserve">    AMORT-TREAT/DISP EQUIP RCL</t>
  </si>
  <si>
    <t xml:space="preserve">    AMORT-PLANT SEWERS TRTMT P</t>
  </si>
  <si>
    <t xml:space="preserve">    AMORT-PLANT SEWERS RCLM WT</t>
  </si>
  <si>
    <t xml:space="preserve">    AMORT-OUTFALL LINES</t>
  </si>
  <si>
    <t xml:space="preserve">    AMORT-OTHER PLT TANGIBLE</t>
  </si>
  <si>
    <t xml:space="preserve">    AMORT-OTHER PLT COLLECTION</t>
  </si>
  <si>
    <t xml:space="preserve">    AMORT-OTHER PLT PUMP</t>
  </si>
  <si>
    <t xml:space="preserve">    AMORT-OTHER PLT TREATMENT</t>
  </si>
  <si>
    <t xml:space="preserve">    AMORT-OTHER PLT RCLM WTR T</t>
  </si>
  <si>
    <t xml:space="preserve">    AMORT-OTHER PLT RCLM WTR D</t>
  </si>
  <si>
    <t xml:space="preserve">    AMORT-LABORATORY EQPT</t>
  </si>
  <si>
    <t xml:space="preserve">    AMORT-MISC EQUIP SEWER</t>
  </si>
  <si>
    <t xml:space="preserve">    AMORT-OTHER TANGIBLE PLT S</t>
  </si>
  <si>
    <t xml:space="preserve">    AMORT-SEWER-TAP</t>
  </si>
  <si>
    <t xml:space="preserve">    AMORT-SWR MGMT FEE</t>
  </si>
  <si>
    <t xml:space="preserve">    AMORT-SWR RES CAP FEE</t>
  </si>
  <si>
    <t xml:space="preserve">    AMORT-SWR PLT MOD FEE</t>
  </si>
  <si>
    <t xml:space="preserve">    AMORT-SWR PLT MTR FEE</t>
  </si>
  <si>
    <t xml:space="preserve">    AMORT-REUSE SERVICES</t>
  </si>
  <si>
    <t xml:space="preserve">    AMORT-REUSE MTR/INSTALLATI</t>
  </si>
  <si>
    <t xml:space="preserve">    AMORT-REUSE DIST RESERVOIR</t>
  </si>
  <si>
    <t xml:space="preserve">    AMORT-REUSE TRANMISSION &amp;</t>
  </si>
  <si>
    <t xml:space="preserve">   AMORT OF EXCESS BK VALUE</t>
  </si>
  <si>
    <t xml:space="preserve">    FICA EXPENSE</t>
  </si>
  <si>
    <t xml:space="preserve">    FEDERAL UNEMPLOYMENT TAX</t>
  </si>
  <si>
    <t xml:space="preserve">    STATE UNEMPLOYMENT TAX</t>
  </si>
  <si>
    <t xml:space="preserve">    FRANCHISE TAX</t>
  </si>
  <si>
    <t xml:space="preserve">    GROSS RECEIPTS TAX</t>
  </si>
  <si>
    <t xml:space="preserve">    PERSONAL PROPERTY/ICT TAX</t>
  </si>
  <si>
    <t xml:space="preserve">    PROPERTY/OTHER GENERAL TAX</t>
  </si>
  <si>
    <t xml:space="preserve">    REAL ESTATE TAX</t>
  </si>
  <si>
    <t xml:space="preserve">    SALES/USE TAX EXPENSE</t>
  </si>
  <si>
    <t xml:space="preserve">    SPECIAL ASSESSMENTS</t>
  </si>
  <si>
    <t xml:space="preserve">    UTILITY/COMMISSION TAX</t>
  </si>
  <si>
    <t xml:space="preserve">   AMORT OF INVEST TAX CREDIT</t>
  </si>
  <si>
    <t xml:space="preserve">   DEF INCOME TAX-FED ITC</t>
  </si>
  <si>
    <t xml:space="preserve">   DEF INCOME TAX-FEDERAL</t>
  </si>
  <si>
    <t xml:space="preserve">   DEF INCOME TAXES-STATE</t>
  </si>
  <si>
    <t xml:space="preserve">   INCOME TAXES-FEDERAL</t>
  </si>
  <si>
    <t xml:space="preserve">   INCOME TAXES-STATE</t>
  </si>
  <si>
    <t xml:space="preserve">   DIVIDEND INCOME</t>
  </si>
  <si>
    <t xml:space="preserve">   INCOME FROM MGMT SERVICES</t>
  </si>
  <si>
    <t xml:space="preserve">    EMPLOYEE INS DEDUCTIONS</t>
  </si>
  <si>
    <t xml:space="preserve">    HEALTH COSTS &amp; OTHER</t>
  </si>
  <si>
    <t xml:space="preserve">    HEALTH INS REIMBURSEMENTS</t>
  </si>
  <si>
    <t xml:space="preserve">    OTHER EMP PENSION/BENEFITS</t>
  </si>
  <si>
    <t xml:space="preserve">    PENSION CONTRIBUTIONS</t>
  </si>
  <si>
    <t xml:space="preserve">    TERM LIFE INS</t>
  </si>
  <si>
    <t xml:space="preserve">Leonard, James Ronald                   </t>
  </si>
  <si>
    <t xml:space="preserve">Turner, John R                          </t>
  </si>
  <si>
    <t>*</t>
  </si>
  <si>
    <t>* JDE 2009506 General Ledger attachment</t>
  </si>
  <si>
    <t>G/L</t>
  </si>
  <si>
    <t>Collateral trust notes -</t>
  </si>
  <si>
    <t>Retirements Made for Pro Forma Plant</t>
  </si>
  <si>
    <t xml:space="preserve">    Federal Tax Rate</t>
  </si>
  <si>
    <t>Salary</t>
  </si>
  <si>
    <t>Invoiced Additions</t>
  </si>
  <si>
    <t>Micro Sys Cost</t>
  </si>
  <si>
    <t>Effect of</t>
  </si>
  <si>
    <t>Per</t>
  </si>
  <si>
    <t>Structures &amp; Improvemetns (Water TP)</t>
  </si>
  <si>
    <t>Structures &amp; Improvements (Sourc Sup)</t>
  </si>
  <si>
    <t xml:space="preserve">Annual </t>
  </si>
  <si>
    <t>Transmission &amp; Distribution Mains</t>
  </si>
  <si>
    <t>Operating Exp. Charged to Plant</t>
  </si>
  <si>
    <t>Miscellaneous</t>
  </si>
  <si>
    <t>Depreciation</t>
  </si>
  <si>
    <t>Maintenance Expenses</t>
  </si>
  <si>
    <t>Salaries and Wages</t>
  </si>
  <si>
    <t>Net Income</t>
  </si>
  <si>
    <t>Income Taxes - State</t>
  </si>
  <si>
    <t>Interest</t>
  </si>
  <si>
    <t>Capital</t>
  </si>
  <si>
    <t>Operator Allocation</t>
  </si>
  <si>
    <t xml:space="preserve">Average # of </t>
  </si>
  <si>
    <t>Payroll Tax Increase</t>
  </si>
  <si>
    <t>Actual</t>
  </si>
  <si>
    <t>Customers</t>
  </si>
  <si>
    <t>Real Estate Tax</t>
  </si>
  <si>
    <t>Personal Property Tax</t>
  </si>
  <si>
    <t>Franchise Tax</t>
  </si>
  <si>
    <t>Vehicles</t>
  </si>
  <si>
    <t>Common Stock and Paid In Capital</t>
  </si>
  <si>
    <t>Pro Forma Salaries, Taxes, and Benefits for Operators (from w/p [b])</t>
  </si>
  <si>
    <t>Communication Equipment</t>
  </si>
  <si>
    <t>[i]</t>
  </si>
  <si>
    <t>Account Number</t>
  </si>
  <si>
    <t>Total Long-Term  Debt</t>
  </si>
  <si>
    <t>Page 1 of 1</t>
  </si>
  <si>
    <t>Cost to</t>
  </si>
  <si>
    <t>Cost of</t>
  </si>
  <si>
    <t>Health</t>
  </si>
  <si>
    <t>Meter Installations</t>
  </si>
  <si>
    <t>Hydrants</t>
  </si>
  <si>
    <t>Meter Reading</t>
  </si>
  <si>
    <t>Present</t>
  </si>
  <si>
    <t>Pro Forma Present</t>
  </si>
  <si>
    <t>Rate</t>
  </si>
  <si>
    <t>Uncollectible %</t>
  </si>
  <si>
    <t>Cost</t>
  </si>
  <si>
    <t>Comments</t>
  </si>
  <si>
    <t>Operating Revenues</t>
  </si>
  <si>
    <t>Increase</t>
  </si>
  <si>
    <t>Pro Forma</t>
  </si>
  <si>
    <t>Total Operating Expenses</t>
  </si>
  <si>
    <t>UTILITIES, INC. AND SUBSIDIARIES</t>
  </si>
  <si>
    <t>Pay Period</t>
  </si>
  <si>
    <t>Plant Acquisition Adjustment-Sewer</t>
  </si>
  <si>
    <t>First 1,000</t>
  </si>
  <si>
    <t>First 68,400</t>
  </si>
  <si>
    <t>Next 31,600</t>
  </si>
  <si>
    <t>First 281,500</t>
  </si>
  <si>
    <t>Total Plant</t>
  </si>
  <si>
    <t>Supervisory</t>
  </si>
  <si>
    <t>Net Operating Income</t>
  </si>
  <si>
    <t>Organization</t>
  </si>
  <si>
    <t>Total Common Shareholder's Equity</t>
  </si>
  <si>
    <t xml:space="preserve">Treasury shares and other (0 and 649 treasury </t>
  </si>
  <si>
    <t>shares, respectively</t>
  </si>
  <si>
    <t>Total Additions</t>
  </si>
  <si>
    <t>Calculation of Pro Forma Operating Expense Charged to Plant</t>
  </si>
  <si>
    <t xml:space="preserve">   INTEREST INCOME-INTERCO</t>
  </si>
  <si>
    <t xml:space="preserve">    MISCELLANEOUS INC NON-UTIL</t>
  </si>
  <si>
    <t xml:space="preserve">    MISCELLANEOUS EXP NON-UTIL</t>
  </si>
  <si>
    <t xml:space="preserve">    EXTRAORDINARY GAIN/LOSS</t>
  </si>
  <si>
    <t xml:space="preserve">    EXTRAORDINARY DEDUCTIONS</t>
  </si>
  <si>
    <t xml:space="preserve">    RENTAL INCOME</t>
  </si>
  <si>
    <t xml:space="preserve">    INTEREST INCOME</t>
  </si>
  <si>
    <t xml:space="preserve">    SALE OF EQUIPMENT</t>
  </si>
  <si>
    <t xml:space="preserve">    NET BOOK VALUE-DISPOSAL</t>
  </si>
  <si>
    <t xml:space="preserve">    DISPOSAL-CLEARING</t>
  </si>
  <si>
    <t xml:space="preserve">    DISPOSAL-PROCEEDS</t>
  </si>
  <si>
    <t xml:space="preserve">   AMORT OF DEB &amp; ACQ EXP</t>
  </si>
  <si>
    <t xml:space="preserve">   INTEREST EXPENSE-INTERCO</t>
  </si>
  <si>
    <t xml:space="preserve">    L/T INT EXP $50MM</t>
  </si>
  <si>
    <t xml:space="preserve">    L/T INT EXP 20M 4.55%</t>
  </si>
  <si>
    <t xml:space="preserve">    L/T INT EXP 20M 4.62</t>
  </si>
  <si>
    <t xml:space="preserve">    L/T INT EXP $41MM 8.42%</t>
  </si>
  <si>
    <t xml:space="preserve">    L/T INT EXP TEACHERS INS.&amp;</t>
  </si>
  <si>
    <t xml:space="preserve">    L/T INT EXP $180 M 7/06</t>
  </si>
  <si>
    <t xml:space="preserve">    L/T INT EXP BANK ONE</t>
  </si>
  <si>
    <t xml:space="preserve">    L/T INT EXP BK OF AMERICA</t>
  </si>
  <si>
    <t xml:space="preserve">    L/T INT EXP C&amp;S NATL BK</t>
  </si>
  <si>
    <t xml:space="preserve">    L/T INT EXP N C NATIONAL</t>
  </si>
  <si>
    <t>Books</t>
  </si>
  <si>
    <t>Laboratory Equipment</t>
  </si>
  <si>
    <t>Office Structures &amp; Improvements</t>
  </si>
  <si>
    <t>Office Furniture &amp; Equipments</t>
  </si>
  <si>
    <t>Total Depreciation</t>
  </si>
  <si>
    <t>Test Year / Present Revenues</t>
  </si>
  <si>
    <t>Nights</t>
  </si>
  <si>
    <t>Travel</t>
  </si>
  <si>
    <t>Land &amp; Land Rights General</t>
  </si>
  <si>
    <t>Water plant allocated</t>
  </si>
  <si>
    <t>Sewer Force Main/Svc Line</t>
  </si>
  <si>
    <t>Sewer Gravity Main/Manwhole</t>
  </si>
  <si>
    <t>Rate Base and Rate of Return</t>
  </si>
  <si>
    <t>Payroll Taxes</t>
  </si>
  <si>
    <t>Accumulated Depreciation-Sewer</t>
  </si>
  <si>
    <t>Less:</t>
  </si>
  <si>
    <t>Land</t>
  </si>
  <si>
    <t>Calculation of Salary and Benefits</t>
  </si>
  <si>
    <t>Next 9,000</t>
  </si>
  <si>
    <t>% Increase</t>
  </si>
  <si>
    <t>Contributions in Aid of Construction 2007 Additions</t>
  </si>
  <si>
    <t>Contributions in Aid of Construction 2008 Additions</t>
  </si>
  <si>
    <t>July-Nov</t>
  </si>
  <si>
    <t>from Dec to March</t>
  </si>
  <si>
    <t>Avail</t>
  </si>
  <si>
    <t>Mini Computers</t>
  </si>
  <si>
    <t>Accounts Payable-Trade</t>
  </si>
  <si>
    <t>Gross Plant</t>
  </si>
  <si>
    <t>Percentage of Pro Forma Salaries, Taxes, and Benefits to Charge to Plant</t>
  </si>
  <si>
    <t>Pro Forma Operating Expense Charged to Plant</t>
  </si>
  <si>
    <t>Total Operating Revenues</t>
  </si>
  <si>
    <t>Schedule B</t>
  </si>
  <si>
    <t>w/p [q]</t>
  </si>
  <si>
    <t>Accumulated Deferred Income Taxes</t>
  </si>
  <si>
    <t>Deferred Tax - Federal</t>
  </si>
  <si>
    <t>Average Consumption</t>
  </si>
  <si>
    <t>Difference</t>
  </si>
  <si>
    <t>Water Treatment Equipment</t>
  </si>
  <si>
    <t>Water Service Personnel</t>
  </si>
  <si>
    <t>Expenses &amp; UPIS Allocated to the City of Clinton Sewer Operations</t>
  </si>
  <si>
    <t>Expense Reductions</t>
  </si>
  <si>
    <t>Amount</t>
  </si>
  <si>
    <t>Transportation exp.</t>
  </si>
  <si>
    <t>Vehicle depreciation</t>
  </si>
  <si>
    <t>Total expense reduction</t>
  </si>
  <si>
    <t>Percent to total</t>
  </si>
  <si>
    <t xml:space="preserve">    DEPREC-HYDRANTS</t>
  </si>
  <si>
    <t xml:space="preserve">    DEPREC-BACKFLOW PREVENT DE</t>
  </si>
  <si>
    <t xml:space="preserve">    DEPREC-OTH PLT&amp;MISC EQP IN</t>
  </si>
  <si>
    <t xml:space="preserve">    DEPREC-OTH PLT&amp;MISC EQP SR</t>
  </si>
  <si>
    <t xml:space="preserve">    DEPREC-OTH PLT&amp;MISC EQP WT</t>
  </si>
  <si>
    <t xml:space="preserve">    DEPREC-OTH PLT&amp;MISC EQP DI</t>
  </si>
  <si>
    <t xml:space="preserve">    DEPREC-OFFICE STRUCTURE</t>
  </si>
  <si>
    <t xml:space="preserve">    DEPREC-OFFICE FURN/EQPT</t>
  </si>
  <si>
    <t xml:space="preserve">    DEPREC-STORES EQUIPMENT</t>
  </si>
  <si>
    <t xml:space="preserve">    DEPREC-TOOL SHOP &amp; MISC EQ</t>
  </si>
  <si>
    <t xml:space="preserve">    DEPREC-LABORATORY EQUIPMEN</t>
  </si>
  <si>
    <t xml:space="preserve">    DEPREC-POWER OPERATED EQUI</t>
  </si>
  <si>
    <t xml:space="preserve">    DEPREC-COMMUNICATION EQPT</t>
  </si>
  <si>
    <t xml:space="preserve">    DEPREC-MISC EQUIPMENT</t>
  </si>
  <si>
    <t xml:space="preserve">    DEPREC-OTHER TANG PLT WATE</t>
  </si>
  <si>
    <t xml:space="preserve">    DEPREC-FRANCHISES INTANG P</t>
  </si>
  <si>
    <t xml:space="preserve">    DEPREC-FRANCHISES RCLM WTR</t>
  </si>
  <si>
    <t xml:space="preserve">    DEPREC-STRUCT/IMPRV COLL P</t>
  </si>
  <si>
    <t xml:space="preserve">    DEPREC-STRUCT/IMPRV PUMP</t>
  </si>
  <si>
    <t xml:space="preserve">    DEPREC-STRUCT/IMPRV TREAT</t>
  </si>
  <si>
    <t xml:space="preserve">    DEPREC-STRUCT/IMPRV RCLM W</t>
  </si>
  <si>
    <t xml:space="preserve">    DEPREC-STRUCT/IMPRV RCLM D</t>
  </si>
  <si>
    <t xml:space="preserve">    DEPREC-STRUCT/IMPRV GEN PL</t>
  </si>
  <si>
    <t xml:space="preserve">    DEPREC-POWER GEN EQUIP COL</t>
  </si>
  <si>
    <t xml:space="preserve">    DEPREC-POWER GEN EQUIP PUM</t>
  </si>
  <si>
    <t xml:space="preserve">    DEPREC-POWER GEN EQUIP TRE</t>
  </si>
  <si>
    <t xml:space="preserve">    DEPREC-POWER GEN EQUIP RCL</t>
  </si>
  <si>
    <t xml:space="preserve">    DEPREC-SEWER FORCE MAIN/SR</t>
  </si>
  <si>
    <t xml:space="preserve">    DEPREC-SEWER GRAVITY MAIN/</t>
  </si>
  <si>
    <t xml:space="preserve">    DEPREC-SPECIAL COLL STRUCT</t>
  </si>
  <si>
    <t xml:space="preserve">    DEPREC-SERVICES TO CUSTOME</t>
  </si>
  <si>
    <t xml:space="preserve">    DEPREC-FLOW MEASURE DEVICE</t>
  </si>
  <si>
    <t xml:space="preserve">    DEPREC-FLOW MEASURE INSTAL</t>
  </si>
  <si>
    <t xml:space="preserve">    DEPREC-RECEIVING WELLS</t>
  </si>
  <si>
    <t xml:space="preserve">    DEPREC-PUMP EQP PUMP PLT</t>
  </si>
  <si>
    <t xml:space="preserve">    DEPREC-PUMP EQP RCLM WTP</t>
  </si>
  <si>
    <t xml:space="preserve">    DEPREC-PUMP EQP RCLM WTR D</t>
  </si>
  <si>
    <t xml:space="preserve">    DEPREC-TREAT/DISP EQUIP LA</t>
  </si>
  <si>
    <t xml:space="preserve">    DEPREC-TREAT/DISP EQ TRT P</t>
  </si>
  <si>
    <t xml:space="preserve">    DEPREC-TREAT/DISP EQ RCLM</t>
  </si>
  <si>
    <t xml:space="preserve">    DEPREC-PLANT SEWERS TRTMT</t>
  </si>
  <si>
    <t xml:space="preserve">    DEPREC-PLANT SEWERS RCLM W</t>
  </si>
  <si>
    <t xml:space="preserve">    DEPREC-OUTFALL LINES</t>
  </si>
  <si>
    <t xml:space="preserve">    DEPREC-OTHER PLT TANGIBLE</t>
  </si>
  <si>
    <t xml:space="preserve">    DEPREC-OTHER PLT COLLECTIO</t>
  </si>
  <si>
    <t xml:space="preserve">Rate Base Reallocation </t>
  </si>
  <si>
    <t>Per Reallocation</t>
  </si>
  <si>
    <t>Water Plant</t>
  </si>
  <si>
    <t>Water Plant AD</t>
  </si>
  <si>
    <t>Transportation Equipment</t>
  </si>
  <si>
    <t>Transportation AD</t>
  </si>
  <si>
    <t>Computers AD</t>
  </si>
  <si>
    <t xml:space="preserve">State of Ky </t>
  </si>
  <si>
    <t xml:space="preserve">Rate Base </t>
  </si>
  <si>
    <t xml:space="preserve"> Alloc Rate Base</t>
  </si>
  <si>
    <t>Pro Forma Wsc Rate Base Allocations:</t>
  </si>
  <si>
    <t>CC &amp; B closed out 7/31/08</t>
  </si>
  <si>
    <t>of 6/30/08</t>
  </si>
  <si>
    <t xml:space="preserve">Ky Erc % as </t>
  </si>
  <si>
    <t>to be allocated</t>
  </si>
  <si>
    <t xml:space="preserve"> Pro Forma RB </t>
  </si>
  <si>
    <t xml:space="preserve">Amount closed </t>
  </si>
  <si>
    <t>out per GL</t>
  </si>
  <si>
    <t xml:space="preserve">    SALARIES-SYSTEM PROJECT</t>
  </si>
  <si>
    <t xml:space="preserve">    SALARIES-ACCTG/FINANCE</t>
  </si>
  <si>
    <t xml:space="preserve">    SALARIES-ADMIN</t>
  </si>
  <si>
    <t xml:space="preserve">    SALARIES-OFFICERS/STKHLDR</t>
  </si>
  <si>
    <t xml:space="preserve">    SALARIES-HR</t>
  </si>
  <si>
    <t xml:space="preserve">    SALARIES-MIS</t>
  </si>
  <si>
    <t xml:space="preserve">    SALARIES-LEADERSHIP OPS</t>
  </si>
  <si>
    <t xml:space="preserve">    SALARIES-REGULATORY</t>
  </si>
  <si>
    <t xml:space="preserve">    SALARIES-CUSTOMER SERVICE</t>
  </si>
  <si>
    <t xml:space="preserve">    SALARIES-OPERATIONS FIELD</t>
  </si>
  <si>
    <t xml:space="preserve">    SALARIES-OPERATIONS OFFICE</t>
  </si>
  <si>
    <t xml:space="preserve">    SALARIES-CHGD TO PLT-WSC</t>
  </si>
  <si>
    <t xml:space="preserve">    CAPITALIZED TIME ADJUSTMEN</t>
  </si>
  <si>
    <t xml:space="preserve">    CAPITALIZED TIME ADJ-CORPO</t>
  </si>
  <si>
    <t xml:space="preserve">    TRAVEL LODGING</t>
  </si>
  <si>
    <t xml:space="preserve">    TRAVEL AIRFARE</t>
  </si>
  <si>
    <t xml:space="preserve">    TRAVEL TRANSPORTATION</t>
  </si>
  <si>
    <t xml:space="preserve">    TRAVEL MEALS</t>
  </si>
  <si>
    <t xml:space="preserve">    TRAVEL ENTERTAINMENT</t>
  </si>
  <si>
    <t xml:space="preserve">    TRAVEL OTHER</t>
  </si>
  <si>
    <t xml:space="preserve">    FUEL</t>
  </si>
  <si>
    <t xml:space="preserve">    AUTO REPAIR/TIRES</t>
  </si>
  <si>
    <t xml:space="preserve">    AUTO LICENSES</t>
  </si>
  <si>
    <t xml:space="preserve">    OTHER TRANS EXPENSES</t>
  </si>
  <si>
    <t xml:space="preserve">    TEST-WATER</t>
  </si>
  <si>
    <t xml:space="preserve">    TEST-EQUIP/CHEMICAL</t>
  </si>
  <si>
    <t>Total Allocated Salaries, Taxes, and Benefits (from above)</t>
  </si>
  <si>
    <t>at 3%</t>
  </si>
  <si>
    <t>at 4%</t>
  </si>
  <si>
    <t>Customer Deposits - Interest</t>
  </si>
  <si>
    <t>Net Utility Plant</t>
  </si>
  <si>
    <t>Gross Plant In Service</t>
  </si>
  <si>
    <t>401(k)</t>
  </si>
  <si>
    <t>Year Placed in Service</t>
  </si>
  <si>
    <t>Date Acq.</t>
  </si>
  <si>
    <t>Years in Service</t>
  </si>
  <si>
    <t>Salaries (non-operations)</t>
  </si>
  <si>
    <t>Leonard, James</t>
  </si>
  <si>
    <t>Pickard, Michael</t>
  </si>
  <si>
    <t>Gross Receipts Tax</t>
  </si>
  <si>
    <t>Taxes Accrued</t>
  </si>
  <si>
    <t>Amortization @</t>
  </si>
  <si>
    <t>$</t>
  </si>
  <si>
    <t>Accumulated Depreciation</t>
  </si>
  <si>
    <t>Utility</t>
  </si>
  <si>
    <t>Advances in Aid of Construction</t>
  </si>
  <si>
    <t>Retained Earnings</t>
  </si>
  <si>
    <t>Equity</t>
  </si>
  <si>
    <t xml:space="preserve">[c] </t>
  </si>
  <si>
    <t>Number</t>
  </si>
  <si>
    <t>Plant In Service</t>
  </si>
  <si>
    <t>Wells &amp; Springs</t>
  </si>
  <si>
    <t>per Year</t>
  </si>
  <si>
    <t xml:space="preserve">    Salaries (operations)</t>
  </si>
  <si>
    <t>Paid-in capital</t>
  </si>
  <si>
    <t>[l]</t>
  </si>
  <si>
    <t>First 6,000</t>
  </si>
  <si>
    <t>Next 4,000</t>
  </si>
  <si>
    <t>A/P - Assoc. Companies</t>
  </si>
  <si>
    <t>Chemicals</t>
  </si>
  <si>
    <t>Pro Forma Proposed</t>
  </si>
  <si>
    <t xml:space="preserve">[b] </t>
  </si>
  <si>
    <t>Balance Sheet</t>
  </si>
  <si>
    <t>Ratio</t>
  </si>
  <si>
    <t>Weighted Cost</t>
  </si>
  <si>
    <t>[k]</t>
  </si>
  <si>
    <t>Tools, Shop, &amp; Misc Equipment</t>
  </si>
  <si>
    <t>Water</t>
  </si>
  <si>
    <t>Calculation of Working Capital</t>
  </si>
  <si>
    <t>Water Yr End</t>
  </si>
  <si>
    <t>Schedule A</t>
  </si>
  <si>
    <t>Expense</t>
  </si>
  <si>
    <t>Total Rate Base</t>
  </si>
  <si>
    <t>Maintenance</t>
  </si>
  <si>
    <t xml:space="preserve">[a] </t>
  </si>
  <si>
    <t>Description</t>
  </si>
  <si>
    <t>Sub Total</t>
  </si>
  <si>
    <t>Calculation of Taxes Other Than Income Taxes</t>
  </si>
  <si>
    <t>Utility/Commission Tax</t>
  </si>
  <si>
    <t>TOTAL LIABILITIES AND OTHER CREDITS</t>
  </si>
  <si>
    <t>Contributions In Aid of Construction</t>
  </si>
  <si>
    <t>Transportation Allocation</t>
  </si>
  <si>
    <t>Total WSCK Operator's Salaries</t>
  </si>
  <si>
    <t>Total WSCK Operator's Salaries Allocated to City of Clinton Sewer Operations</t>
  </si>
  <si>
    <t>Total WSCK Transportation Expense</t>
  </si>
  <si>
    <t>Percent to Total Allocated to City of Clinton Sewer Operations</t>
  </si>
  <si>
    <t>Total WSCK Transportation Expense Allocated to Clinton Sewer Operations</t>
  </si>
  <si>
    <t>Total WSCK Vehicle Depreciation</t>
  </si>
  <si>
    <t>Total WSCK Vehicle</t>
  </si>
  <si>
    <t>Total WSCK UPIS Allocated to Clinton Sewer Operations</t>
  </si>
  <si>
    <t>Total WSCK Accumulated DepreciationVehicle</t>
  </si>
  <si>
    <t>Total WSCK Accumulated Depreciation Vehicle Allocated to Clinton Sewer Operations</t>
  </si>
  <si>
    <t>Pro Forma Interest Expense</t>
  </si>
  <si>
    <t xml:space="preserve">Water </t>
  </si>
  <si>
    <t>45/360</t>
  </si>
  <si>
    <t>[b]</t>
  </si>
  <si>
    <t>[c]</t>
  </si>
  <si>
    <t>[d]</t>
  </si>
  <si>
    <t>[e]</t>
  </si>
  <si>
    <t>[f]</t>
  </si>
  <si>
    <t>[g]</t>
  </si>
  <si>
    <t>[h]</t>
  </si>
  <si>
    <t>Next 15,000</t>
  </si>
  <si>
    <t>Next 25,000</t>
  </si>
  <si>
    <t>Next 50,000</t>
  </si>
  <si>
    <t>Costs to</t>
  </si>
  <si>
    <t>Over 281,500</t>
  </si>
  <si>
    <t>Over 100,000</t>
  </si>
  <si>
    <t>First 127,500</t>
  </si>
  <si>
    <t>Over 127,500</t>
  </si>
  <si>
    <t>Net Plant</t>
  </si>
  <si>
    <t>Construction Work In Process-Water</t>
  </si>
  <si>
    <t xml:space="preserve">G/L </t>
  </si>
  <si>
    <t>Legal Fees</t>
  </si>
  <si>
    <t>Sub-Total</t>
  </si>
  <si>
    <t>Working Capital</t>
  </si>
  <si>
    <t>Pro Forma Present Rate Base</t>
  </si>
  <si>
    <t>Adjustment</t>
  </si>
  <si>
    <t>Maintenance Expense</t>
  </si>
  <si>
    <t>CIAC</t>
  </si>
  <si>
    <t>Revenues</t>
  </si>
  <si>
    <t xml:space="preserve">[d] </t>
  </si>
  <si>
    <t>WSC</t>
  </si>
  <si>
    <t>W</t>
  </si>
  <si>
    <t>Accumulated Depreciation-Water</t>
  </si>
  <si>
    <t xml:space="preserve">Date of </t>
  </si>
  <si>
    <t>hours</t>
  </si>
  <si>
    <t>rate</t>
  </si>
  <si>
    <t>Total Cost of current case</t>
  </si>
  <si>
    <t>Amortized over 3 years</t>
  </si>
  <si>
    <t>Taxable Income</t>
  </si>
  <si>
    <t>Accumulated Deferred Income Tax</t>
  </si>
  <si>
    <t>[a]</t>
  </si>
  <si>
    <t>LONG-TERM DEBT:</t>
  </si>
  <si>
    <t>Personnel</t>
  </si>
  <si>
    <t>Complete</t>
  </si>
  <si>
    <t>Customer Deposits</t>
  </si>
  <si>
    <t>Deferred Tax - State</t>
  </si>
  <si>
    <t>Explanation of Adjustments to Income Statement</t>
  </si>
  <si>
    <t>Schedule C</t>
  </si>
  <si>
    <t>Completion</t>
  </si>
  <si>
    <t>Construction Work In Process-Sewer</t>
  </si>
  <si>
    <t>Additional</t>
  </si>
  <si>
    <t>Pension</t>
  </si>
  <si>
    <t>Allocated</t>
  </si>
  <si>
    <t>Interest During Construction</t>
  </si>
  <si>
    <t>Taxable Income before taxes</t>
  </si>
  <si>
    <t>Database</t>
  </si>
  <si>
    <t>Oper. (see above)</t>
  </si>
  <si>
    <t xml:space="preserve">Rate of Return </t>
  </si>
  <si>
    <t>Debt</t>
  </si>
  <si>
    <t>Taxes</t>
  </si>
  <si>
    <t>Unamortized ITC</t>
  </si>
  <si>
    <t>Office Utilities</t>
  </si>
  <si>
    <t>Electric Pumping Equipment</t>
  </si>
  <si>
    <t>Utility/Commission Tax Increase</t>
  </si>
  <si>
    <t>COST OF DEBT</t>
  </si>
  <si>
    <t xml:space="preserve">Revenue </t>
  </si>
  <si>
    <t xml:space="preserve">    PURCHASED WATER</t>
  </si>
  <si>
    <t xml:space="preserve">    PURCHASED WATER-WATER SYS</t>
  </si>
  <si>
    <t xml:space="preserve">    PURCHASED WATER-SEWER SYS</t>
  </si>
  <si>
    <t xml:space="preserve">    PURCHASED WATER - BILLINGS</t>
  </si>
  <si>
    <t xml:space="preserve">    PURCHASED SEWER TREATMENT</t>
  </si>
  <si>
    <t xml:space="preserve">    PURCHASED SEWER - BILLINGS</t>
  </si>
  <si>
    <t xml:space="preserve">    ELEC PWR - WTR SYSTEM SRC</t>
  </si>
  <si>
    <t xml:space="preserve">    ELEC PWR - WTR SYSTEM WTR</t>
  </si>
  <si>
    <t xml:space="preserve">    ELEC PWR - WTR SYSTEM TRAN</t>
  </si>
  <si>
    <t xml:space="preserve">    ELEC PWR - WTR SYSTEM ADMI</t>
  </si>
  <si>
    <t xml:space="preserve">    ELEC PWR - SWR SYSTEM COLL</t>
  </si>
  <si>
    <t xml:space="preserve">    ELEC PWR - SWR SYSTEM PUMP</t>
  </si>
  <si>
    <t xml:space="preserve">    ELEC PWR - SWR SYSTEM TRT</t>
  </si>
  <si>
    <t xml:space="preserve">    ELEC PWR - SWR SYSTEM ADMI</t>
  </si>
  <si>
    <t xml:space="preserve">    ELEC PWR - SWR SYSTEM REUS</t>
  </si>
  <si>
    <t xml:space="preserve">    CHLORINE</t>
  </si>
  <si>
    <t xml:space="preserve">    ODOR CONTROL CHEMICALS</t>
  </si>
  <si>
    <t xml:space="preserve">    OTHER TREATMENT CHEMICALS</t>
  </si>
  <si>
    <t xml:space="preserve">   METER READING</t>
  </si>
  <si>
    <t xml:space="preserve">    AGENCY EXPENSE</t>
  </si>
  <si>
    <t xml:space="preserve">    UNCOLLECTIBLE ACCOUNTS</t>
  </si>
  <si>
    <t xml:space="preserve">    UNCOLL ACCOUNTS ACCRUAL</t>
  </si>
  <si>
    <t xml:space="preserve">    BILL STOCK</t>
  </si>
  <si>
    <t xml:space="preserve">    BILLING COMPUTER SUPPLIES</t>
  </si>
  <si>
    <t xml:space="preserve">    BILLING ENVELOPES</t>
  </si>
  <si>
    <t xml:space="preserve">    BILLING POSTAGE</t>
  </si>
  <si>
    <t xml:space="preserve">    CUSTOMER SERVICE PRINTING</t>
  </si>
  <si>
    <t xml:space="preserve">    401K/ESOP CONTRIBUTIONS</t>
  </si>
  <si>
    <t xml:space="preserve">    DENTAL PREMIUMS</t>
  </si>
  <si>
    <t xml:space="preserve">    DENTAL INS REIMBURSEMENTS</t>
  </si>
  <si>
    <t xml:space="preserve">    EMP PENSIONS &amp; BENEFITS</t>
  </si>
  <si>
    <t>First 5,300</t>
  </si>
  <si>
    <t>Next 3,700</t>
  </si>
  <si>
    <t>First 11,200</t>
  </si>
  <si>
    <t>Next 13,800</t>
  </si>
  <si>
    <t>First 17,600</t>
  </si>
  <si>
    <t>Next 7,400</t>
  </si>
  <si>
    <t>w/p  [b]</t>
  </si>
  <si>
    <t>w/p  [b-2]</t>
  </si>
  <si>
    <t>w/p [e]</t>
  </si>
  <si>
    <t>w/p [f]</t>
  </si>
  <si>
    <t>w/p [g]</t>
  </si>
  <si>
    <t>w/p [h-1]</t>
  </si>
  <si>
    <t>w/p [h]</t>
  </si>
  <si>
    <t>Plant Depreciation @</t>
  </si>
  <si>
    <t>w/p [a]</t>
  </si>
  <si>
    <t>MIDDLESBORO</t>
  </si>
  <si>
    <t>CLINTON</t>
  </si>
  <si>
    <t xml:space="preserve">    AMORT-WTR PLT MTR FEE</t>
  </si>
  <si>
    <t xml:space="preserve">    AMORT-FRANCHISES INTANG PL</t>
  </si>
  <si>
    <t xml:space="preserve">    AMORT-FRANCHISES RCLM WTR</t>
  </si>
  <si>
    <t xml:space="preserve">    AMORT-STRUCT/IMPRV COLL PL</t>
  </si>
  <si>
    <t xml:space="preserve">    AMORT-STRUCT/IMPRV PUMP PL</t>
  </si>
  <si>
    <t xml:space="preserve">    DEPREC-OTHER PLT PUMP</t>
  </si>
  <si>
    <t xml:space="preserve">    DEPREC-OTHER PLT TREATMENT</t>
  </si>
  <si>
    <t xml:space="preserve">    DEPREC-OTHER PLT RCLM WTR</t>
  </si>
  <si>
    <t xml:space="preserve">    DEPREC-LABORATORY EQPT</t>
  </si>
  <si>
    <t xml:space="preserve">    DEPREC-MISC EQUIP SEWER</t>
  </si>
  <si>
    <t xml:space="preserve">    DEPREC-OTHER TANG PLT SEWE</t>
  </si>
  <si>
    <t xml:space="preserve">    DEPREC-REUSE SERVICES</t>
  </si>
  <si>
    <t xml:space="preserve">    DEPREC-REUSE MTR/INSTALLAT</t>
  </si>
  <si>
    <t xml:space="preserve">    DEPREC-REUSE DIST RESERVOI</t>
  </si>
  <si>
    <t xml:space="preserve">    DEPREC-REUSE TRANSM / DIST</t>
  </si>
  <si>
    <t xml:space="preserve">    DEPREC-AUTO TRANS</t>
  </si>
  <si>
    <t xml:space="preserve">    DEPREC-COMPUTER</t>
  </si>
  <si>
    <t xml:space="preserve">   DEPRECIATION EXP-NONREGULAT</t>
  </si>
  <si>
    <t xml:space="preserve">   DEPRECIATION EXP-OTHER</t>
  </si>
  <si>
    <t xml:space="preserve">   AMORT EXP-AIA-WATER</t>
  </si>
  <si>
    <t xml:space="preserve">   AMORT EXP-AIA-SEWER</t>
  </si>
  <si>
    <t xml:space="preserve">   AMORT OF UTIL PAA-WATER</t>
  </si>
  <si>
    <t xml:space="preserve">   AMORT OF UTIL PAA-SEWER</t>
  </si>
  <si>
    <t xml:space="preserve">    AMORT-ORGANIZATION</t>
  </si>
  <si>
    <t xml:space="preserve">    AMORT-FRANCHISES</t>
  </si>
  <si>
    <t xml:space="preserve">    AMORT-STRCT&amp;IMPRV SRC SUPP</t>
  </si>
  <si>
    <t xml:space="preserve">    AMORT-STRCT&amp;IMPRV WTP</t>
  </si>
  <si>
    <t xml:space="preserve">    AMORT-STRCT&amp;IMPRV DIST</t>
  </si>
  <si>
    <t xml:space="preserve">    AMORT-STRCT&amp;IMPRV GEN PLT</t>
  </si>
  <si>
    <t xml:space="preserve">    AMORT-COLLECTING RESERVOIR</t>
  </si>
  <si>
    <t xml:space="preserve">    AMORT-LAKE, RIVER, OTHER I</t>
  </si>
  <si>
    <t xml:space="preserve">    AMORT-WELLS &amp; SPRINGS</t>
  </si>
  <si>
    <t xml:space="preserve">    AMORT-INFILTRATION GALLERY</t>
  </si>
  <si>
    <t xml:space="preserve">    AMORT-SUPPLY MAINS</t>
  </si>
  <si>
    <t xml:space="preserve">    AMORT-POWER GEN EQP</t>
  </si>
  <si>
    <t xml:space="preserve">    AMORT-ELEC PUMP EQP SRC PU</t>
  </si>
  <si>
    <t xml:space="preserve">    AMORT-ELEC PUMP EQP WTP</t>
  </si>
  <si>
    <t xml:space="preserve">    AMORT-ELEC PUMP EQP TRANS</t>
  </si>
  <si>
    <t xml:space="preserve">    AMORT-WATER TREATMENT EQPT</t>
  </si>
  <si>
    <t xml:space="preserve">    AMORT-DIST RESV &amp; STANDPIP</t>
  </si>
  <si>
    <t xml:space="preserve">    AMORT-TRANS &amp; DISTR MAINS</t>
  </si>
  <si>
    <t xml:space="preserve">    AMORT-SERVICE LINES</t>
  </si>
  <si>
    <t xml:space="preserve">    AMORT-METERS</t>
  </si>
  <si>
    <t xml:space="preserve">    AMORT-METER INSTALLS</t>
  </si>
  <si>
    <t xml:space="preserve">    AMORT-HYDRANTS</t>
  </si>
  <si>
    <t xml:space="preserve">    AMORT-BACKFLOW PREVENT DEV</t>
  </si>
  <si>
    <t xml:space="preserve">    AMORT-OTH PLT&amp;MISC EQP INT</t>
  </si>
  <si>
    <t xml:space="preserve">    AMORT-OTH PLT&amp;MISC EQP SRC</t>
  </si>
  <si>
    <t xml:space="preserve">    AMORT-OTH PLT&amp;MISC EQP WTP</t>
  </si>
  <si>
    <t>Trial Balance 6/30/2008</t>
  </si>
  <si>
    <t xml:space="preserve">    L/T INT EXP CENTURY 21</t>
  </si>
  <si>
    <t xml:space="preserve">    L/T INT EXP IDS LIFE INS</t>
  </si>
  <si>
    <t xml:space="preserve">    L/T INT EXP PRUDENTIAL BAC</t>
  </si>
  <si>
    <t xml:space="preserve">    L/T INT EXP FIRST UNION</t>
  </si>
  <si>
    <t xml:space="preserve">    L/T INT EXP LINCOLN LIFE I</t>
  </si>
  <si>
    <t xml:space="preserve">    L/T INT EXP 15M LINCOLN NA</t>
  </si>
  <si>
    <t xml:space="preserve">    L/T INT EXP MORTGAGES</t>
  </si>
  <si>
    <t xml:space="preserve">    L/T INT EXP DEBT DISC</t>
  </si>
  <si>
    <t xml:space="preserve">    L/T INT EXP OTHER</t>
  </si>
  <si>
    <t>F</t>
  </si>
  <si>
    <t>G</t>
  </si>
  <si>
    <t>H</t>
  </si>
  <si>
    <t>I</t>
  </si>
  <si>
    <t>J</t>
  </si>
  <si>
    <t>K</t>
  </si>
  <si>
    <t>G1</t>
  </si>
  <si>
    <t>BS</t>
  </si>
  <si>
    <t>Total Adjustment</t>
  </si>
  <si>
    <t>B1</t>
  </si>
  <si>
    <t>B2</t>
  </si>
  <si>
    <t>C1</t>
  </si>
  <si>
    <t>C2</t>
  </si>
  <si>
    <t>C3</t>
  </si>
  <si>
    <t>C4</t>
  </si>
  <si>
    <t>C5</t>
  </si>
  <si>
    <t>TOTAL ASSETS</t>
  </si>
  <si>
    <t>Federal Taxes</t>
  </si>
  <si>
    <t>Federal Taxable Income</t>
  </si>
  <si>
    <t>Proposed Revenues</t>
  </si>
  <si>
    <t>Total Operating Expense Charged to Plant (from Schedule B)</t>
  </si>
  <si>
    <t xml:space="preserve">    AMORT-OTH PLT&amp;MISC EQP DIS</t>
  </si>
  <si>
    <t xml:space="preserve">    AMORT-OFFICE STRUCTURE</t>
  </si>
  <si>
    <t xml:space="preserve">    AMORT-OFFICE FURN/EQPT</t>
  </si>
  <si>
    <t xml:space="preserve">    AMORT-STORES EQUIPMENT</t>
  </si>
  <si>
    <t xml:space="preserve">    AMORT-TOOL SHOP &amp; MISC EQP</t>
  </si>
  <si>
    <t xml:space="preserve">    AMORT-LABORATORY EQUIPMENT</t>
  </si>
  <si>
    <t xml:space="preserve">    AMORT-POWER OPERATED EQUIP</t>
  </si>
  <si>
    <t xml:space="preserve">    AMORT-COMMUNICATION EQPT</t>
  </si>
  <si>
    <t xml:space="preserve">    AMORT-MISC EQUIPMENT</t>
  </si>
  <si>
    <t xml:space="preserve">    TERM LIFE INS-OPT</t>
  </si>
  <si>
    <t xml:space="preserve">    DEPEND LIFE INS-OPT</t>
  </si>
  <si>
    <t xml:space="preserve">    SUPPLEMENTAL LIFE INS</t>
  </si>
  <si>
    <t xml:space="preserve">    TUITION</t>
  </si>
  <si>
    <t xml:space="preserve">    INSURANCE-VEHICLE</t>
  </si>
  <si>
    <t xml:space="preserve">    INSURANCE-GEN LIAB</t>
  </si>
  <si>
    <t xml:space="preserve">    INSURANCE-WORKERS COMP</t>
  </si>
  <si>
    <t xml:space="preserve">    INSURANCE-OTHER</t>
  </si>
  <si>
    <t xml:space="preserve">    COMPUTER MAINTENANCE</t>
  </si>
  <si>
    <t xml:space="preserve">    COMPUTER SUPPLIES</t>
  </si>
  <si>
    <t xml:space="preserve">    COMPUTER AMORT &amp; PROG COST</t>
  </si>
  <si>
    <t xml:space="preserve">    INTERNET SUPPLIER</t>
  </si>
  <si>
    <t xml:space="preserve">    MICROFILMING</t>
  </si>
  <si>
    <t xml:space="preserve">    WEBSITE DEVELOPMENT</t>
  </si>
  <si>
    <t xml:space="preserve">    ADVERTISING/MARKETING</t>
  </si>
  <si>
    <t xml:space="preserve">    BANK SERVICE CHARGE</t>
  </si>
  <si>
    <t xml:space="preserve">    CONTRIBUTIONS</t>
  </si>
  <si>
    <t xml:space="preserve">    LETTER OF CREDIT FEE</t>
  </si>
  <si>
    <t xml:space="preserve">    LICENSE FEES</t>
  </si>
  <si>
    <t xml:space="preserve">    MEMBERSHIPS</t>
  </si>
  <si>
    <t xml:space="preserve">    PENALTIES/FINES</t>
  </si>
  <si>
    <t xml:space="preserve">    TRAINING EXPENSE</t>
  </si>
  <si>
    <t xml:space="preserve">    OTHER MISC EXPENSE</t>
  </si>
  <si>
    <t xml:space="preserve">    ANSWERING SERVICE</t>
  </si>
  <si>
    <t xml:space="preserve">    CLEANING SUPPLIES</t>
  </si>
  <si>
    <t xml:space="preserve">    COPY MACHINE</t>
  </si>
  <si>
    <t xml:space="preserve">    HOLIDAY EVENTS/PICNICS</t>
  </si>
  <si>
    <t xml:space="preserve">    KITCHEN SUPPLIES</t>
  </si>
  <si>
    <t xml:space="preserve">    OFFICE SUPPLY STORES</t>
  </si>
  <si>
    <t xml:space="preserve">    PRINTING/BLUEPRINTS</t>
  </si>
  <si>
    <t xml:space="preserve">    PUBL SUBSCRIPTIONS/TAPES</t>
  </si>
  <si>
    <t xml:space="preserve">    SHIPPING CHARGES</t>
  </si>
  <si>
    <t xml:space="preserve">    OTHER OFFICE EXPENSES</t>
  </si>
  <si>
    <t xml:space="preserve">    OFFICE ELECTRIC</t>
  </si>
  <si>
    <t xml:space="preserve">    OFFICE GAS</t>
  </si>
  <si>
    <t xml:space="preserve">    OFFICE WATER</t>
  </si>
  <si>
    <t xml:space="preserve">    OFFICE TELECOM</t>
  </si>
  <si>
    <t xml:space="preserve">    OFFICE GARBAGE REMOVAL</t>
  </si>
  <si>
    <t xml:space="preserve">    OFFICE LANDSCAPE / MOW / P</t>
  </si>
  <si>
    <t xml:space="preserve">    OFFICE ALARM SYS PHONE EXP</t>
  </si>
  <si>
    <t xml:space="preserve">    OFFICE MAINTENANCE</t>
  </si>
  <si>
    <t xml:space="preserve">    OFFICE CLEANING SERVICE</t>
  </si>
  <si>
    <t>AIAC</t>
  </si>
  <si>
    <t>Net:</t>
  </si>
  <si>
    <t>Working capital is calculated based on pro forma maintenance expenses, pro forma general expenses, and taxes other than income.</t>
  </si>
  <si>
    <t>Pro Forma Plant to be Included in Rate Case</t>
  </si>
  <si>
    <t>Plant Acquisition Adjustment-Water</t>
  </si>
  <si>
    <t>Airfare</t>
  </si>
  <si>
    <t>Hotel/Meals</t>
  </si>
  <si>
    <t>Return on Rate Base</t>
  </si>
  <si>
    <t>Adjusted</t>
  </si>
  <si>
    <t>Status</t>
  </si>
  <si>
    <t>Accounts Receivable - Net</t>
  </si>
  <si>
    <t>IS</t>
  </si>
  <si>
    <t>IS/BS</t>
  </si>
  <si>
    <t>Balance DR/(CR)</t>
  </si>
  <si>
    <t>Trial balance variance</t>
  </si>
  <si>
    <t>W &amp; S</t>
  </si>
  <si>
    <t>Account</t>
  </si>
  <si>
    <t>BALANCE SHEET</t>
  </si>
  <si>
    <t>TOTAL</t>
  </si>
  <si>
    <t>PLANT IN SERVICE</t>
  </si>
  <si>
    <t>TRANSPORTATION EQPT</t>
  </si>
  <si>
    <t>COMPUTER EQUIPMENT</t>
  </si>
  <si>
    <t>WORK IN PROGRESS</t>
  </si>
  <si>
    <t>ACCUMULATED DEPRECIATION</t>
  </si>
  <si>
    <t>PLANT ACQUISITION ADJUSTMENT</t>
  </si>
  <si>
    <t>CASH</t>
  </si>
  <si>
    <t>NET ACCOUNTS RECEIVABLE</t>
  </si>
  <si>
    <t>PREPAID EXPENSES</t>
  </si>
  <si>
    <t>PRELIMINARY SURVEY</t>
  </si>
  <si>
    <t>DEFERRED RATE CASE EXPENSE</t>
  </si>
  <si>
    <t>OTHER DEFERRED CHARGES</t>
  </si>
  <si>
    <t>ASSETS</t>
  </si>
  <si>
    <t>NET CONTRIBUTION IN AID OF CONSTRUCTION</t>
  </si>
  <si>
    <t>DEFERRED FEDERAL TAXES</t>
  </si>
  <si>
    <t>DEFERRED STATE TAXES</t>
  </si>
  <si>
    <t>ACCOUNTS PAYABLE</t>
  </si>
  <si>
    <t>ADVANCES FROM UTILITIES INC</t>
  </si>
  <si>
    <t>CUSTOMER DEPOSITS</t>
  </si>
  <si>
    <t>ACCRUED GENERAL TAXES</t>
  </si>
  <si>
    <t>ACCRUED TAXES</t>
  </si>
  <si>
    <t>ACCRUED INTEREST</t>
  </si>
  <si>
    <t>DEFERRED REVENUE</t>
  </si>
  <si>
    <t>PAYABLE TO DEVELOPER</t>
  </si>
  <si>
    <t>LIABILITIES</t>
  </si>
  <si>
    <t>EQUITY</t>
  </si>
  <si>
    <t>INCOME STATEMENT</t>
  </si>
  <si>
    <t>REVENUE</t>
  </si>
  <si>
    <t>PURCHASED WATER AND SEWER</t>
  </si>
  <si>
    <t>ELECTRIC POWER</t>
  </si>
  <si>
    <t>CHEMICALS</t>
  </si>
  <si>
    <t>METER READING</t>
  </si>
  <si>
    <t>BAD DEBT EXPENSE</t>
  </si>
  <si>
    <t>BILLING &amp; CUSTOMER SERVICE EXPENSE</t>
  </si>
  <si>
    <t>EMPLOYEE PENSION &amp; BENEFITS EXPENSE</t>
  </si>
  <si>
    <t>INSURANCE EXPENSE</t>
  </si>
  <si>
    <t>IT DEPARTMENT</t>
  </si>
  <si>
    <t>MISCELLANEOUS EXPENSE</t>
  </si>
  <si>
    <t>OFFICE EXPENSE</t>
  </si>
  <si>
    <t>OFFICE UTILITIES/MAINTENANCE</t>
  </si>
  <si>
    <t>OUTSIDE SERVICE EXPENSE</t>
  </si>
  <si>
    <t>RATE CASE EXPENSE</t>
  </si>
  <si>
    <t>RENT EXPENSE</t>
  </si>
  <si>
    <t>SALARIES &amp; WAGES</t>
  </si>
  <si>
    <t>TRAVEL EXPENSE</t>
  </si>
  <si>
    <t>FLEET TRANSPORTATION EXPENSE</t>
  </si>
  <si>
    <t>MAINTENANCE TESTING</t>
  </si>
  <si>
    <t>MAINTENANCE EXPENSE</t>
  </si>
  <si>
    <t>DEPRECIATION</t>
  </si>
  <si>
    <t>AMORTIZATION</t>
  </si>
  <si>
    <t>PAYROLL TAXES</t>
  </si>
  <si>
    <t>PROPERTY AND OTHER TAX EXPENSE</t>
  </si>
  <si>
    <t>INCOME TAX EXPENSE</t>
  </si>
  <si>
    <t>OPERATING &amp; MAINTENANCE EXPENSE</t>
  </si>
  <si>
    <t>MISC. REVENUES</t>
  </si>
  <si>
    <t>RENTAL / OTHER INCOME</t>
  </si>
  <si>
    <t>OTHER INCOME</t>
  </si>
  <si>
    <t>Cap Structure</t>
  </si>
  <si>
    <t>LONG-TERM INTEREST EXP</t>
  </si>
  <si>
    <t>SHORT-TERM INTEREST EXPENSE</t>
  </si>
  <si>
    <t>ALLOW FUNDS USED CONSTRUCTION</t>
  </si>
  <si>
    <t>OTHER EXPENSE</t>
  </si>
  <si>
    <t>INCOME LOSS/(PROFIT)</t>
  </si>
  <si>
    <t>TRIAL BALANCE</t>
  </si>
  <si>
    <t>Allocation Table</t>
  </si>
  <si>
    <t>Percent</t>
  </si>
  <si>
    <t>Allocation Method</t>
  </si>
  <si>
    <t>CUSTOMERS</t>
  </si>
  <si>
    <t>REVENUES</t>
  </si>
  <si>
    <t>NET PLANT</t>
  </si>
  <si>
    <t>DEFERRED MAINTENANCE</t>
  </si>
  <si>
    <t>CAP STRUCTURE</t>
  </si>
  <si>
    <t>LIABILITIES AND OTHER CREDITS</t>
  </si>
  <si>
    <t xml:space="preserve">Deferred Credits </t>
  </si>
  <si>
    <t>Deferred Revenue</t>
  </si>
  <si>
    <t>check</t>
  </si>
  <si>
    <t>Combined Operations</t>
  </si>
  <si>
    <t>Purchase Water/Sewer</t>
  </si>
  <si>
    <t>Amortization of PAA</t>
  </si>
  <si>
    <t>Amortization of ITC</t>
  </si>
  <si>
    <t>Amortization of CIAC</t>
  </si>
  <si>
    <t>Other Income</t>
  </si>
  <si>
    <t>Water Operations</t>
  </si>
  <si>
    <t xml:space="preserve">Amortization of CIAC </t>
  </si>
  <si>
    <t>Sewer Operations</t>
  </si>
  <si>
    <t>Page 3 of 4</t>
  </si>
  <si>
    <t>Calculation of Revenue Requirement</t>
  </si>
  <si>
    <t>Operation Ratio Method</t>
  </si>
  <si>
    <t>Expense Reduction Related to Clinton Sewer Operations</t>
  </si>
  <si>
    <t>Calculation of Capitalized Time Allocation</t>
  </si>
  <si>
    <t xml:space="preserve">Capitalized </t>
  </si>
  <si>
    <t>Time</t>
  </si>
  <si>
    <t>United</t>
  </si>
  <si>
    <t>Total Operator Capitalized Time</t>
  </si>
  <si>
    <t>Total Office Capitalized Time</t>
  </si>
  <si>
    <t>Total WSC Capitalized Time</t>
  </si>
  <si>
    <t>Total Capitalized Time Adjustment</t>
  </si>
  <si>
    <t xml:space="preserve">Operator Capitalized Time </t>
  </si>
  <si>
    <t>Office Capitalized Time</t>
  </si>
  <si>
    <t>Wsc Capitalized Time</t>
  </si>
  <si>
    <t>Total Capitalized  Time Adjustment</t>
  </si>
  <si>
    <t xml:space="preserve">Confidential </t>
  </si>
  <si>
    <t>Customer Service Personnel</t>
  </si>
  <si>
    <t>State</t>
  </si>
  <si>
    <t>7.65%</t>
  </si>
  <si>
    <t>[4]</t>
  </si>
  <si>
    <t>[5]</t>
  </si>
  <si>
    <t>Abbott, Loretta E.</t>
  </si>
  <si>
    <t>FL</t>
  </si>
  <si>
    <t>[1]</t>
  </si>
  <si>
    <t>Bennett, Kimberly J.</t>
  </si>
  <si>
    <t>Chandler, Matthew R.</t>
  </si>
  <si>
    <t>Mayeski, Lorie L.</t>
  </si>
  <si>
    <t>Raponi, Ann M.</t>
  </si>
  <si>
    <t>Trovinger, Ferrellyn L.</t>
  </si>
  <si>
    <t>NV</t>
  </si>
  <si>
    <t>[2]</t>
  </si>
  <si>
    <t>Tackett, Samantha R.</t>
  </si>
  <si>
    <t>NC</t>
  </si>
  <si>
    <t>[3]</t>
  </si>
  <si>
    <t>Robinson, Shona N.</t>
  </si>
  <si>
    <t>Silva, Lisa M.</t>
  </si>
  <si>
    <t>WSC Allocation Percentage</t>
  </si>
  <si>
    <t>Annual Salary</t>
  </si>
  <si>
    <t>Total Northbrook Salary</t>
  </si>
  <si>
    <t>RVP</t>
  </si>
  <si>
    <t>Regional</t>
  </si>
  <si>
    <t xml:space="preserve">WSC - per WSC w/p </t>
  </si>
  <si>
    <t>Vaughan, Stephen</t>
  </si>
  <si>
    <t>Pro Forma Operating revenue</t>
  </si>
  <si>
    <t>Divided by: Pro Forma Operating Expenses</t>
  </si>
  <si>
    <t>Operating Ratio</t>
  </si>
  <si>
    <t>Pro Forma Operating Expenses</t>
  </si>
  <si>
    <t>Divided by: Operating ratio</t>
  </si>
  <si>
    <t>Page 2 of 2</t>
  </si>
  <si>
    <t>Page 1 of 2</t>
  </si>
  <si>
    <t>$0 to $50,000 @ 4.0%</t>
  </si>
  <si>
    <t>$50,001 to $100,000 @ 5.0%</t>
  </si>
  <si>
    <t>over $100,000 @ 6.0%</t>
  </si>
  <si>
    <t xml:space="preserve">     ACCRUED ST INCOME TAX</t>
  </si>
  <si>
    <t xml:space="preserve">     ORGANIZATION</t>
  </si>
  <si>
    <t xml:space="preserve">     FRANCHISES</t>
  </si>
  <si>
    <t xml:space="preserve">     LAND &amp; LAND RIGHTS TRANS</t>
  </si>
  <si>
    <t xml:space="preserve">     LAND &amp; LAND RIGHTS GEN PL</t>
  </si>
  <si>
    <t xml:space="preserve">     STRUCT &amp; IMPRV SRC SUPPLY</t>
  </si>
  <si>
    <t xml:space="preserve">     STRUCT &amp; IMPRV WTR TRT PL</t>
  </si>
  <si>
    <t xml:space="preserve">     STRUCT &amp; IMPRV TRANS DIST</t>
  </si>
  <si>
    <t xml:space="preserve">     STRUCT &amp; IMPRV GEN PLT</t>
  </si>
  <si>
    <t xml:space="preserve">     WELLS &amp; SPRINGS</t>
  </si>
  <si>
    <t xml:space="preserve">     SUPPLY MAINS</t>
  </si>
  <si>
    <t xml:space="preserve">     ELECTRIC PUMP EQUIP WTP</t>
  </si>
  <si>
    <t xml:space="preserve">     ELECTRIC PUMP EQUIP TRANS</t>
  </si>
  <si>
    <t xml:space="preserve">     WATER TREATMENT EQPT</t>
  </si>
  <si>
    <t xml:space="preserve">     DIST RESV &amp; STANDPIPES</t>
  </si>
  <si>
    <t xml:space="preserve">     TRANS &amp; DISTR MAINS</t>
  </si>
  <si>
    <t xml:space="preserve">     SERVICE LINES</t>
  </si>
  <si>
    <t xml:space="preserve">     METERS</t>
  </si>
  <si>
    <t xml:space="preserve">     METER INSTALLATIONS</t>
  </si>
  <si>
    <t xml:space="preserve">     HYDRANTS</t>
  </si>
  <si>
    <t xml:space="preserve">     BACKFLOW PREVENTION DEVIC</t>
  </si>
  <si>
    <t xml:space="preserve">     OTH PLT&amp;MISC EQUIP TRANS</t>
  </si>
  <si>
    <t xml:space="preserve">     OFFICE STRUCT &amp; IMPRV</t>
  </si>
  <si>
    <t xml:space="preserve">     OFFICE FURN &amp; EQPT</t>
  </si>
  <si>
    <t xml:space="preserve">     TOOL SHOP &amp; MISC EQPT</t>
  </si>
  <si>
    <t xml:space="preserve">     LABORATORY EQUIPMENT</t>
  </si>
  <si>
    <t xml:space="preserve">     COMMUNICATION EQPT</t>
  </si>
  <si>
    <t xml:space="preserve">     MISC EQUIPMENT</t>
  </si>
  <si>
    <t xml:space="preserve">     WATER PLANT ALLOCATED</t>
  </si>
  <si>
    <t xml:space="preserve">     OTHER TANGIBLE PLT WATER</t>
  </si>
  <si>
    <t xml:space="preserve">     FRANCHISES INTANG PLT</t>
  </si>
  <si>
    <t xml:space="preserve">     STRUCT/IMPRV COLL PLT</t>
  </si>
  <si>
    <t xml:space="preserve">     STRUCT/IMPRV PUMP PLT LS</t>
  </si>
  <si>
    <t xml:space="preserve">     STRUCT/IMPRV RECLAIM WTP</t>
  </si>
  <si>
    <t xml:space="preserve">     STRUCT/IMPRV GEN PLT</t>
  </si>
  <si>
    <t xml:space="preserve">     POWER GEN EQUIP TREAT PLT</t>
  </si>
  <si>
    <t xml:space="preserve">     SEWER FORCE MAIN</t>
  </si>
  <si>
    <t xml:space="preserve">     SEWER GRAVITY MAIN/MANHOL</t>
  </si>
  <si>
    <t xml:space="preserve">     SERVICES TO CUSTOMERS</t>
  </si>
  <si>
    <t xml:space="preserve">     FLOW MEASURE DEVICES</t>
  </si>
  <si>
    <t xml:space="preserve">     FLOW MEASURE INSTALL</t>
  </si>
  <si>
    <t xml:space="preserve">     PUMPING EQUIPMENT PUMP PL</t>
  </si>
  <si>
    <t xml:space="preserve">     PUMPING EQUIPMENT RECLAIM</t>
  </si>
  <si>
    <t xml:space="preserve">     TREAT/DISP EQUIP LAGOON</t>
  </si>
  <si>
    <t xml:space="preserve">     TREAT/DISP EQUIP TRT PLT</t>
  </si>
  <si>
    <t xml:space="preserve">     PLANT SEWERS TRTMT PLT</t>
  </si>
  <si>
    <t xml:space="preserve">     OTHER PLT COLLECTION</t>
  </si>
  <si>
    <t xml:space="preserve">     OTHER PLT PUMP</t>
  </si>
  <si>
    <t xml:space="preserve">     STORES EQUIPMENT</t>
  </si>
  <si>
    <t xml:space="preserve">     LABORATORY EQPT</t>
  </si>
  <si>
    <t xml:space="preserve">     POWER OPERATED EQUIP</t>
  </si>
  <si>
    <t xml:space="preserve">     MISC EQUIP SEWER</t>
  </si>
  <si>
    <t xml:space="preserve">     REUSE DIST RESERVOIRS</t>
  </si>
  <si>
    <t xml:space="preserve">     REUSE TRANMISSION &amp; DIST</t>
  </si>
  <si>
    <t xml:space="preserve">     TRANSPORTATION EQPT WTR</t>
  </si>
  <si>
    <t xml:space="preserve">     MAINFRAME COMPUTER WTR</t>
  </si>
  <si>
    <t xml:space="preserve">     MINI COMPUTERS WTR</t>
  </si>
  <si>
    <t xml:space="preserve">     COMP SYS COST WTR</t>
  </si>
  <si>
    <t xml:space="preserve">     MICRO SYS COST WTR</t>
  </si>
  <si>
    <t xml:space="preserve">     SEWER PLANT IN PROCESS</t>
  </si>
  <si>
    <t xml:space="preserve">     OTHER PLANT IN PROCESS</t>
  </si>
  <si>
    <t xml:space="preserve">     DEFERRED PLANT IN PROCESS</t>
  </si>
  <si>
    <t xml:space="preserve">     ACC DEPR-ORGANIZATION</t>
  </si>
  <si>
    <t xml:space="preserve">     ACC DEPR-FRANCHISES</t>
  </si>
  <si>
    <t xml:space="preserve">     ACC DEPR-STRUCT&amp;IMPRV SRC</t>
  </si>
  <si>
    <t xml:space="preserve">     ACC DEPR-STRUCT&amp;IMPRV WTP</t>
  </si>
  <si>
    <t xml:space="preserve">     ACC DEPR-STRUCT&amp;IMPRV TRN</t>
  </si>
  <si>
    <t xml:space="preserve">     ACC DEPR-STRUCT&amp;IMPRV GEN</t>
  </si>
  <si>
    <t xml:space="preserve">     ACC DEPR-WELLS &amp; SPRINGS</t>
  </si>
  <si>
    <t xml:space="preserve">     ACC DEPR-SUPPLY MAINS</t>
  </si>
  <si>
    <t xml:space="preserve">     ACC DEPR-ELECT PUMP EQUIP</t>
  </si>
  <si>
    <t xml:space="preserve">     ACC DEPR-WATER TREATMENT</t>
  </si>
  <si>
    <t xml:space="preserve">     ACC DEPR-DIST RESV &amp; STAN</t>
  </si>
  <si>
    <t xml:space="preserve">     ACC DEPR-TRANS &amp; DISTR MA</t>
  </si>
  <si>
    <t xml:space="preserve">     ACC DEPR-SERVICE LINES</t>
  </si>
  <si>
    <t xml:space="preserve">     ACC DEPR-METERS</t>
  </si>
  <si>
    <t xml:space="preserve">     ACC DEPR-METER INSTALLS</t>
  </si>
  <si>
    <t xml:space="preserve">     ACC DEPR-HYDRANTS</t>
  </si>
  <si>
    <t xml:space="preserve">     ACC DEPR-BACKFLOW PREVENT</t>
  </si>
  <si>
    <t xml:space="preserve">     ACC DEPR-OTH PLANT&amp;MISC T</t>
  </si>
  <si>
    <t xml:space="preserve">     ACC DEPR-OFFICE STRUCTURE</t>
  </si>
  <si>
    <t xml:space="preserve">     ACC DEPR-OFFICE FURN/EQPT</t>
  </si>
  <si>
    <t xml:space="preserve">     ACC DEPR-TOOL SHOP &amp; MISC</t>
  </si>
  <si>
    <t xml:space="preserve">     ACC DEPR-LABORATORY EQUIP</t>
  </si>
  <si>
    <t xml:space="preserve">     ACC DEPR-COMMUNICATION EQ</t>
  </si>
  <si>
    <t xml:space="preserve">     ACC DEPR-MISC EQUIPMENT</t>
  </si>
  <si>
    <t xml:space="preserve">     ACC DEPR-OTHER TANG PLT W</t>
  </si>
  <si>
    <t xml:space="preserve">     ACC DEPR FRANCHISES INTAN</t>
  </si>
  <si>
    <t xml:space="preserve">     ACC DEPR-STRUCT/IMPRV COL</t>
  </si>
  <si>
    <t xml:space="preserve">     ACC DEPR-STRUCT/IMPRV PUM</t>
  </si>
  <si>
    <t xml:space="preserve">     ACC DEPR-STRUCT/IMPRV RCL</t>
  </si>
  <si>
    <t xml:space="preserve">     ACC DEPR-STRUCT/IMPRV GEN</t>
  </si>
  <si>
    <t xml:space="preserve">     ACC DEPR-PWR GEN EQP TRT</t>
  </si>
  <si>
    <t xml:space="preserve">     ACC DEPR-SEWER FORCE MAIN</t>
  </si>
  <si>
    <t xml:space="preserve">     ACC DEPR-SEWER GRVTY MAIN</t>
  </si>
  <si>
    <t xml:space="preserve">     ACC DEPR-SERVICES TO CUST</t>
  </si>
  <si>
    <t xml:space="preserve">     ACC DEPR-FLOW MEASURE DEV</t>
  </si>
  <si>
    <t xml:space="preserve">     ACC DEPR-FLOW MEASURE INS</t>
  </si>
  <si>
    <t xml:space="preserve">     ACC DEPR-PUMP EQP PUMP PL</t>
  </si>
  <si>
    <t xml:space="preserve">     ACC DEPR-PUMP EQP RCLM WT</t>
  </si>
  <si>
    <t xml:space="preserve">     ACC DEPR-TREAT/DISP EQP L</t>
  </si>
  <si>
    <t xml:space="preserve">     ACC DEPR-TREAT/DISP EQP T</t>
  </si>
  <si>
    <t xml:space="preserve">     ACC DEPR-PLANT SEWERS TRT</t>
  </si>
  <si>
    <t xml:space="preserve">     ACC DEPR-OUTFALL LINES</t>
  </si>
  <si>
    <t xml:space="preserve">     ACC DEPR-OTHER PLT PUMP</t>
  </si>
  <si>
    <t xml:space="preserve">     ACC DEPR-STORES EQUIPMENT</t>
  </si>
  <si>
    <t xml:space="preserve">     ACC DEPR-LABORATORY EQPT</t>
  </si>
  <si>
    <t xml:space="preserve">     ACC DEPR-POWER OPERATED E</t>
  </si>
  <si>
    <t xml:space="preserve">     ACC DEPR-MISC EQUIP SEWER</t>
  </si>
  <si>
    <t xml:space="preserve">     ACC DEPR-REUSE DIST RESER</t>
  </si>
  <si>
    <t xml:space="preserve">     ACC DEPR-REUSE TRANS/DIST</t>
  </si>
  <si>
    <t xml:space="preserve">     ACC DEPR-TRANSPORTATION W</t>
  </si>
  <si>
    <t xml:space="preserve">     ACC DEPR-MAINFRAME COMP W</t>
  </si>
  <si>
    <t xml:space="preserve">     ACC DEPR-MINI COMP WTR</t>
  </si>
  <si>
    <t xml:space="preserve">     COMP SYS AMORTIZATION WTR</t>
  </si>
  <si>
    <t xml:space="preserve">     MICRO SYS AMORTIZATION WT</t>
  </si>
  <si>
    <t xml:space="preserve">    UTILITY PAA WTR PLANT AMOR</t>
  </si>
  <si>
    <t xml:space="preserve">    ACC AMORT UTIL PAA-WATER</t>
  </si>
  <si>
    <t xml:space="preserve">     CASH-CHASE-WSC DISBURSEME</t>
  </si>
  <si>
    <t xml:space="preserve">     CASH UNAPPLIED</t>
  </si>
  <si>
    <t xml:space="preserve">     A/R-CUSTOMER TRADE CC&amp;B</t>
  </si>
  <si>
    <t xml:space="preserve">     A/R-CUSTOMER ACCRUAL</t>
  </si>
  <si>
    <t xml:space="preserve">     A/R-CUSTOMER REFUNDS</t>
  </si>
  <si>
    <t xml:space="preserve">    ACCUM PROV UNCOLLECT ACCTS</t>
  </si>
  <si>
    <t xml:space="preserve">     A/R-OTHER</t>
  </si>
  <si>
    <t xml:space="preserve">    A/R ASSOC COS</t>
  </si>
  <si>
    <t xml:space="preserve">    INVENTORY</t>
  </si>
  <si>
    <t xml:space="preserve">    SPECIAL DEPOSITS</t>
  </si>
  <si>
    <t xml:space="preserve">    PREPAID REIMBURSEMENTS</t>
  </si>
  <si>
    <t xml:space="preserve">     Rate Case In Progress</t>
  </si>
  <si>
    <t xml:space="preserve">     RATE CASE BEING AMORT</t>
  </si>
  <si>
    <t xml:space="preserve">     RATE CASE ACCUM AMORT</t>
  </si>
  <si>
    <t xml:space="preserve">     DEF CHGS-TANK MAINT&amp;REP W</t>
  </si>
  <si>
    <t xml:space="preserve">     DEF CHGS-RELOCATION EXPEN</t>
  </si>
  <si>
    <t xml:space="preserve">     DEF CHGS-EMP FEES</t>
  </si>
  <si>
    <t xml:space="preserve">     DEF CHGS-VOC TESTING</t>
  </si>
  <si>
    <t xml:space="preserve">     DEF CHGS-PR WASH/JET SWR</t>
  </si>
  <si>
    <t xml:space="preserve">     DEF CHGS-TANK MAINT&amp;REP S</t>
  </si>
  <si>
    <t xml:space="preserve">     AMORT - TANK MAINT&amp;REP WT</t>
  </si>
  <si>
    <t xml:space="preserve">     AMORT - RELOCATION EXP</t>
  </si>
  <si>
    <t xml:space="preserve">     AMORT - EMPLOYEE FEES</t>
  </si>
  <si>
    <t xml:space="preserve">     AMORT - VOC TESTING</t>
  </si>
  <si>
    <t xml:space="preserve">     AMORT - PR WASH/JET SWR M</t>
  </si>
  <si>
    <t xml:space="preserve">     AMORT - TANK MAINT&amp;REP SW</t>
  </si>
  <si>
    <t xml:space="preserve">    ADV-IN-AID OF CONST-WATER</t>
  </si>
  <si>
    <t xml:space="preserve">     CIAC-OTHER TANGIBLE PLT W</t>
  </si>
  <si>
    <t xml:space="preserve">     CIAC-WATER-TAP</t>
  </si>
  <si>
    <t xml:space="preserve">     CIAC-WTR PLT MTR FEE</t>
  </si>
  <si>
    <t xml:space="preserve">     CIAC-STRUCT/IMPRV PUMP PL</t>
  </si>
  <si>
    <t xml:space="preserve">     CIAC-STRUCT/IMPRV GEN PLT</t>
  </si>
  <si>
    <t xml:space="preserve">     CIAC-SEWER FORCE MAIN</t>
  </si>
  <si>
    <t xml:space="preserve">     CIAC-SEWER GRAVITY MAIN</t>
  </si>
  <si>
    <t xml:space="preserve">     ACC AMORT OTHER TANG PLT</t>
  </si>
  <si>
    <t xml:space="preserve">     ACC AMORT WATER-CIAC TAP</t>
  </si>
  <si>
    <t xml:space="preserve">     ACC AMORT WTR PLT MTR FEE</t>
  </si>
  <si>
    <t xml:space="preserve">     ACC AMORTSTRUCT/IMPRV PUM</t>
  </si>
  <si>
    <t xml:space="preserve">     ACC AMORTSTRUCT/IMPRV GEN</t>
  </si>
  <si>
    <t xml:space="preserve">     ACC AMORT SWR FORCE MAIN/</t>
  </si>
  <si>
    <t xml:space="preserve">     ACC AMORT SEWER GRAVITY M</t>
  </si>
  <si>
    <t xml:space="preserve">     ACC AMORT SEWER-TAP</t>
  </si>
  <si>
    <t xml:space="preserve">     DEF FED TAX - TAP FEE POS</t>
  </si>
  <si>
    <t xml:space="preserve">     DEF FED TAX - RATE CASE</t>
  </si>
  <si>
    <t xml:space="preserve">     DEF FED TAX - DEF MAINT</t>
  </si>
  <si>
    <t xml:space="preserve">     DEF FED TAX - ORGN EXP</t>
  </si>
  <si>
    <t xml:space="preserve">     DEF FED TAX - BAD DEBT</t>
  </si>
  <si>
    <t xml:space="preserve">     DEF FED TAX - DEPRECIATIO</t>
  </si>
  <si>
    <t xml:space="preserve">     DEF ST TAX - TAP FEE POST</t>
  </si>
  <si>
    <t xml:space="preserve">     DEF ST TAX - RATE CASE</t>
  </si>
  <si>
    <t xml:space="preserve">     DEF ST TAX - DEF MAINT</t>
  </si>
  <si>
    <t xml:space="preserve">     DEF ST TAX - ORGN EXP</t>
  </si>
  <si>
    <t xml:space="preserve">     DEF ST TAX - BAD DEBT</t>
  </si>
  <si>
    <t xml:space="preserve">     DEF ST TAX - DEPRECIATION</t>
  </si>
  <si>
    <t xml:space="preserve">     A/P TRADE</t>
  </si>
  <si>
    <t xml:space="preserve">     A/P RETIREMENT PLANS</t>
  </si>
  <si>
    <t xml:space="preserve">     A/P TRADE - ACCRUAL</t>
  </si>
  <si>
    <t xml:space="preserve">     A/P TRADE - RECD NOT VOUC</t>
  </si>
  <si>
    <t xml:space="preserve">     A/P-ASSOC COMPANIES</t>
  </si>
  <si>
    <t xml:space="preserve">     A/P MISCELLANEOUS</t>
  </si>
  <si>
    <t xml:space="preserve">     DEF CREDITS OTHER</t>
  </si>
  <si>
    <t xml:space="preserve">    ADVANCES FROM UTILITIES IN</t>
  </si>
  <si>
    <t xml:space="preserve">    CUSTOMER DEPOSITS</t>
  </si>
  <si>
    <t xml:space="preserve">     ACCRUED TAXES GENERAL</t>
  </si>
  <si>
    <t xml:space="preserve">     ACCRUED GROSS RECEIPT TAX</t>
  </si>
  <si>
    <t xml:space="preserve">     ACCRUED REAL EST TAX</t>
  </si>
  <si>
    <t xml:space="preserve">     ACCRUED SALES TAX</t>
  </si>
  <si>
    <t xml:space="preserve">     ACCRUED USE TAX</t>
  </si>
  <si>
    <t xml:space="preserve">     ACCRUED COUNTY TAX A</t>
  </si>
  <si>
    <t xml:space="preserve">     ACCRUED COUNTY TAX B</t>
  </si>
  <si>
    <t xml:space="preserve">     ACCRUED CITY TAX</t>
  </si>
  <si>
    <t xml:space="preserve">     ACCRUED CITY TAX B</t>
  </si>
  <si>
    <t xml:space="preserve">     ACCRUED CUST DEP INTEREST</t>
  </si>
  <si>
    <t xml:space="preserve">     COMMON STOCK</t>
  </si>
  <si>
    <t xml:space="preserve">    PAID IN CAPITAL</t>
  </si>
  <si>
    <t xml:space="preserve">    MISC PAID IN CAPITAL</t>
  </si>
  <si>
    <t xml:space="preserve">    RETAINED EARN-PRIOR YEARS</t>
  </si>
  <si>
    <t xml:space="preserve">    WATER REVENUE-RESIDENTIAL</t>
  </si>
  <si>
    <t xml:space="preserve">    WATER REVENUE-ACCRUALS</t>
  </si>
  <si>
    <t xml:space="preserve">    WATER REVENUE-COMMERCIAL</t>
  </si>
  <si>
    <t xml:space="preserve">    WATER REVENUE-INDUSTRIAL</t>
  </si>
  <si>
    <t xml:space="preserve">    WATER REVENUE-PUBLIC AUTH</t>
  </si>
  <si>
    <t xml:space="preserve">    WATER REVENUE-MULT FAM DWE</t>
  </si>
  <si>
    <t xml:space="preserve">    PUBLIC FIRE PROTECTION</t>
  </si>
  <si>
    <t xml:space="preserve">    SEWER REVENUE-RESIDENTIAL</t>
  </si>
  <si>
    <t xml:space="preserve">    SEWER REVENUE-ACCRUALS</t>
  </si>
  <si>
    <t xml:space="preserve">   FORFEITED DISCOUNTS</t>
  </si>
  <si>
    <t xml:space="preserve">   MISC SERVICE REVENUE</t>
  </si>
  <si>
    <t xml:space="preserve">   OTHER W/S REVENUES</t>
  </si>
  <si>
    <t xml:space="preserve">    3RD PARTY BILLING REVENUE</t>
  </si>
  <si>
    <t xml:space="preserve">    REV FROM MGMT SERVICES</t>
  </si>
  <si>
    <t xml:space="preserve">    401K PROFIT SHARING</t>
  </si>
  <si>
    <t xml:space="preserve">    HEALTH &amp; DENTAL PREMIUMS</t>
  </si>
  <si>
    <t xml:space="preserve">    PENSION / 401K MATCH</t>
  </si>
  <si>
    <t xml:space="preserve">    SALARIES-BILLING</t>
  </si>
  <si>
    <t xml:space="preserve">    SALARIES-CORP SERVICE ADMI</t>
  </si>
  <si>
    <t xml:space="preserve">    WEATHER/HURRICANE/FUEL EXP</t>
  </si>
  <si>
    <t xml:space="preserve">    AMORT-SEWER GRAVITY MAIN</t>
  </si>
  <si>
    <t>Bruce Haas</t>
  </si>
  <si>
    <t>Carl Daniel</t>
  </si>
  <si>
    <t>Veronica Stannis</t>
  </si>
  <si>
    <t>Helen Lupton</t>
  </si>
  <si>
    <t>Mary Rollins</t>
  </si>
  <si>
    <t>8,000 @ 3.2%</t>
  </si>
  <si>
    <t>Bolt, Gregory C.</t>
  </si>
  <si>
    <t>Johnson, Harvey H.</t>
  </si>
  <si>
    <t>Leonard, James R.</t>
  </si>
  <si>
    <t>Mills, Wendell G.</t>
  </si>
  <si>
    <t>Onkst, James H.</t>
  </si>
  <si>
    <t>Partin, Michael W.</t>
  </si>
  <si>
    <t>Sandefur, Bryan K.</t>
  </si>
  <si>
    <t>Turner, John R.</t>
  </si>
  <si>
    <t>Vaughn, Stephen R.</t>
  </si>
  <si>
    <t xml:space="preserve">Overtime </t>
  </si>
  <si>
    <t>Hours</t>
  </si>
  <si>
    <t>overtime</t>
  </si>
  <si>
    <t xml:space="preserve">    OTHER EMP BENEFITS</t>
  </si>
  <si>
    <t>Head Count</t>
  </si>
  <si>
    <t xml:space="preserve">Full time employee </t>
  </si>
  <si>
    <t>12 month Average</t>
  </si>
  <si>
    <t>Daniel, Carl</t>
  </si>
  <si>
    <t>Property/Other General Tax</t>
  </si>
  <si>
    <t>ERC's</t>
  </si>
  <si>
    <t>VA</t>
  </si>
  <si>
    <t>Office (see wp-b CSR)</t>
  </si>
  <si>
    <t>2008 Plant Additions</t>
  </si>
  <si>
    <t>2009 Plant Additions</t>
  </si>
  <si>
    <t>2010 Plant Additions</t>
  </si>
  <si>
    <t>Direct Expenses Excluding Salary</t>
  </si>
  <si>
    <t>Total Kentucky Customer Service Allocation</t>
  </si>
  <si>
    <t>Clinton Sewer Allocation Percentage</t>
  </si>
  <si>
    <t>Clinton Sewer Office expense</t>
  </si>
  <si>
    <t>Unamortized Rate Case Expense</t>
  </si>
  <si>
    <t>Total Rate Case expense</t>
  </si>
  <si>
    <t>Consulting fees</t>
  </si>
  <si>
    <t>Check</t>
  </si>
  <si>
    <t>Total WSC KY</t>
  </si>
  <si>
    <t>TOTAL CLINTON</t>
  </si>
  <si>
    <t>Total Calculated Clinton</t>
  </si>
  <si>
    <t>Average Governmental  2" Bill</t>
  </si>
  <si>
    <t xml:space="preserve">Total Governmental  2" Meter </t>
  </si>
  <si>
    <t xml:space="preserve">Governmental  2" Meter </t>
  </si>
  <si>
    <t>Average Commercial 2" Bill</t>
  </si>
  <si>
    <t xml:space="preserve">Total Commercial 2" Meter </t>
  </si>
  <si>
    <t xml:space="preserve">Commercial 2" Meter </t>
  </si>
  <si>
    <t>Average Governmental 1.5" Bill</t>
  </si>
  <si>
    <t xml:space="preserve">Total Governmental 1.5" Meter </t>
  </si>
  <si>
    <t xml:space="preserve">Governmental 1.5" Meter </t>
  </si>
  <si>
    <t>Average Commercial 1.5" Bill</t>
  </si>
  <si>
    <t xml:space="preserve">Total Commercial 1.5" Meter </t>
  </si>
  <si>
    <t xml:space="preserve">Commercial 1.5" Meter </t>
  </si>
  <si>
    <t>Average Governmental 1" Bill</t>
  </si>
  <si>
    <t xml:space="preserve">Total Governmental 1" Meter </t>
  </si>
  <si>
    <t xml:space="preserve">Governmental 1" Meter </t>
  </si>
  <si>
    <t xml:space="preserve">Average Commercial 1" Bill </t>
  </si>
  <si>
    <t xml:space="preserve">Total Commersial 1" Meter </t>
  </si>
  <si>
    <t xml:space="preserve">Commercial 1" Meter </t>
  </si>
  <si>
    <t>Average Residential 1" Bill</t>
  </si>
  <si>
    <t xml:space="preserve">Total Residential 1" Meter </t>
  </si>
  <si>
    <t xml:space="preserve">Residential 1" Meter </t>
  </si>
  <si>
    <t>Average Governmental 3/4" Bill</t>
  </si>
  <si>
    <t xml:space="preserve">Total Governmental 3/4" Meter </t>
  </si>
  <si>
    <t xml:space="preserve">Governmental  3/4" Meter </t>
  </si>
  <si>
    <t>Average Commercial 3/4" Bill</t>
  </si>
  <si>
    <t xml:space="preserve">Total Commercial 3/4" Meter </t>
  </si>
  <si>
    <t xml:space="preserve">Commercial 3/4" Meter </t>
  </si>
  <si>
    <t>Average Residential 3/4" Bill</t>
  </si>
  <si>
    <t xml:space="preserve">Total Residential 3/4" Meter </t>
  </si>
  <si>
    <t xml:space="preserve">Residential 3/4" Meter </t>
  </si>
  <si>
    <t>Average Governmental  5/8" Bill</t>
  </si>
  <si>
    <t xml:space="preserve">Total Governmental  5/8" Meter </t>
  </si>
  <si>
    <t xml:space="preserve">Governmental  5/8" Meter </t>
  </si>
  <si>
    <t>Average Commercial 5/8" Bill</t>
  </si>
  <si>
    <t xml:space="preserve">Total Commercial 5/8" Meter </t>
  </si>
  <si>
    <t xml:space="preserve">Commercial 5/8" Meter </t>
  </si>
  <si>
    <t>Average Residential 5/8" Bill</t>
  </si>
  <si>
    <t xml:space="preserve">Total Residential 5/8" Meter </t>
  </si>
  <si>
    <t xml:space="preserve">Residential 5/8" Meter </t>
  </si>
  <si>
    <t>TOTAL MIDDLESBORO</t>
  </si>
  <si>
    <t>Total Calculated Midd</t>
  </si>
  <si>
    <t>Midd</t>
  </si>
  <si>
    <t>Average Industrial 6" Bill</t>
  </si>
  <si>
    <t xml:space="preserve">Total Industrial 6" Meter </t>
  </si>
  <si>
    <t xml:space="preserve">Industrial 6" Meter </t>
  </si>
  <si>
    <t>Average Commercial 6" Bill</t>
  </si>
  <si>
    <t xml:space="preserve">Total Commercial 6" Meter </t>
  </si>
  <si>
    <t xml:space="preserve">Commercial 6" Meter </t>
  </si>
  <si>
    <t>Average Industrial 4" Bill</t>
  </si>
  <si>
    <t xml:space="preserve">Total Industrial 4" Meter </t>
  </si>
  <si>
    <t xml:space="preserve">Industrial 4" Meter </t>
  </si>
  <si>
    <t>Average Governmental 4" Bill</t>
  </si>
  <si>
    <t xml:space="preserve">Total Governmental 4" Meter </t>
  </si>
  <si>
    <t xml:space="preserve">Governmental 4" Meter </t>
  </si>
  <si>
    <t>Average Commercial 4" Bill</t>
  </si>
  <si>
    <t xml:space="preserve">Total Commercial 4" Meter </t>
  </si>
  <si>
    <t xml:space="preserve">Commercial 4" Meter </t>
  </si>
  <si>
    <t>Average Industrial 3" Bill</t>
  </si>
  <si>
    <t xml:space="preserve">Total Industrial 3" Meter </t>
  </si>
  <si>
    <t xml:space="preserve">Industrial 3" Meter </t>
  </si>
  <si>
    <t>Average Governmental 3" Bill</t>
  </si>
  <si>
    <t xml:space="preserve">Total Governmental 3" Meter </t>
  </si>
  <si>
    <t xml:space="preserve">Governmental 3" Meter </t>
  </si>
  <si>
    <t>Average Commercial 3" Bill</t>
  </si>
  <si>
    <t xml:space="preserve">Total Commercial 3" Meter </t>
  </si>
  <si>
    <t xml:space="preserve">Commercial 3" Meter </t>
  </si>
  <si>
    <t>Average Governmental 2" Bill</t>
  </si>
  <si>
    <t xml:space="preserve">Total Governmental 2" Meter </t>
  </si>
  <si>
    <t xml:space="preserve">Governmental 2" Meter </t>
  </si>
  <si>
    <t>Average Industrial 2" Bill</t>
  </si>
  <si>
    <t xml:space="preserve">Total Industrial 2" Meter </t>
  </si>
  <si>
    <t xml:space="preserve">Industrial 2" Meter </t>
  </si>
  <si>
    <t>Average Industrial 1.5" Bill</t>
  </si>
  <si>
    <t xml:space="preserve">Total Industrial 1.5" Meter </t>
  </si>
  <si>
    <t xml:space="preserve">Industrial 1.5" Meter </t>
  </si>
  <si>
    <t>Average Industrial 1" Bill</t>
  </si>
  <si>
    <t xml:space="preserve">Industrial 1" Meter </t>
  </si>
  <si>
    <t>Average Commercial 1" Bill</t>
  </si>
  <si>
    <t xml:space="preserve">Total Commercial 1" Meter </t>
  </si>
  <si>
    <t>Average Industrial 5/8" Bill</t>
  </si>
  <si>
    <t xml:space="preserve">Total Industrial 5/8" Meter </t>
  </si>
  <si>
    <t xml:space="preserve">Industrial 5/8" Meter </t>
  </si>
  <si>
    <t>Average Governmental 5/8" Bill</t>
  </si>
  <si>
    <t xml:space="preserve">Total Governmental 5/8" Meter </t>
  </si>
  <si>
    <t xml:space="preserve">Governmental 5/8" Meter </t>
  </si>
  <si>
    <t>Proposed Rates</t>
  </si>
  <si>
    <t>Test Year Revenue</t>
  </si>
  <si>
    <t>in Rates</t>
  </si>
  <si>
    <t>Total # of Bills</t>
  </si>
  <si>
    <t>Total Billable Gallons  (000's)</t>
  </si>
  <si>
    <t xml:space="preserve">Calculation of Health and Other Benefits </t>
  </si>
  <si>
    <t>Month</t>
  </si>
  <si>
    <t>W/p [b-1]</t>
  </si>
  <si>
    <t xml:space="preserve">WSC KY Capitalized  </t>
  </si>
  <si>
    <t>w/p [b-2]</t>
  </si>
  <si>
    <t xml:space="preserve">Calculation of Customer Service Salary and benefits </t>
  </si>
  <si>
    <t>Less Pro Forma Operating Expense</t>
  </si>
  <si>
    <t>Operating Margin allowed in revenue requirement</t>
  </si>
  <si>
    <t>Operating</t>
  </si>
  <si>
    <t>Item</t>
  </si>
  <si>
    <t>(d)</t>
  </si>
  <si>
    <t xml:space="preserve">   Maintenance expenses</t>
  </si>
  <si>
    <t xml:space="preserve">   General expenses</t>
  </si>
  <si>
    <t xml:space="preserve">   Depreciation</t>
  </si>
  <si>
    <t xml:space="preserve">   Amortization of CIAC</t>
  </si>
  <si>
    <t xml:space="preserve">   Property tax</t>
  </si>
  <si>
    <t xml:space="preserve">   Payroll tax</t>
  </si>
  <si>
    <t xml:space="preserve">Total Pro Forma Operating Expenses </t>
  </si>
  <si>
    <t xml:space="preserve">   Clinton Expense reduction</t>
  </si>
  <si>
    <t>Benefits per employee</t>
  </si>
  <si>
    <t>Annualized revenues</t>
  </si>
  <si>
    <t>Annualized Uncollectible Accounts</t>
  </si>
  <si>
    <t xml:space="preserve">Revenues are annualized at proposed rates using the actual test year bills. </t>
  </si>
  <si>
    <t>[j]</t>
  </si>
  <si>
    <t>Rate Base Reductions</t>
  </si>
  <si>
    <t>UPIS - Vehicles</t>
  </si>
  <si>
    <t>Accum. Dep. - Vehicles</t>
  </si>
  <si>
    <t>Total rate base reductions</t>
  </si>
  <si>
    <t>WSCKY Bad Debt</t>
  </si>
  <si>
    <t>w/p [b-3]</t>
  </si>
  <si>
    <t xml:space="preserve">Total Utility Plant in Service </t>
  </si>
  <si>
    <t>Pro Forma Utility / Commission Tax</t>
  </si>
  <si>
    <t>w/p [q-3]</t>
  </si>
  <si>
    <t>w/p [q-2]</t>
  </si>
  <si>
    <t>w/p [q - 4]</t>
  </si>
  <si>
    <t>[6]</t>
  </si>
  <si>
    <t>Test Year/ Annualized/ Proposed Revenues</t>
  </si>
  <si>
    <t>Confidential</t>
  </si>
  <si>
    <t>Calculation of State and Federal Income Tax</t>
  </si>
  <si>
    <t xml:space="preserve">Total Industrial 1" Meter </t>
  </si>
  <si>
    <t>Calculation of Average Bill Increase</t>
  </si>
  <si>
    <t>1" Meter (all Classes)</t>
  </si>
  <si>
    <t>5/8" and 3/4" Meter( all Classes)</t>
  </si>
  <si>
    <t># of Bills</t>
  </si>
  <si>
    <t xml:space="preserve">Pro Forma </t>
  </si>
  <si>
    <t xml:space="preserve">Proposed </t>
  </si>
  <si>
    <t xml:space="preserve">Current </t>
  </si>
  <si>
    <t>Avg Bill</t>
  </si>
  <si>
    <t xml:space="preserve">Dollar </t>
  </si>
  <si>
    <t>1.5" Meter (all Classes)</t>
  </si>
  <si>
    <t>2" Meter (all Classes)</t>
  </si>
  <si>
    <t xml:space="preserve">3" Meter (all Classes) </t>
  </si>
  <si>
    <t>4" Meter (all Classes)</t>
  </si>
  <si>
    <t>6" Meter (all Classes)</t>
  </si>
  <si>
    <t>Private Fire Protection</t>
  </si>
  <si>
    <t>Average Gallonage</t>
  </si>
  <si>
    <t>Public Fire protection</t>
  </si>
  <si>
    <t xml:space="preserve">     ACC DEPR-POWER OPERATED EQUIP</t>
  </si>
  <si>
    <t xml:space="preserve">    RCIP - ATTORNEY FEES</t>
  </si>
  <si>
    <t xml:space="preserve">    PRELIMINARY SURVEY</t>
  </si>
  <si>
    <t xml:space="preserve">    RCIP - CAPITALIZED TIME</t>
  </si>
  <si>
    <t xml:space="preserve">    RCIP - ADMINISTRATIVE EXPENSES</t>
  </si>
  <si>
    <t xml:space="preserve">    RCIP - TRAVEL</t>
  </si>
  <si>
    <t xml:space="preserve">    RCIP - CONSULTING FEES</t>
  </si>
  <si>
    <t xml:space="preserve">     CIAC-METERS</t>
  </si>
  <si>
    <t xml:space="preserve">     ACCRUED UTIL OR COMM TAX</t>
  </si>
  <si>
    <t xml:space="preserve">     ACCRUED PERS PROP &amp; ICT TAX</t>
  </si>
  <si>
    <t xml:space="preserve">     ACCRUED FED INCOME TAX</t>
  </si>
  <si>
    <t xml:space="preserve">    DEPREC-POWER OPERATED EQUIP</t>
  </si>
  <si>
    <t xml:space="preserve">     ELECTRIC PUMP EQUIP SRC PUMP</t>
  </si>
  <si>
    <t xml:space="preserve">     WIP - CAPITALIZED TIME</t>
  </si>
  <si>
    <t xml:space="preserve">     WIP - INTEREST DURING CONSTR</t>
  </si>
  <si>
    <t xml:space="preserve">     WIP - ENGINEERING</t>
  </si>
  <si>
    <t xml:space="preserve">     WIP - LABOR/INSTALLATION</t>
  </si>
  <si>
    <t xml:space="preserve">     WIP - EQUIPMENT</t>
  </si>
  <si>
    <t xml:space="preserve">     WIP - MATERIAL</t>
  </si>
  <si>
    <t xml:space="preserve">     WIP - PIPING</t>
  </si>
  <si>
    <t xml:space="preserve">     WIP - SITE WORK</t>
  </si>
  <si>
    <t xml:space="preserve">     WIP - PUMPS/EQUIPMENT</t>
  </si>
  <si>
    <t xml:space="preserve">     WIP - TRANSFER TO FIXED ASSETS</t>
  </si>
  <si>
    <t xml:space="preserve">     WIP - CONTRACTOR/LABOR</t>
  </si>
  <si>
    <t xml:space="preserve">   CURRENT TAX-FIT-SOLD CO</t>
  </si>
  <si>
    <t>Row Labels</t>
  </si>
  <si>
    <t>Region</t>
  </si>
  <si>
    <t>Name</t>
  </si>
  <si>
    <t>Sum of Net Posting 12</t>
  </si>
  <si>
    <t>WSC %</t>
  </si>
  <si>
    <t>RVP %</t>
  </si>
  <si>
    <t>Region %</t>
  </si>
  <si>
    <t>State %</t>
  </si>
  <si>
    <t>Atlantic/MidWest</t>
  </si>
  <si>
    <t>Atlantic</t>
  </si>
  <si>
    <t>MD</t>
  </si>
  <si>
    <t>Green Ridge Utilities Inc</t>
  </si>
  <si>
    <t>Maryland Water Serv Inc</t>
  </si>
  <si>
    <t>Provinces Utilities Inc</t>
  </si>
  <si>
    <t>MD Total</t>
  </si>
  <si>
    <t>Bradfield Farms Water Co</t>
  </si>
  <si>
    <t>Carolina Trace Util Inc</t>
  </si>
  <si>
    <t>Carolina Water Service NC</t>
  </si>
  <si>
    <t>CWS Systems</t>
  </si>
  <si>
    <t>Elk River Utilities Inc</t>
  </si>
  <si>
    <t>Hardscrabble</t>
  </si>
  <si>
    <t>North Topsail Util Inc</t>
  </si>
  <si>
    <t>Transylvania Utilities Inc</t>
  </si>
  <si>
    <t>NC Total</t>
  </si>
  <si>
    <t>NJ</t>
  </si>
  <si>
    <t>Montague Water &amp; Sewer Co</t>
  </si>
  <si>
    <t>NJ Total</t>
  </si>
  <si>
    <t>PA</t>
  </si>
  <si>
    <t>Penn Estates Utilities Inc</t>
  </si>
  <si>
    <t>Util Inc of Pennsylvania</t>
  </si>
  <si>
    <t>Utilities Inc of Westgate</t>
  </si>
  <si>
    <t>PA Total</t>
  </si>
  <si>
    <t>Colchester Utilities Inc</t>
  </si>
  <si>
    <t>Massanutten Public Serv</t>
  </si>
  <si>
    <t>VA Total</t>
  </si>
  <si>
    <t>Atlantic Total</t>
  </si>
  <si>
    <t>Midwest</t>
  </si>
  <si>
    <t>IL</t>
  </si>
  <si>
    <t>Apple Canyon Utility Co</t>
  </si>
  <si>
    <t>Camelot Utilities Inc</t>
  </si>
  <si>
    <t>Cedar Bluff Utilities Inc</t>
  </si>
  <si>
    <t>Charmar Water Co</t>
  </si>
  <si>
    <t>Cherry Hill Water Co</t>
  </si>
  <si>
    <t>Clarendon Water Co</t>
  </si>
  <si>
    <t>Del Mar Water Co</t>
  </si>
  <si>
    <t>Ferson Creek Utilities Co</t>
  </si>
  <si>
    <t>Galena Territory Utilities</t>
  </si>
  <si>
    <t>Great Northern Utilities</t>
  </si>
  <si>
    <t>Harbor Ridge Utilities Inc</t>
  </si>
  <si>
    <t>Holiday Hills Util Inc</t>
  </si>
  <si>
    <t>Killarney Water Co</t>
  </si>
  <si>
    <t>Lake Holiday Utilities</t>
  </si>
  <si>
    <t>Lake Marian Water Corp</t>
  </si>
  <si>
    <t>Lake Wildwood Utilities Co</t>
  </si>
  <si>
    <t>Medina Utilities Corp</t>
  </si>
  <si>
    <t>Northern Hills W &amp; S Co</t>
  </si>
  <si>
    <t>Valentine Water Service</t>
  </si>
  <si>
    <t>Walk Up Woods Water Co</t>
  </si>
  <si>
    <t>Westlake Utilities Inc</t>
  </si>
  <si>
    <t>Whispering Hills Water Co</t>
  </si>
  <si>
    <t>Wildwood Water Service Co</t>
  </si>
  <si>
    <t>IL Total</t>
  </si>
  <si>
    <t>IN</t>
  </si>
  <si>
    <t>Indiana Water Service Inc</t>
  </si>
  <si>
    <t>Twin Lakes Utilities Inc</t>
  </si>
  <si>
    <t>WSC Indiana</t>
  </si>
  <si>
    <t>IN Total</t>
  </si>
  <si>
    <t>Water Serv Corp Kentucky</t>
  </si>
  <si>
    <t>KY Total</t>
  </si>
  <si>
    <t>TN</t>
  </si>
  <si>
    <t>Tennessee Water Service</t>
  </si>
  <si>
    <t>TN Total</t>
  </si>
  <si>
    <t>Midwest Total</t>
  </si>
  <si>
    <t>Atlantic/MidWest Total</t>
  </si>
  <si>
    <t>South/Southeast/West</t>
  </si>
  <si>
    <t>South</t>
  </si>
  <si>
    <t>GA</t>
  </si>
  <si>
    <t>Utilities Inc of Georgia</t>
  </si>
  <si>
    <t>Water Service Co Georgia</t>
  </si>
  <si>
    <t>GA Total</t>
  </si>
  <si>
    <t>LA</t>
  </si>
  <si>
    <t>Louisiana Water Serv Inc</t>
  </si>
  <si>
    <t>Utilities Inc of Louisiana</t>
  </si>
  <si>
    <t>LA Total</t>
  </si>
  <si>
    <t>South Total</t>
  </si>
  <si>
    <t>Southeast</t>
  </si>
  <si>
    <t>Alafaya Utilities Inc</t>
  </si>
  <si>
    <t>Bayside Utility Services</t>
  </si>
  <si>
    <t>Cypress Lakes Util Inc</t>
  </si>
  <si>
    <t>Eastlake Water Service Inc</t>
  </si>
  <si>
    <t>Labrador Utilities Inc</t>
  </si>
  <si>
    <t>Lake Placid Utilities Inc</t>
  </si>
  <si>
    <t>Lake Utility Services Inc</t>
  </si>
  <si>
    <t>Mid-County Services Inc</t>
  </si>
  <si>
    <t>Miles Grant Water &amp; Sewer</t>
  </si>
  <si>
    <t>Pebble Creek Utilities Inc</t>
  </si>
  <si>
    <t>Sandy Creek Utility Serv</t>
  </si>
  <si>
    <t>Sanlando Utilities Corp</t>
  </si>
  <si>
    <t>South Gate Utilities Inc</t>
  </si>
  <si>
    <t>Tierra Verde Utilities Inc</t>
  </si>
  <si>
    <t>Util Inc Hutchinson Island</t>
  </si>
  <si>
    <t>Utilities Inc Eagle Ridge</t>
  </si>
  <si>
    <t>Utilities Inc of Florida</t>
  </si>
  <si>
    <t>Utilities Inc of Longwood</t>
  </si>
  <si>
    <t>Utilities Inc Pennbrooke</t>
  </si>
  <si>
    <t>Utilities Inc Sandalhaven</t>
  </si>
  <si>
    <t>Wedgefield Utilities Inc</t>
  </si>
  <si>
    <t>FL Total</t>
  </si>
  <si>
    <t>SC</t>
  </si>
  <si>
    <t>Carolina Water Service Inc</t>
  </si>
  <si>
    <t>Southland Utilities Inc</t>
  </si>
  <si>
    <t>Tega Cay Water Service Inc</t>
  </si>
  <si>
    <t>United Utility Company</t>
  </si>
  <si>
    <t>Util Serv South Carolina</t>
  </si>
  <si>
    <t>SC Total</t>
  </si>
  <si>
    <t>Southeast Total</t>
  </si>
  <si>
    <t>West</t>
  </si>
  <si>
    <t>AZ</t>
  </si>
  <si>
    <t>Bermuda Water Co</t>
  </si>
  <si>
    <t>AZ Total</t>
  </si>
  <si>
    <t>Sky Ranch Water Service</t>
  </si>
  <si>
    <t>Spring Creek Utilities Co</t>
  </si>
  <si>
    <t>Util Inc of Central Nevada</t>
  </si>
  <si>
    <t>Utilities Inc of Nevada</t>
  </si>
  <si>
    <t>NV Total</t>
  </si>
  <si>
    <t>West Total</t>
  </si>
  <si>
    <t>South/Southeast/West Total</t>
  </si>
  <si>
    <t>Unregulated</t>
  </si>
  <si>
    <t>Non-regulated</t>
  </si>
  <si>
    <t>ACME Water Supply &amp; Mgmt</t>
  </si>
  <si>
    <t>Non-regulated Total</t>
  </si>
  <si>
    <t>Unregulated Total</t>
  </si>
  <si>
    <t>WSC Total</t>
  </si>
  <si>
    <t>Grand Total</t>
  </si>
  <si>
    <t>Test Year Ended December 31, 2012</t>
  </si>
  <si>
    <t>Balance 12/31/12</t>
  </si>
  <si>
    <t>Average Full Time Head Count for the 12 months ended 12/31/12</t>
  </si>
  <si>
    <t>Johnston, Joseph A</t>
  </si>
  <si>
    <t>Anderson, Tricia D.</t>
  </si>
  <si>
    <t>Coates, Margaret M</t>
  </si>
  <si>
    <t>Drury, Tara M</t>
  </si>
  <si>
    <t>Dunn, Constance</t>
  </si>
  <si>
    <t>Iwinski, Cammy A.</t>
  </si>
  <si>
    <t>Jones, Linda S.</t>
  </si>
  <si>
    <t>Jones, Lori L.</t>
  </si>
  <si>
    <t>Sasic, Karen L.</t>
  </si>
  <si>
    <t>Self, Rose D.</t>
  </si>
  <si>
    <t>Sillitoe, Jacqueline M.</t>
  </si>
  <si>
    <t>Legere, Karen D</t>
  </si>
  <si>
    <t>Orengo, Linette C</t>
  </si>
  <si>
    <t>Richardson, Dona J</t>
  </si>
  <si>
    <t>Sides, Jennifer</t>
  </si>
  <si>
    <t>Stonebreaker, Amanda E</t>
  </si>
  <si>
    <t>Thimmes, Karyn L</t>
  </si>
  <si>
    <t>Volz, Deborah E.</t>
  </si>
  <si>
    <t>Woolard, Crystal R</t>
  </si>
  <si>
    <t>Andrejko, James</t>
  </si>
  <si>
    <t>Aquilino, Erin P.</t>
  </si>
  <si>
    <t>Arnoux, Diane L.</t>
  </si>
  <si>
    <t>Barrett, Jason O.</t>
  </si>
  <si>
    <t>Ciecierski, Daniel</t>
  </si>
  <si>
    <t>Feathergill, Adam K</t>
  </si>
  <si>
    <t>Georgiev, Lena</t>
  </si>
  <si>
    <t>Guttormsen, Robert A</t>
  </si>
  <si>
    <t>Hoy, John P.</t>
  </si>
  <si>
    <t>Japczyk, James F.</t>
  </si>
  <si>
    <t>Kim, Christine</t>
  </si>
  <si>
    <t>Krugler, Adrienne R.</t>
  </si>
  <si>
    <t>Kulov, Michael B</t>
  </si>
  <si>
    <t>Kwil, Pam</t>
  </si>
  <si>
    <t>Lingeman, Samuel W.</t>
  </si>
  <si>
    <t>Lubertozzi, Steven M.</t>
  </si>
  <si>
    <t>Markwell, Kirsten E.</t>
  </si>
  <si>
    <t>McLean, Pamela J.</t>
  </si>
  <si>
    <t>Nedved, Spencer L.</t>
  </si>
  <si>
    <t>Neyzelman, Dimitry</t>
  </si>
  <si>
    <t>Ostler, Tom G.</t>
  </si>
  <si>
    <t>Pitts, Darrien</t>
  </si>
  <si>
    <t>Plumb, Debra A</t>
  </si>
  <si>
    <t>Povich, Erin P.</t>
  </si>
  <si>
    <t>Rose, Kendra E.</t>
  </si>
  <si>
    <t>Shimkus, Matthew D.</t>
  </si>
  <si>
    <t>Shrake, Brian W.</t>
  </si>
  <si>
    <t>Smutny, Thomas A.</t>
  </si>
  <si>
    <t>Sowell, George W.</t>
  </si>
  <si>
    <t>Sparrow, Lisa A.</t>
  </si>
  <si>
    <t>Stover, John R.</t>
  </si>
  <si>
    <t>Sudduth, Donald E.</t>
  </si>
  <si>
    <t>Sverida, Agnes</t>
  </si>
  <si>
    <t>Valrie, LaWanda N.</t>
  </si>
  <si>
    <t>Weeks, Kirsten E.</t>
  </si>
  <si>
    <t>Williams III, John D.</t>
  </si>
  <si>
    <t>Winans, Nicole D.</t>
  </si>
  <si>
    <t>Yap Jr., Lowell M.</t>
  </si>
  <si>
    <t>Haas, Bruce T.</t>
  </si>
  <si>
    <t>Lupton, Helen C.</t>
  </si>
  <si>
    <t>Rushing, Ronald</t>
  </si>
  <si>
    <t>Pay period</t>
  </si>
  <si>
    <t>YE</t>
  </si>
  <si>
    <t>per stub</t>
  </si>
  <si>
    <t>W2</t>
  </si>
  <si>
    <t>ID</t>
  </si>
  <si>
    <t>Salaries Annualized to include an estimated 3.0% raise effective 4/01/2013</t>
  </si>
  <si>
    <t>Sum of Percentage</t>
  </si>
  <si>
    <t>Column Labels</t>
  </si>
  <si>
    <t>Adams, Diane</t>
  </si>
  <si>
    <t>Johnson, Micah</t>
  </si>
  <si>
    <t>Storm, Bonnie</t>
  </si>
  <si>
    <t>Santos, Israel</t>
  </si>
  <si>
    <t>Using 05/24/13 Paystub Salaries</t>
  </si>
  <si>
    <t>Ceballos, Isabel</t>
  </si>
  <si>
    <t>Christian II, Elise S.</t>
  </si>
  <si>
    <t>Collado, Madeline</t>
  </si>
  <si>
    <t>Daffer, Amber</t>
  </si>
  <si>
    <t>Hinchcliffe, Karon</t>
  </si>
  <si>
    <t>Jenkins, Ingrid E.</t>
  </si>
  <si>
    <t>McVicker, Carolyn</t>
  </si>
  <si>
    <t>Robinson, Vanessa F.</t>
  </si>
  <si>
    <t>Schnaufer, Linda</t>
  </si>
  <si>
    <t>Thompson, Glenda</t>
  </si>
  <si>
    <t>Watler, Sylvia</t>
  </si>
  <si>
    <t xml:space="preserve">[a]  </t>
  </si>
  <si>
    <t xml:space="preserve">[b]  </t>
  </si>
  <si>
    <t>Newspaper Publication</t>
  </si>
  <si>
    <t>Customer Notices:</t>
  </si>
  <si>
    <t>2012 Plant Additions</t>
  </si>
  <si>
    <t>2011 Plant Additions</t>
  </si>
  <si>
    <t>Contributions in Aid of Construction 2010 Additions</t>
  </si>
  <si>
    <t>Contributions in Aid of Construction 2009 Additions</t>
  </si>
  <si>
    <t>Contributions in Aid of Construction 2011 Additions</t>
  </si>
  <si>
    <t>Contributions in Aid of Construction 2012 Additions</t>
  </si>
  <si>
    <t>Lubertozzi, Steve</t>
  </si>
  <si>
    <t>Actual Gallons Consumed (000's)</t>
  </si>
  <si>
    <t xml:space="preserve"># of Bills </t>
  </si>
  <si>
    <t xml:space="preserve">Billable Gallons (000's) </t>
  </si>
  <si>
    <t>Rates per 1,000 gal.</t>
  </si>
  <si>
    <t xml:space="preserve">Revenue Requirement </t>
  </si>
  <si>
    <t>9,300 @ 3.3%</t>
  </si>
  <si>
    <t>Florida 2013 SUTA $8,000 limit at 4.58%</t>
  </si>
  <si>
    <t>North Carolina 2013 SUTA $20,900 at 4.20%</t>
  </si>
  <si>
    <t>Nevada 2013 SUTA $26,900 limit at 3.85%</t>
  </si>
  <si>
    <t>Company</t>
  </si>
  <si>
    <t>Contribution</t>
  </si>
  <si>
    <t>Total Annualized</t>
  </si>
  <si>
    <t>401k</t>
  </si>
  <si>
    <t>12900 @ 8.95%</t>
  </si>
  <si>
    <t>Check Stub</t>
  </si>
  <si>
    <t>WSC of Kentucky</t>
  </si>
  <si>
    <t>Expense Report Summary</t>
  </si>
  <si>
    <t>Cost Centers for the test year 12/31/2012</t>
  </si>
  <si>
    <t>345 WSC - KY</t>
  </si>
  <si>
    <t>800 Midwest Region</t>
  </si>
  <si>
    <t>860 State of KY</t>
  </si>
  <si>
    <t>102 RVP SE/South/West</t>
  </si>
  <si>
    <t>102 RVP Atl/Midwest</t>
  </si>
  <si>
    <t>102 without RVP</t>
  </si>
  <si>
    <t>CALCULATION OF STATE COMPUTERS, DEPRECIATION</t>
  </si>
  <si>
    <t>EXPENSE AND ACCUMULATED DEPRECIATION</t>
  </si>
  <si>
    <t>Line No.</t>
  </si>
  <si>
    <t>Plant in Service</t>
  </si>
  <si>
    <t>Year in Service</t>
  </si>
  <si>
    <t>Depreciation or Amortization Expense</t>
  </si>
  <si>
    <t>A/D or A/A</t>
  </si>
  <si>
    <t>(a)</t>
  </si>
  <si>
    <t>(b)</t>
  </si>
  <si>
    <t>(c)</t>
  </si>
  <si>
    <t>Mainframe computers</t>
  </si>
  <si>
    <t>Totals - mainframe</t>
  </si>
  <si>
    <t>Mainframe computers - water operations</t>
  </si>
  <si>
    <t>Mainframe computers - sewer operations</t>
  </si>
  <si>
    <t>Mini-computers</t>
  </si>
  <si>
    <t>Totals - mini-computers</t>
  </si>
  <si>
    <t>State Mini-computers Allocation</t>
  </si>
  <si>
    <t>Mini-computers - water operations</t>
  </si>
  <si>
    <t>Mini-computers - sewer operations</t>
  </si>
  <si>
    <t>Software Amortization</t>
  </si>
  <si>
    <t>Totals - Software</t>
  </si>
  <si>
    <t>State Software allocation</t>
  </si>
  <si>
    <t>Fully-depreciated computers</t>
  </si>
  <si>
    <t>Total - fully-depreciated computers</t>
  </si>
  <si>
    <t>Mainframe</t>
  </si>
  <si>
    <t>CALCULATION OF WSC COMPUTERS, DEPRECIATION</t>
  </si>
  <si>
    <t>Mini-computer</t>
  </si>
  <si>
    <t>Comp Sys</t>
  </si>
  <si>
    <t>Software</t>
  </si>
  <si>
    <t>pre 2001 Balance</t>
  </si>
  <si>
    <t>pre 2001 balance</t>
  </si>
  <si>
    <t>WSC Mini-computers Allocation</t>
  </si>
  <si>
    <t>Computer systems cost</t>
  </si>
  <si>
    <t>Totals - Computer system</t>
  </si>
  <si>
    <t>WSC Computer system Allocation</t>
  </si>
  <si>
    <t>Computer system - water operations</t>
  </si>
  <si>
    <t>Computer system - sewer operations</t>
  </si>
  <si>
    <t xml:space="preserve"> pre 2001 Balance</t>
  </si>
  <si>
    <t>WSC Software allocation</t>
  </si>
  <si>
    <t>Software - water operations</t>
  </si>
  <si>
    <t>Software - sewer operations</t>
  </si>
  <si>
    <t>Per WSC GL</t>
  </si>
  <si>
    <t>Allocation of Vehicles and Related Depreciation Exp</t>
  </si>
  <si>
    <t>Line</t>
  </si>
  <si>
    <t>Driver</t>
  </si>
  <si>
    <t>Year Purchased</t>
  </si>
  <si>
    <t>Depr %</t>
  </si>
  <si>
    <t>A/D</t>
  </si>
  <si>
    <t>Yearly Depr Exp</t>
  </si>
  <si>
    <t>Calculation of  Depr Expense and A/D</t>
  </si>
  <si>
    <t>[7]</t>
  </si>
  <si>
    <t>Plant in Service Allocation</t>
  </si>
  <si>
    <t>[8]</t>
  </si>
  <si>
    <t>AD Allocation</t>
  </si>
  <si>
    <t>[9]</t>
  </si>
  <si>
    <t xml:space="preserve"> Rate Base Allocation Adjustment</t>
  </si>
  <si>
    <t>Vehicles-sewer operations</t>
  </si>
  <si>
    <t>[11]</t>
  </si>
  <si>
    <t>Vehicles-water operations</t>
  </si>
  <si>
    <t>[12]</t>
  </si>
  <si>
    <t>Calculation of Depriciatin Expense allocation</t>
  </si>
  <si>
    <t>Transportation Depr Exp Allocation</t>
  </si>
  <si>
    <t>[10]</t>
  </si>
  <si>
    <t>Depreciation Exp Allocation Adjustment</t>
  </si>
  <si>
    <t>per SE 1 Auto Depreciation</t>
  </si>
  <si>
    <t>Using mid-year convention</t>
  </si>
  <si>
    <t>Four year straight-line rate</t>
  </si>
  <si>
    <t>Column [a] multiplied by column [c] and column [d]</t>
  </si>
  <si>
    <t>Column [a] multiplied by column [d]</t>
  </si>
  <si>
    <t>Per salary wp-b</t>
  </si>
  <si>
    <t>Column [a] multiplied by column [b]</t>
  </si>
  <si>
    <t>Allocation of Trasportation Expense</t>
  </si>
  <si>
    <t>FLEET TRANSPORTATION EXPENS</t>
  </si>
  <si>
    <t>FUEL</t>
  </si>
  <si>
    <t>AUTO REPAIR/TIRES</t>
  </si>
  <si>
    <t>AUTO LICENSES</t>
  </si>
  <si>
    <t>OTHER TRANS EXPENSES</t>
  </si>
  <si>
    <t>Allocation Adjustment</t>
  </si>
  <si>
    <t>Transportation exp-water operations</t>
  </si>
  <si>
    <t>Transportation exp-sewer operations</t>
  </si>
  <si>
    <t>Column(a) divided Column(b)</t>
  </si>
  <si>
    <t>Prior to 2003</t>
  </si>
  <si>
    <t>Percentage allocated to WSC of Kentucky</t>
  </si>
  <si>
    <t>w/p [p-4]</t>
  </si>
  <si>
    <t>Months</t>
  </si>
  <si>
    <t>Years</t>
  </si>
  <si>
    <t>Column(a) times depreciation rates listed below, unless fully depreciated</t>
  </si>
  <si>
    <t>w/p [p-3]</t>
  </si>
  <si>
    <t>Totals - WSC of Kentucky computers</t>
  </si>
  <si>
    <t>Computer Depreciation</t>
  </si>
  <si>
    <t>Total computers - water operations (L17 + L35 + L53 + L71)</t>
  </si>
  <si>
    <t>Total computers - sewer operations (L18 + L36 + L54 + L72)</t>
  </si>
  <si>
    <t>Total computers - water operations (L15 + L31)</t>
  </si>
  <si>
    <t>Total computers - sewer operations (L16 + L32)</t>
  </si>
  <si>
    <t>Water allocation based on customer ratio of 100.0%</t>
  </si>
  <si>
    <t>Sewer allocation based on customer ratio of .0%</t>
  </si>
  <si>
    <t>Guttormsen, Rob</t>
  </si>
  <si>
    <t>N/A</t>
  </si>
  <si>
    <t>TYE 12/31/2012 Years in Service</t>
  </si>
  <si>
    <t>w/p [p-2]</t>
  </si>
  <si>
    <t>w/p [p-2a]</t>
  </si>
  <si>
    <t>% Used in WSC of Kentucky</t>
  </si>
  <si>
    <t>Vehicles in Kentucky</t>
  </si>
  <si>
    <t>% Allocated to WSC of Kentucky</t>
  </si>
  <si>
    <t>Per Company inventory 08/01/13</t>
  </si>
  <si>
    <t>Vehicle Depreciation</t>
  </si>
  <si>
    <t>w/p [appendix]</t>
  </si>
  <si>
    <t>Sch.C - Reconciliation of Pro Forma Adjustments</t>
  </si>
  <si>
    <t>Line Item</t>
  </si>
  <si>
    <t>W/P</t>
  </si>
  <si>
    <t>Combined</t>
  </si>
  <si>
    <t>[p3]</t>
  </si>
  <si>
    <t>[p4]</t>
  </si>
  <si>
    <t>[p2]</t>
  </si>
  <si>
    <t>Total A/D</t>
  </si>
  <si>
    <t>State Computers</t>
  </si>
  <si>
    <t>WSC Computers</t>
  </si>
  <si>
    <t>Per TB Balance</t>
  </si>
  <si>
    <t>Net</t>
  </si>
  <si>
    <t>[a][b]</t>
  </si>
  <si>
    <t>w/p [p-5]</t>
  </si>
  <si>
    <t>Explanation of Adjustments to Rate Base</t>
  </si>
  <si>
    <t>Contributions in Aid of Construction 9/30/2010 Additions</t>
  </si>
  <si>
    <t>Reconciliation Summary</t>
  </si>
  <si>
    <t>Acct #</t>
  </si>
  <si>
    <t>A/D or A/A Acct #</t>
  </si>
  <si>
    <t>Account Description</t>
  </si>
  <si>
    <t>Restatement Plant Accounts</t>
  </si>
  <si>
    <t>Restatement vs TB UC Difference</t>
  </si>
  <si>
    <t>Per Restatement</t>
  </si>
  <si>
    <t>Per TB UC = AA + UA + UR</t>
  </si>
  <si>
    <t>Per TB AA</t>
  </si>
  <si>
    <t>Per TB UR</t>
  </si>
  <si>
    <t>Per TB UA</t>
  </si>
  <si>
    <t>Total Plant Check</t>
  </si>
  <si>
    <t>Total Transportation</t>
  </si>
  <si>
    <t>Total Transportation Check</t>
  </si>
  <si>
    <t>Total Computer</t>
  </si>
  <si>
    <t>Total Computer Check</t>
  </si>
  <si>
    <t>Totals for Check</t>
  </si>
  <si>
    <t>Restatement</t>
  </si>
  <si>
    <t>Total Granted</t>
  </si>
  <si>
    <t>Amort period</t>
  </si>
  <si>
    <t>Annual exp</t>
  </si>
  <si>
    <t>Monthly amort</t>
  </si>
  <si>
    <t>Amortization start</t>
  </si>
  <si>
    <t>Amortization end</t>
  </si>
  <si>
    <t>Accumulated Amort months</t>
  </si>
  <si>
    <t>Amortized</t>
  </si>
  <si>
    <t>Unamortized</t>
  </si>
  <si>
    <t>w/p [d]</t>
  </si>
  <si>
    <t>w/p [p-5a]</t>
  </si>
  <si>
    <t>[p5]</t>
  </si>
  <si>
    <t>Filed</t>
  </si>
  <si>
    <t>Effective</t>
  </si>
  <si>
    <t>Remaining</t>
  </si>
  <si>
    <t>w/p [r]</t>
  </si>
  <si>
    <t>Plant Restatement from Case No. 2010 - 00476</t>
  </si>
  <si>
    <t>Test Year Ended September 30, 2010</t>
  </si>
  <si>
    <t>w/p [b-4]</t>
  </si>
  <si>
    <t>RECONCILIATION OF RATE BASE AND CAPITAL</t>
  </si>
  <si>
    <t>Total Capitalization:</t>
  </si>
  <si>
    <t>Sch A- BS Total Assets</t>
  </si>
  <si>
    <t>Reconciling Items:</t>
  </si>
  <si>
    <t>Restate (Audit) Organization Costs (H73)</t>
  </si>
  <si>
    <t>Restatement of accumulated depreciation</t>
  </si>
  <si>
    <t>-Total Plt in Service (Sch A) + Sch 'C': Accum Depr-Per Restatement</t>
  </si>
  <si>
    <t>Actual and estimated cash working capital</t>
  </si>
  <si>
    <t>Sch C- As Adjusted: Cash Working Capital</t>
  </si>
  <si>
    <t>Contributions in aid of construction (restated)</t>
  </si>
  <si>
    <t>Sch C- As Adjusted: CIAC</t>
  </si>
  <si>
    <t>Advances in aid of construction (restated)</t>
  </si>
  <si>
    <t>Sch C- As Adjusted: Advances in Aid of Construction</t>
  </si>
  <si>
    <t>Accumulated deferred income taxes</t>
  </si>
  <si>
    <t>Sch C- As Adjusted: Accum Deferred Inc Taxes</t>
  </si>
  <si>
    <t>Customer deposits</t>
  </si>
  <si>
    <t>Sch C- As Adjusted: Customer Deposits</t>
  </si>
  <si>
    <t>Plant acquisition adjustment</t>
  </si>
  <si>
    <t>Sch A- BS: PAA</t>
  </si>
  <si>
    <t>Sch A- BS: CWIP</t>
  </si>
  <si>
    <t>Sch A- BS: Cash</t>
  </si>
  <si>
    <t>Accounts receivable - net</t>
  </si>
  <si>
    <t>Sch A- BS: AR</t>
  </si>
  <si>
    <t>Other current assets</t>
  </si>
  <si>
    <t>Sch A- BS: Other Assets</t>
  </si>
  <si>
    <t>Deferred charges</t>
  </si>
  <si>
    <t>Sch A- BS: Deferred Charges</t>
  </si>
  <si>
    <t>Net Rate Base Used to Determine Interest Expense:</t>
  </si>
  <si>
    <t>Reduction of Gross Plant in Service</t>
  </si>
  <si>
    <t>Average Gallons</t>
  </si>
  <si>
    <t>Docket</t>
  </si>
  <si>
    <t>ORGANIZATION</t>
  </si>
  <si>
    <t>LAND &amp; LAND RIGHTS GEN PLT</t>
  </si>
  <si>
    <t>STRUCT &amp; IMPRV SRC SUPPLY</t>
  </si>
  <si>
    <t>STRUCT &amp; IMPRV WTR TRT PLT</t>
  </si>
  <si>
    <t>STRUCT &amp; IMPRV TRANS DIST PLT</t>
  </si>
  <si>
    <t>STRUCT &amp; IMPRV GEN PLT</t>
  </si>
  <si>
    <t>WELLS &amp; SPRINGS</t>
  </si>
  <si>
    <t>SUPPLY MAINS</t>
  </si>
  <si>
    <t>ELECTRIC PUMP EQUIP SRC PUMP</t>
  </si>
  <si>
    <t>ELECTRIC PUMP EQUIP WTP</t>
  </si>
  <si>
    <t>ELECTRIC PUMP EQUIP TRANS DIST</t>
  </si>
  <si>
    <t>WATER TREATMENT EQPT</t>
  </si>
  <si>
    <t>DIST RESV &amp; STANDPIPES</t>
  </si>
  <si>
    <t>TRANS &amp; DISTR MAINS</t>
  </si>
  <si>
    <t>SERVICE LINES</t>
  </si>
  <si>
    <t>METERS</t>
  </si>
  <si>
    <t>METER INSTALLATIONS</t>
  </si>
  <si>
    <t>HYDRANTS</t>
  </si>
  <si>
    <t>OFFICE STRUCT &amp; IMPRV</t>
  </si>
  <si>
    <t>OFFICE FURN &amp; EQPT</t>
  </si>
  <si>
    <t>TOOL SHOP &amp; MISC EQPT</t>
  </si>
  <si>
    <t>LABORATORY EQUIPMENT</t>
  </si>
  <si>
    <t>POWER OPERATED EQUIP</t>
  </si>
  <si>
    <t>COMMUNICATION EQPT</t>
  </si>
  <si>
    <t>WATER PLANT ALLOCATED</t>
  </si>
  <si>
    <t>TRANSPORTATION EQPT WTR</t>
  </si>
  <si>
    <t>MAINFRAME COMPUTER WTR</t>
  </si>
  <si>
    <t>MINI COMPUTERS WTR</t>
  </si>
  <si>
    <t>COMP SYS COST WTR</t>
  </si>
  <si>
    <t>MICRO SYS COST WTR</t>
  </si>
  <si>
    <t>CAPITALIZED TIME</t>
  </si>
  <si>
    <t>INTEREST DURING CONSTRUCTION</t>
  </si>
  <si>
    <t>ENGINEERING</t>
  </si>
  <si>
    <t>LABOR/INSTALLATION</t>
  </si>
  <si>
    <t>EQUIPMENT</t>
  </si>
  <si>
    <t>MATERIAL</t>
  </si>
  <si>
    <t>PIPING</t>
  </si>
  <si>
    <t>SITE WORK</t>
  </si>
  <si>
    <t>PUMPS/EQUIPMENT</t>
  </si>
  <si>
    <t>TRANSFER TO FIXED ASSETS</t>
  </si>
  <si>
    <t>CONTRACTOR/LABOR</t>
  </si>
  <si>
    <t>TRANSFER TO FIXED ASSE</t>
  </si>
  <si>
    <t>ACC DEPR-ORGANIZATION</t>
  </si>
  <si>
    <t>ACC DEPR-STRUCT&amp;IMPRV SRC SPLY</t>
  </si>
  <si>
    <t>ACC DEPR-STRUCT&amp;IMPRV WTP</t>
  </si>
  <si>
    <t>ACC DEPR-STRUCT&amp;IMPRV TRNS DST</t>
  </si>
  <si>
    <t>ACC DEPR-STRUCT&amp;IMPRV GEN PLT</t>
  </si>
  <si>
    <t>ACC DEPR-WELLS &amp; SPRINGS</t>
  </si>
  <si>
    <t>ACC DEPR-SUPPLY MAINS</t>
  </si>
  <si>
    <t>ACC DEPR-ELECT PUMP EQUIP SRC</t>
  </si>
  <si>
    <t>ACC DEPR-ELECT PUMP EQUIP WTP</t>
  </si>
  <si>
    <t>ACC DEPR-ELECT PUMP EQUIP TRAN</t>
  </si>
  <si>
    <t>ACC DEPR-WATER TREATMENT EQPT</t>
  </si>
  <si>
    <t>ACC DEPR-DIST RESV &amp; STANDPIPE</t>
  </si>
  <si>
    <t>ACC DEPR-TRANS &amp; DISTR MAINS</t>
  </si>
  <si>
    <t>ACC DEPR-SERVICE LINES</t>
  </si>
  <si>
    <t>ACC DEPR-METERS</t>
  </si>
  <si>
    <t>ACC DEPR-METER INSTALLS</t>
  </si>
  <si>
    <t>ACC DEPR-HYDRANTS</t>
  </si>
  <si>
    <t>ACC DEPR-OFFICE STRUCTURE</t>
  </si>
  <si>
    <t>ACC DEPR-OFFICE FURN/EQPT</t>
  </si>
  <si>
    <t>ACC DEPR-TOOL SHOP &amp; MISC EQPT</t>
  </si>
  <si>
    <t>ACC DEPR-LABORATORY EQUIPMENT</t>
  </si>
  <si>
    <t>ACC DEPR-POWER OPERATED EQUIP</t>
  </si>
  <si>
    <t>ACC DEPR-COMMUNICATION EQPT</t>
  </si>
  <si>
    <t>ACC DEPR-OTHER TANG PLT WATER</t>
  </si>
  <si>
    <t>ACC DEPR-TRANSPORTATION WTR</t>
  </si>
  <si>
    <t>ACC DEPR-MAINFRAME COMP WTR</t>
  </si>
  <si>
    <t>ACC DEPR-MINI COMP WTR</t>
  </si>
  <si>
    <t>COMP SYS AMORTIZATION WTR</t>
  </si>
  <si>
    <t>MICRO SYS AMORTIZATION WTR</t>
  </si>
  <si>
    <t>UTILITY PAA WTR PLANT AMORT</t>
  </si>
  <si>
    <t>ACC AMORT UTIL PAA-WATER</t>
  </si>
  <si>
    <t>A/R-CUSTOMER TRADE CC&amp;B</t>
  </si>
  <si>
    <t>A/R-CUSTOMER ACCRUAL</t>
  </si>
  <si>
    <t>A/R-CUSTOMER REFUNDS</t>
  </si>
  <si>
    <t>ACCUM PROV UNCOLLECT ACCTS</t>
  </si>
  <si>
    <t>A/R-OTHER</t>
  </si>
  <si>
    <t>A/R ASSOC COS</t>
  </si>
  <si>
    <t>INVENTORY</t>
  </si>
  <si>
    <t>SPECIAL DEPOSITS</t>
  </si>
  <si>
    <t>ATTORNEY FEES</t>
  </si>
  <si>
    <t>ADMINISTRATIVE</t>
  </si>
  <si>
    <t>TRAVEL</t>
  </si>
  <si>
    <t>CONSULTING FEES</t>
  </si>
  <si>
    <t>TRANSFER TO DEF RC</t>
  </si>
  <si>
    <t>RATE CASE BEING AMORT</t>
  </si>
  <si>
    <t>RATE CASE ACCUM AMORT</t>
  </si>
  <si>
    <t>DEF CHGS-TANK MAINT&amp;REP WTR</t>
  </si>
  <si>
    <t>DEF CHGS-MULTI YR TESTING</t>
  </si>
  <si>
    <t>AMORT - TANK MAINT&amp;REP WTR</t>
  </si>
  <si>
    <t>AMORT - MULTI YR TESTING</t>
  </si>
  <si>
    <t>ADV-IN-AID OF CONST-WATER</t>
  </si>
  <si>
    <t>ACC AMORT-AIA-WATER</t>
  </si>
  <si>
    <t>CIAC-METERS</t>
  </si>
  <si>
    <t>CIAC-OTHER TANGIBLE PLT WATER</t>
  </si>
  <si>
    <t>CIAC-WATER-TAP</t>
  </si>
  <si>
    <t>ACC AMORT METERS</t>
  </si>
  <si>
    <t>ACC AMORT OTHER TANG PLT WATER</t>
  </si>
  <si>
    <t>ACC AMORT WATER-CIAC TAP</t>
  </si>
  <si>
    <t>DEF FED TAX - TAP FEE POST 200</t>
  </si>
  <si>
    <t>DEF FED TAX - RATE CASE</t>
  </si>
  <si>
    <t>DEF FED TAX - DEF MAINT</t>
  </si>
  <si>
    <t>DEF FED TAX - ORGN EXP</t>
  </si>
  <si>
    <t>DEF FED TAX - BAD DEBT</t>
  </si>
  <si>
    <t>DEF FED TAX - DEPRECIATION</t>
  </si>
  <si>
    <t>DEF FED TAX - NOL</t>
  </si>
  <si>
    <t>ACCUM DEF INCOME TAX - ST</t>
  </si>
  <si>
    <t>DEF ST TAX - TAP FEE POST 2000</t>
  </si>
  <si>
    <t>DEF ST TAX - RATE CASE</t>
  </si>
  <si>
    <t>DEF ST TAX - DEF MAINT</t>
  </si>
  <si>
    <t>DEF ST TAX - ORGN EXP</t>
  </si>
  <si>
    <t>DEF ST TAX - BAD DEBT</t>
  </si>
  <si>
    <t>DEF ST TAX - DEPRECIATION</t>
  </si>
  <si>
    <t>DEF ST TAX - NOL</t>
  </si>
  <si>
    <t>A/P TRADE</t>
  </si>
  <si>
    <t>A/P TRADE - ACCRUAL</t>
  </si>
  <si>
    <t>A/P TRADE - RECD NOT VOUCHERED</t>
  </si>
  <si>
    <t>A/P-ASSOC COMPANIES</t>
  </si>
  <si>
    <t>A/P MISCELLANEOUS</t>
  </si>
  <si>
    <t>ACCRUED TAXES GENERAL</t>
  </si>
  <si>
    <t>ACCRUED UTIL OR COMM TAX</t>
  </si>
  <si>
    <t>ACCRUED REAL EST TAX</t>
  </si>
  <si>
    <t>ACCRUED PERS PROP &amp; ICT TAX</t>
  </si>
  <si>
    <t>ACCRUED SALES TAX</t>
  </si>
  <si>
    <t>ACCRUED USE TAX</t>
  </si>
  <si>
    <t>ACCRUED COUNTY TAX A</t>
  </si>
  <si>
    <t>ACCRUED COUNTY TAX B</t>
  </si>
  <si>
    <t>ACCRUED CITY TAX A</t>
  </si>
  <si>
    <t>ACCRUED CITY TAX B</t>
  </si>
  <si>
    <t>ACCRUED FED INCOME TAX</t>
  </si>
  <si>
    <t>ACCRUED ST INCOME TAX</t>
  </si>
  <si>
    <t>ACCRUED CUST DEP INTEREST</t>
  </si>
  <si>
    <t>COMMON STOCK</t>
  </si>
  <si>
    <t>PAID IN CAPITAL</t>
  </si>
  <si>
    <t>MISC PAID IN CAPITAL</t>
  </si>
  <si>
    <t>RETAINED EARN-PRIOR YEARS</t>
  </si>
  <si>
    <t>RETAINED EARN-CURRENT YEARS</t>
  </si>
  <si>
    <t>WATER REVENUE-RESIDENTI</t>
  </si>
  <si>
    <t>WATER REVENUE-ACCRUALS</t>
  </si>
  <si>
    <t>WATER REVENUE-COMMERCIA</t>
  </si>
  <si>
    <t>WATER REVENUE-INDUSTRIA</t>
  </si>
  <si>
    <t>WATER REVENUE-PUBLIC AU</t>
  </si>
  <si>
    <t>WATER REVENUE-MULT FAM</t>
  </si>
  <si>
    <t>WATER REVENUE-GUARANTEE</t>
  </si>
  <si>
    <t>PUBLIC FIRE PROTECTION</t>
  </si>
  <si>
    <t>SEWER REVENUE-RESIDENTI</t>
  </si>
  <si>
    <t>SEWER REVENUE-ACCRUALS</t>
  </si>
  <si>
    <t>SEWER REVENUE-COMMERCIA</t>
  </si>
  <si>
    <t>GUARANTEED REVENUES</t>
  </si>
  <si>
    <t>MISC SERVICE REVENUE</t>
  </si>
  <si>
    <t>OTHER W/S REVENUES</t>
  </si>
  <si>
    <t>3RD PARTY BILLING REVEN</t>
  </si>
  <si>
    <t>REV FROM MGMT SERVICES</t>
  </si>
  <si>
    <t>PURCHASED WATER-WATER S</t>
  </si>
  <si>
    <t>ELEC PWR - WATER SYSTEM</t>
  </si>
  <si>
    <t>ELEC PWR - SWR SYSTEM</t>
  </si>
  <si>
    <t>CHLORINE</t>
  </si>
  <si>
    <t>OTHER TREATMENT CHEMICA</t>
  </si>
  <si>
    <t>AGENCY EXPENSE</t>
  </si>
  <si>
    <t>UNCOLLECTIBLE ACCOUNTS</t>
  </si>
  <si>
    <t>UNCOLL ACCOUNTS ACCRUAL</t>
  </si>
  <si>
    <t>BILL STOCK</t>
  </si>
  <si>
    <t>BILLING ENVELOPES</t>
  </si>
  <si>
    <t>BILLING POSTAGE</t>
  </si>
  <si>
    <t>CUSTOMER SERVICE PRINTI</t>
  </si>
  <si>
    <t>401K PROFIT SHARING</t>
  </si>
  <si>
    <t>HEALTH ADMIN AND STOP LOSS</t>
  </si>
  <si>
    <t>DENTAL</t>
  </si>
  <si>
    <t>EMPLOYEE INS DEDUCTIONS</t>
  </si>
  <si>
    <t>HEALTH COSTS &amp; OTHER</t>
  </si>
  <si>
    <t>HEALTH INS CLAIMS</t>
  </si>
  <si>
    <t>OTHER EMP BENEFITS</t>
  </si>
  <si>
    <t>PENSION / 401K MATCH</t>
  </si>
  <si>
    <t>TERM LIFE INS</t>
  </si>
  <si>
    <t>TERM LIFE INS-OPT</t>
  </si>
  <si>
    <t>DEPEND LIFE INS-OPT</t>
  </si>
  <si>
    <t>TUITION</t>
  </si>
  <si>
    <t>INSURANCE-GEN LIAB</t>
  </si>
  <si>
    <t>INSURANCE-OTHER</t>
  </si>
  <si>
    <t>COMPUTER MAINTENANCE</t>
  </si>
  <si>
    <t>COMPUTER SUPPLIES</t>
  </si>
  <si>
    <t>COMPUTER AMORT &amp; PROG C</t>
  </si>
  <si>
    <t>INTERNET SUPPLIER</t>
  </si>
  <si>
    <t>ADVERTISING/MARKETING</t>
  </si>
  <si>
    <t>BANK SERVICE CHARGE</t>
  </si>
  <si>
    <t>CONTRIBUTIONS</t>
  </si>
  <si>
    <t>LICENSE FEES</t>
  </si>
  <si>
    <t>MEMBERSHIPS</t>
  </si>
  <si>
    <t>PENALTIES/FINES</t>
  </si>
  <si>
    <t>TRAINING EXPENSE</t>
  </si>
  <si>
    <t>OTHER MISC EXPENSE</t>
  </si>
  <si>
    <t>ANSWERING SERVICE</t>
  </si>
  <si>
    <t>CLEANING SUPPLIES</t>
  </si>
  <si>
    <t>COPY MACHINE</t>
  </si>
  <si>
    <t>HOLIDAY EVENTS/PICNICS</t>
  </si>
  <si>
    <t>KITCHEN SUPPLIES</t>
  </si>
  <si>
    <t>OFFICE SUPPLY STORES</t>
  </si>
  <si>
    <t>PRINTING/BLUEPRINTS</t>
  </si>
  <si>
    <t>PUBL SUBSCRIPTIONS/TAPE</t>
  </si>
  <si>
    <t>SHIPPING CHARGES</t>
  </si>
  <si>
    <t>OTHER OFFICE EXPENSES</t>
  </si>
  <si>
    <t>OFFICE ELECTRIC</t>
  </si>
  <si>
    <t>OFFICE GAS</t>
  </si>
  <si>
    <t>OFFICE WATER</t>
  </si>
  <si>
    <t>OFFICE TELECOM</t>
  </si>
  <si>
    <t>OFFICE GARBAGE REMOVAL</t>
  </si>
  <si>
    <t>OFFICE LANDSCAPE / MOW</t>
  </si>
  <si>
    <t>OFFICE ALARM SYS PHONE</t>
  </si>
  <si>
    <t>OFFICE MAINTENANCE</t>
  </si>
  <si>
    <t>OFFICE CLEANING SERVICE</t>
  </si>
  <si>
    <t>OFFICE MACHINE/HEAT&amp;COO</t>
  </si>
  <si>
    <t>OTHER OFFICE UTILITIES</t>
  </si>
  <si>
    <t>AUDIT FEES</t>
  </si>
  <si>
    <t>EMPLOY FINDER FEES</t>
  </si>
  <si>
    <t>LEGAL FEES</t>
  </si>
  <si>
    <t>PAYROLL SERVICES</t>
  </si>
  <si>
    <t>TAX RETURN REVIEW</t>
  </si>
  <si>
    <t>TEMP EMPLOY - CLERICAL</t>
  </si>
  <si>
    <t>OTHER OUTSIDE SERVICES</t>
  </si>
  <si>
    <t>RATE CASE AMORT EXPENSE</t>
  </si>
  <si>
    <t>MISC REG MATTERS COMM E</t>
  </si>
  <si>
    <t>MISC RATE CASE EXPENSES</t>
  </si>
  <si>
    <t>RENT</t>
  </si>
  <si>
    <t>SALARIES-ACCTG/FINANCE</t>
  </si>
  <si>
    <t>SALARIES-ADMIN</t>
  </si>
  <si>
    <t>SALARIES-OFFICERS/STKHL</t>
  </si>
  <si>
    <t>SALARIES-HR</t>
  </si>
  <si>
    <t>SALARIES-MIS</t>
  </si>
  <si>
    <t>SALARIES-LEADERSHIP OPS</t>
  </si>
  <si>
    <t>SALARIES-REGULATORY</t>
  </si>
  <si>
    <t>SALARIES-CUSTOMER SERVI</t>
  </si>
  <si>
    <t>SALARIES-BILLING</t>
  </si>
  <si>
    <t>SALARIES-OPERATIONS FIE</t>
  </si>
  <si>
    <t>SALARIES-OPERATIONS OFF</t>
  </si>
  <si>
    <t>SALARIES-CHGD TO PLT-WS</t>
  </si>
  <si>
    <t>CAPITALIZED TIME ADJUST</t>
  </si>
  <si>
    <t>TRAVEL LODGING</t>
  </si>
  <si>
    <t>TRAVEL AIRFARE</t>
  </si>
  <si>
    <t>TRAVEL TRANSPORTATION</t>
  </si>
  <si>
    <t>TRAVEL MEALS</t>
  </si>
  <si>
    <t>TRAVEL ENTERTAINMENT</t>
  </si>
  <si>
    <t>TRAVEL OTHER</t>
  </si>
  <si>
    <t>TEST-WATER</t>
  </si>
  <si>
    <t>TEST-EQUIP/CHEMICAL</t>
  </si>
  <si>
    <t>TEST-SAFE DRINKING WATER</t>
  </si>
  <si>
    <t>TEST-SEWER</t>
  </si>
  <si>
    <t>WATER-MAINT SUPPLIES</t>
  </si>
  <si>
    <t>WATER-MAINT REPAIRS</t>
  </si>
  <si>
    <t>WATER-MAIN BREAKS</t>
  </si>
  <si>
    <t>WATER-ELEC EQUIPT REPAI</t>
  </si>
  <si>
    <t>WATER-OTHER MAINT EXP</t>
  </si>
  <si>
    <t>SEWER-MAINT SUPPLIES</t>
  </si>
  <si>
    <t>SEWER-MAINT REPAIRS</t>
  </si>
  <si>
    <t>SEWER-ELEC EQUIPT REPAI</t>
  </si>
  <si>
    <t>SEWER-OTHER MAINT EXP</t>
  </si>
  <si>
    <t>DEFERRED MAINT EXPENSE</t>
  </si>
  <si>
    <t>COMMUNICATION EXPENSE</t>
  </si>
  <si>
    <t>OPER CONTRACTED WORKERS</t>
  </si>
  <si>
    <t>UNIFORMS</t>
  </si>
  <si>
    <t>WEATHER/HURRICANE/FUEL</t>
  </si>
  <si>
    <t>SEWER RODDING</t>
  </si>
  <si>
    <t>DEPREC-ORGANIZATION</t>
  </si>
  <si>
    <t>DEPREC-STRUCT &amp; IMPRV S</t>
  </si>
  <si>
    <t>DEPREC-STRUCT &amp; IMPRV W</t>
  </si>
  <si>
    <t>DEPREC-STRUCT &amp; IMPRV D</t>
  </si>
  <si>
    <t>DEPREC-STRUCT &amp; IMPRV G</t>
  </si>
  <si>
    <t>DEPREC-WELLS &amp; SPRINGS</t>
  </si>
  <si>
    <t>DEPREC-SUPPLY MAINS</t>
  </si>
  <si>
    <t>DEPREC-ELEC PUMP EQP SR</t>
  </si>
  <si>
    <t>DEPREC-ELEC PUMP EQP WT</t>
  </si>
  <si>
    <t>DEPREC-ELEC PUMP EQP TR</t>
  </si>
  <si>
    <t>DEPREC-WATER TREATMENT</t>
  </si>
  <si>
    <t>DEPREC-DIST RESV &amp; STAN</t>
  </si>
  <si>
    <t>DEPREC-TRANS &amp; DISTR MA</t>
  </si>
  <si>
    <t>DEPREC-SERVICE LINES</t>
  </si>
  <si>
    <t>DEPREC-METERS</t>
  </si>
  <si>
    <t>DEPREC-METER INSTALLS</t>
  </si>
  <si>
    <t>DEPREC-HYDRANTS</t>
  </si>
  <si>
    <t>DEPREC-OFFICE STRUCTURE</t>
  </si>
  <si>
    <t>DEPREC-OFFICE FURN/EQPT</t>
  </si>
  <si>
    <t>DEPREC-TOOL SHOP &amp; MISC</t>
  </si>
  <si>
    <t>DEPREC-LABORATORY EQUIP</t>
  </si>
  <si>
    <t>DEPREC-POWER OPERATED E</t>
  </si>
  <si>
    <t>DEPREC-COMMUNICATION EQ</t>
  </si>
  <si>
    <t>DEPREC-OTHER TANG PLT W</t>
  </si>
  <si>
    <t>DEPREC-STRUCT/IMPRV RCL</t>
  </si>
  <si>
    <t>DEPREC-AUTO TRANS</t>
  </si>
  <si>
    <t>DEPREC-COMPUTER</t>
  </si>
  <si>
    <t>AMORT OF UTIL PAA-WATER</t>
  </si>
  <si>
    <t>AMORT-METERS</t>
  </si>
  <si>
    <t>AMORT-OTHER TANGIBLE PL</t>
  </si>
  <si>
    <t>AMORT-WATER-TAP</t>
  </si>
  <si>
    <t>FICA EXPENSE</t>
  </si>
  <si>
    <t>FEDERAL UNEMPLOYMENT TA</t>
  </si>
  <si>
    <t>STATE UNEMPLOYMENT TAX</t>
  </si>
  <si>
    <t>FRANCHISE TAX</t>
  </si>
  <si>
    <t>PERSONAL PROPERTY/ICT T</t>
  </si>
  <si>
    <t>PROPERTY/OTHER GENERAL</t>
  </si>
  <si>
    <t>REAL ESTATE TAX</t>
  </si>
  <si>
    <t>UTILITY/COMMISSION TAX</t>
  </si>
  <si>
    <t>DEF INCOME TAX-FEDERAL</t>
  </si>
  <si>
    <t>DEF INCOME TAXES-STATE</t>
  </si>
  <si>
    <t>INCOME TAXES-FEDERAL</t>
  </si>
  <si>
    <t>INCOME TAXES-STATE</t>
  </si>
  <si>
    <t>RENTAL INCOME</t>
  </si>
  <si>
    <t>INTEREST EXPENSE-INTERCO</t>
  </si>
  <si>
    <t>S/T INT EXP BANK ONE</t>
  </si>
  <si>
    <t>INTEREST DURING CONSTRUC</t>
  </si>
  <si>
    <t>SALE OF UTILITY PROPERTY</t>
  </si>
  <si>
    <t>Test</t>
  </si>
  <si>
    <t xml:space="preserve">     ACC AMORT-AIA-WATER</t>
  </si>
  <si>
    <t xml:space="preserve">     ACC AMORT METERS</t>
  </si>
  <si>
    <t xml:space="preserve">     DEF FED TAX - NOL</t>
  </si>
  <si>
    <t xml:space="preserve">     ACCUM DEF INCOME TAX - ST</t>
  </si>
  <si>
    <t xml:space="preserve">     DEF ST TAX - NOL</t>
  </si>
  <si>
    <t xml:space="preserve">    RETAINED EARN-CURRENT YEARS</t>
  </si>
  <si>
    <t xml:space="preserve">    WATER REVENUE-GUARANTEE</t>
  </si>
  <si>
    <t xml:space="preserve">    SEWER REVENUE-COMMERCIAL</t>
  </si>
  <si>
    <t xml:space="preserve">    GUARANTEED REVENUES</t>
  </si>
  <si>
    <t xml:space="preserve">    MISC RATE CASE EXPENSES</t>
  </si>
  <si>
    <t xml:space="preserve">    SALARIES-CHGD TO PLT-WS</t>
  </si>
  <si>
    <t xml:space="preserve">    DEPREC-STRUCT/IMPRV RCL</t>
  </si>
  <si>
    <t>Test Year Ended 6/30/2015</t>
  </si>
  <si>
    <t>WSC Salary Allocation</t>
  </si>
  <si>
    <t>Trial Balance</t>
  </si>
  <si>
    <t>Acct Number</t>
  </si>
  <si>
    <t>Acct Name</t>
  </si>
  <si>
    <t>Meter Sizes</t>
  </si>
  <si>
    <t>L</t>
  </si>
  <si>
    <t>M</t>
  </si>
  <si>
    <t>N</t>
  </si>
  <si>
    <t>O</t>
  </si>
  <si>
    <t>P</t>
  </si>
  <si>
    <t>Q</t>
  </si>
  <si>
    <t>R</t>
  </si>
  <si>
    <t>State Tax Rate</t>
  </si>
  <si>
    <t>Depreciation Rates</t>
  </si>
  <si>
    <t>Computer</t>
  </si>
  <si>
    <t>Federal Tax Rate</t>
  </si>
  <si>
    <t>Gross Receipt Tax Rate</t>
  </si>
  <si>
    <t>Uncollectable</t>
  </si>
  <si>
    <t>Equity Weight</t>
  </si>
  <si>
    <t>Debt Weight</t>
  </si>
  <si>
    <t>Cost of Equity</t>
  </si>
  <si>
    <t>Cost of Debt</t>
  </si>
  <si>
    <t>Gross Up Factor</t>
  </si>
  <si>
    <t>Less: Federal &amp; State Income Taxes</t>
  </si>
  <si>
    <t>Divide by: Operating Ratio</t>
  </si>
  <si>
    <t>Revenue to Cover Operating Ratio</t>
  </si>
  <si>
    <t>Less: Operating Expenses Net of Income Taxes</t>
  </si>
  <si>
    <t>Operating Expenses Net of Income Taxes</t>
  </si>
  <si>
    <t>Net Operating Income After Income Taxes</t>
  </si>
  <si>
    <t>Net Operating Income Adjustment</t>
  </si>
  <si>
    <t>Multiplied by Gross-up Factor</t>
  </si>
  <si>
    <t>Revenue Requirement</t>
  </si>
  <si>
    <t>Percentage Increase/Decrease</t>
  </si>
  <si>
    <t>Less: Pro Forma Net Income</t>
  </si>
  <si>
    <t>Haas, Bruce</t>
  </si>
  <si>
    <t>Kersey, Justin</t>
  </si>
  <si>
    <t>Halloran, Brian</t>
  </si>
  <si>
    <t>Shareef, Azfar</t>
  </si>
  <si>
    <t>Change</t>
  </si>
  <si>
    <t>Consumption Regression</t>
  </si>
  <si>
    <t xml:space="preserve"> Capital Structure at June 30, 2015</t>
  </si>
  <si>
    <t>June 30,</t>
  </si>
  <si>
    <t>List of Schedules and Workpapers</t>
  </si>
  <si>
    <t>Table of Contents</t>
  </si>
  <si>
    <t>TOC-List of Schedules</t>
  </si>
  <si>
    <t>Rate Base</t>
  </si>
  <si>
    <t>Revenue at Proposed Rates</t>
  </si>
  <si>
    <t>Uncollectibles</t>
  </si>
  <si>
    <t>w/p [b]</t>
  </si>
  <si>
    <t>w/p [c]</t>
  </si>
  <si>
    <t>Income Taxes</t>
  </si>
  <si>
    <t>Capital Structure</t>
  </si>
  <si>
    <t>w/p [m]</t>
  </si>
  <si>
    <t>w/p [n]</t>
  </si>
  <si>
    <t>Allocation of Transportation Expense</t>
  </si>
  <si>
    <t>Input Schedule</t>
  </si>
  <si>
    <t>Trial Balances:</t>
  </si>
  <si>
    <t>TB Hard Code</t>
  </si>
  <si>
    <t>TB Clean</t>
  </si>
  <si>
    <t>Linked TB</t>
  </si>
  <si>
    <t>UI ERC Counts</t>
  </si>
  <si>
    <t>WSC June 2015</t>
  </si>
  <si>
    <t>Company Name</t>
  </si>
  <si>
    <t xml:space="preserve">Company </t>
  </si>
  <si>
    <t>Galena Territory-Oakwood</t>
  </si>
  <si>
    <t xml:space="preserve">Cross State </t>
  </si>
  <si>
    <t>Density Utilities of LA</t>
  </si>
  <si>
    <t>United Utility Companies, Inc</t>
  </si>
  <si>
    <t>PRESIDENT-MIDWEST/MID ATLANTIC</t>
  </si>
  <si>
    <t>PRESIDENT-ATLANTIC</t>
  </si>
  <si>
    <t>PRESIDENT-FL</t>
  </si>
  <si>
    <t>PRESIDENT-SOUTH</t>
  </si>
  <si>
    <t>PRESIDENT-SC</t>
  </si>
  <si>
    <t>PRESIDENT-WEST</t>
  </si>
  <si>
    <t>KENTUCKY</t>
  </si>
  <si>
    <t>Florida</t>
  </si>
  <si>
    <t>Mid Atlantic</t>
  </si>
  <si>
    <t>South Carolina</t>
  </si>
  <si>
    <t>Midwest Region</t>
  </si>
  <si>
    <t>ERC Counts</t>
  </si>
  <si>
    <t>State of Kentucky Expense for TYE 06/30/2015</t>
  </si>
  <si>
    <t>TYE 06/30/2015 Expense per Vehicle</t>
  </si>
  <si>
    <t>Per State TYE 06/30/2015 Income Statements</t>
  </si>
  <si>
    <t>Per Company inventory 06/30/2015</t>
  </si>
  <si>
    <t>Test Year Ended 06/30/2015 Expense per Vehicle</t>
  </si>
  <si>
    <t>w/p [s]</t>
  </si>
  <si>
    <t>[m]</t>
  </si>
  <si>
    <t>Remove</t>
  </si>
  <si>
    <t>2013 Rate Case Appeal Costs</t>
  </si>
  <si>
    <t>2014 Show Cause Costs</t>
  </si>
  <si>
    <t>Total : Outside Services - Other</t>
  </si>
  <si>
    <t>Removal of 2013 Rate Case Appeal and 2014 Show Cause Costs</t>
  </si>
  <si>
    <t>Middlesboro Municipal Fire Protection Hydrant</t>
  </si>
  <si>
    <t>From Brian's Summary page</t>
  </si>
  <si>
    <t>Middlesboro Municipal Fire Protection Sprinkler</t>
  </si>
  <si>
    <t>Total Middlesboro Municiple Fire Protection Hydrant</t>
  </si>
  <si>
    <t>Average Middlesboro Municiple Fire Protection Hydrant</t>
  </si>
  <si>
    <t>Middlesboro Municipal Fire Protection WIND</t>
  </si>
  <si>
    <t>Middlesboro City/County Special Hydrant</t>
  </si>
  <si>
    <t>Total Middlesboro City/County Special Hydrant</t>
  </si>
  <si>
    <t>Average Middlesboro City/County Special Hydrant</t>
  </si>
  <si>
    <t>Clinton Hydrant Private</t>
  </si>
  <si>
    <t>Total Clinton Hydrant Private</t>
  </si>
  <si>
    <t>Clinton Sprinkler Private</t>
  </si>
  <si>
    <t>5/8" and 3/4" Meter(all Classes)</t>
  </si>
  <si>
    <t>Total - Water Service Corp of KY</t>
  </si>
  <si>
    <t>Total by Meter Size - KY</t>
  </si>
  <si>
    <t>Maintenance and Repair Adjustments</t>
  </si>
  <si>
    <t>Remove Per Books</t>
  </si>
  <si>
    <t>Current Deferred Assests</t>
  </si>
  <si>
    <t>Maintenance and Repair TOTAL</t>
  </si>
  <si>
    <t>Deferred Assets</t>
  </si>
  <si>
    <t>Calculation of Maintenance and Repair Adjustments</t>
  </si>
  <si>
    <t>Plant in Service Adjustments</t>
  </si>
  <si>
    <t>Project Phoenix</t>
  </si>
  <si>
    <t>GL Capital</t>
  </si>
  <si>
    <t>Gross Plant in Service</t>
  </si>
  <si>
    <t>Accumalated Depreciation</t>
  </si>
  <si>
    <t>As Adjusted</t>
  </si>
  <si>
    <t>Gross plant in service and Accumulated Depreciation adjustments per wp [c]. Net CIAC and AIAC are adjusted per w/p [p-5].</t>
  </si>
  <si>
    <t>Millage Rate for Fiscal Year 2016</t>
  </si>
  <si>
    <t>Pro-Forma Proposed Intrastate Gross Revenue</t>
  </si>
  <si>
    <t>5480 - Chlorine</t>
  </si>
  <si>
    <t>5490 - Other Treatment Chemicals</t>
  </si>
  <si>
    <t>[n]</t>
  </si>
  <si>
    <t>Calculation of Chemical Usage Change</t>
  </si>
  <si>
    <t>Chemicals Usage Change</t>
  </si>
  <si>
    <t>Remove WSC Expenses</t>
  </si>
  <si>
    <t>Remove Other Non-KY Expenses</t>
  </si>
  <si>
    <t>KY Portion of Bruce Haas Vehicle Expenses</t>
  </si>
  <si>
    <t>[o]</t>
  </si>
  <si>
    <t>Plant - Computers Summary</t>
  </si>
  <si>
    <t>Plant - Vehicles Summary</t>
  </si>
  <si>
    <t>Allocation of State and WSC Computers</t>
  </si>
  <si>
    <t>Allocation of Vehicles</t>
  </si>
  <si>
    <t>Asset Number</t>
  </si>
  <si>
    <t>Asset Description</t>
  </si>
  <si>
    <t>Cost 6/30/15</t>
  </si>
  <si>
    <t>A/D 6/30/15</t>
  </si>
  <si>
    <t>NBV 6/30/15</t>
  </si>
  <si>
    <t>Years in Service 6/30/15</t>
  </si>
  <si>
    <t>Asset Life (Months)</t>
  </si>
  <si>
    <t>Annual Depr Exp</t>
  </si>
  <si>
    <t>Plant in Service 12/31/15</t>
  </si>
  <si>
    <t>Total A/D 12/31/15</t>
  </si>
  <si>
    <t>NBV 12/31/15</t>
  </si>
  <si>
    <t>Total A/D 12/31/16</t>
  </si>
  <si>
    <t>NBV 12/31/16</t>
  </si>
  <si>
    <t>Total A/D 12/31/17</t>
  </si>
  <si>
    <t>NBV 12/31/17</t>
  </si>
  <si>
    <t>Total A/D 12/31/18</t>
  </si>
  <si>
    <t>NBV 12/31/18</t>
  </si>
  <si>
    <t>Total A/D 12/31/19</t>
  </si>
  <si>
    <t>NBV 12/31/19</t>
  </si>
  <si>
    <t>Total A/D 12/31/20</t>
  </si>
  <si>
    <t>NBV 12/31/20</t>
  </si>
  <si>
    <t>102.1580 - Mainframe Computers</t>
  </si>
  <si>
    <t>103036</t>
  </si>
  <si>
    <t>SE1B MAINFRAME COMPUTER</t>
  </si>
  <si>
    <t>103037</t>
  </si>
  <si>
    <t>103038</t>
  </si>
  <si>
    <t>103039</t>
  </si>
  <si>
    <t>103040</t>
  </si>
  <si>
    <t>103055</t>
  </si>
  <si>
    <t>SE1D MAINFRAME COMPUTER AMORT</t>
  </si>
  <si>
    <t>1001589</t>
  </si>
  <si>
    <t>CDW COMPUTER CENTERS INC</t>
  </si>
  <si>
    <t>1005459</t>
  </si>
  <si>
    <t>HP DL360 BKPLN KIT</t>
  </si>
  <si>
    <t>Account Total</t>
  </si>
  <si>
    <t>Allocated to WSC of KY %</t>
  </si>
  <si>
    <t>Total Allocated to WSC of KY</t>
  </si>
  <si>
    <t>102.1585 - Mini Computers</t>
  </si>
  <si>
    <t>103042</t>
  </si>
  <si>
    <t>SE1C MINICOMPUTER</t>
  </si>
  <si>
    <t>103043</t>
  </si>
  <si>
    <t>103044</t>
  </si>
  <si>
    <t>103045</t>
  </si>
  <si>
    <t>103046</t>
  </si>
  <si>
    <t>103047</t>
  </si>
  <si>
    <t>150047</t>
  </si>
  <si>
    <t>002*MISC.JE.A*08*05</t>
  </si>
  <si>
    <t>150048</t>
  </si>
  <si>
    <t>002*AP.INVD*09*91</t>
  </si>
  <si>
    <t>150049</t>
  </si>
  <si>
    <t>002*AP.INVD*01*75</t>
  </si>
  <si>
    <t>150050</t>
  </si>
  <si>
    <t>150051</t>
  </si>
  <si>
    <t>002*AP.INVD*02*74</t>
  </si>
  <si>
    <t>150052</t>
  </si>
  <si>
    <t>150053</t>
  </si>
  <si>
    <t>002*AP.INVD*11*79</t>
  </si>
  <si>
    <t>150054</t>
  </si>
  <si>
    <t>002*CB.TO.GL*04*15</t>
  </si>
  <si>
    <t>150055</t>
  </si>
  <si>
    <t>002*AP.INVD*02*68</t>
  </si>
  <si>
    <t>150056</t>
  </si>
  <si>
    <t>002*AP.INVD*07*76</t>
  </si>
  <si>
    <t>150057</t>
  </si>
  <si>
    <t>150058</t>
  </si>
  <si>
    <t>002*AP.INVD*11*74</t>
  </si>
  <si>
    <t>150059</t>
  </si>
  <si>
    <t>150060</t>
  </si>
  <si>
    <t>002*REVERSE.JE*01*82</t>
  </si>
  <si>
    <t>150061</t>
  </si>
  <si>
    <t>150062</t>
  </si>
  <si>
    <t>002*AP.INVD*11*75</t>
  </si>
  <si>
    <t>150063</t>
  </si>
  <si>
    <t>150064</t>
  </si>
  <si>
    <t>150065</t>
  </si>
  <si>
    <t>150066</t>
  </si>
  <si>
    <t>150067</t>
  </si>
  <si>
    <t>150068</t>
  </si>
  <si>
    <t>150069</t>
  </si>
  <si>
    <t>150070</t>
  </si>
  <si>
    <t>150071</t>
  </si>
  <si>
    <t>150072</t>
  </si>
  <si>
    <t>002*AP.INVD*04*68</t>
  </si>
  <si>
    <t>150073</t>
  </si>
  <si>
    <t>150074</t>
  </si>
  <si>
    <t>150075</t>
  </si>
  <si>
    <t>150076</t>
  </si>
  <si>
    <t>002*AP.INVD*04*65</t>
  </si>
  <si>
    <t>150077</t>
  </si>
  <si>
    <t>150078</t>
  </si>
  <si>
    <t>002*AP.INVD*10*87</t>
  </si>
  <si>
    <t>150079</t>
  </si>
  <si>
    <t>002*AP.INVD*06*87</t>
  </si>
  <si>
    <t>150080</t>
  </si>
  <si>
    <t>150081</t>
  </si>
  <si>
    <t>002*AP.INVD*11*82</t>
  </si>
  <si>
    <t>150082</t>
  </si>
  <si>
    <t>002*AP.INVD*03*76</t>
  </si>
  <si>
    <t>150083</t>
  </si>
  <si>
    <t>150084</t>
  </si>
  <si>
    <t>150085</t>
  </si>
  <si>
    <t>150086</t>
  </si>
  <si>
    <t>150087</t>
  </si>
  <si>
    <t>150088</t>
  </si>
  <si>
    <t>150089</t>
  </si>
  <si>
    <t>150090</t>
  </si>
  <si>
    <t>150091</t>
  </si>
  <si>
    <t>150092</t>
  </si>
  <si>
    <t>150093</t>
  </si>
  <si>
    <t>002*AP.INVD*05*82</t>
  </si>
  <si>
    <t>150094</t>
  </si>
  <si>
    <t>150095</t>
  </si>
  <si>
    <t>150096</t>
  </si>
  <si>
    <t>150097</t>
  </si>
  <si>
    <t>002*AP.INVD*06*91</t>
  </si>
  <si>
    <t>150098</t>
  </si>
  <si>
    <t>002*AP.INVD*02*72</t>
  </si>
  <si>
    <t>150099</t>
  </si>
  <si>
    <t>150100</t>
  </si>
  <si>
    <t>150101</t>
  </si>
  <si>
    <t>002*AP.INVD*03*78</t>
  </si>
  <si>
    <t>150102</t>
  </si>
  <si>
    <t>150103</t>
  </si>
  <si>
    <t>002*AP.INVD*08*77</t>
  </si>
  <si>
    <t>150104</t>
  </si>
  <si>
    <t>150105</t>
  </si>
  <si>
    <t>150106</t>
  </si>
  <si>
    <t>002*AP.INVD*11*81</t>
  </si>
  <si>
    <t>150107</t>
  </si>
  <si>
    <t>150108</t>
  </si>
  <si>
    <t>150109</t>
  </si>
  <si>
    <t>150110</t>
  </si>
  <si>
    <t>150111</t>
  </si>
  <si>
    <t>002*AP.INVD*10*90</t>
  </si>
  <si>
    <t>150112</t>
  </si>
  <si>
    <t>150113</t>
  </si>
  <si>
    <t>150114</t>
  </si>
  <si>
    <t>150115</t>
  </si>
  <si>
    <t>150116</t>
  </si>
  <si>
    <t>150117</t>
  </si>
  <si>
    <t>150118</t>
  </si>
  <si>
    <t>150119</t>
  </si>
  <si>
    <t>150120</t>
  </si>
  <si>
    <t>002*RECLASSIFY*06*26</t>
  </si>
  <si>
    <t>150121</t>
  </si>
  <si>
    <t>002*AP.INVD*05*78</t>
  </si>
  <si>
    <t>150122</t>
  </si>
  <si>
    <t>150123</t>
  </si>
  <si>
    <t>002*AP.INVD*03*80</t>
  </si>
  <si>
    <t>150124</t>
  </si>
  <si>
    <t>150125</t>
  </si>
  <si>
    <t>150126</t>
  </si>
  <si>
    <t>150127</t>
  </si>
  <si>
    <t>150128</t>
  </si>
  <si>
    <t>150129</t>
  </si>
  <si>
    <t>150130</t>
  </si>
  <si>
    <t>150131</t>
  </si>
  <si>
    <t>150132</t>
  </si>
  <si>
    <t>150133</t>
  </si>
  <si>
    <t>150134</t>
  </si>
  <si>
    <t>150135</t>
  </si>
  <si>
    <t>150136</t>
  </si>
  <si>
    <t>150137</t>
  </si>
  <si>
    <t>150138</t>
  </si>
  <si>
    <t>150139</t>
  </si>
  <si>
    <t>150140</t>
  </si>
  <si>
    <t>150141</t>
  </si>
  <si>
    <t>002*AP.INVD*10*86</t>
  </si>
  <si>
    <t>150142</t>
  </si>
  <si>
    <t>150143</t>
  </si>
  <si>
    <t>150144</t>
  </si>
  <si>
    <t>150145</t>
  </si>
  <si>
    <t>150146</t>
  </si>
  <si>
    <t>150147</t>
  </si>
  <si>
    <t>150148</t>
  </si>
  <si>
    <t>150149</t>
  </si>
  <si>
    <t>150150</t>
  </si>
  <si>
    <t>150151</t>
  </si>
  <si>
    <t>150152</t>
  </si>
  <si>
    <t>150153</t>
  </si>
  <si>
    <t>1000077</t>
  </si>
  <si>
    <t xml:space="preserve"> MINI COMPUTERS WTR</t>
  </si>
  <si>
    <t>1000082</t>
  </si>
  <si>
    <t>1000636</t>
  </si>
  <si>
    <t>CORVALLIS MICROTECHNOLOGY INC</t>
  </si>
  <si>
    <t>1000639</t>
  </si>
  <si>
    <t>1000641</t>
  </si>
  <si>
    <t>1000643</t>
  </si>
  <si>
    <t>1000774</t>
  </si>
  <si>
    <t>1000777</t>
  </si>
  <si>
    <t>1000778</t>
  </si>
  <si>
    <t>1001250</t>
  </si>
  <si>
    <t>METER DEVICE</t>
  </si>
  <si>
    <t>1001586</t>
  </si>
  <si>
    <t>1001587</t>
  </si>
  <si>
    <t>1001588</t>
  </si>
  <si>
    <t>1001871</t>
  </si>
  <si>
    <t>1002091</t>
  </si>
  <si>
    <t>1002166</t>
  </si>
  <si>
    <t>HANDHELD DEVICE</t>
  </si>
  <si>
    <t>1002632</t>
  </si>
  <si>
    <t>HANDHELD METER DEVICES</t>
  </si>
  <si>
    <t>1002920</t>
  </si>
  <si>
    <t>1002993</t>
  </si>
  <si>
    <t>1003487</t>
  </si>
  <si>
    <t>MINI COMP WTR</t>
  </si>
  <si>
    <t>1003488</t>
  </si>
  <si>
    <t>1003490</t>
  </si>
  <si>
    <t>1003567</t>
  </si>
  <si>
    <t>HANDHELD DEVICES</t>
  </si>
  <si>
    <t>1003805</t>
  </si>
  <si>
    <t>1003853</t>
  </si>
  <si>
    <t>1003854</t>
  </si>
  <si>
    <t>1003855</t>
  </si>
  <si>
    <t>1003858</t>
  </si>
  <si>
    <t>1003901</t>
  </si>
  <si>
    <t>1003996</t>
  </si>
  <si>
    <t>CDW PO#22397</t>
  </si>
  <si>
    <t>1004015</t>
  </si>
  <si>
    <t>1004154</t>
  </si>
  <si>
    <t>1004195</t>
  </si>
  <si>
    <t>1004340</t>
  </si>
  <si>
    <t>1004341</t>
  </si>
  <si>
    <t>1004367</t>
  </si>
  <si>
    <t>1004368</t>
  </si>
  <si>
    <t>1004382</t>
  </si>
  <si>
    <t>1004383</t>
  </si>
  <si>
    <t>1004401</t>
  </si>
  <si>
    <t>1004402</t>
  </si>
  <si>
    <t>1004499</t>
  </si>
  <si>
    <t>T400</t>
  </si>
  <si>
    <t>1004500</t>
  </si>
  <si>
    <t>1004501</t>
  </si>
  <si>
    <t>1004506</t>
  </si>
  <si>
    <t>1004555</t>
  </si>
  <si>
    <t>1004698</t>
  </si>
  <si>
    <t>RC T400 LAPTOPS PO 49388</t>
  </si>
  <si>
    <t>1004699</t>
  </si>
  <si>
    <t>RC T400 LAPTOPS PO 49647</t>
  </si>
  <si>
    <t>1004700</t>
  </si>
  <si>
    <t>RC T400 LAPTOPS PO 48473</t>
  </si>
  <si>
    <t>1004701</t>
  </si>
  <si>
    <t>RC HARD DRIVES PO 48732</t>
  </si>
  <si>
    <t>1004702</t>
  </si>
  <si>
    <t>RC RAM T400 PO 49580</t>
  </si>
  <si>
    <t>1004703</t>
  </si>
  <si>
    <t>RC T400 PO 48965</t>
  </si>
  <si>
    <t>1004740</t>
  </si>
  <si>
    <t>1004741</t>
  </si>
  <si>
    <t>1004742</t>
  </si>
  <si>
    <t>1004829</t>
  </si>
  <si>
    <t>1004889</t>
  </si>
  <si>
    <t>3 LENOVPS T410-1 LENOVOS T400</t>
  </si>
  <si>
    <t>1004905</t>
  </si>
  <si>
    <t>1004906</t>
  </si>
  <si>
    <t>1004941</t>
  </si>
  <si>
    <t>ACER, PRINTER, RAM OV 59138</t>
  </si>
  <si>
    <t>1004942</t>
  </si>
  <si>
    <t>1004943</t>
  </si>
  <si>
    <t>1004973</t>
  </si>
  <si>
    <t>VMWARE ACC 6 PROC</t>
  </si>
  <si>
    <t>1004974</t>
  </si>
  <si>
    <t>LVO TP T410</t>
  </si>
  <si>
    <t>1004975</t>
  </si>
  <si>
    <t>HP SB DL380</t>
  </si>
  <si>
    <t>1004991</t>
  </si>
  <si>
    <t>Lenovo T410 Laptop</t>
  </si>
  <si>
    <t>1005008</t>
  </si>
  <si>
    <t>HP DL360 Servers</t>
  </si>
  <si>
    <t>1005029</t>
  </si>
  <si>
    <t>1005061</t>
  </si>
  <si>
    <t>LENOVO T410-TWO UNITS-</t>
  </si>
  <si>
    <t>1005097</t>
  </si>
  <si>
    <t>1005102</t>
  </si>
  <si>
    <t>1005173</t>
  </si>
  <si>
    <t>HP DL360 Server</t>
  </si>
  <si>
    <t>1005188</t>
  </si>
  <si>
    <t>Fujitsu Scanner</t>
  </si>
  <si>
    <t>1005200</t>
  </si>
  <si>
    <t>HP 146GB HARD DRIVE</t>
  </si>
  <si>
    <t>1005201</t>
  </si>
  <si>
    <t>PRINTER AND MONITORS</t>
  </si>
  <si>
    <t>1005202</t>
  </si>
  <si>
    <t>ACER 22" MONITORS</t>
  </si>
  <si>
    <t>1005203</t>
  </si>
  <si>
    <t>HANDHELD BATTERIES</t>
  </si>
  <si>
    <t>1005204</t>
  </si>
  <si>
    <t>HP PROLIANT INTEGRATED LIGHTS</t>
  </si>
  <si>
    <t>1005205</t>
  </si>
  <si>
    <t>RSP 4GB RAM</t>
  </si>
  <si>
    <t>1005206</t>
  </si>
  <si>
    <t>NYLON CASES AND MC5</t>
  </si>
  <si>
    <t>1005207</t>
  </si>
  <si>
    <t>146GB HARD DRIVE</t>
  </si>
  <si>
    <t>1005208</t>
  </si>
  <si>
    <t>HP 146GB RAM</t>
  </si>
  <si>
    <t>1005209</t>
  </si>
  <si>
    <t>HP 8GB RAM</t>
  </si>
  <si>
    <t>1005210</t>
  </si>
  <si>
    <t>HP PROCURVE SWITCH</t>
  </si>
  <si>
    <t>1005211</t>
  </si>
  <si>
    <t>1005212</t>
  </si>
  <si>
    <t>HP SB 8GB RAM</t>
  </si>
  <si>
    <t>1005315</t>
  </si>
  <si>
    <t>1005337</t>
  </si>
  <si>
    <t>4 LENOVO T410</t>
  </si>
  <si>
    <t>1005338</t>
  </si>
  <si>
    <t>1005339</t>
  </si>
  <si>
    <t>LENOVO THINKPADS</t>
  </si>
  <si>
    <t>1005340</t>
  </si>
  <si>
    <t>1005376</t>
  </si>
  <si>
    <t>Lenovo T410</t>
  </si>
  <si>
    <t>1005377</t>
  </si>
  <si>
    <t>1005378</t>
  </si>
  <si>
    <t>Lenovo T400</t>
  </si>
  <si>
    <t>1005379</t>
  </si>
  <si>
    <t>Handheld Device WP</t>
  </si>
  <si>
    <t>1005421</t>
  </si>
  <si>
    <t>LVP TS T420 I5-2520 500GB 4GB</t>
  </si>
  <si>
    <t>1005422</t>
  </si>
  <si>
    <t>LENOVE T420 I5-2520 500GB 4GB</t>
  </si>
  <si>
    <t>1005423</t>
  </si>
  <si>
    <t>LENOVO T420 I5-2520 500GB 4GB</t>
  </si>
  <si>
    <t>1005424</t>
  </si>
  <si>
    <t>LVO W520 X220 T420 TRIPP UPS</t>
  </si>
  <si>
    <t>1005425</t>
  </si>
  <si>
    <t>LVO W520 T420 TRIPP 1500VA</t>
  </si>
  <si>
    <t>1005426</t>
  </si>
  <si>
    <t>LENOVO TP X220 I5-2520M 320GB</t>
  </si>
  <si>
    <t>1005457</t>
  </si>
  <si>
    <t>LENOVO T420 I5-2520 500GB</t>
  </si>
  <si>
    <t>1005458</t>
  </si>
  <si>
    <t>LENOVE W520 &amp; LENOVO T420</t>
  </si>
  <si>
    <t>1005486</t>
  </si>
  <si>
    <t>HP 8GB PC2-5300 LP KIT</t>
  </si>
  <si>
    <t>1005487</t>
  </si>
  <si>
    <t>HP 300GB &amp; 146GB 6G SAS DP ENT</t>
  </si>
  <si>
    <t>1005488</t>
  </si>
  <si>
    <t>LAPTOP BATTERY FOR LENOVO</t>
  </si>
  <si>
    <t>1005489</t>
  </si>
  <si>
    <t>ACER X223WDBD 22" WIDE LCD</t>
  </si>
  <si>
    <t>1005490</t>
  </si>
  <si>
    <t>1005491</t>
  </si>
  <si>
    <t>1005492</t>
  </si>
  <si>
    <t>1005493</t>
  </si>
  <si>
    <t>1005494</t>
  </si>
  <si>
    <t>TRIPP 2200VA UPS SMART ONLINE</t>
  </si>
  <si>
    <t>1005495</t>
  </si>
  <si>
    <t>1005497</t>
  </si>
  <si>
    <t>CISCO1921/K9</t>
  </si>
  <si>
    <t>1005501</t>
  </si>
  <si>
    <t>1005502</t>
  </si>
  <si>
    <t>1005503</t>
  </si>
  <si>
    <t>ACER VM275 E7600 DESKTOP PC</t>
  </si>
  <si>
    <t>1005504</t>
  </si>
  <si>
    <t>Shoretel Equipment SC &amp; LA</t>
  </si>
  <si>
    <t>1005505</t>
  </si>
  <si>
    <t>LENOVO TP MINI DOCK SERIES 3</t>
  </si>
  <si>
    <t>1005523</t>
  </si>
  <si>
    <t>ACER VM275 E7600 DESKTOP</t>
  </si>
  <si>
    <t>1005524</t>
  </si>
  <si>
    <t>1005562</t>
  </si>
  <si>
    <t>1005573</t>
  </si>
  <si>
    <t>1005574</t>
  </si>
  <si>
    <t>1005581</t>
  </si>
  <si>
    <t>KINGSTON 1GB RAM AND</t>
  </si>
  <si>
    <t>1005582</t>
  </si>
  <si>
    <t>1005593</t>
  </si>
  <si>
    <t>HP OJ 6500A PLUS PRINTER</t>
  </si>
  <si>
    <t>1005594</t>
  </si>
  <si>
    <t>1005595</t>
  </si>
  <si>
    <t>HP SCANJET 5590</t>
  </si>
  <si>
    <t>1005601</t>
  </si>
  <si>
    <t>COMCAST INSTALLATION &amp; CONSTRU</t>
  </si>
  <si>
    <t>1005612</t>
  </si>
  <si>
    <t>1005613</t>
  </si>
  <si>
    <t>UPS WEB CARD</t>
  </si>
  <si>
    <t>1005649</t>
  </si>
  <si>
    <t>TOUGH BOOK REPAIR/PARTS REPL</t>
  </si>
  <si>
    <t>1005650</t>
  </si>
  <si>
    <t>1005651</t>
  </si>
  <si>
    <t>1005658</t>
  </si>
  <si>
    <t>1005879</t>
  </si>
  <si>
    <t>1005881</t>
  </si>
  <si>
    <t>1005890</t>
  </si>
  <si>
    <t>LVP T420, LVO DOCKING STATION</t>
  </si>
  <si>
    <t>1005892</t>
  </si>
  <si>
    <t>SHOREGEAR 90</t>
  </si>
  <si>
    <t>1005900</t>
  </si>
  <si>
    <t>HP PROLIANT DL120 SERVER G6</t>
  </si>
  <si>
    <t>1005908</t>
  </si>
  <si>
    <t>LENOVO TS TP T520 I7-2640M</t>
  </si>
  <si>
    <t>1005938</t>
  </si>
  <si>
    <t>RSP IBM FAN &amp; FAN THERMAL DEVI</t>
  </si>
  <si>
    <t>1005939</t>
  </si>
  <si>
    <t>SHOREPHONE IP230G (BLACK)</t>
  </si>
  <si>
    <t>1005940</t>
  </si>
  <si>
    <t>HANDHELD METER READER</t>
  </si>
  <si>
    <t>1005961</t>
  </si>
  <si>
    <t>BATTERY BACK UPS FOR COMPUTERS</t>
  </si>
  <si>
    <t>1005973</t>
  </si>
  <si>
    <t>ACER VM275 E6700, ASUS RT-N56U</t>
  </si>
  <si>
    <t>1005996</t>
  </si>
  <si>
    <t>ACER VM275 E6700, LOGI MK520</t>
  </si>
  <si>
    <t>1005997</t>
  </si>
  <si>
    <t>ACER VX4618G I5-2320</t>
  </si>
  <si>
    <t>1006007</t>
  </si>
  <si>
    <t>REPLACEMENT LCD SCREEN</t>
  </si>
  <si>
    <t>1006020</t>
  </si>
  <si>
    <t>ACER VM275 E6700 500GB 2GB W7P</t>
  </si>
  <si>
    <t>1006021</t>
  </si>
  <si>
    <t>LENOVO TS T420 I5-2520</t>
  </si>
  <si>
    <t>1006022</t>
  </si>
  <si>
    <t>LCD SCREEN AND FAN</t>
  </si>
  <si>
    <t>1006023</t>
  </si>
  <si>
    <t>HARD DRIVE AND RAM</t>
  </si>
  <si>
    <t>1006024</t>
  </si>
  <si>
    <t>ACER X223WDBD MONITOR</t>
  </si>
  <si>
    <t>1006025</t>
  </si>
  <si>
    <t>1006050</t>
  </si>
  <si>
    <t>1006054</t>
  </si>
  <si>
    <t>1006055</t>
  </si>
  <si>
    <t>1006056</t>
  </si>
  <si>
    <t>1006057</t>
  </si>
  <si>
    <t>LENOVO FS TP X220 I5-2520M</t>
  </si>
  <si>
    <t>1006058</t>
  </si>
  <si>
    <t>1006059</t>
  </si>
  <si>
    <t>KINGSTON 2GB DDR2-800 MODULE</t>
  </si>
  <si>
    <t>1006060</t>
  </si>
  <si>
    <t>HP OJ 7500A PRINTER</t>
  </si>
  <si>
    <t>1006067</t>
  </si>
  <si>
    <t>LAPTOPS AND ACCESSORIES</t>
  </si>
  <si>
    <t>1006086</t>
  </si>
  <si>
    <t>Lenovo Thinkpad 430</t>
  </si>
  <si>
    <t>1006095</t>
  </si>
  <si>
    <t>Lenovo T430/HP 8GB Kit/Docking</t>
  </si>
  <si>
    <t>1006230</t>
  </si>
  <si>
    <t>Laptop, Dock, Monitors</t>
  </si>
  <si>
    <t>1006283</t>
  </si>
  <si>
    <t>Lenovo T430</t>
  </si>
  <si>
    <t>1006340</t>
  </si>
  <si>
    <t>1006341</t>
  </si>
  <si>
    <t>1006458</t>
  </si>
  <si>
    <t>XEROX PHASER 4600</t>
  </si>
  <si>
    <t>1006459</t>
  </si>
  <si>
    <t>XEROX 2000 FEEDER W/ STAND</t>
  </si>
  <si>
    <t>1006460</t>
  </si>
  <si>
    <t>SHOREGEAR 30</t>
  </si>
  <si>
    <t>1006461</t>
  </si>
  <si>
    <t>HP LJ 4345 SERIES MAINT. KIT</t>
  </si>
  <si>
    <t>1006471</t>
  </si>
  <si>
    <t>HP AIO PRINTER</t>
  </si>
  <si>
    <t>1006472</t>
  </si>
  <si>
    <t>LENOVO T430</t>
  </si>
  <si>
    <t>1006473</t>
  </si>
  <si>
    <t>LENOVO DOCKING STATION</t>
  </si>
  <si>
    <t>1006474</t>
  </si>
  <si>
    <t>1006475</t>
  </si>
  <si>
    <t>1006479</t>
  </si>
  <si>
    <t>OV 132822</t>
  </si>
  <si>
    <t>1006480</t>
  </si>
  <si>
    <t>OV 132823</t>
  </si>
  <si>
    <t>1006481</t>
  </si>
  <si>
    <t>OV 132819</t>
  </si>
  <si>
    <t>1006482</t>
  </si>
  <si>
    <t>OV 132818</t>
  </si>
  <si>
    <t>1006501</t>
  </si>
  <si>
    <t>CDW COMPUTER CENTERS INC.</t>
  </si>
  <si>
    <t>1006502</t>
  </si>
  <si>
    <t>1006506</t>
  </si>
  <si>
    <t>HEADSETS FOR NORTHBROOK</t>
  </si>
  <si>
    <t>1006507</t>
  </si>
  <si>
    <t>JABRA HEADSETS FOR NEVADA</t>
  </si>
  <si>
    <t>1006508</t>
  </si>
  <si>
    <t>JABRA HEADSETS FOR CHARLOTTE</t>
  </si>
  <si>
    <t>1006509</t>
  </si>
  <si>
    <t>JABRA HEADSETS FOR FLORIDA</t>
  </si>
  <si>
    <t>1006511</t>
  </si>
  <si>
    <t>DOCKING STATIONS</t>
  </si>
  <si>
    <t>1006512</t>
  </si>
  <si>
    <t>T430 LAPTOPS</t>
  </si>
  <si>
    <t>1006513</t>
  </si>
  <si>
    <t>ULTRABAY 9.5MM DVD BURNER</t>
  </si>
  <si>
    <t>1006514</t>
  </si>
  <si>
    <t>HP OFFICEJET PRO 8600 AIO N911</t>
  </si>
  <si>
    <t>1006524</t>
  </si>
  <si>
    <t>TOUGHBOOK A/C ADAPTERS</t>
  </si>
  <si>
    <t>1006529</t>
  </si>
  <si>
    <t>JABRA HEADSETS FOR NORTHBROOK</t>
  </si>
  <si>
    <t>1006530</t>
  </si>
  <si>
    <t>LENOVO X230 AND BATTERY</t>
  </si>
  <si>
    <t>1006531</t>
  </si>
  <si>
    <t>BATTERY,HEADSET,DOCK STATION</t>
  </si>
  <si>
    <t>1006532</t>
  </si>
  <si>
    <t>LVO 8GB PC3-12800 DDR3</t>
  </si>
  <si>
    <t>1006533</t>
  </si>
  <si>
    <t>IBM 14.1 INCH MONITOR</t>
  </si>
  <si>
    <t>1006547</t>
  </si>
  <si>
    <t>TB DC POWER ADAPTERS</t>
  </si>
  <si>
    <t>1006553</t>
  </si>
  <si>
    <t>LENOVO MINI COMPUTER 500 GB</t>
  </si>
  <si>
    <t>1006554</t>
  </si>
  <si>
    <t>WD BLACK 500 GB 2.5</t>
  </si>
  <si>
    <t>1006555</t>
  </si>
  <si>
    <t>HP OFFICEJET PRO 8600 AIO</t>
  </si>
  <si>
    <t>1006556</t>
  </si>
  <si>
    <t>HP GEN8 2U SECURITY BEZEL KIT</t>
  </si>
  <si>
    <t>1006557</t>
  </si>
  <si>
    <t>1006558</t>
  </si>
  <si>
    <t>LVO 8GB PC3-12800 DDR3 SODIMM</t>
  </si>
  <si>
    <t>1006559</t>
  </si>
  <si>
    <t>LVO TP ULTRABAY DVD 9.5MM SLIM</t>
  </si>
  <si>
    <t>1006563</t>
  </si>
  <si>
    <t>LENOVO T530 PO 130724</t>
  </si>
  <si>
    <t>1006566</t>
  </si>
  <si>
    <t>LENOVO THINKPAD BATTERY</t>
  </si>
  <si>
    <t>1006567</t>
  </si>
  <si>
    <t>1006593</t>
  </si>
  <si>
    <t>JAWBONE ERA MIDNIGHT HARDWARE</t>
  </si>
  <si>
    <t>1006594</t>
  </si>
  <si>
    <t>SONY BX330 32" LCD TV TAA</t>
  </si>
  <si>
    <t>1006597</t>
  </si>
  <si>
    <t>MICROSOFT SURFACE TABLET</t>
  </si>
  <si>
    <t>1006598</t>
  </si>
  <si>
    <t>9CELL THINKPAD BATTERY</t>
  </si>
  <si>
    <t>1006605</t>
  </si>
  <si>
    <t>POLYCOM MEDIA CART</t>
  </si>
  <si>
    <t>1006606</t>
  </si>
  <si>
    <t>LENOVO T430 4GB</t>
  </si>
  <si>
    <t>1006608</t>
  </si>
  <si>
    <t>LENOVO X230 THINKPAD</t>
  </si>
  <si>
    <t>1006609</t>
  </si>
  <si>
    <t>JABRA PRO 9460 HEADSET</t>
  </si>
  <si>
    <t>1006610</t>
  </si>
  <si>
    <t>HP OFFICEJET PRO 8600</t>
  </si>
  <si>
    <t>1006611</t>
  </si>
  <si>
    <t>HP OFFICEJET PRO 8600 PRINTER</t>
  </si>
  <si>
    <t>1006612</t>
  </si>
  <si>
    <t>PLANTRONICS CS70N HEADSET</t>
  </si>
  <si>
    <t>1006613</t>
  </si>
  <si>
    <t>TB REPAIR PPC0776126</t>
  </si>
  <si>
    <t>1006614</t>
  </si>
  <si>
    <t>TB REPAIR PPC0776130</t>
  </si>
  <si>
    <t>1006615</t>
  </si>
  <si>
    <t>TB REPAIR PPC0776128</t>
  </si>
  <si>
    <t>1006616</t>
  </si>
  <si>
    <t>TB REPAIR PPC0776124</t>
  </si>
  <si>
    <t>1006639</t>
  </si>
  <si>
    <t>LENOVO M92P 500 GB</t>
  </si>
  <si>
    <t>1006640</t>
  </si>
  <si>
    <t>LENOVO T430 AND DOCK</t>
  </si>
  <si>
    <t>1006641</t>
  </si>
  <si>
    <t>1006646</t>
  </si>
  <si>
    <t>ACER MONITOR WIDE LED</t>
  </si>
  <si>
    <t>1006647</t>
  </si>
  <si>
    <t>JABRA PRO HEADSETS</t>
  </si>
  <si>
    <t>1006648</t>
  </si>
  <si>
    <t>LVO SERIES DOCKING STATION</t>
  </si>
  <si>
    <t>1006649</t>
  </si>
  <si>
    <t>1006650</t>
  </si>
  <si>
    <t>LENOVO T430 AND DOCKING</t>
  </si>
  <si>
    <t>1006651</t>
  </si>
  <si>
    <t>LENOVO DESKTOP AND PRIVACY SCR</t>
  </si>
  <si>
    <t>1006653</t>
  </si>
  <si>
    <t>WD HARD DRIVES 500 GB</t>
  </si>
  <si>
    <t>1006654</t>
  </si>
  <si>
    <t>LENOVO T430 AND DOCKING STATIO</t>
  </si>
  <si>
    <t>1006655</t>
  </si>
  <si>
    <t>LAPTOPS, DOCKS, MONITORS</t>
  </si>
  <si>
    <t>1006656</t>
  </si>
  <si>
    <t>HP OFFICE JET PRO 8600 PRINTER</t>
  </si>
  <si>
    <t>1006691</t>
  </si>
  <si>
    <t>T430 LAPTOPS AND DOCKS</t>
  </si>
  <si>
    <t>1006692</t>
  </si>
  <si>
    <t>TOTAL MICRO BATTERY</t>
  </si>
  <si>
    <t>1006693</t>
  </si>
  <si>
    <t>9 CELL LITHIUM ION BATTERY</t>
  </si>
  <si>
    <t>1006695</t>
  </si>
  <si>
    <t>Thinkpad T430 and Dock</t>
  </si>
  <si>
    <t>1006696</t>
  </si>
  <si>
    <t>Lenovo Laptops and Monitors</t>
  </si>
  <si>
    <t>1006697</t>
  </si>
  <si>
    <t>ACER MONITOR 22IN WS</t>
  </si>
  <si>
    <t>1006707</t>
  </si>
  <si>
    <t>LENOVO DESKTOP 500 GB</t>
  </si>
  <si>
    <t>1006721</t>
  </si>
  <si>
    <t>WESTERN DIGITAL HD 500 GB</t>
  </si>
  <si>
    <t>1006722</t>
  </si>
  <si>
    <t>LAPTOP, DOCK,WIRELESS KEYBOARD</t>
  </si>
  <si>
    <t>1006723</t>
  </si>
  <si>
    <t>CISCO SMARTNET 24X7X4</t>
  </si>
  <si>
    <t>1006724</t>
  </si>
  <si>
    <t>FUJITSU SCANNER FI-6130Z</t>
  </si>
  <si>
    <t>1006725</t>
  </si>
  <si>
    <t>1006735</t>
  </si>
  <si>
    <t>LAPTOPS,DOCKS,MONITORS</t>
  </si>
  <si>
    <t>1006742</t>
  </si>
  <si>
    <t>SAMSUNG 840 SERIES HARD DRIVES</t>
  </si>
  <si>
    <t>1006743</t>
  </si>
  <si>
    <t>LOGI WRLS KEYBOARD</t>
  </si>
  <si>
    <t>1006764</t>
  </si>
  <si>
    <t>1006765</t>
  </si>
  <si>
    <t>ACER 22IN WS LED MONITORS</t>
  </si>
  <si>
    <t>1006766</t>
  </si>
  <si>
    <t>MAINTENANCE KIT, EXTENDED, XER</t>
  </si>
  <si>
    <t>1006778</t>
  </si>
  <si>
    <t xml:space="preserve"> SSD HARD DRIVES</t>
  </si>
  <si>
    <t>1006782</t>
  </si>
  <si>
    <t>LAPTOP HARD DRIVES</t>
  </si>
  <si>
    <t>1006783</t>
  </si>
  <si>
    <t>102104</t>
  </si>
  <si>
    <t>1006784</t>
  </si>
  <si>
    <t>1006788</t>
  </si>
  <si>
    <t>LAPTOPS AND DOCKING STATIONS</t>
  </si>
  <si>
    <t>1006791</t>
  </si>
  <si>
    <t>LENOVO DESKTOP</t>
  </si>
  <si>
    <t>1006792</t>
  </si>
  <si>
    <t>1006824</t>
  </si>
  <si>
    <t>TB AC/DC ADAPTORS &amp; BATTERIES</t>
  </si>
  <si>
    <t>1006829</t>
  </si>
  <si>
    <t>HP OFFICEJET PRINTER</t>
  </si>
  <si>
    <t>1006830</t>
  </si>
  <si>
    <t>1006858</t>
  </si>
  <si>
    <t>CDW COMP CENTERS INC PO#141601</t>
  </si>
  <si>
    <t>1006864</t>
  </si>
  <si>
    <t>CDW COMPUTER CENTERS PO#143764</t>
  </si>
  <si>
    <t>1006865</t>
  </si>
  <si>
    <t>CDW COMPUTER CENTERS PO#143766</t>
  </si>
  <si>
    <t>1006866</t>
  </si>
  <si>
    <t>CDW COMPUTER CENTERS PO#143767</t>
  </si>
  <si>
    <t>1006910</t>
  </si>
  <si>
    <t>1006921</t>
  </si>
  <si>
    <t>1006922</t>
  </si>
  <si>
    <t>HEARTLAND SERVICES INC.</t>
  </si>
  <si>
    <t>1006923</t>
  </si>
  <si>
    <t>1006924</t>
  </si>
  <si>
    <t>1006932</t>
  </si>
  <si>
    <t>1006933</t>
  </si>
  <si>
    <t>1006935</t>
  </si>
  <si>
    <t>1006938</t>
  </si>
  <si>
    <t>VISUALPRO 360 INC.</t>
  </si>
  <si>
    <t>1006958</t>
  </si>
  <si>
    <t>1006959</t>
  </si>
  <si>
    <t>1006960</t>
  </si>
  <si>
    <t>1006961</t>
  </si>
  <si>
    <t>1006962</t>
  </si>
  <si>
    <t>1006963</t>
  </si>
  <si>
    <t>1006964</t>
  </si>
  <si>
    <t>1006965</t>
  </si>
  <si>
    <t>1006981</t>
  </si>
  <si>
    <t>1006984</t>
  </si>
  <si>
    <t>1006985</t>
  </si>
  <si>
    <t>1006986</t>
  </si>
  <si>
    <t>1006987</t>
  </si>
  <si>
    <t>1006988</t>
  </si>
  <si>
    <t>1006989</t>
  </si>
  <si>
    <t>1007255</t>
  </si>
  <si>
    <t>1007256</t>
  </si>
  <si>
    <t>1007257</t>
  </si>
  <si>
    <t>1007258</t>
  </si>
  <si>
    <t>1007259</t>
  </si>
  <si>
    <t>1007260</t>
  </si>
  <si>
    <t>1007264</t>
  </si>
  <si>
    <t>1007265</t>
  </si>
  <si>
    <t>1007286</t>
  </si>
  <si>
    <t>1007287</t>
  </si>
  <si>
    <t>1007289</t>
  </si>
  <si>
    <t>1007291</t>
  </si>
  <si>
    <t>1007306</t>
  </si>
  <si>
    <t>1007307</t>
  </si>
  <si>
    <t>1007308</t>
  </si>
  <si>
    <t>1007309</t>
  </si>
  <si>
    <t>1007449</t>
  </si>
  <si>
    <t>1007450</t>
  </si>
  <si>
    <t>1007451</t>
  </si>
  <si>
    <t>1007453</t>
  </si>
  <si>
    <t>1007457</t>
  </si>
  <si>
    <t>1007460</t>
  </si>
  <si>
    <t>1007465</t>
  </si>
  <si>
    <t>1007466</t>
  </si>
  <si>
    <t>1007467</t>
  </si>
  <si>
    <t>1007532</t>
  </si>
  <si>
    <t>1007533</t>
  </si>
  <si>
    <t>1007534</t>
  </si>
  <si>
    <t>1007535</t>
  </si>
  <si>
    <t>1007559</t>
  </si>
  <si>
    <t>1007576</t>
  </si>
  <si>
    <t>1007577</t>
  </si>
  <si>
    <t>1007578</t>
  </si>
  <si>
    <t>1007579</t>
  </si>
  <si>
    <t>1007610</t>
  </si>
  <si>
    <t>1007611</t>
  </si>
  <si>
    <t>1007612</t>
  </si>
  <si>
    <t>1007613</t>
  </si>
  <si>
    <t>1007614</t>
  </si>
  <si>
    <t>1007615</t>
  </si>
  <si>
    <t>1007616</t>
  </si>
  <si>
    <t>1007617</t>
  </si>
  <si>
    <t>1007618</t>
  </si>
  <si>
    <t>1007619</t>
  </si>
  <si>
    <t>1007634</t>
  </si>
  <si>
    <t>1007635</t>
  </si>
  <si>
    <t>1007681</t>
  </si>
  <si>
    <t>1007682</t>
  </si>
  <si>
    <t>1007685</t>
  </si>
  <si>
    <t>SHI CORP</t>
  </si>
  <si>
    <t>1007686</t>
  </si>
  <si>
    <t>1007687</t>
  </si>
  <si>
    <t>1007688</t>
  </si>
  <si>
    <t>1007706</t>
  </si>
  <si>
    <t>1007707</t>
  </si>
  <si>
    <t>1007709</t>
  </si>
  <si>
    <t>1007720</t>
  </si>
  <si>
    <t>1007721</t>
  </si>
  <si>
    <t>1007722</t>
  </si>
  <si>
    <t>1007723</t>
  </si>
  <si>
    <t>1007742</t>
  </si>
  <si>
    <t>1007750</t>
  </si>
  <si>
    <t>1007751</t>
  </si>
  <si>
    <t>1007754</t>
  </si>
  <si>
    <t>1007755</t>
  </si>
  <si>
    <t>1007756</t>
  </si>
  <si>
    <t>1007764</t>
  </si>
  <si>
    <t>AGC NETWORKS INC.</t>
  </si>
  <si>
    <t>1007765</t>
  </si>
  <si>
    <t>1007766</t>
  </si>
  <si>
    <t>1007767</t>
  </si>
  <si>
    <t>1007768</t>
  </si>
  <si>
    <t>1007769</t>
  </si>
  <si>
    <t>1007785</t>
  </si>
  <si>
    <t>1007786</t>
  </si>
  <si>
    <t>1007787</t>
  </si>
  <si>
    <t>1007788</t>
  </si>
  <si>
    <t>1007792</t>
  </si>
  <si>
    <t>1007793</t>
  </si>
  <si>
    <t>1007794</t>
  </si>
  <si>
    <t>1007796</t>
  </si>
  <si>
    <t>1007797</t>
  </si>
  <si>
    <t>1007798</t>
  </si>
  <si>
    <t>1007799</t>
  </si>
  <si>
    <t>1007800</t>
  </si>
  <si>
    <t>1007801</t>
  </si>
  <si>
    <t>1007809</t>
  </si>
  <si>
    <t>1007810</t>
  </si>
  <si>
    <t>1007811</t>
  </si>
  <si>
    <t>1007814</t>
  </si>
  <si>
    <t>1007815</t>
  </si>
  <si>
    <t>1007816</t>
  </si>
  <si>
    <t>1007817</t>
  </si>
  <si>
    <t>1007818</t>
  </si>
  <si>
    <t>1007819</t>
  </si>
  <si>
    <t>1007820</t>
  </si>
  <si>
    <t>1007821</t>
  </si>
  <si>
    <t>1007822</t>
  </si>
  <si>
    <t>1007823</t>
  </si>
  <si>
    <t>1007824</t>
  </si>
  <si>
    <t>1007825</t>
  </si>
  <si>
    <t>1007826</t>
  </si>
  <si>
    <t>1007827</t>
  </si>
  <si>
    <t>1007828</t>
  </si>
  <si>
    <t>1007829</t>
  </si>
  <si>
    <t>1007830</t>
  </si>
  <si>
    <t>1007831</t>
  </si>
  <si>
    <t>1007832</t>
  </si>
  <si>
    <t>1007833</t>
  </si>
  <si>
    <t>1007838</t>
  </si>
  <si>
    <t>1007861</t>
  </si>
  <si>
    <t>1007862</t>
  </si>
  <si>
    <t>1007863</t>
  </si>
  <si>
    <t>1007864</t>
  </si>
  <si>
    <t>1007865</t>
  </si>
  <si>
    <t>1007866</t>
  </si>
  <si>
    <t>1007869</t>
  </si>
  <si>
    <t>1007870</t>
  </si>
  <si>
    <t>1007871</t>
  </si>
  <si>
    <t>1007872</t>
  </si>
  <si>
    <t>1007873</t>
  </si>
  <si>
    <t>1007874</t>
  </si>
  <si>
    <t>1007877</t>
  </si>
  <si>
    <t>1007878</t>
  </si>
  <si>
    <t>1007879</t>
  </si>
  <si>
    <t>1007880</t>
  </si>
  <si>
    <t>1007881</t>
  </si>
  <si>
    <t>1007882</t>
  </si>
  <si>
    <t>1007883</t>
  </si>
  <si>
    <t>1007884</t>
  </si>
  <si>
    <t>1007885</t>
  </si>
  <si>
    <t>1007886</t>
  </si>
  <si>
    <t>1007887</t>
  </si>
  <si>
    <t>1007888</t>
  </si>
  <si>
    <t>1007889</t>
  </si>
  <si>
    <t>1007890</t>
  </si>
  <si>
    <t>1007891</t>
  </si>
  <si>
    <t>1007892</t>
  </si>
  <si>
    <t>1007893</t>
  </si>
  <si>
    <t>1007894</t>
  </si>
  <si>
    <t>1007895</t>
  </si>
  <si>
    <t>1007896</t>
  </si>
  <si>
    <t>1007945</t>
  </si>
  <si>
    <t>1007955</t>
  </si>
  <si>
    <t>1007956</t>
  </si>
  <si>
    <t>1007957</t>
  </si>
  <si>
    <t>1007958</t>
  </si>
  <si>
    <t>1007959</t>
  </si>
  <si>
    <t>1007960</t>
  </si>
  <si>
    <t>1007961</t>
  </si>
  <si>
    <t>1007962</t>
  </si>
  <si>
    <t>1007963</t>
  </si>
  <si>
    <t>1007964</t>
  </si>
  <si>
    <t>1007965</t>
  </si>
  <si>
    <t>1007966</t>
  </si>
  <si>
    <t>1007967</t>
  </si>
  <si>
    <t>1007974</t>
  </si>
  <si>
    <t>1007979</t>
  </si>
  <si>
    <t>1007980</t>
  </si>
  <si>
    <t>1007981</t>
  </si>
  <si>
    <t>1007985</t>
  </si>
  <si>
    <t>1007986</t>
  </si>
  <si>
    <t>1007987</t>
  </si>
  <si>
    <t>1007988</t>
  </si>
  <si>
    <t>1007989</t>
  </si>
  <si>
    <t>1007999</t>
  </si>
  <si>
    <t>1008000</t>
  </si>
  <si>
    <t>1008085</t>
  </si>
  <si>
    <t>1008086</t>
  </si>
  <si>
    <t>1008087</t>
  </si>
  <si>
    <t>1008101</t>
  </si>
  <si>
    <t>1008102</t>
  </si>
  <si>
    <t>1008103</t>
  </si>
  <si>
    <t>1008104</t>
  </si>
  <si>
    <t>1008105</t>
  </si>
  <si>
    <t>1008117</t>
  </si>
  <si>
    <t>1008118</t>
  </si>
  <si>
    <t>1008119</t>
  </si>
  <si>
    <t>1008166</t>
  </si>
  <si>
    <t>1008167</t>
  </si>
  <si>
    <t>ORACLE AMERICA  INC.</t>
  </si>
  <si>
    <t>1008168</t>
  </si>
  <si>
    <t>1008169</t>
  </si>
  <si>
    <t>1008170</t>
  </si>
  <si>
    <t>1008223</t>
  </si>
  <si>
    <t>1008224</t>
  </si>
  <si>
    <t>1008225</t>
  </si>
  <si>
    <t>1008226</t>
  </si>
  <si>
    <t>1008227</t>
  </si>
  <si>
    <t>1008228</t>
  </si>
  <si>
    <t>1008229</t>
  </si>
  <si>
    <t>1008230</t>
  </si>
  <si>
    <t>1008231</t>
  </si>
  <si>
    <t>1008278</t>
  </si>
  <si>
    <t>1008279</t>
  </si>
  <si>
    <t>1008280</t>
  </si>
  <si>
    <t>1008306</t>
  </si>
  <si>
    <t>1008307</t>
  </si>
  <si>
    <t>1008310</t>
  </si>
  <si>
    <t>1008311</t>
  </si>
  <si>
    <t>1008344</t>
  </si>
  <si>
    <t>DESKTOPS, LAPTOPS, DOCKS</t>
  </si>
  <si>
    <t>1008415</t>
  </si>
  <si>
    <t>1008416</t>
  </si>
  <si>
    <t>1008417</t>
  </si>
  <si>
    <t>1008418</t>
  </si>
  <si>
    <t>1008419</t>
  </si>
  <si>
    <t>1008420</t>
  </si>
  <si>
    <t>1008421</t>
  </si>
  <si>
    <t>1008422</t>
  </si>
  <si>
    <t>1008423</t>
  </si>
  <si>
    <t>1008424</t>
  </si>
  <si>
    <t>1008425</t>
  </si>
  <si>
    <t>1008426</t>
  </si>
  <si>
    <t>1008427</t>
  </si>
  <si>
    <t>1008428</t>
  </si>
  <si>
    <t>1008429</t>
  </si>
  <si>
    <t>1008430</t>
  </si>
  <si>
    <t>1008431</t>
  </si>
  <si>
    <t>1008432</t>
  </si>
  <si>
    <t>1008433</t>
  </si>
  <si>
    <t>1008594</t>
  </si>
  <si>
    <t>1008595</t>
  </si>
  <si>
    <t>1008644</t>
  </si>
  <si>
    <t>1008713</t>
  </si>
  <si>
    <t>1008733</t>
  </si>
  <si>
    <t>CDW, WEST IP</t>
  </si>
  <si>
    <t>1008738</t>
  </si>
  <si>
    <t>1008739</t>
  </si>
  <si>
    <t>1008829</t>
  </si>
  <si>
    <t>1008830</t>
  </si>
  <si>
    <t>1008831</t>
  </si>
  <si>
    <t>1008923</t>
  </si>
  <si>
    <t>BOMGAR CORP.</t>
  </si>
  <si>
    <t>1008941</t>
  </si>
  <si>
    <t>1008975</t>
  </si>
  <si>
    <t>1009000</t>
  </si>
  <si>
    <t>1009001</t>
  </si>
  <si>
    <t>1009015</t>
  </si>
  <si>
    <t>CDW, ORACLE, GREGG</t>
  </si>
  <si>
    <t>1009017</t>
  </si>
  <si>
    <t>1009047</t>
  </si>
  <si>
    <t>1009049</t>
  </si>
  <si>
    <t>1009050</t>
  </si>
  <si>
    <t>2001001</t>
  </si>
  <si>
    <t>MISC VOIDED GLAP CKS 12/31/07</t>
  </si>
  <si>
    <t>2001002</t>
  </si>
  <si>
    <t>2001003</t>
  </si>
  <si>
    <t>2001004</t>
  </si>
  <si>
    <t>2001005</t>
  </si>
  <si>
    <t>2001006</t>
  </si>
  <si>
    <t>2001007</t>
  </si>
  <si>
    <t>2001008</t>
  </si>
  <si>
    <t>2001009</t>
  </si>
  <si>
    <t>2001010</t>
  </si>
  <si>
    <t>2001011</t>
  </si>
  <si>
    <t>PARADIGM SYSTEM SOLUTIONS</t>
  </si>
  <si>
    <t>2001012</t>
  </si>
  <si>
    <t>2001013</t>
  </si>
  <si>
    <t>2001014</t>
  </si>
  <si>
    <t>2001015</t>
  </si>
  <si>
    <t>TRUPS DISTRIBUTING</t>
  </si>
  <si>
    <t>2002087</t>
  </si>
  <si>
    <t>2002458</t>
  </si>
  <si>
    <t>2002460</t>
  </si>
  <si>
    <t>2002730</t>
  </si>
  <si>
    <t>860.1585 - Mini Computers</t>
  </si>
  <si>
    <t>102439</t>
  </si>
  <si>
    <t>163069</t>
  </si>
  <si>
    <t>160*AP.INVD*06*29</t>
  </si>
  <si>
    <t>163070</t>
  </si>
  <si>
    <t>160*AP.INVD*02*26</t>
  </si>
  <si>
    <t>163071</t>
  </si>
  <si>
    <t>163072</t>
  </si>
  <si>
    <t>160*AP.INVD*11*34</t>
  </si>
  <si>
    <t>163073</t>
  </si>
  <si>
    <t>163074</t>
  </si>
  <si>
    <t>163075</t>
  </si>
  <si>
    <t>160*AP.INVD*02*25</t>
  </si>
  <si>
    <t>163076</t>
  </si>
  <si>
    <t>163077</t>
  </si>
  <si>
    <t>160*AP.INVD*04*23</t>
  </si>
  <si>
    <t>163078</t>
  </si>
  <si>
    <t>160*AP.INVD*06*26</t>
  </si>
  <si>
    <t>163079</t>
  </si>
  <si>
    <t>2001441</t>
  </si>
  <si>
    <t>2002644</t>
  </si>
  <si>
    <t>102.1590 - Computer System Costs</t>
  </si>
  <si>
    <t>103048</t>
  </si>
  <si>
    <t>103049</t>
  </si>
  <si>
    <t>103050</t>
  </si>
  <si>
    <t>103051</t>
  </si>
  <si>
    <t>103052</t>
  </si>
  <si>
    <t>103053</t>
  </si>
  <si>
    <t>103054</t>
  </si>
  <si>
    <t>150154</t>
  </si>
  <si>
    <t>150155</t>
  </si>
  <si>
    <t>150156</t>
  </si>
  <si>
    <t>150157</t>
  </si>
  <si>
    <t>150158</t>
  </si>
  <si>
    <t>150159</t>
  </si>
  <si>
    <t>002*AP.INVD*02*69</t>
  </si>
  <si>
    <t>150160</t>
  </si>
  <si>
    <t>002*AP.INVD*01*76</t>
  </si>
  <si>
    <t>1000084</t>
  </si>
  <si>
    <t xml:space="preserve"> COMP SYS COST WTR</t>
  </si>
  <si>
    <t>1000085</t>
  </si>
  <si>
    <t>1000089</t>
  </si>
  <si>
    <t>1000513</t>
  </si>
  <si>
    <t>PROJECT PHOENIX-JDE</t>
  </si>
  <si>
    <t>1000775</t>
  </si>
  <si>
    <t>1000776</t>
  </si>
  <si>
    <t>1000779</t>
  </si>
  <si>
    <t>1000781</t>
  </si>
  <si>
    <t>1000985</t>
  </si>
  <si>
    <t>1001583</t>
  </si>
  <si>
    <t>1001584</t>
  </si>
  <si>
    <t>1001585</t>
  </si>
  <si>
    <t>1001590</t>
  </si>
  <si>
    <t>1001735</t>
  </si>
  <si>
    <t>1001736</t>
  </si>
  <si>
    <t>1001738</t>
  </si>
  <si>
    <t>1002043</t>
  </si>
  <si>
    <t>1002165</t>
  </si>
  <si>
    <t>T61</t>
  </si>
  <si>
    <t>1002240</t>
  </si>
  <si>
    <t>T61 CUSTOM</t>
  </si>
  <si>
    <t>1002314</t>
  </si>
  <si>
    <t>XEROX PHASER 5500DX</t>
  </si>
  <si>
    <t>1002633</t>
  </si>
  <si>
    <t>DESKTOP COMPUTER</t>
  </si>
  <si>
    <t>1002921</t>
  </si>
  <si>
    <t>1002981</t>
  </si>
  <si>
    <t>1002982</t>
  </si>
  <si>
    <t>1002984</t>
  </si>
  <si>
    <t>1002985</t>
  </si>
  <si>
    <t>1002986</t>
  </si>
  <si>
    <t>1003550</t>
  </si>
  <si>
    <t>1003551</t>
  </si>
  <si>
    <t>1003552</t>
  </si>
  <si>
    <t>1003553</t>
  </si>
  <si>
    <t>1003555</t>
  </si>
  <si>
    <t>1003556</t>
  </si>
  <si>
    <t>1003579</t>
  </si>
  <si>
    <t>ACER VERITONS</t>
  </si>
  <si>
    <t>1003617</t>
  </si>
  <si>
    <t>1003618</t>
  </si>
  <si>
    <t>1003619</t>
  </si>
  <si>
    <t>1003620</t>
  </si>
  <si>
    <t>1003621</t>
  </si>
  <si>
    <t>1003859</t>
  </si>
  <si>
    <t>1003903</t>
  </si>
  <si>
    <t>1004104</t>
  </si>
  <si>
    <t>1004191</t>
  </si>
  <si>
    <t>LENOVO X200</t>
  </si>
  <si>
    <t>1004207</t>
  </si>
  <si>
    <t>Lenovo x200</t>
  </si>
  <si>
    <t>1004365</t>
  </si>
  <si>
    <t>1005082</t>
  </si>
  <si>
    <t xml:space="preserve"> Image Scanning System</t>
  </si>
  <si>
    <t>1005922</t>
  </si>
  <si>
    <t>DOUBLE TAKE AVAILABILITY</t>
  </si>
  <si>
    <t>1005932</t>
  </si>
  <si>
    <t>SHORETEL OUTBOUND CAMPAIGN IVR</t>
  </si>
  <si>
    <t>1006470</t>
  </si>
  <si>
    <t>1007267</t>
  </si>
  <si>
    <t>JDE Upgrade 9.1</t>
  </si>
  <si>
    <t>1008084</t>
  </si>
  <si>
    <t>ORACLE</t>
  </si>
  <si>
    <t>1008712</t>
  </si>
  <si>
    <t>1008744</t>
  </si>
  <si>
    <t>2002038</t>
  </si>
  <si>
    <t>2002039</t>
  </si>
  <si>
    <t>2002041</t>
  </si>
  <si>
    <t>2002051</t>
  </si>
  <si>
    <t>2002490</t>
  </si>
  <si>
    <t>2002493</t>
  </si>
  <si>
    <t>2002494</t>
  </si>
  <si>
    <t>2002496</t>
  </si>
  <si>
    <t>2002497</t>
  </si>
  <si>
    <t>2002498</t>
  </si>
  <si>
    <t>2003520</t>
  </si>
  <si>
    <t>PROJECT PHOENIX-CC&amp;B</t>
  </si>
  <si>
    <t>5000569</t>
  </si>
  <si>
    <t>DATA CENTER RELOCATION PROJECT</t>
  </si>
  <si>
    <t>5000570</t>
  </si>
  <si>
    <t>Less: "Project Phoenix" Costs</t>
  </si>
  <si>
    <t>Adjusted Account Total</t>
  </si>
  <si>
    <t>102.1595 - Micro Systems Costs</t>
  </si>
  <si>
    <t>103056</t>
  </si>
  <si>
    <t>SE1D PC SOFTWARE MICRO SYS AMO</t>
  </si>
  <si>
    <t>103057</t>
  </si>
  <si>
    <t>103058</t>
  </si>
  <si>
    <t>103059</t>
  </si>
  <si>
    <t>103060</t>
  </si>
  <si>
    <t>150161</t>
  </si>
  <si>
    <t>150162</t>
  </si>
  <si>
    <t>150163</t>
  </si>
  <si>
    <t>150164</t>
  </si>
  <si>
    <t>002*AP.INVD*06*85</t>
  </si>
  <si>
    <t>150165</t>
  </si>
  <si>
    <t>002*AP.INVD*11*78</t>
  </si>
  <si>
    <t>150166</t>
  </si>
  <si>
    <t>150167</t>
  </si>
  <si>
    <t>150168</t>
  </si>
  <si>
    <t>150169</t>
  </si>
  <si>
    <t>002*AP.INVD*05*86</t>
  </si>
  <si>
    <t>150170</t>
  </si>
  <si>
    <t>150171</t>
  </si>
  <si>
    <t>150172</t>
  </si>
  <si>
    <t>150173</t>
  </si>
  <si>
    <t>002*AP.INVD*09*96</t>
  </si>
  <si>
    <t>150174</t>
  </si>
  <si>
    <t>150175</t>
  </si>
  <si>
    <t>002*AP.INVD*04*66</t>
  </si>
  <si>
    <t>150176</t>
  </si>
  <si>
    <t>150177</t>
  </si>
  <si>
    <t>150178</t>
  </si>
  <si>
    <t>150179</t>
  </si>
  <si>
    <t>150180</t>
  </si>
  <si>
    <t>002*AP.INVD*03*75</t>
  </si>
  <si>
    <t>150181</t>
  </si>
  <si>
    <t>150182</t>
  </si>
  <si>
    <t>2000118</t>
  </si>
  <si>
    <t>MICRO SYS COST WATER</t>
  </si>
  <si>
    <t>2002037</t>
  </si>
  <si>
    <t>2002052</t>
  </si>
  <si>
    <t>2002642</t>
  </si>
  <si>
    <t>2002651</t>
  </si>
  <si>
    <t>860.1595 - Micro Systems Costs</t>
  </si>
  <si>
    <t>102466</t>
  </si>
  <si>
    <t>Total Computers, net of Project Phoenix</t>
  </si>
  <si>
    <t>Computers, net of Project Phoenix</t>
  </si>
  <si>
    <t>Pro-Forma 2015 Additions</t>
  </si>
  <si>
    <t>102590</t>
  </si>
  <si>
    <t>03 CHEV C15</t>
  </si>
  <si>
    <t>102637</t>
  </si>
  <si>
    <t>03 FORD F150 PICKUP</t>
  </si>
  <si>
    <t>102697</t>
  </si>
  <si>
    <t>04 CHEV KODIAK 7500</t>
  </si>
  <si>
    <t>102945</t>
  </si>
  <si>
    <t>WSC KY VEHICLES</t>
  </si>
  <si>
    <t>163067</t>
  </si>
  <si>
    <t>08 CHV COLORADO 4X2</t>
  </si>
  <si>
    <t>163068</t>
  </si>
  <si>
    <t>08 CHV SILVERADO 15</t>
  </si>
  <si>
    <t>1003733</t>
  </si>
  <si>
    <t>BREDEMANN CHEVROLET</t>
  </si>
  <si>
    <t>1003734</t>
  </si>
  <si>
    <t>1005436</t>
  </si>
  <si>
    <t>2011 CHEVROLET K1500 EXT CAB</t>
  </si>
  <si>
    <t>1005444</t>
  </si>
  <si>
    <t>2011 CHEVROLET SILVERADO</t>
  </si>
  <si>
    <t>1005689</t>
  </si>
  <si>
    <t>2011 TOYOTA PRIUS</t>
  </si>
  <si>
    <t>1007046</t>
  </si>
  <si>
    <t>CHEVY SILVERADO</t>
  </si>
  <si>
    <t>1007051</t>
  </si>
  <si>
    <t>2003092</t>
  </si>
  <si>
    <t>KUBOTA RTV 900 (4X4)</t>
  </si>
  <si>
    <t>102829</t>
  </si>
  <si>
    <t>06 TOYOTA HIGHLANDER HYBRID</t>
  </si>
  <si>
    <t>102758</t>
  </si>
  <si>
    <t>06 CHEV C15 4X4</t>
  </si>
  <si>
    <t>KY-1</t>
  </si>
  <si>
    <t>VEHICLE REPLACEMENT</t>
  </si>
  <si>
    <t>KY-2</t>
  </si>
  <si>
    <t>KY-3</t>
  </si>
  <si>
    <t>KY-4</t>
  </si>
  <si>
    <t>1007004</t>
  </si>
  <si>
    <t>2014 CHEVY EQUINOX - HAAS VEHICLE</t>
  </si>
  <si>
    <t>Pro Forma Vehicles</t>
  </si>
  <si>
    <t>per w/p [p]</t>
  </si>
  <si>
    <t>per w/p [o]</t>
  </si>
  <si>
    <t>Work in process on books at 06/30/15</t>
  </si>
  <si>
    <t>[p]</t>
  </si>
  <si>
    <t>Removal of Employee Expense Reports</t>
  </si>
  <si>
    <t>Obj Act</t>
  </si>
  <si>
    <t>Removed</t>
  </si>
  <si>
    <t>To Be Removed</t>
  </si>
  <si>
    <t>*Excluded on wp-L Transportation Expense</t>
  </si>
  <si>
    <t>First 13,000</t>
  </si>
  <si>
    <t>Next 12,000</t>
  </si>
  <si>
    <t>First 21,400</t>
  </si>
  <si>
    <t>Next 3,600</t>
  </si>
  <si>
    <t>Total Middlesboro  Municipal Fire Protection Sprinkler</t>
  </si>
  <si>
    <t>Average Middlesboro  Municipal Fire Protection Sprinkler</t>
  </si>
  <si>
    <t>Total Middlesboro Middlesboro Municipal Fire Protection WIND</t>
  </si>
  <si>
    <t>Average Middlesboro Municipal Fire Protection WIND</t>
  </si>
  <si>
    <t>Middlesboro Govt Water Fire Protection</t>
  </si>
  <si>
    <t>Total Middlesboro Govt Water Fire Protection</t>
  </si>
  <si>
    <t>Average Middlesboro Govt Water Fire Protection</t>
  </si>
  <si>
    <t xml:space="preserve">Multi Residential  1" Meter </t>
  </si>
  <si>
    <t xml:space="preserve">Total Multi Residential  1" Meter </t>
  </si>
  <si>
    <t>Average Multi Residential  1" Bill</t>
  </si>
  <si>
    <t xml:space="preserve">Residential 2" Meter </t>
  </si>
  <si>
    <t xml:space="preserve">Total Residential 2" Meter </t>
  </si>
  <si>
    <t>Average Residential 2" Bill</t>
  </si>
  <si>
    <t xml:space="preserve">Multi Residential  2" Meter </t>
  </si>
  <si>
    <t xml:space="preserve">Total Multi Residential  2" Meter </t>
  </si>
  <si>
    <t>Average Multi Residential  2" Bill</t>
  </si>
  <si>
    <t xml:space="preserve">Commercial  6" Meter </t>
  </si>
  <si>
    <t>First 250,000</t>
  </si>
  <si>
    <t>Next 250,000</t>
  </si>
  <si>
    <t xml:space="preserve">Total Commercial  6" Meter </t>
  </si>
  <si>
    <t>Average Clinton Hydrant Private</t>
  </si>
  <si>
    <t xml:space="preserve">Total Clinton  Sprinkler Private </t>
  </si>
  <si>
    <t xml:space="preserve">Average Clinton Sprinkler Private </t>
  </si>
  <si>
    <t xml:space="preserve">  Clinton Municipal Hydrant</t>
  </si>
  <si>
    <t>Total Clinton Municiple Hydrant</t>
  </si>
  <si>
    <t xml:space="preserve">Average Clinton Municiple Hydrant </t>
  </si>
  <si>
    <t>Pro Forma Change</t>
  </si>
  <si>
    <t>Total - Chemicals</t>
  </si>
  <si>
    <t>T</t>
  </si>
  <si>
    <t>U</t>
  </si>
  <si>
    <t>V</t>
  </si>
  <si>
    <t>Summary of Salary Adjustments</t>
  </si>
  <si>
    <t>Salaries - Operations</t>
  </si>
  <si>
    <t>Salaries - Office/Corp</t>
  </si>
  <si>
    <t>Captime Charged to Plant</t>
  </si>
  <si>
    <t>Totals</t>
  </si>
  <si>
    <t>w/p [t-1]</t>
  </si>
  <si>
    <t>Cost of Service Study</t>
  </si>
  <si>
    <t>"Revenues at Present and Proposed Rates"</t>
  </si>
  <si>
    <t>PRESENT</t>
  </si>
  <si>
    <t>PROPOSED</t>
  </si>
  <si>
    <t xml:space="preserve"> COST OF</t>
  </si>
  <si>
    <t>LINE</t>
  </si>
  <si>
    <t xml:space="preserve">               ITEM</t>
  </si>
  <si>
    <t>RATES</t>
  </si>
  <si>
    <t>BILL ANALYSIS</t>
  </si>
  <si>
    <t>ADJUSTMENT</t>
  </si>
  <si>
    <t xml:space="preserve"> SERVICE</t>
  </si>
  <si>
    <t>BASE CHARGE, MONTHLY</t>
  </si>
  <si>
    <t>5/8"</t>
  </si>
  <si>
    <t>Commercial cost per bill</t>
  </si>
  <si>
    <t>3/4"</t>
  </si>
  <si>
    <t>Other cost for equivalent meters</t>
  </si>
  <si>
    <t>1"</t>
  </si>
  <si>
    <t>Other cost for equivalent services</t>
  </si>
  <si>
    <t>1.5"</t>
  </si>
  <si>
    <t>2"</t>
  </si>
  <si>
    <t>3"</t>
  </si>
  <si>
    <t>4"</t>
  </si>
  <si>
    <t>6"</t>
  </si>
  <si>
    <t>Total Bills</t>
  </si>
  <si>
    <t xml:space="preserve"> </t>
  </si>
  <si>
    <t>TOTAL CUSTOMER CHARGE REVENUES</t>
  </si>
  <si>
    <t>USAGE CHARGES</t>
  </si>
  <si>
    <t>(1000 GALLONS)</t>
  </si>
  <si>
    <t>Total Usage</t>
  </si>
  <si>
    <t>USAGE CHARGE REVENUES</t>
  </si>
  <si>
    <t>Diff</t>
  </si>
  <si>
    <t>Availibility</t>
  </si>
  <si>
    <t>BFC</t>
  </si>
  <si>
    <t>Usage</t>
  </si>
  <si>
    <t>w/p [t-2]</t>
  </si>
  <si>
    <t>TOTAL METERED REVENUES</t>
  </si>
  <si>
    <t>AND AVAILABILITY CHARGE REVENUES</t>
  </si>
  <si>
    <t xml:space="preserve">OTHER  </t>
  </si>
  <si>
    <t>VARIABLE</t>
  </si>
  <si>
    <t>OPERATING</t>
  </si>
  <si>
    <t>NON-METERED</t>
  </si>
  <si>
    <t>NON-METERED REVENUES</t>
  </si>
  <si>
    <t>TARGET REVENUES</t>
  </si>
  <si>
    <t xml:space="preserve"> ALLOCATION FACTORS</t>
  </si>
  <si>
    <t>SOURCE OF SUPPLY (2)</t>
  </si>
  <si>
    <t>(Cust.)</t>
  </si>
  <si>
    <t>(Factor)</t>
  </si>
  <si>
    <t>PUMPING (3)</t>
  </si>
  <si>
    <t>Full Service Customers</t>
  </si>
  <si>
    <t>Availability Customers</t>
  </si>
  <si>
    <t>MAINS (1)</t>
  </si>
  <si>
    <t>TREATMENT (4)</t>
  </si>
  <si>
    <t>Total Customers</t>
  </si>
  <si>
    <t>SERVICES (6)</t>
  </si>
  <si>
    <t>STORAGE (7)</t>
  </si>
  <si>
    <t>Total Services</t>
  </si>
  <si>
    <t>(10)   Availability</t>
  </si>
  <si>
    <t>(11)  Uncollectibles</t>
  </si>
  <si>
    <t>Cost of Service</t>
  </si>
  <si>
    <t xml:space="preserve">       Availability</t>
  </si>
  <si>
    <t xml:space="preserve">           Commercial Cost/Bill</t>
  </si>
  <si>
    <t xml:space="preserve">           Revenue Requested</t>
  </si>
  <si>
    <t xml:space="preserve">           Number of Bills</t>
  </si>
  <si>
    <t xml:space="preserve">           Availability Rate</t>
  </si>
  <si>
    <t>w/p [t-3]</t>
  </si>
  <si>
    <t>"Plant in Service Allocation"</t>
  </si>
  <si>
    <t>PLANT IN</t>
  </si>
  <si>
    <t xml:space="preserve">   ALLOCATED TO</t>
  </si>
  <si>
    <t>DESCRIPTION</t>
  </si>
  <si>
    <t>SERVICE</t>
  </si>
  <si>
    <t>USAGE</t>
  </si>
  <si>
    <t>AVAILABILITY</t>
  </si>
  <si>
    <t>SERVICES</t>
  </si>
  <si>
    <t>CODE</t>
  </si>
  <si>
    <t>INTANGIBLE PLANT (3nn.1)</t>
  </si>
  <si>
    <t>(1)*</t>
  </si>
  <si>
    <t>SOURCE OF SUPPLY (3nn.2)</t>
  </si>
  <si>
    <t>PUMPING PLANT (3nn.3)</t>
  </si>
  <si>
    <t>WATER TREATMENT PLANT (3nn.4)</t>
  </si>
  <si>
    <t>TRANSMISSION AND DISTRIBUTION (3nn.5)</t>
  </si>
  <si>
    <t xml:space="preserve"> Mains (331.5)</t>
  </si>
  <si>
    <t xml:space="preserve"> Meters (334.5)</t>
  </si>
  <si>
    <t>(5)</t>
  </si>
  <si>
    <t xml:space="preserve"> Services (333.5)</t>
  </si>
  <si>
    <t>(6)</t>
  </si>
  <si>
    <t xml:space="preserve"> Hydrants (335.5)</t>
  </si>
  <si>
    <t xml:space="preserve"> Storage (330.5)</t>
  </si>
  <si>
    <t xml:space="preserve"> Other Plant &amp; Misc. Equip. (339)</t>
  </si>
  <si>
    <t>(8)</t>
  </si>
  <si>
    <t>GENERAL PLANT (3nn.6)</t>
  </si>
  <si>
    <t>RECONCILIATION</t>
  </si>
  <si>
    <t>TOTAL PLANT IN SERVICE</t>
  </si>
  <si>
    <t>(9)</t>
  </si>
  <si>
    <t>Distribution Plant Allocator</t>
  </si>
  <si>
    <t xml:space="preserve"> Total Distribution Plant</t>
  </si>
  <si>
    <t xml:space="preserve"> Percentage</t>
  </si>
  <si>
    <t>Fixed</t>
  </si>
  <si>
    <t>Variable</t>
  </si>
  <si>
    <t>w/p [t-4]</t>
  </si>
  <si>
    <t>"Revenue Requirement Allocation"</t>
  </si>
  <si>
    <t>OPERATION &amp;</t>
  </si>
  <si>
    <t>PER COMPANY</t>
  </si>
  <si>
    <t>ADJUSTMENTS</t>
  </si>
  <si>
    <t>MAINTENANCE</t>
  </si>
  <si>
    <t>BILLING</t>
  </si>
  <si>
    <t>SOURCE OF SUPPLY (6nn.1)</t>
  </si>
  <si>
    <t>(10)</t>
  </si>
  <si>
    <t>PUMPING EXPENSES</t>
  </si>
  <si>
    <t xml:space="preserve"> Electrical (615.2)</t>
  </si>
  <si>
    <t>(10)*</t>
  </si>
  <si>
    <t xml:space="preserve"> Other (6nn.2 &amp; 6nn.3)</t>
  </si>
  <si>
    <t>WATER TREATMENT EXPENSE</t>
  </si>
  <si>
    <t xml:space="preserve"> Chemicals (618.4)</t>
  </si>
  <si>
    <t xml:space="preserve"> Other (6nn.4 &amp; 6nn.5))</t>
  </si>
  <si>
    <t>TRANSMISSION AND DISTRIBUTION</t>
  </si>
  <si>
    <t xml:space="preserve"> Supervision</t>
  </si>
  <si>
    <t xml:space="preserve"> Mains</t>
  </si>
  <si>
    <t xml:space="preserve"> Storage/Structures/Hydrants</t>
  </si>
  <si>
    <t>(7)</t>
  </si>
  <si>
    <t xml:space="preserve"> Meters</t>
  </si>
  <si>
    <t xml:space="preserve"> Services</t>
  </si>
  <si>
    <t xml:space="preserve"> Misc, Rents, Other Plant</t>
  </si>
  <si>
    <t>CUSTOMER ACCOUNTS EXPENSE</t>
  </si>
  <si>
    <t xml:space="preserve"> Remainder excl. uncol. &amp; Meter Reading &amp; Billling (6nn.8)</t>
  </si>
  <si>
    <t>(15)</t>
  </si>
  <si>
    <t xml:space="preserve"> Meter Reading and Billing</t>
  </si>
  <si>
    <t>(13)</t>
  </si>
  <si>
    <t>ADMINISTRATIVE AND GENERAL (6nn.9)</t>
  </si>
  <si>
    <t>(11)</t>
  </si>
  <si>
    <t>Uncollectible (670.8)</t>
  </si>
  <si>
    <t>(14)</t>
  </si>
  <si>
    <t>SUBTOTAL OPER. &amp; MAIN.</t>
  </si>
  <si>
    <t>TOTAL OPERATION &amp; MAINTENANCE</t>
  </si>
  <si>
    <t>Depreciation (403)</t>
  </si>
  <si>
    <t>Other Taxes (408)</t>
  </si>
  <si>
    <t>Income Taxes (409)</t>
  </si>
  <si>
    <t>Utility Operating Income</t>
  </si>
  <si>
    <t>REVENUES REQUIRED</t>
  </si>
  <si>
    <t>w/p [t-5]</t>
  </si>
  <si>
    <t>"Equivalent Meters and Services"</t>
  </si>
  <si>
    <t>ITEM</t>
  </si>
  <si>
    <t>METER</t>
  </si>
  <si>
    <t>RESIDENTIAL</t>
  </si>
  <si>
    <t>COMMERCIAL</t>
  </si>
  <si>
    <t>INDUSTRIAL</t>
  </si>
  <si>
    <t>METER SIZE</t>
  </si>
  <si>
    <t>Equivalent Meters</t>
  </si>
  <si>
    <t>Equivalent Services</t>
  </si>
  <si>
    <t>w/p [t-6]</t>
  </si>
  <si>
    <t>“Explanation of Allocation Codes”</t>
  </si>
  <si>
    <t>1*</t>
  </si>
  <si>
    <t>This Code refers to allocations made between Full Service Customers and Availability Customers based on the ratio to Total Customers.</t>
  </si>
  <si>
    <t>This Code refers to allocations made between Full Service Customers and Availability Customers based on the ratio of Well Capacity currently utilized by Full Service customers.</t>
  </si>
  <si>
    <t>This Code refers to allocations made between Full Service Customers and Availability Customers based on the ratio of Pumping Capacity currently utilized by Full Service customers.</t>
  </si>
  <si>
    <t>This Code refers to allocations made between Full Service Customers and Availability Customers based on the ratio of Treatment Capacity currently utilized by Full Service customers.</t>
  </si>
  <si>
    <t>This Code refers to allocations made 100% to Meters.</t>
  </si>
  <si>
    <t>This Code refers to allocations made between Full Service Customers and Availability Customers based on the number of customers with services.</t>
  </si>
  <si>
    <t>This Code refers to allocations made between Full Service Customers and Availability Customers based on the ratio of Storage Capacity currently utilized by usage customers.</t>
  </si>
  <si>
    <t>This Code refers to allocations made among the subgroups of Usage Customers, Availability Customers, Meters and Services, and based on each subgroup’s Total Plant in Service, less General Plant as a percentage of Total Plant in Service, less General Plant.</t>
  </si>
  <si>
    <t>This Code refers to allocations made among the subgroups of Usage Customers, Availability Customers, Meters and Services, and based on each subgroup’s Total Plant in Service as a percentage of Total Plant in Service.</t>
  </si>
  <si>
    <t>10*</t>
  </si>
  <si>
    <t>This Code refers to allocations made 100% to Full Service Customers.</t>
  </si>
  <si>
    <t>This Code refers to allocations made to each subgroup based upon each subgroup’s Total O&amp;M, less A&amp;G, as a percentage of Total O&amp;M, less A&amp;G.</t>
  </si>
  <si>
    <t>This Code refers to allocations made 100% to Availability Customers.</t>
  </si>
  <si>
    <t>This Code refers to allocations made 100% to Billing.</t>
  </si>
  <si>
    <t>This Code refers to allocations made to each subgroup based upon each subgroups Total O&amp;M, less A&amp;G and uncollectible, as a percentage of Total O&amp;M, less A&amp;G and uncollectible.</t>
  </si>
  <si>
    <t>This Code refers to allocations made to each subgroup based upon each subgroups Total O&amp;M, less A&amp;G, uncollectible, and Remainder excl. uncol. &amp; Meter Reading &amp; Billing, as a percentage of Total O&amp;M, less A&amp;G, uncollectible, and Remainder excl. uncol. &amp; Meter Reading &amp; Billing.</t>
  </si>
  <si>
    <t>Please note that Codes 1 and 10 have been adjusted to reflect a 40/60 split to account for fixed and variable components.</t>
  </si>
  <si>
    <t xml:space="preserve">Plant In Service </t>
  </si>
  <si>
    <t>Water Plant in Service</t>
  </si>
  <si>
    <t xml:space="preserve">Intangible Plant </t>
  </si>
  <si>
    <t xml:space="preserve">Source of Supply </t>
  </si>
  <si>
    <t xml:space="preserve">Pumping plant </t>
  </si>
  <si>
    <t xml:space="preserve">Water Treatment Plant </t>
  </si>
  <si>
    <t xml:space="preserve">Transmission and Distribution </t>
  </si>
  <si>
    <t xml:space="preserve">Mains </t>
  </si>
  <si>
    <t xml:space="preserve">Meters </t>
  </si>
  <si>
    <t>Services</t>
  </si>
  <si>
    <t xml:space="preserve">Hydrants </t>
  </si>
  <si>
    <t xml:space="preserve">Storage </t>
  </si>
  <si>
    <t xml:space="preserve">General Plant </t>
  </si>
  <si>
    <t>plus proforma plant</t>
  </si>
  <si>
    <t>Total Water Plant in Service</t>
  </si>
  <si>
    <t>Wastewater Plant in Service</t>
  </si>
  <si>
    <t>Collection Plant</t>
  </si>
  <si>
    <t>System Pumping Plant</t>
  </si>
  <si>
    <t>Treatment and Disposal Plant</t>
  </si>
  <si>
    <t>Reclaim Water Treat &amp; Dist Plant</t>
  </si>
  <si>
    <t>General Plant</t>
  </si>
  <si>
    <t>Total Wastewater Plant in Service</t>
  </si>
  <si>
    <t xml:space="preserve">Total Plant in Service </t>
  </si>
  <si>
    <t>Source of Supply</t>
  </si>
  <si>
    <t>Rev</t>
  </si>
  <si>
    <t xml:space="preserve">Pumping Expense </t>
  </si>
  <si>
    <t xml:space="preserve">Electrical </t>
  </si>
  <si>
    <t xml:space="preserve">Other </t>
  </si>
  <si>
    <t xml:space="preserve">Water Treatment Expense </t>
  </si>
  <si>
    <t xml:space="preserve">Chemicals </t>
  </si>
  <si>
    <t xml:space="preserve">Supervision </t>
  </si>
  <si>
    <t xml:space="preserve">Storage/Structures </t>
  </si>
  <si>
    <t xml:space="preserve">Services </t>
  </si>
  <si>
    <t xml:space="preserve">Misc, Rents, Other Plant </t>
  </si>
  <si>
    <t xml:space="preserve">Customer Accounts Expense </t>
  </si>
  <si>
    <t>Remainder excl. Uncoll</t>
  </si>
  <si>
    <t xml:space="preserve">Sales Expense </t>
  </si>
  <si>
    <t xml:space="preserve">Administrative And General </t>
  </si>
  <si>
    <t xml:space="preserve">Uncollectible </t>
  </si>
  <si>
    <t xml:space="preserve">Sub total Oper Main </t>
  </si>
  <si>
    <t xml:space="preserve">Reconciliation </t>
  </si>
  <si>
    <t xml:space="preserve">Total Operating and Maintenance </t>
  </si>
  <si>
    <t xml:space="preserve">Depreciation </t>
  </si>
  <si>
    <t xml:space="preserve">Other Taxes </t>
  </si>
  <si>
    <t xml:space="preserve">Income Taxes </t>
  </si>
  <si>
    <t xml:space="preserve">Utility Operating Income </t>
  </si>
  <si>
    <t>Distrubtion of Income Statement Items to ECOSS</t>
  </si>
  <si>
    <t>Page 2 of 4</t>
  </si>
  <si>
    <t>PUMPING</t>
  </si>
  <si>
    <t xml:space="preserve">WATER TREATMENT </t>
  </si>
  <si>
    <t>TRANSMISSION &amp; DISTRIBUTION</t>
  </si>
  <si>
    <t>CUSTOMER</t>
  </si>
  <si>
    <t>A&amp;G</t>
  </si>
  <si>
    <t>NON-O&amp;M</t>
  </si>
  <si>
    <t>Electrical</t>
  </si>
  <si>
    <t>Supevision</t>
  </si>
  <si>
    <t>Mains</t>
  </si>
  <si>
    <t>Storage/Struc</t>
  </si>
  <si>
    <t>Stor/Struct/Hyd</t>
  </si>
  <si>
    <t>Misc Rents etc</t>
  </si>
  <si>
    <t>Sales</t>
  </si>
  <si>
    <t>General</t>
  </si>
  <si>
    <t>Other Taxes</t>
  </si>
  <si>
    <t>Inc Taxes</t>
  </si>
  <si>
    <t>Op Inc</t>
  </si>
  <si>
    <t>REQUIRED</t>
  </si>
  <si>
    <t>Revenues Required</t>
  </si>
  <si>
    <t>ü</t>
  </si>
  <si>
    <t>Purchased Water</t>
  </si>
  <si>
    <t>Operating Exp. Cap time Charged to Plant</t>
  </si>
  <si>
    <t>Distrubtion of Plant in Service to ECOSS</t>
  </si>
  <si>
    <t>Intangible</t>
  </si>
  <si>
    <t>Source of</t>
  </si>
  <si>
    <t>Pumping</t>
  </si>
  <si>
    <t>Treatment</t>
  </si>
  <si>
    <t>Transmission</t>
  </si>
  <si>
    <t>AC #</t>
  </si>
  <si>
    <t>Supply</t>
  </si>
  <si>
    <t>Distribution</t>
  </si>
  <si>
    <t>Storage</t>
  </si>
  <si>
    <t>FRANCHISES</t>
  </si>
  <si>
    <t>LAND &amp; LAND RIGHTS PUMP</t>
  </si>
  <si>
    <t>LAND &amp; LAND RIGHTS WTR TRT</t>
  </si>
  <si>
    <t>LAND &amp; LAND RIGHTS TRANS DIST</t>
  </si>
  <si>
    <t>COLLECTING RESERVOIRS</t>
  </si>
  <si>
    <t>POWER GENERATION EQUIP</t>
  </si>
  <si>
    <t>BACKFLOW PREVENTION DEVICES</t>
  </si>
  <si>
    <t>OTH PLT&amp;MISC EQUIP WTP</t>
  </si>
  <si>
    <t>CURRENT UTILITY PLANT IN SERVICE</t>
  </si>
  <si>
    <t>UTILITY PLANT IN SERVICE</t>
  </si>
  <si>
    <t>Ortega, Jennifer</t>
  </si>
  <si>
    <t>AIAC Balance Support</t>
  </si>
  <si>
    <t>Pro Forma GL Capital</t>
  </si>
  <si>
    <t>Vendor : CITY OF CLINTON WASTE WATER OP</t>
  </si>
  <si>
    <t>Service Period</t>
  </si>
  <si>
    <t># of Payments</t>
  </si>
  <si>
    <t>Payment Fee</t>
  </si>
  <si>
    <t>Average # of Payments</t>
  </si>
  <si>
    <t>Clinton Check Collection Fee</t>
  </si>
  <si>
    <t>Net Book Value</t>
  </si>
  <si>
    <t>Restate 06/30/15 A/D per Straight Line</t>
  </si>
  <si>
    <t>Restate 06/30/15 NBV per Straight Line</t>
  </si>
  <si>
    <t>X</t>
  </si>
  <si>
    <t>Y</t>
  </si>
  <si>
    <t>Revenue - Pro Forma Change Bridge</t>
  </si>
  <si>
    <t>Account #</t>
  </si>
  <si>
    <t>Remove: Out-of Period Adj</t>
  </si>
  <si>
    <t>Remove: Clinton Detention Center</t>
  </si>
  <si>
    <t>WATER REVENUE-RESIDENTIAL</t>
  </si>
  <si>
    <t>WATER REVENUE-COMMERCIAL</t>
  </si>
  <si>
    <t>WATER REVENUE-INDUSTRIAL</t>
  </si>
  <si>
    <t>WATER REVENUE-PUBLIC AUTH</t>
  </si>
  <si>
    <t>WATER REVENUE-MULT FAM DWE</t>
  </si>
  <si>
    <t>Explanation of Allocation Codes</t>
  </si>
  <si>
    <t>w/p [t-7]</t>
  </si>
  <si>
    <t>w/p [t-8]</t>
  </si>
  <si>
    <t>w/p [t-9]</t>
  </si>
  <si>
    <t>Revenues at Present and Proposed Rates</t>
  </si>
  <si>
    <t>Revenues at Present and Proposed Rates (continued)</t>
  </si>
  <si>
    <t>Revenue Requirement Allocation</t>
  </si>
  <si>
    <t>Equivalent Meters and Services</t>
  </si>
  <si>
    <t>WSCKY Summary</t>
  </si>
  <si>
    <t>Cost of Service Study (COSS)</t>
  </si>
  <si>
    <t>Remove: Other</t>
  </si>
  <si>
    <t>Usage Normalization Adjustment</t>
  </si>
  <si>
    <t>Annualization of Test Year Revenues at Current Rates</t>
  </si>
  <si>
    <t>Pro Forma Present Service Revenues</t>
  </si>
  <si>
    <t>Regulatory commission expense has been adjusted.  Support for this change can be found on w/p [d]</t>
  </si>
  <si>
    <t>Support for this change can be found on w/p [s]</t>
  </si>
  <si>
    <t>Adjusted based on the percentage of uncollectible accounts to revenues in the test year applied to annualized and pro forma proposed revenues.  Support can be found on w/p [a]</t>
  </si>
  <si>
    <t>Salaries, Wages and Benefits are adjusted to annualize as of the end of the year.  Support for this change can be found on w/p [b]</t>
  </si>
  <si>
    <t>Operating expense charged to plant has been adjusted for projected increases in salaries, taxes, and benefits for operators.  Support for this change can be found on w/p [b]</t>
  </si>
  <si>
    <t>Depreciation and Amortization Expense are annualized.  Depreciation expense represents gross depreciable plant at the end of the year multiplied by their respective depreciation rates.  w/p [f]</t>
  </si>
  <si>
    <t>Taxes Other than Income is adjusted for annualized payroll taxes and Utility Commission Taxes.  Support for this change can be found on w/p [e]</t>
  </si>
  <si>
    <t>Income taxes are computed on taxable income at current rates.  Support for this change can be found on w/p [g]</t>
  </si>
  <si>
    <t>Support for this change can be found on w/p [m].</t>
  </si>
  <si>
    <t>Removal of 2013 Rate Case Appeal and Show Cause Case Legal Costs - Support for this change can be found on w/p [n]</t>
  </si>
  <si>
    <t>[c] [l]</t>
  </si>
  <si>
    <t>Support for this change can be found on w/p [j]</t>
  </si>
  <si>
    <t>[j] [l]</t>
  </si>
  <si>
    <t>[m] [q]</t>
  </si>
  <si>
    <t>[q]</t>
  </si>
  <si>
    <t>Support for this change can be found on w/p [k]</t>
  </si>
  <si>
    <t>Support for this change can be found on w/p [l]</t>
  </si>
  <si>
    <t>Support for this change can be found on w/p [r]</t>
  </si>
  <si>
    <t>Amortization of PAA has been removed for rate making purposes</t>
  </si>
  <si>
    <t>Support for this change can be found on w/p [h]</t>
  </si>
  <si>
    <t>Class</t>
  </si>
  <si>
    <t>Meter Size</t>
  </si>
  <si>
    <t>Units</t>
  </si>
  <si>
    <t>Residential</t>
  </si>
  <si>
    <t>Commercial</t>
  </si>
  <si>
    <t>Governmental</t>
  </si>
  <si>
    <t>Industrial</t>
  </si>
  <si>
    <t>Multi Residential</t>
  </si>
  <si>
    <t>ALL</t>
  </si>
  <si>
    <t>GOVERNMENTAL</t>
  </si>
  <si>
    <t>MULTI RESIDENTIAL</t>
  </si>
  <si>
    <t>Base Revenues</t>
  </si>
  <si>
    <t>Usage Revenues</t>
  </si>
  <si>
    <t>Total Revenues</t>
  </si>
  <si>
    <t>TEST YEAR REVENUES</t>
  </si>
  <si>
    <t>PROPOSED REVENUES</t>
  </si>
  <si>
    <t>Millage Rate for Fiscal Year 2015</t>
  </si>
  <si>
    <t>Pro Forma Present Utility / Commission Tax</t>
  </si>
  <si>
    <t>Utility Commission Tax Increase Adjustment</t>
  </si>
  <si>
    <t>Total Pro Forma Present Adjustment</t>
  </si>
  <si>
    <t>Pro-Forma Present Intrastate Gross Revenue</t>
  </si>
  <si>
    <t>Total Gallonage</t>
  </si>
  <si>
    <t>Billable Gallonage</t>
  </si>
  <si>
    <t>Account ID</t>
  </si>
  <si>
    <t>06/30/2015 Per Books Amount</t>
  </si>
  <si>
    <t>06/30/2015 Pro Forma Amount</t>
  </si>
  <si>
    <t>Franchises</t>
  </si>
  <si>
    <t>Land &amp; land rights pump</t>
  </si>
  <si>
    <t>Land &amp; land rights water tr.</t>
  </si>
  <si>
    <t>Land &amp; land rights trans.</t>
  </si>
  <si>
    <t>Land &amp; land rights gen. plt.</t>
  </si>
  <si>
    <t>Struct &amp; improv. src. supply</t>
  </si>
  <si>
    <t>Struct &amp; improv. wtr. trt. plt.</t>
  </si>
  <si>
    <t>Struct &amp; improv. trans. dist.</t>
  </si>
  <si>
    <t>Struct &amp; improv. gen. plt.</t>
  </si>
  <si>
    <t>Wells &amp; springs</t>
  </si>
  <si>
    <t>Infiltration gallery</t>
  </si>
  <si>
    <t>Supply mains</t>
  </si>
  <si>
    <t>Power generation equip.</t>
  </si>
  <si>
    <t>Electric pump equip. src. plt.</t>
  </si>
  <si>
    <t>Electric pump equip. wtp.</t>
  </si>
  <si>
    <t>Electric pump equip. trans.</t>
  </si>
  <si>
    <t>Water treatment equip.</t>
  </si>
  <si>
    <t>Dist. resv. &amp; standpipes</t>
  </si>
  <si>
    <t>Trans. &amp; distr. mains</t>
  </si>
  <si>
    <t xml:space="preserve">Service lines </t>
  </si>
  <si>
    <t>Meter installations</t>
  </si>
  <si>
    <t>Backflow prevention devic.</t>
  </si>
  <si>
    <t>Other plt. &amp; misc. equip. src. su.</t>
  </si>
  <si>
    <t>Office struct &amp; improv.</t>
  </si>
  <si>
    <t>Office furn. &amp; equip.</t>
  </si>
  <si>
    <t>Stores equipment</t>
  </si>
  <si>
    <t>Tool shop &amp; misc. equip.</t>
  </si>
  <si>
    <t>Laboratory equipment</t>
  </si>
  <si>
    <t>Power operated equip.</t>
  </si>
  <si>
    <t>Communication equip.</t>
  </si>
  <si>
    <t>Misc . equipment</t>
  </si>
  <si>
    <t>Other tangible plt. water</t>
  </si>
  <si>
    <t>Composite Rate</t>
  </si>
  <si>
    <t>CIAC-OTHER TANGIBLE PLT W</t>
  </si>
  <si>
    <t>Total CIAC</t>
  </si>
  <si>
    <t xml:space="preserve">Total Depreciation </t>
  </si>
  <si>
    <t>Vehicles &amp; Computers</t>
  </si>
  <si>
    <t>Proposed Depreciation / Amortization Rate</t>
  </si>
  <si>
    <t>Proposed Depreciation / Amortization Expense</t>
  </si>
  <si>
    <t>Total Amortization</t>
  </si>
  <si>
    <t>Changes</t>
  </si>
  <si>
    <t>Metered Revenues</t>
  </si>
  <si>
    <t>Non-Metered Revenues</t>
  </si>
  <si>
    <t>Base Charge Proposed</t>
  </si>
  <si>
    <t>Private</t>
  </si>
  <si>
    <t>Municipal</t>
  </si>
  <si>
    <t>Hydrant</t>
  </si>
  <si>
    <t>Sprinkler</t>
  </si>
  <si>
    <t>WIND</t>
  </si>
  <si>
    <t>City/County</t>
  </si>
  <si>
    <t>Fire Protection</t>
  </si>
  <si>
    <t>Schedule D - Revenue Summary</t>
  </si>
  <si>
    <t>Pro Forma Depreciation Expense</t>
  </si>
  <si>
    <t>Accumulated depreciation, CIAC, and AIAC have been annualized</t>
  </si>
  <si>
    <t>Case No. 2015 - 00382</t>
  </si>
  <si>
    <t>Removal of 2013 Rate Case Appeal and 2014 Show Cause</t>
  </si>
  <si>
    <t>Schedule D-2</t>
  </si>
  <si>
    <t>Schedule D-3</t>
  </si>
  <si>
    <t>Pro Forma Revenues (Consumption Unadjusted)</t>
  </si>
  <si>
    <t>Adjusted Formula: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</si>
</sst>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\-00"/>
    <numFmt numFmtId="166" formatCode="#,##0\ ;\(#,##0\)"/>
    <numFmt numFmtId="167" formatCode="0.0%"/>
    <numFmt numFmtId="168" formatCode="_(* #,##0_);_(* \(#,##0\);_(* &quot;-&quot;??_);_(@_)"/>
    <numFmt numFmtId="169" formatCode="_(&quot;$&quot;* #,##0_);_(&quot;$&quot;* \(#,##0\);_(&quot;$&quot;* &quot;-&quot;??_);_(@_)"/>
    <numFmt numFmtId="170" formatCode="#,##0&quot; &quot;;\(#,##0\)"/>
    <numFmt numFmtId="171" formatCode="&quot;$&quot;&quot; &quot;#,##0&quot; &quot;;\(&quot;$&quot;#,##0\)"/>
    <numFmt numFmtId="172" formatCode="#,##0&quot; &quot;;\(#,##0\)&quot; &quot;"/>
    <numFmt numFmtId="173" formatCode="#,##0.0000_);\(#,##0.0000\)"/>
    <numFmt numFmtId="174" formatCode="0_);\(0\)"/>
    <numFmt numFmtId="175" formatCode="mm/dd/yy;@"/>
    <numFmt numFmtId="176" formatCode="[$-409]mmmm\ d\,\ yyyy;@"/>
    <numFmt numFmtId="177" formatCode="_(* #,##0.0_);_(* \(#,##0.0\);_(* &quot;-&quot;??_);_(@_)"/>
    <numFmt numFmtId="178" formatCode="mmmm\ d\,\ yyyy"/>
    <numFmt numFmtId="179" formatCode="m/d/yy;@"/>
    <numFmt numFmtId="180" formatCode="&quot;Test Year Ended&quot;\ mmmm\ dd\,\ yyyy"/>
    <numFmt numFmtId="181" formatCode="##"/>
    <numFmt numFmtId="182" formatCode="mm/yy"/>
    <numFmt numFmtId="183" formatCode="_([$€-2]* #,##0.00_);_([$€-2]* \(#,##0.00\);_([$€-2]* &quot;-&quot;??_)"/>
    <numFmt numFmtId="184" formatCode="#########"/>
    <numFmt numFmtId="185" formatCode="[$-409]mmmm\-yy;@"/>
    <numFmt numFmtId="186" formatCode="&quot;Trial Balance @ &quot;mmmm\ dd\,\ yyyy"/>
    <numFmt numFmtId="187" formatCode="_(* #,##0.00000_);_(* \(#,##0.00000\);_(* &quot;-&quot;??_);_(@_)"/>
    <numFmt numFmtId="188" formatCode="_(* #,##0.000000_);_(* \(#,##0.000000\);_(* &quot;-&quot;??_);_(@_)"/>
    <numFmt numFmtId="189" formatCode="#."/>
    <numFmt numFmtId="190" formatCode="_(&quot;$&quot;* #,##0.0000_);_(&quot;$&quot;* \(#,##0.0000\);_(&quot;$&quot;* &quot;-&quot;??_);_(@_)"/>
    <numFmt numFmtId="191" formatCode="####.00;\(####.00\);0.00"/>
    <numFmt numFmtId="192" formatCode="&quot;$&quot;#,##0.00"/>
    <numFmt numFmtId="193" formatCode="_(* #,##0.0000_);_(* \(#,##0.0000\);_(* &quot;-&quot;??_);_(@_)"/>
    <numFmt numFmtId="194" formatCode="0.0000%"/>
    <numFmt numFmtId="195" formatCode="&quot;[&quot;#&quot;]&quot;"/>
    <numFmt numFmtId="196" formatCode="mm/dd/yy"/>
    <numFmt numFmtId="197" formatCode="[$-409]mmm\-yy;@"/>
    <numFmt numFmtId="198" formatCode="0000"/>
    <numFmt numFmtId="199" formatCode="_(* #,##0.00_);_(* \(#,##0.00\);_(* &quot;-&quot;_);_(@_)"/>
    <numFmt numFmtId="200" formatCode="0_)"/>
    <numFmt numFmtId="201" formatCode="dd\-mmm\-yy_)"/>
    <numFmt numFmtId="202" formatCode="&quot;Future Test Year Ended&quot;\ mmmm\ dd\,\ yyyy"/>
    <numFmt numFmtId="203" formatCode="0.00_)"/>
    <numFmt numFmtId="204" formatCode="0.000_)"/>
    <numFmt numFmtId="205" formatCode="0.00000_)"/>
    <numFmt numFmtId="206" formatCode="0.0000_)"/>
    <numFmt numFmtId="207" formatCode="0.00;[Red]0.00"/>
    <numFmt numFmtId="208" formatCode="0.0_)"/>
    <numFmt numFmtId="209" formatCode="#,##0.000_);\(#,##0.000\)"/>
    <numFmt numFmtId="210" formatCode="_(* #,##0.000_);_(* \(#,##0.000\);_(* &quot;-&quot;??_);_(@_)"/>
    <numFmt numFmtId="211" formatCode="_(&quot;$&quot;* #,##0.000_);_(&quot;$&quot;* \(#,##0.000\);_(&quot;$&quot;* &quot;-&quot;??_);_(@_)"/>
  </numFmts>
  <fonts count="165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Bookman"/>
      <family val="1"/>
    </font>
    <font>
      <sz val="10"/>
      <name val="Geneva"/>
    </font>
    <font>
      <sz val="9"/>
      <name val="Geneva"/>
    </font>
    <font>
      <sz val="9"/>
      <color indexed="81"/>
      <name val="Geneva"/>
    </font>
    <font>
      <b/>
      <sz val="9"/>
      <color indexed="81"/>
      <name val="Geneva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indexed="10"/>
      <name val="Times New Roman"/>
      <family val="1"/>
    </font>
    <font>
      <b/>
      <u/>
      <sz val="11"/>
      <name val="Times New Roman"/>
      <family val="1"/>
    </font>
    <font>
      <u/>
      <sz val="11"/>
      <name val="Times New Roman"/>
      <family val="1"/>
    </font>
    <font>
      <b/>
      <u/>
      <sz val="11"/>
      <color indexed="39"/>
      <name val="Times New Roman"/>
      <family val="1"/>
    </font>
    <font>
      <b/>
      <sz val="11"/>
      <color indexed="39"/>
      <name val="Times New Roman"/>
      <family val="1"/>
    </font>
    <font>
      <sz val="11"/>
      <color indexed="8"/>
      <name val="Times New Roman"/>
      <family val="1"/>
    </font>
    <font>
      <sz val="11"/>
      <color indexed="39"/>
      <name val="Times New Roman"/>
      <family val="1"/>
    </font>
    <font>
      <sz val="11"/>
      <color indexed="22"/>
      <name val="Times New Roman"/>
      <family val="1"/>
    </font>
    <font>
      <b/>
      <sz val="11"/>
      <color indexed="14"/>
      <name val="Times New Roman"/>
      <family val="1"/>
    </font>
    <font>
      <sz val="12"/>
      <name val="Book Antiqua"/>
      <family val="1"/>
    </font>
    <font>
      <sz val="8"/>
      <name val="Book Antiqua"/>
      <family val="1"/>
    </font>
    <font>
      <sz val="8"/>
      <name val="Courier"/>
      <family val="3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Arial"/>
      <family val="2"/>
    </font>
    <font>
      <sz val="10"/>
      <name val="Courier New"/>
      <family val="3"/>
    </font>
    <font>
      <b/>
      <sz val="10"/>
      <name val="Courier New"/>
      <family val="3"/>
    </font>
    <font>
      <u/>
      <sz val="10"/>
      <name val="Courier New"/>
      <family val="3"/>
    </font>
    <font>
      <b/>
      <u/>
      <sz val="10"/>
      <name val="Courier New"/>
      <family val="3"/>
    </font>
    <font>
      <b/>
      <sz val="10"/>
      <color indexed="8"/>
      <name val="Courier New"/>
      <family val="3"/>
    </font>
    <font>
      <sz val="10"/>
      <color indexed="8"/>
      <name val="Courier New"/>
      <family val="3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"/>
      <name val="Courier New"/>
      <family val="3"/>
    </font>
    <font>
      <b/>
      <sz val="8"/>
      <color indexed="26"/>
      <name val="Courier New"/>
      <family val="3"/>
    </font>
    <font>
      <b/>
      <sz val="10"/>
      <name val="Arial"/>
      <family val="2"/>
    </font>
    <font>
      <b/>
      <sz val="11"/>
      <color indexed="8"/>
      <name val="Calibri"/>
      <family val="2"/>
    </font>
    <font>
      <sz val="8"/>
      <name val="Courier"/>
      <family val="3"/>
    </font>
    <font>
      <sz val="10"/>
      <name val="Times New Roman"/>
      <family val="1"/>
    </font>
    <font>
      <sz val="10"/>
      <name val="Bookman Old Style"/>
      <family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Times New Roman"/>
      <family val="1"/>
    </font>
    <font>
      <sz val="8"/>
      <name val="Courier"/>
      <family val="3"/>
    </font>
    <font>
      <sz val="10"/>
      <name val="Bookman Old Style"/>
      <family val="1"/>
    </font>
    <font>
      <sz val="10"/>
      <name val="Book Antiqua"/>
      <family val="1"/>
    </font>
    <font>
      <sz val="8"/>
      <name val="Arial"/>
      <family val="2"/>
    </font>
    <font>
      <sz val="12"/>
      <name val="Times"/>
      <family val="1"/>
    </font>
    <font>
      <u val="singleAccounting"/>
      <sz val="10"/>
      <name val="Book Antiqua"/>
      <family val="1"/>
    </font>
    <font>
      <b/>
      <sz val="10"/>
      <name val="Book Antiqua"/>
      <family val="1"/>
    </font>
    <font>
      <b/>
      <sz val="8"/>
      <name val="Book Antiqua"/>
      <family val="1"/>
    </font>
    <font>
      <u val="singleAccounting"/>
      <sz val="8"/>
      <name val="Book Antiqua"/>
      <family val="1"/>
    </font>
    <font>
      <u val="doubleAccounting"/>
      <sz val="8"/>
      <name val="Book Antiqua"/>
      <family val="1"/>
    </font>
    <font>
      <sz val="10"/>
      <name val="Courier"/>
      <family val="3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22"/>
      <name val="Times New Roman"/>
      <family val="1"/>
    </font>
    <font>
      <sz val="10"/>
      <color indexed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color indexed="39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Georgia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11"/>
      <color rgb="FF000000"/>
      <name val="Times New Roman"/>
      <family val="1"/>
    </font>
    <font>
      <sz val="10"/>
      <color theme="1"/>
      <name val="Times New Roman"/>
      <family val="1"/>
    </font>
    <font>
      <u val="singleAccounting"/>
      <sz val="10"/>
      <name val="Times New Roman"/>
      <family val="1"/>
    </font>
    <font>
      <u/>
      <sz val="10"/>
      <name val="Times New Roman"/>
      <family val="1"/>
    </font>
    <font>
      <b/>
      <sz val="10"/>
      <color theme="1"/>
      <name val="Times New Roman"/>
      <family val="1"/>
    </font>
    <font>
      <sz val="10"/>
      <color theme="0"/>
      <name val="Times New Roman"/>
      <family val="1"/>
    </font>
    <font>
      <sz val="10"/>
      <color theme="1"/>
      <name val="Book Antiqua"/>
      <family val="1"/>
    </font>
    <font>
      <sz val="8"/>
      <name val="Symbol"/>
      <family val="1"/>
      <charset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8"/>
      <name val="Book Antiqua"/>
      <family val="1"/>
    </font>
    <font>
      <u val="singleAccounting"/>
      <sz val="8"/>
      <name val="Arial"/>
      <family val="2"/>
    </font>
    <font>
      <u val="doubleAccounting"/>
      <sz val="8"/>
      <name val="Arial"/>
      <family val="2"/>
    </font>
    <font>
      <sz val="8"/>
      <color theme="1"/>
      <name val="Arial"/>
      <family val="2"/>
    </font>
    <font>
      <u/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0"/>
      <name val="Genev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1"/>
      <color theme="1"/>
      <name val="Times New Roman"/>
      <family val="1"/>
    </font>
    <font>
      <b/>
      <sz val="1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Courier"/>
    </font>
    <font>
      <b/>
      <sz val="18"/>
      <color theme="3"/>
      <name val="Book Antiqua"/>
      <family val="1"/>
    </font>
    <font>
      <sz val="11"/>
      <color theme="1"/>
      <name val="Book Antiqua"/>
      <family val="1"/>
    </font>
    <font>
      <b/>
      <sz val="11"/>
      <color theme="1"/>
      <name val="Book Antiqua"/>
      <family val="1"/>
    </font>
    <font>
      <b/>
      <sz val="11"/>
      <name val="Book Antiqua"/>
      <family val="1"/>
    </font>
    <font>
      <i/>
      <sz val="11"/>
      <name val="Times New Roman"/>
      <family val="1"/>
    </font>
    <font>
      <b/>
      <sz val="10"/>
      <color theme="1"/>
      <name val="Book Antiqua"/>
      <family val="1"/>
    </font>
    <font>
      <sz val="10"/>
      <color rgb="FFFF0000"/>
      <name val="Book Antiqua"/>
      <family val="1"/>
    </font>
    <font>
      <sz val="9"/>
      <color rgb="FFFF0000"/>
      <name val="Times New Roman"/>
      <family val="1"/>
    </font>
    <font>
      <b/>
      <sz val="9"/>
      <color rgb="FFFF0000"/>
      <name val="Times New Roman"/>
      <family val="1"/>
    </font>
    <font>
      <b/>
      <u/>
      <sz val="10"/>
      <color theme="1"/>
      <name val="Book Antiqua"/>
      <family val="1"/>
    </font>
    <font>
      <sz val="11"/>
      <name val="Book Antiqua"/>
      <family val="1"/>
    </font>
    <font>
      <sz val="10"/>
      <color indexed="10"/>
      <name val="Book Antiqua"/>
      <family val="1"/>
    </font>
    <font>
      <u/>
      <sz val="10"/>
      <name val="Book Antiqua"/>
      <family val="1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Book Antiqua"/>
      <family val="1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Wingdings"/>
      <charset val="2"/>
    </font>
    <font>
      <b/>
      <i/>
      <sz val="11"/>
      <name val="Book Antiqua"/>
      <family val="1"/>
    </font>
    <font>
      <u val="singleAccounting"/>
      <sz val="10"/>
      <name val="Arial"/>
      <family val="2"/>
    </font>
    <font>
      <vertAlign val="superscript"/>
      <sz val="11"/>
      <color theme="1"/>
      <name val="Book Antiqua"/>
      <family val="1"/>
    </font>
    <font>
      <b/>
      <vertAlign val="superscript"/>
      <sz val="12"/>
      <color theme="1"/>
      <name val="Book Antiqua"/>
      <family val="1"/>
    </font>
    <font>
      <b/>
      <i/>
      <u/>
      <sz val="10"/>
      <name val="Book Antiqua"/>
      <family val="1"/>
    </font>
    <font>
      <b/>
      <u/>
      <sz val="10"/>
      <name val="Book Antiqua"/>
      <family val="1"/>
    </font>
    <font>
      <i/>
      <sz val="10"/>
      <name val="Book Antiqua"/>
      <family val="1"/>
    </font>
    <font>
      <i/>
      <u/>
      <sz val="10"/>
      <color theme="1"/>
      <name val="Book Antiqua"/>
      <family val="1"/>
    </font>
    <font>
      <b/>
      <sz val="12"/>
      <name val="Book Antiqua"/>
      <family val="1"/>
    </font>
    <font>
      <sz val="10"/>
      <name val="Courier"/>
    </font>
  </fonts>
  <fills count="6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85">
    <xf numFmtId="0" fontId="0" fillId="0" borderId="0"/>
    <xf numFmtId="184" fontId="51" fillId="0" borderId="0"/>
    <xf numFmtId="181" fontId="11" fillId="0" borderId="0" applyFont="0"/>
    <xf numFmtId="43" fontId="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8" fillId="0" borderId="0" applyFont="0" applyFill="0" applyBorder="0" applyAlignment="0" applyProtection="0"/>
    <xf numFmtId="14" fontId="11" fillId="0" borderId="0"/>
    <xf numFmtId="182" fontId="46" fillId="0" borderId="0" applyFont="0" applyAlignment="0"/>
    <xf numFmtId="183" fontId="9" fillId="0" borderId="0" applyFont="0" applyFill="0" applyBorder="0" applyAlignment="0" applyProtection="0"/>
    <xf numFmtId="0" fontId="9" fillId="0" borderId="0"/>
    <xf numFmtId="0" fontId="31" fillId="0" borderId="0"/>
    <xf numFmtId="0" fontId="9" fillId="0" borderId="0"/>
    <xf numFmtId="185" fontId="9" fillId="0" borderId="0"/>
    <xf numFmtId="0" fontId="31" fillId="0" borderId="0"/>
    <xf numFmtId="0" fontId="47" fillId="0" borderId="0"/>
    <xf numFmtId="0" fontId="47" fillId="0" borderId="0"/>
    <xf numFmtId="183" fontId="47" fillId="0" borderId="0"/>
    <xf numFmtId="0" fontId="68" fillId="0" borderId="0"/>
    <xf numFmtId="185" fontId="9" fillId="0" borderId="0"/>
    <xf numFmtId="0" fontId="68" fillId="0" borderId="0"/>
    <xf numFmtId="0" fontId="60" fillId="0" borderId="0"/>
    <xf numFmtId="0" fontId="9" fillId="0" borderId="0"/>
    <xf numFmtId="0" fontId="26" fillId="0" borderId="0"/>
    <xf numFmtId="0" fontId="10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185" fontId="1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5" fontId="69" fillId="0" borderId="0"/>
    <xf numFmtId="43" fontId="69" fillId="0" borderId="0" applyFont="0" applyFill="0" applyBorder="0" applyAlignment="0" applyProtection="0"/>
    <xf numFmtId="185" fontId="9" fillId="0" borderId="0"/>
    <xf numFmtId="185" fontId="12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9" fillId="0" borderId="0" applyFont="0" applyFill="0" applyBorder="0" applyAlignment="0" applyProtection="0"/>
    <xf numFmtId="185" fontId="31" fillId="0" borderId="0"/>
    <xf numFmtId="9" fontId="69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85" fontId="9" fillId="0" borderId="0"/>
    <xf numFmtId="185" fontId="9" fillId="0" borderId="0"/>
    <xf numFmtId="0" fontId="84" fillId="0" borderId="0">
      <alignment vertical="top"/>
    </xf>
    <xf numFmtId="0" fontId="85" fillId="0" borderId="0">
      <alignment vertical="top"/>
    </xf>
    <xf numFmtId="0" fontId="86" fillId="0" borderId="0"/>
    <xf numFmtId="9" fontId="86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6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84" fillId="0" borderId="0">
      <alignment vertical="top"/>
    </xf>
    <xf numFmtId="44" fontId="69" fillId="0" borderId="0" applyFont="0" applyFill="0" applyBorder="0" applyAlignment="0" applyProtection="0"/>
    <xf numFmtId="9" fontId="9" fillId="0" borderId="0" applyFont="0" applyFill="0" applyBorder="0" applyAlignment="0" applyProtection="0"/>
    <xf numFmtId="185" fontId="31" fillId="0" borderId="0"/>
    <xf numFmtId="184" fontId="46" fillId="0" borderId="0"/>
    <xf numFmtId="43" fontId="6" fillId="0" borderId="0" applyFont="0" applyFill="0" applyBorder="0" applyAlignment="0" applyProtection="0"/>
    <xf numFmtId="0" fontId="84" fillId="0" borderId="0">
      <alignment vertical="top"/>
    </xf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6" fillId="0" borderId="0"/>
    <xf numFmtId="0" fontId="84" fillId="0" borderId="0">
      <alignment vertical="top"/>
    </xf>
    <xf numFmtId="0" fontId="5" fillId="16" borderId="0" applyNumberFormat="0" applyBorder="0" applyAlignment="0" applyProtection="0"/>
    <xf numFmtId="0" fontId="47" fillId="39" borderId="0" applyNumberFormat="0" applyBorder="0" applyAlignment="0" applyProtection="0"/>
    <xf numFmtId="0" fontId="5" fillId="16" borderId="0" applyNumberFormat="0" applyBorder="0" applyAlignment="0" applyProtection="0"/>
    <xf numFmtId="0" fontId="47" fillId="39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47" fillId="40" borderId="0" applyNumberFormat="0" applyBorder="0" applyAlignment="0" applyProtection="0"/>
    <xf numFmtId="0" fontId="5" fillId="20" borderId="0" applyNumberFormat="0" applyBorder="0" applyAlignment="0" applyProtection="0"/>
    <xf numFmtId="0" fontId="47" fillId="4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47" fillId="41" borderId="0" applyNumberFormat="0" applyBorder="0" applyAlignment="0" applyProtection="0"/>
    <xf numFmtId="0" fontId="5" fillId="24" borderId="0" applyNumberFormat="0" applyBorder="0" applyAlignment="0" applyProtection="0"/>
    <xf numFmtId="0" fontId="47" fillId="41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47" fillId="42" borderId="0" applyNumberFormat="0" applyBorder="0" applyAlignment="0" applyProtection="0"/>
    <xf numFmtId="0" fontId="5" fillId="28" borderId="0" applyNumberFormat="0" applyBorder="0" applyAlignment="0" applyProtection="0"/>
    <xf numFmtId="0" fontId="47" fillId="42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47" fillId="43" borderId="0" applyNumberFormat="0" applyBorder="0" applyAlignment="0" applyProtection="0"/>
    <xf numFmtId="0" fontId="5" fillId="32" borderId="0" applyNumberFormat="0" applyBorder="0" applyAlignment="0" applyProtection="0"/>
    <xf numFmtId="0" fontId="47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47" fillId="44" borderId="0" applyNumberFormat="0" applyBorder="0" applyAlignment="0" applyProtection="0"/>
    <xf numFmtId="0" fontId="5" fillId="36" borderId="0" applyNumberFormat="0" applyBorder="0" applyAlignment="0" applyProtection="0"/>
    <xf numFmtId="0" fontId="47" fillId="44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47" fillId="45" borderId="0" applyNumberFormat="0" applyBorder="0" applyAlignment="0" applyProtection="0"/>
    <xf numFmtId="0" fontId="5" fillId="17" borderId="0" applyNumberFormat="0" applyBorder="0" applyAlignment="0" applyProtection="0"/>
    <xf numFmtId="0" fontId="47" fillId="45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47" fillId="46" borderId="0" applyNumberFormat="0" applyBorder="0" applyAlignment="0" applyProtection="0"/>
    <xf numFmtId="0" fontId="5" fillId="21" borderId="0" applyNumberFormat="0" applyBorder="0" applyAlignment="0" applyProtection="0"/>
    <xf numFmtId="0" fontId="47" fillId="46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47" fillId="47" borderId="0" applyNumberFormat="0" applyBorder="0" applyAlignment="0" applyProtection="0"/>
    <xf numFmtId="0" fontId="5" fillId="25" borderId="0" applyNumberFormat="0" applyBorder="0" applyAlignment="0" applyProtection="0"/>
    <xf numFmtId="0" fontId="47" fillId="47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47" fillId="42" borderId="0" applyNumberFormat="0" applyBorder="0" applyAlignment="0" applyProtection="0"/>
    <xf numFmtId="0" fontId="5" fillId="29" borderId="0" applyNumberFormat="0" applyBorder="0" applyAlignment="0" applyProtection="0"/>
    <xf numFmtId="0" fontId="47" fillId="42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47" fillId="45" borderId="0" applyNumberFormat="0" applyBorder="0" applyAlignment="0" applyProtection="0"/>
    <xf numFmtId="0" fontId="5" fillId="33" borderId="0" applyNumberFormat="0" applyBorder="0" applyAlignment="0" applyProtection="0"/>
    <xf numFmtId="0" fontId="47" fillId="45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0" fontId="47" fillId="48" borderId="0" applyNumberFormat="0" applyBorder="0" applyAlignment="0" applyProtection="0"/>
    <xf numFmtId="0" fontId="5" fillId="37" borderId="0" applyNumberFormat="0" applyBorder="0" applyAlignment="0" applyProtection="0"/>
    <xf numFmtId="0" fontId="47" fillId="48" borderId="0" applyNumberFormat="0" applyBorder="0" applyAlignment="0" applyProtection="0"/>
    <xf numFmtId="0" fontId="5" fillId="37" borderId="0" applyNumberFormat="0" applyBorder="0" applyAlignment="0" applyProtection="0"/>
    <xf numFmtId="0" fontId="102" fillId="18" borderId="0" applyNumberFormat="0" applyBorder="0" applyAlignment="0" applyProtection="0"/>
    <xf numFmtId="0" fontId="108" fillId="49" borderId="0" applyNumberFormat="0" applyBorder="0" applyAlignment="0" applyProtection="0"/>
    <xf numFmtId="0" fontId="102" fillId="18" borderId="0" applyNumberFormat="0" applyBorder="0" applyAlignment="0" applyProtection="0"/>
    <xf numFmtId="0" fontId="108" fillId="49" borderId="0" applyNumberFormat="0" applyBorder="0" applyAlignment="0" applyProtection="0"/>
    <xf numFmtId="0" fontId="102" fillId="18" borderId="0" applyNumberFormat="0" applyBorder="0" applyAlignment="0" applyProtection="0"/>
    <xf numFmtId="0" fontId="102" fillId="22" borderId="0" applyNumberFormat="0" applyBorder="0" applyAlignment="0" applyProtection="0"/>
    <xf numFmtId="0" fontId="108" fillId="46" borderId="0" applyNumberFormat="0" applyBorder="0" applyAlignment="0" applyProtection="0"/>
    <xf numFmtId="0" fontId="102" fillId="22" borderId="0" applyNumberFormat="0" applyBorder="0" applyAlignment="0" applyProtection="0"/>
    <xf numFmtId="0" fontId="108" fillId="46" borderId="0" applyNumberFormat="0" applyBorder="0" applyAlignment="0" applyProtection="0"/>
    <xf numFmtId="0" fontId="102" fillId="22" borderId="0" applyNumberFormat="0" applyBorder="0" applyAlignment="0" applyProtection="0"/>
    <xf numFmtId="0" fontId="102" fillId="26" borderId="0" applyNumberFormat="0" applyBorder="0" applyAlignment="0" applyProtection="0"/>
    <xf numFmtId="0" fontId="108" fillId="47" borderId="0" applyNumberFormat="0" applyBorder="0" applyAlignment="0" applyProtection="0"/>
    <xf numFmtId="0" fontId="102" fillId="26" borderId="0" applyNumberFormat="0" applyBorder="0" applyAlignment="0" applyProtection="0"/>
    <xf numFmtId="0" fontId="108" fillId="47" borderId="0" applyNumberFormat="0" applyBorder="0" applyAlignment="0" applyProtection="0"/>
    <xf numFmtId="0" fontId="102" fillId="26" borderId="0" applyNumberFormat="0" applyBorder="0" applyAlignment="0" applyProtection="0"/>
    <xf numFmtId="0" fontId="102" fillId="30" borderId="0" applyNumberFormat="0" applyBorder="0" applyAlignment="0" applyProtection="0"/>
    <xf numFmtId="0" fontId="108" fillId="50" borderId="0" applyNumberFormat="0" applyBorder="0" applyAlignment="0" applyProtection="0"/>
    <xf numFmtId="0" fontId="102" fillId="30" borderId="0" applyNumberFormat="0" applyBorder="0" applyAlignment="0" applyProtection="0"/>
    <xf numFmtId="0" fontId="108" fillId="50" borderId="0" applyNumberFormat="0" applyBorder="0" applyAlignment="0" applyProtection="0"/>
    <xf numFmtId="0" fontId="102" fillId="30" borderId="0" applyNumberFormat="0" applyBorder="0" applyAlignment="0" applyProtection="0"/>
    <xf numFmtId="0" fontId="102" fillId="34" borderId="0" applyNumberFormat="0" applyBorder="0" applyAlignment="0" applyProtection="0"/>
    <xf numFmtId="0" fontId="108" fillId="51" borderId="0" applyNumberFormat="0" applyBorder="0" applyAlignment="0" applyProtection="0"/>
    <xf numFmtId="0" fontId="102" fillId="34" borderId="0" applyNumberFormat="0" applyBorder="0" applyAlignment="0" applyProtection="0"/>
    <xf numFmtId="0" fontId="108" fillId="51" borderId="0" applyNumberFormat="0" applyBorder="0" applyAlignment="0" applyProtection="0"/>
    <xf numFmtId="0" fontId="102" fillId="34" borderId="0" applyNumberFormat="0" applyBorder="0" applyAlignment="0" applyProtection="0"/>
    <xf numFmtId="0" fontId="102" fillId="38" borderId="0" applyNumberFormat="0" applyBorder="0" applyAlignment="0" applyProtection="0"/>
    <xf numFmtId="0" fontId="108" fillId="52" borderId="0" applyNumberFormat="0" applyBorder="0" applyAlignment="0" applyProtection="0"/>
    <xf numFmtId="0" fontId="102" fillId="38" borderId="0" applyNumberFormat="0" applyBorder="0" applyAlignment="0" applyProtection="0"/>
    <xf numFmtId="0" fontId="108" fillId="52" borderId="0" applyNumberFormat="0" applyBorder="0" applyAlignment="0" applyProtection="0"/>
    <xf numFmtId="0" fontId="102" fillId="38" borderId="0" applyNumberFormat="0" applyBorder="0" applyAlignment="0" applyProtection="0"/>
    <xf numFmtId="0" fontId="102" fillId="15" borderId="0" applyNumberFormat="0" applyBorder="0" applyAlignment="0" applyProtection="0"/>
    <xf numFmtId="0" fontId="108" fillId="53" borderId="0" applyNumberFormat="0" applyBorder="0" applyAlignment="0" applyProtection="0"/>
    <xf numFmtId="0" fontId="102" fillId="15" borderId="0" applyNumberFormat="0" applyBorder="0" applyAlignment="0" applyProtection="0"/>
    <xf numFmtId="0" fontId="108" fillId="53" borderId="0" applyNumberFormat="0" applyBorder="0" applyAlignment="0" applyProtection="0"/>
    <xf numFmtId="0" fontId="102" fillId="15" borderId="0" applyNumberFormat="0" applyBorder="0" applyAlignment="0" applyProtection="0"/>
    <xf numFmtId="0" fontId="102" fillId="19" borderId="0" applyNumberFormat="0" applyBorder="0" applyAlignment="0" applyProtection="0"/>
    <xf numFmtId="0" fontId="108" fillId="54" borderId="0" applyNumberFormat="0" applyBorder="0" applyAlignment="0" applyProtection="0"/>
    <xf numFmtId="0" fontId="102" fillId="19" borderId="0" applyNumberFormat="0" applyBorder="0" applyAlignment="0" applyProtection="0"/>
    <xf numFmtId="0" fontId="108" fillId="54" borderId="0" applyNumberFormat="0" applyBorder="0" applyAlignment="0" applyProtection="0"/>
    <xf numFmtId="0" fontId="102" fillId="19" borderId="0" applyNumberFormat="0" applyBorder="0" applyAlignment="0" applyProtection="0"/>
    <xf numFmtId="0" fontId="102" fillId="23" borderId="0" applyNumberFormat="0" applyBorder="0" applyAlignment="0" applyProtection="0"/>
    <xf numFmtId="0" fontId="108" fillId="55" borderId="0" applyNumberFormat="0" applyBorder="0" applyAlignment="0" applyProtection="0"/>
    <xf numFmtId="0" fontId="102" fillId="23" borderId="0" applyNumberFormat="0" applyBorder="0" applyAlignment="0" applyProtection="0"/>
    <xf numFmtId="0" fontId="108" fillId="55" borderId="0" applyNumberFormat="0" applyBorder="0" applyAlignment="0" applyProtection="0"/>
    <xf numFmtId="0" fontId="102" fillId="23" borderId="0" applyNumberFormat="0" applyBorder="0" applyAlignment="0" applyProtection="0"/>
    <xf numFmtId="0" fontId="102" fillId="27" borderId="0" applyNumberFormat="0" applyBorder="0" applyAlignment="0" applyProtection="0"/>
    <xf numFmtId="0" fontId="108" fillId="50" borderId="0" applyNumberFormat="0" applyBorder="0" applyAlignment="0" applyProtection="0"/>
    <xf numFmtId="0" fontId="102" fillId="27" borderId="0" applyNumberFormat="0" applyBorder="0" applyAlignment="0" applyProtection="0"/>
    <xf numFmtId="0" fontId="108" fillId="50" borderId="0" applyNumberFormat="0" applyBorder="0" applyAlignment="0" applyProtection="0"/>
    <xf numFmtId="0" fontId="102" fillId="27" borderId="0" applyNumberFormat="0" applyBorder="0" applyAlignment="0" applyProtection="0"/>
    <xf numFmtId="0" fontId="102" fillId="31" borderId="0" applyNumberFormat="0" applyBorder="0" applyAlignment="0" applyProtection="0"/>
    <xf numFmtId="0" fontId="108" fillId="51" borderId="0" applyNumberFormat="0" applyBorder="0" applyAlignment="0" applyProtection="0"/>
    <xf numFmtId="0" fontId="102" fillId="31" borderId="0" applyNumberFormat="0" applyBorder="0" applyAlignment="0" applyProtection="0"/>
    <xf numFmtId="0" fontId="108" fillId="51" borderId="0" applyNumberFormat="0" applyBorder="0" applyAlignment="0" applyProtection="0"/>
    <xf numFmtId="0" fontId="102" fillId="31" borderId="0" applyNumberFormat="0" applyBorder="0" applyAlignment="0" applyProtection="0"/>
    <xf numFmtId="0" fontId="102" fillId="35" borderId="0" applyNumberFormat="0" applyBorder="0" applyAlignment="0" applyProtection="0"/>
    <xf numFmtId="0" fontId="108" fillId="56" borderId="0" applyNumberFormat="0" applyBorder="0" applyAlignment="0" applyProtection="0"/>
    <xf numFmtId="0" fontId="102" fillId="35" borderId="0" applyNumberFormat="0" applyBorder="0" applyAlignment="0" applyProtection="0"/>
    <xf numFmtId="0" fontId="108" fillId="56" borderId="0" applyNumberFormat="0" applyBorder="0" applyAlignment="0" applyProtection="0"/>
    <xf numFmtId="0" fontId="102" fillId="35" borderId="0" applyNumberFormat="0" applyBorder="0" applyAlignment="0" applyProtection="0"/>
    <xf numFmtId="0" fontId="93" fillId="9" borderId="0" applyNumberFormat="0" applyBorder="0" applyAlignment="0" applyProtection="0"/>
    <xf numFmtId="0" fontId="109" fillId="40" borderId="0" applyNumberFormat="0" applyBorder="0" applyAlignment="0" applyProtection="0"/>
    <xf numFmtId="0" fontId="93" fillId="9" borderId="0" applyNumberFormat="0" applyBorder="0" applyAlignment="0" applyProtection="0"/>
    <xf numFmtId="0" fontId="109" fillId="40" borderId="0" applyNumberFormat="0" applyBorder="0" applyAlignment="0" applyProtection="0"/>
    <xf numFmtId="0" fontId="93" fillId="9" borderId="0" applyNumberFormat="0" applyBorder="0" applyAlignment="0" applyProtection="0"/>
    <xf numFmtId="0" fontId="97" fillId="12" borderId="42" applyNumberFormat="0" applyAlignment="0" applyProtection="0"/>
    <xf numFmtId="0" fontId="110" fillId="57" borderId="48" applyNumberFormat="0" applyAlignment="0" applyProtection="0"/>
    <xf numFmtId="0" fontId="97" fillId="12" borderId="42" applyNumberFormat="0" applyAlignment="0" applyProtection="0"/>
    <xf numFmtId="0" fontId="110" fillId="57" borderId="48" applyNumberFormat="0" applyAlignment="0" applyProtection="0"/>
    <xf numFmtId="0" fontId="97" fillId="12" borderId="42" applyNumberFormat="0" applyAlignment="0" applyProtection="0"/>
    <xf numFmtId="0" fontId="99" fillId="13" borderId="45" applyNumberFormat="0" applyAlignment="0" applyProtection="0"/>
    <xf numFmtId="0" fontId="111" fillId="58" borderId="49" applyNumberFormat="0" applyAlignment="0" applyProtection="0"/>
    <xf numFmtId="0" fontId="99" fillId="13" borderId="45" applyNumberFormat="0" applyAlignment="0" applyProtection="0"/>
    <xf numFmtId="0" fontId="111" fillId="58" borderId="49" applyNumberFormat="0" applyAlignment="0" applyProtection="0"/>
    <xf numFmtId="0" fontId="99" fillId="13" borderId="45" applyNumberFormat="0" applyAlignment="0" applyProtection="0"/>
    <xf numFmtId="37" fontId="112" fillId="0" borderId="0"/>
    <xf numFmtId="43" fontId="113" fillId="0" borderId="0" applyFont="0" applyFill="0" applyBorder="0" applyAlignment="0" applyProtection="0"/>
    <xf numFmtId="43" fontId="84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196" fontId="112" fillId="0" borderId="0"/>
    <xf numFmtId="44" fontId="5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12" fillId="0" borderId="0">
      <alignment horizontal="right"/>
    </xf>
    <xf numFmtId="0" fontId="92" fillId="8" borderId="0" applyNumberFormat="0" applyBorder="0" applyAlignment="0" applyProtection="0"/>
    <xf numFmtId="0" fontId="116" fillId="41" borderId="0" applyNumberFormat="0" applyBorder="0" applyAlignment="0" applyProtection="0"/>
    <xf numFmtId="0" fontId="92" fillId="8" borderId="0" applyNumberFormat="0" applyBorder="0" applyAlignment="0" applyProtection="0"/>
    <xf numFmtId="0" fontId="116" fillId="41" borderId="0" applyNumberFormat="0" applyBorder="0" applyAlignment="0" applyProtection="0"/>
    <xf numFmtId="0" fontId="92" fillId="8" borderId="0" applyNumberFormat="0" applyBorder="0" applyAlignment="0" applyProtection="0"/>
    <xf numFmtId="0" fontId="89" fillId="0" borderId="39" applyNumberFormat="0" applyFill="0" applyAlignment="0" applyProtection="0"/>
    <xf numFmtId="0" fontId="117" fillId="0" borderId="50" applyNumberFormat="0" applyFill="0" applyAlignment="0" applyProtection="0"/>
    <xf numFmtId="0" fontId="89" fillId="0" borderId="39" applyNumberFormat="0" applyFill="0" applyAlignment="0" applyProtection="0"/>
    <xf numFmtId="0" fontId="117" fillId="0" borderId="50" applyNumberFormat="0" applyFill="0" applyAlignment="0" applyProtection="0"/>
    <xf numFmtId="0" fontId="89" fillId="0" borderId="39" applyNumberFormat="0" applyFill="0" applyAlignment="0" applyProtection="0"/>
    <xf numFmtId="0" fontId="90" fillId="0" borderId="40" applyNumberFormat="0" applyFill="0" applyAlignment="0" applyProtection="0"/>
    <xf numFmtId="0" fontId="118" fillId="0" borderId="51" applyNumberFormat="0" applyFill="0" applyAlignment="0" applyProtection="0"/>
    <xf numFmtId="0" fontId="90" fillId="0" borderId="40" applyNumberFormat="0" applyFill="0" applyAlignment="0" applyProtection="0"/>
    <xf numFmtId="0" fontId="118" fillId="0" borderId="51" applyNumberFormat="0" applyFill="0" applyAlignment="0" applyProtection="0"/>
    <xf numFmtId="0" fontId="90" fillId="0" borderId="40" applyNumberFormat="0" applyFill="0" applyAlignment="0" applyProtection="0"/>
    <xf numFmtId="0" fontId="91" fillId="0" borderId="41" applyNumberFormat="0" applyFill="0" applyAlignment="0" applyProtection="0"/>
    <xf numFmtId="0" fontId="119" fillId="0" borderId="52" applyNumberFormat="0" applyFill="0" applyAlignment="0" applyProtection="0"/>
    <xf numFmtId="0" fontId="91" fillId="0" borderId="41" applyNumberFormat="0" applyFill="0" applyAlignment="0" applyProtection="0"/>
    <xf numFmtId="0" fontId="119" fillId="0" borderId="52" applyNumberFormat="0" applyFill="0" applyAlignment="0" applyProtection="0"/>
    <xf numFmtId="0" fontId="91" fillId="0" borderId="41" applyNumberFormat="0" applyFill="0" applyAlignment="0" applyProtection="0"/>
    <xf numFmtId="0" fontId="91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5" fillId="11" borderId="42" applyNumberFormat="0" applyAlignment="0" applyProtection="0"/>
    <xf numFmtId="0" fontId="120" fillId="44" borderId="48" applyNumberFormat="0" applyAlignment="0" applyProtection="0"/>
    <xf numFmtId="0" fontId="95" fillId="11" borderId="42" applyNumberFormat="0" applyAlignment="0" applyProtection="0"/>
    <xf numFmtId="0" fontId="120" fillId="44" borderId="48" applyNumberFormat="0" applyAlignment="0" applyProtection="0"/>
    <xf numFmtId="0" fontId="95" fillId="11" borderId="42" applyNumberFormat="0" applyAlignment="0" applyProtection="0"/>
    <xf numFmtId="49" fontId="112" fillId="0" borderId="0">
      <alignment horizontal="center"/>
    </xf>
    <xf numFmtId="0" fontId="98" fillId="0" borderId="44" applyNumberFormat="0" applyFill="0" applyAlignment="0" applyProtection="0"/>
    <xf numFmtId="0" fontId="121" fillId="0" borderId="53" applyNumberFormat="0" applyFill="0" applyAlignment="0" applyProtection="0"/>
    <xf numFmtId="0" fontId="98" fillId="0" borderId="44" applyNumberFormat="0" applyFill="0" applyAlignment="0" applyProtection="0"/>
    <xf numFmtId="0" fontId="121" fillId="0" borderId="53" applyNumberFormat="0" applyFill="0" applyAlignment="0" applyProtection="0"/>
    <xf numFmtId="0" fontId="98" fillId="0" borderId="44" applyNumberFormat="0" applyFill="0" applyAlignment="0" applyProtection="0"/>
    <xf numFmtId="0" fontId="94" fillId="10" borderId="0" applyNumberFormat="0" applyBorder="0" applyAlignment="0" applyProtection="0"/>
    <xf numFmtId="0" fontId="122" fillId="59" borderId="0" applyNumberFormat="0" applyBorder="0" applyAlignment="0" applyProtection="0"/>
    <xf numFmtId="0" fontId="94" fillId="10" borderId="0" applyNumberFormat="0" applyBorder="0" applyAlignment="0" applyProtection="0"/>
    <xf numFmtId="0" fontId="122" fillId="59" borderId="0" applyNumberFormat="0" applyBorder="0" applyAlignment="0" applyProtection="0"/>
    <xf numFmtId="0" fontId="94" fillId="10" borderId="0" applyNumberFormat="0" applyBorder="0" applyAlignment="0" applyProtection="0"/>
    <xf numFmtId="185" fontId="9" fillId="0" borderId="0"/>
    <xf numFmtId="0" fontId="9" fillId="0" borderId="0"/>
    <xf numFmtId="185" fontId="9" fillId="0" borderId="0"/>
    <xf numFmtId="0" fontId="9" fillId="0" borderId="0"/>
    <xf numFmtId="185" fontId="9" fillId="0" borderId="0"/>
    <xf numFmtId="0" fontId="9" fillId="0" borderId="0"/>
    <xf numFmtId="185" fontId="9" fillId="0" borderId="0"/>
    <xf numFmtId="0" fontId="9" fillId="0" borderId="0"/>
    <xf numFmtId="185" fontId="9" fillId="0" borderId="0"/>
    <xf numFmtId="0" fontId="9" fillId="0" borderId="0"/>
    <xf numFmtId="185" fontId="9" fillId="0" borderId="0"/>
    <xf numFmtId="0" fontId="9" fillId="0" borderId="0"/>
    <xf numFmtId="185" fontId="9" fillId="0" borderId="0"/>
    <xf numFmtId="0" fontId="9" fillId="0" borderId="0"/>
    <xf numFmtId="185" fontId="9" fillId="0" borderId="0"/>
    <xf numFmtId="0" fontId="9" fillId="0" borderId="0"/>
    <xf numFmtId="185" fontId="9" fillId="0" borderId="0"/>
    <xf numFmtId="0" fontId="123" fillId="0" borderId="0"/>
    <xf numFmtId="185" fontId="123" fillId="0" borderId="0"/>
    <xf numFmtId="0" fontId="31" fillId="0" borderId="0"/>
    <xf numFmtId="0" fontId="5" fillId="0" borderId="0"/>
    <xf numFmtId="185" fontId="112" fillId="0" borderId="0"/>
    <xf numFmtId="0" fontId="84" fillId="0" borderId="0">
      <alignment vertical="top"/>
    </xf>
    <xf numFmtId="0" fontId="5" fillId="0" borderId="0"/>
    <xf numFmtId="185" fontId="9" fillId="0" borderId="0"/>
    <xf numFmtId="0" fontId="5" fillId="0" borderId="0"/>
    <xf numFmtId="0" fontId="11" fillId="0" borderId="0"/>
    <xf numFmtId="0" fontId="9" fillId="0" borderId="0"/>
    <xf numFmtId="185" fontId="9" fillId="0" borderId="0"/>
    <xf numFmtId="0" fontId="5" fillId="0" borderId="0"/>
    <xf numFmtId="0" fontId="5" fillId="0" borderId="0"/>
    <xf numFmtId="0" fontId="5" fillId="0" borderId="0"/>
    <xf numFmtId="197" fontId="5" fillId="0" borderId="0"/>
    <xf numFmtId="197" fontId="5" fillId="0" borderId="0"/>
    <xf numFmtId="185" fontId="9" fillId="0" borderId="0"/>
    <xf numFmtId="185" fontId="9" fillId="0" borderId="0"/>
    <xf numFmtId="0" fontId="112" fillId="0" borderId="0"/>
    <xf numFmtId="0" fontId="5" fillId="0" borderId="0"/>
    <xf numFmtId="0" fontId="9" fillId="0" borderId="0"/>
    <xf numFmtId="185" fontId="9" fillId="0" borderId="0"/>
    <xf numFmtId="185" fontId="5" fillId="0" borderId="0"/>
    <xf numFmtId="185" fontId="5" fillId="0" borderId="0"/>
    <xf numFmtId="0" fontId="9" fillId="0" borderId="0"/>
    <xf numFmtId="185" fontId="9" fillId="0" borderId="0"/>
    <xf numFmtId="185" fontId="9" fillId="0" borderId="0"/>
    <xf numFmtId="185" fontId="9" fillId="0" borderId="0"/>
    <xf numFmtId="0" fontId="5" fillId="14" borderId="46" applyNumberFormat="0" applyFont="0" applyAlignment="0" applyProtection="0"/>
    <xf numFmtId="0" fontId="47" fillId="60" borderId="54" applyNumberFormat="0" applyFont="0" applyAlignment="0" applyProtection="0"/>
    <xf numFmtId="0" fontId="5" fillId="14" borderId="46" applyNumberFormat="0" applyFont="0" applyAlignment="0" applyProtection="0"/>
    <xf numFmtId="0" fontId="47" fillId="60" borderId="54" applyNumberFormat="0" applyFont="0" applyAlignment="0" applyProtection="0"/>
    <xf numFmtId="0" fontId="5" fillId="14" borderId="46" applyNumberFormat="0" applyFont="0" applyAlignment="0" applyProtection="0"/>
    <xf numFmtId="0" fontId="47" fillId="60" borderId="54" applyNumberFormat="0" applyFont="0" applyAlignment="0" applyProtection="0"/>
    <xf numFmtId="0" fontId="47" fillId="60" borderId="54" applyNumberFormat="0" applyFont="0" applyAlignment="0" applyProtection="0"/>
    <xf numFmtId="0" fontId="47" fillId="60" borderId="54" applyNumberFormat="0" applyFont="0" applyAlignment="0" applyProtection="0"/>
    <xf numFmtId="0" fontId="47" fillId="60" borderId="54" applyNumberFormat="0" applyFont="0" applyAlignment="0" applyProtection="0"/>
    <xf numFmtId="0" fontId="47" fillId="60" borderId="54" applyNumberFormat="0" applyFont="0" applyAlignment="0" applyProtection="0"/>
    <xf numFmtId="0" fontId="96" fillId="12" borderId="43" applyNumberFormat="0" applyAlignment="0" applyProtection="0"/>
    <xf numFmtId="0" fontId="124" fillId="57" borderId="55" applyNumberFormat="0" applyAlignment="0" applyProtection="0"/>
    <xf numFmtId="0" fontId="96" fillId="12" borderId="43" applyNumberFormat="0" applyAlignment="0" applyProtection="0"/>
    <xf numFmtId="0" fontId="124" fillId="57" borderId="55" applyNumberFormat="0" applyAlignment="0" applyProtection="0"/>
    <xf numFmtId="0" fontId="96" fillId="12" borderId="43" applyNumberFormat="0" applyAlignment="0" applyProtection="0"/>
    <xf numFmtId="9" fontId="1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47" applyNumberFormat="0" applyFill="0" applyAlignment="0" applyProtection="0"/>
    <xf numFmtId="0" fontId="43" fillId="0" borderId="56" applyNumberFormat="0" applyFill="0" applyAlignment="0" applyProtection="0"/>
    <xf numFmtId="0" fontId="87" fillId="0" borderId="47" applyNumberFormat="0" applyFill="0" applyAlignment="0" applyProtection="0"/>
    <xf numFmtId="0" fontId="43" fillId="0" borderId="56" applyNumberFormat="0" applyFill="0" applyAlignment="0" applyProtection="0"/>
    <xf numFmtId="0" fontId="87" fillId="0" borderId="47" applyNumberFormat="0" applyFill="0" applyAlignment="0" applyProtection="0"/>
    <xf numFmtId="0" fontId="100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/>
    <xf numFmtId="183" fontId="5" fillId="0" borderId="0"/>
    <xf numFmtId="43" fontId="5" fillId="0" borderId="0" applyFont="0" applyFill="0" applyBorder="0" applyAlignment="0" applyProtection="0"/>
    <xf numFmtId="0" fontId="3" fillId="0" borderId="0"/>
    <xf numFmtId="0" fontId="132" fillId="0" borderId="0"/>
    <xf numFmtId="43" fontId="13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200" fontId="9" fillId="0" borderId="0"/>
    <xf numFmtId="197" fontId="9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197" fontId="9" fillId="0" borderId="0"/>
    <xf numFmtId="44" fontId="1" fillId="0" borderId="0" applyFont="0" applyFill="0" applyBorder="0" applyAlignment="0" applyProtection="0"/>
    <xf numFmtId="0" fontId="1" fillId="0" borderId="0"/>
    <xf numFmtId="44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97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87" fillId="0" borderId="47" applyNumberFormat="0" applyFill="0" applyAlignment="0" applyProtection="0"/>
  </cellStyleXfs>
  <cellXfs count="2155">
    <xf numFmtId="0" fontId="0" fillId="0" borderId="0" xfId="0"/>
    <xf numFmtId="165" fontId="16" fillId="0" borderId="0" xfId="0" applyNumberFormat="1" applyFont="1" applyAlignment="1">
      <alignment horizontal="left"/>
    </xf>
    <xf numFmtId="0" fontId="16" fillId="0" borderId="0" xfId="0" applyFont="1"/>
    <xf numFmtId="38" fontId="16" fillId="0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14" fontId="16" fillId="0" borderId="0" xfId="0" applyNumberFormat="1" applyFont="1" applyAlignment="1">
      <alignment horizontal="center"/>
    </xf>
    <xf numFmtId="38" fontId="16" fillId="0" borderId="1" xfId="0" applyNumberFormat="1" applyFont="1" applyFill="1" applyBorder="1" applyAlignment="1">
      <alignment horizontal="center"/>
    </xf>
    <xf numFmtId="14" fontId="16" fillId="0" borderId="0" xfId="0" applyNumberFormat="1" applyFont="1" applyAlignment="1"/>
    <xf numFmtId="38" fontId="16" fillId="0" borderId="0" xfId="0" applyNumberFormat="1" applyFont="1" applyFill="1" applyBorder="1" applyAlignment="1"/>
    <xf numFmtId="0" fontId="16" fillId="0" borderId="0" xfId="30" applyFont="1" applyBorder="1" applyAlignment="1">
      <alignment horizontal="center"/>
    </xf>
    <xf numFmtId="0" fontId="16" fillId="0" borderId="0" xfId="30" applyFont="1" applyBorder="1" applyAlignment="1"/>
    <xf numFmtId="38" fontId="16" fillId="0" borderId="0" xfId="0" applyNumberFormat="1" applyFont="1" applyFill="1"/>
    <xf numFmtId="166" fontId="16" fillId="0" borderId="0" xfId="0" applyNumberFormat="1" applyFont="1"/>
    <xf numFmtId="38" fontId="16" fillId="0" borderId="0" xfId="0" applyNumberFormat="1" applyFont="1" applyFill="1" applyAlignment="1"/>
    <xf numFmtId="0" fontId="16" fillId="0" borderId="0" xfId="0" applyFont="1" applyFill="1"/>
    <xf numFmtId="166" fontId="16" fillId="0" borderId="0" xfId="0" applyNumberFormat="1" applyFont="1" applyFill="1"/>
    <xf numFmtId="38" fontId="16" fillId="0" borderId="0" xfId="0" applyNumberFormat="1" applyFont="1" applyFill="1" applyBorder="1"/>
    <xf numFmtId="166" fontId="16" fillId="0" borderId="0" xfId="0" applyNumberFormat="1" applyFont="1" applyBorder="1"/>
    <xf numFmtId="0" fontId="16" fillId="0" borderId="0" xfId="0" applyFont="1" applyBorder="1"/>
    <xf numFmtId="166" fontId="16" fillId="0" borderId="0" xfId="0" applyNumberFormat="1" applyFont="1" applyFill="1" applyBorder="1"/>
    <xf numFmtId="0" fontId="16" fillId="0" borderId="0" xfId="0" applyFont="1" applyFill="1" applyBorder="1"/>
    <xf numFmtId="166" fontId="16" fillId="0" borderId="1" xfId="0" applyNumberFormat="1" applyFont="1" applyBorder="1"/>
    <xf numFmtId="10" fontId="16" fillId="0" borderId="0" xfId="0" applyNumberFormat="1" applyFont="1" applyBorder="1"/>
    <xf numFmtId="168" fontId="17" fillId="0" borderId="2" xfId="3" applyNumberFormat="1" applyFont="1" applyBorder="1" applyAlignment="1">
      <alignment horizontal="right"/>
    </xf>
    <xf numFmtId="0" fontId="16" fillId="0" borderId="0" xfId="0" applyFont="1" applyAlignment="1">
      <alignment horizontal="left" indent="1"/>
    </xf>
    <xf numFmtId="168" fontId="16" fillId="0" borderId="0" xfId="3" applyNumberFormat="1" applyFont="1" applyBorder="1" applyAlignment="1">
      <alignment horizontal="right"/>
    </xf>
    <xf numFmtId="168" fontId="16" fillId="0" borderId="3" xfId="3" applyNumberFormat="1" applyFont="1" applyBorder="1" applyAlignment="1">
      <alignment horizontal="right"/>
    </xf>
    <xf numFmtId="0" fontId="16" fillId="0" borderId="0" xfId="0" applyFont="1" applyAlignment="1">
      <alignment horizontal="right"/>
    </xf>
    <xf numFmtId="37" fontId="16" fillId="0" borderId="0" xfId="37" applyNumberFormat="1" applyFont="1"/>
    <xf numFmtId="37" fontId="16" fillId="0" borderId="0" xfId="37" applyNumberFormat="1" applyFont="1" applyBorder="1"/>
    <xf numFmtId="0" fontId="16" fillId="0" borderId="0" xfId="0" applyFont="1" applyBorder="1" applyAlignment="1">
      <alignment horizontal="center"/>
    </xf>
    <xf numFmtId="43" fontId="16" fillId="0" borderId="0" xfId="3" applyFont="1" applyBorder="1"/>
    <xf numFmtId="166" fontId="16" fillId="0" borderId="1" xfId="0" applyNumberFormat="1" applyFont="1" applyBorder="1" applyAlignment="1">
      <alignment horizontal="center"/>
    </xf>
    <xf numFmtId="166" fontId="15" fillId="0" borderId="0" xfId="0" applyNumberFormat="1" applyFont="1"/>
    <xf numFmtId="166" fontId="16" fillId="0" borderId="0" xfId="0" applyNumberFormat="1" applyFont="1" applyAlignment="1">
      <alignment horizontal="fill"/>
    </xf>
    <xf numFmtId="43" fontId="15" fillId="0" borderId="0" xfId="0" applyNumberFormat="1" applyFont="1"/>
    <xf numFmtId="0" fontId="15" fillId="0" borderId="0" xfId="0" applyFont="1"/>
    <xf numFmtId="166" fontId="15" fillId="0" borderId="0" xfId="0" applyNumberFormat="1" applyFont="1" applyFill="1"/>
    <xf numFmtId="166" fontId="16" fillId="0" borderId="0" xfId="0" applyNumberFormat="1" applyFont="1" applyFill="1" applyAlignment="1">
      <alignment horizontal="center"/>
    </xf>
    <xf numFmtId="42" fontId="16" fillId="0" borderId="0" xfId="0" applyNumberFormat="1" applyFont="1"/>
    <xf numFmtId="42" fontId="16" fillId="0" borderId="0" xfId="0" applyNumberFormat="1" applyFont="1" applyFill="1"/>
    <xf numFmtId="10" fontId="16" fillId="0" borderId="0" xfId="0" applyNumberFormat="1" applyFont="1"/>
    <xf numFmtId="42" fontId="16" fillId="0" borderId="1" xfId="0" applyNumberFormat="1" applyFont="1" applyBorder="1"/>
    <xf numFmtId="42" fontId="16" fillId="0" borderId="5" xfId="0" applyNumberFormat="1" applyFont="1" applyBorder="1"/>
    <xf numFmtId="42" fontId="16" fillId="0" borderId="5" xfId="0" applyNumberFormat="1" applyFont="1" applyFill="1" applyBorder="1"/>
    <xf numFmtId="10" fontId="16" fillId="0" borderId="0" xfId="39" applyNumberFormat="1" applyFont="1" applyFill="1" applyAlignment="1">
      <alignment horizontal="center"/>
    </xf>
    <xf numFmtId="37" fontId="16" fillId="0" borderId="0" xfId="0" applyNumberFormat="1" applyFont="1"/>
    <xf numFmtId="37" fontId="16" fillId="0" borderId="0" xfId="0" applyNumberFormat="1" applyFont="1" applyFill="1"/>
    <xf numFmtId="37" fontId="16" fillId="0" borderId="6" xfId="0" applyNumberFormat="1" applyFont="1" applyFill="1" applyBorder="1"/>
    <xf numFmtId="10" fontId="16" fillId="0" borderId="1" xfId="0" applyNumberFormat="1" applyFont="1" applyBorder="1"/>
    <xf numFmtId="10" fontId="16" fillId="0" borderId="5" xfId="0" applyNumberFormat="1" applyFont="1" applyBorder="1"/>
    <xf numFmtId="10" fontId="16" fillId="0" borderId="0" xfId="0" applyNumberFormat="1" applyFont="1" applyFill="1" applyBorder="1"/>
    <xf numFmtId="10" fontId="16" fillId="0" borderId="5" xfId="0" applyNumberFormat="1" applyFont="1" applyFill="1" applyBorder="1"/>
    <xf numFmtId="10" fontId="16" fillId="0" borderId="0" xfId="0" applyNumberFormat="1" applyFont="1" applyFill="1"/>
    <xf numFmtId="37" fontId="16" fillId="0" borderId="0" xfId="0" applyNumberFormat="1" applyFont="1" applyFill="1" applyBorder="1"/>
    <xf numFmtId="9" fontId="16" fillId="0" borderId="0" xfId="39" applyFont="1" applyFill="1" applyAlignment="1">
      <alignment horizontal="right"/>
    </xf>
    <xf numFmtId="37" fontId="15" fillId="0" borderId="0" xfId="0" applyNumberFormat="1" applyFont="1"/>
    <xf numFmtId="44" fontId="16" fillId="0" borderId="0" xfId="0" applyNumberFormat="1" applyFont="1"/>
    <xf numFmtId="41" fontId="16" fillId="0" borderId="0" xfId="0" applyNumberFormat="1" applyFont="1"/>
    <xf numFmtId="0" fontId="16" fillId="0" borderId="1" xfId="0" applyFont="1" applyBorder="1" applyAlignment="1">
      <alignment horizontal="center"/>
    </xf>
    <xf numFmtId="41" fontId="16" fillId="0" borderId="0" xfId="0" applyNumberFormat="1" applyFont="1" applyBorder="1"/>
    <xf numFmtId="44" fontId="16" fillId="0" borderId="0" xfId="11" applyFont="1"/>
    <xf numFmtId="37" fontId="15" fillId="0" borderId="0" xfId="32" applyNumberFormat="1" applyFont="1" applyAlignment="1">
      <alignment horizontal="right"/>
    </xf>
    <xf numFmtId="37" fontId="18" fillId="0" borderId="0" xfId="32" applyNumberFormat="1" applyFont="1" applyBorder="1" applyAlignment="1">
      <alignment horizontal="center"/>
    </xf>
    <xf numFmtId="37" fontId="16" fillId="0" borderId="0" xfId="0" applyNumberFormat="1" applyFont="1" applyBorder="1"/>
    <xf numFmtId="37" fontId="15" fillId="0" borderId="0" xfId="37" applyNumberFormat="1" applyFont="1" applyAlignment="1">
      <alignment horizontal="left"/>
    </xf>
    <xf numFmtId="37" fontId="15" fillId="0" borderId="0" xfId="37" applyNumberFormat="1" applyFont="1" applyFill="1"/>
    <xf numFmtId="37" fontId="16" fillId="0" borderId="0" xfId="37" applyNumberFormat="1" applyFont="1" applyFill="1"/>
    <xf numFmtId="37" fontId="15" fillId="0" borderId="0" xfId="32" applyNumberFormat="1" applyFont="1" applyAlignment="1">
      <alignment horizontal="center"/>
    </xf>
    <xf numFmtId="37" fontId="15" fillId="0" borderId="0" xfId="37" applyNumberFormat="1" applyFont="1"/>
    <xf numFmtId="10" fontId="16" fillId="0" borderId="0" xfId="39" applyNumberFormat="1" applyFont="1" applyFill="1"/>
    <xf numFmtId="37" fontId="16" fillId="0" borderId="0" xfId="34" applyNumberFormat="1" applyFont="1" applyFill="1" applyBorder="1" applyAlignment="1">
      <alignment horizontal="center"/>
    </xf>
    <xf numFmtId="173" fontId="16" fillId="0" borderId="0" xfId="37" applyNumberFormat="1" applyFont="1" applyFill="1"/>
    <xf numFmtId="174" fontId="16" fillId="0" borderId="0" xfId="37" quotePrefix="1" applyNumberFormat="1" applyFont="1" applyBorder="1" applyAlignment="1">
      <alignment horizontal="center"/>
    </xf>
    <xf numFmtId="37" fontId="16" fillId="0" borderId="0" xfId="37" applyNumberFormat="1" applyFont="1" applyBorder="1" applyAlignment="1">
      <alignment horizontal="center"/>
    </xf>
    <xf numFmtId="37" fontId="16" fillId="0" borderId="0" xfId="37" applyNumberFormat="1" applyFont="1" applyAlignment="1">
      <alignment horizontal="center"/>
    </xf>
    <xf numFmtId="37" fontId="16" fillId="0" borderId="0" xfId="37" applyNumberFormat="1" applyFont="1" applyFill="1" applyAlignment="1">
      <alignment horizontal="center"/>
    </xf>
    <xf numFmtId="37" fontId="16" fillId="0" borderId="1" xfId="34" applyNumberFormat="1" applyFont="1" applyFill="1" applyBorder="1" applyAlignment="1">
      <alignment horizontal="center"/>
    </xf>
    <xf numFmtId="37" fontId="16" fillId="0" borderId="1" xfId="37" applyNumberFormat="1" applyFont="1" applyBorder="1" applyAlignment="1">
      <alignment horizontal="center"/>
    </xf>
    <xf numFmtId="37" fontId="16" fillId="0" borderId="1" xfId="37" applyNumberFormat="1" applyFont="1" applyFill="1" applyBorder="1" applyAlignment="1">
      <alignment horizontal="center"/>
    </xf>
    <xf numFmtId="37" fontId="15" fillId="0" borderId="0" xfId="37" applyNumberFormat="1" applyFont="1" applyBorder="1"/>
    <xf numFmtId="37" fontId="16" fillId="0" borderId="0" xfId="34" applyNumberFormat="1" applyFont="1" applyFill="1" applyBorder="1"/>
    <xf numFmtId="37" fontId="17" fillId="0" borderId="0" xfId="37" applyNumberFormat="1" applyFont="1"/>
    <xf numFmtId="37" fontId="16" fillId="0" borderId="0" xfId="0" applyNumberFormat="1" applyFont="1" applyFill="1" applyAlignment="1"/>
    <xf numFmtId="37" fontId="16" fillId="0" borderId="0" xfId="37" applyNumberFormat="1" applyFont="1" applyFill="1" applyBorder="1"/>
    <xf numFmtId="37" fontId="15" fillId="0" borderId="0" xfId="37" applyNumberFormat="1" applyFont="1" applyFill="1" applyBorder="1"/>
    <xf numFmtId="37" fontId="16" fillId="1" borderId="0" xfId="37" applyNumberFormat="1" applyFont="1" applyFill="1" applyBorder="1"/>
    <xf numFmtId="37" fontId="24" fillId="0" borderId="0" xfId="37" applyNumberFormat="1" applyFont="1" applyFill="1" applyBorder="1"/>
    <xf numFmtId="37" fontId="15" fillId="0" borderId="0" xfId="37" applyNumberFormat="1" applyFont="1" applyFill="1" applyBorder="1" applyAlignment="1">
      <alignment horizontal="left"/>
    </xf>
    <xf numFmtId="37" fontId="15" fillId="0" borderId="0" xfId="37" applyNumberFormat="1" applyFont="1" applyFill="1" applyBorder="1" applyAlignment="1">
      <alignment horizontal="center"/>
    </xf>
    <xf numFmtId="0" fontId="19" fillId="0" borderId="0" xfId="0" quotePrefix="1" applyFont="1" applyBorder="1" applyAlignment="1">
      <alignment horizontal="center"/>
    </xf>
    <xf numFmtId="37" fontId="19" fillId="0" borderId="0" xfId="37" applyNumberFormat="1" applyFont="1" applyBorder="1" applyAlignment="1">
      <alignment horizontal="center"/>
    </xf>
    <xf numFmtId="37" fontId="16" fillId="2" borderId="0" xfId="37" applyNumberFormat="1" applyFont="1" applyFill="1"/>
    <xf numFmtId="37" fontId="15" fillId="2" borderId="0" xfId="37" applyNumberFormat="1" applyFont="1" applyFill="1" applyAlignment="1">
      <alignment horizontal="left"/>
    </xf>
    <xf numFmtId="37" fontId="15" fillId="2" borderId="0" xfId="34" applyNumberFormat="1" applyFont="1" applyFill="1" applyAlignment="1">
      <alignment horizontal="right"/>
    </xf>
    <xf numFmtId="37" fontId="16" fillId="2" borderId="7" xfId="37" applyNumberFormat="1" applyFont="1" applyFill="1" applyBorder="1" applyAlignment="1">
      <alignment horizontal="center"/>
    </xf>
    <xf numFmtId="37" fontId="20" fillId="2" borderId="7" xfId="37" applyNumberFormat="1" applyFont="1" applyFill="1" applyBorder="1" applyAlignment="1">
      <alignment horizontal="right"/>
    </xf>
    <xf numFmtId="167" fontId="20" fillId="2" borderId="8" xfId="39" applyNumberFormat="1" applyFont="1" applyFill="1" applyBorder="1" applyAlignment="1">
      <alignment horizontal="right"/>
    </xf>
    <xf numFmtId="0" fontId="16" fillId="2" borderId="0" xfId="34" applyFont="1" applyFill="1"/>
    <xf numFmtId="10" fontId="16" fillId="2" borderId="0" xfId="39" applyNumberFormat="1" applyFont="1" applyFill="1" applyBorder="1"/>
    <xf numFmtId="37" fontId="21" fillId="2" borderId="9" xfId="37" applyNumberFormat="1" applyFont="1" applyFill="1" applyBorder="1" applyAlignment="1">
      <alignment horizontal="center"/>
    </xf>
    <xf numFmtId="37" fontId="21" fillId="2" borderId="10" xfId="37" applyNumberFormat="1" applyFont="1" applyFill="1" applyBorder="1" applyAlignment="1">
      <alignment horizontal="right"/>
    </xf>
    <xf numFmtId="10" fontId="21" fillId="2" borderId="11" xfId="39" applyNumberFormat="1" applyFont="1" applyFill="1" applyBorder="1" applyAlignment="1">
      <alignment horizontal="right"/>
    </xf>
    <xf numFmtId="37" fontId="16" fillId="2" borderId="0" xfId="37" applyNumberFormat="1" applyFont="1" applyFill="1" applyAlignment="1">
      <alignment horizontal="center"/>
    </xf>
    <xf numFmtId="37" fontId="16" fillId="2" borderId="0" xfId="34" applyNumberFormat="1" applyFont="1" applyFill="1" applyAlignment="1">
      <alignment horizontal="center"/>
    </xf>
    <xf numFmtId="37" fontId="16" fillId="2" borderId="0" xfId="34" applyNumberFormat="1" applyFont="1" applyFill="1" applyBorder="1" applyAlignment="1">
      <alignment horizontal="center"/>
    </xf>
    <xf numFmtId="37" fontId="16" fillId="2" borderId="0" xfId="37" applyNumberFormat="1" applyFont="1" applyFill="1" applyBorder="1" applyAlignment="1">
      <alignment horizontal="center"/>
    </xf>
    <xf numFmtId="37" fontId="16" fillId="2" borderId="0" xfId="37" applyNumberFormat="1" applyFont="1" applyFill="1" applyBorder="1"/>
    <xf numFmtId="0" fontId="16" fillId="2" borderId="0" xfId="34" applyFont="1" applyFill="1" applyBorder="1"/>
    <xf numFmtId="37" fontId="21" fillId="2" borderId="0" xfId="37" applyNumberFormat="1" applyFont="1" applyFill="1" applyBorder="1" applyAlignment="1">
      <alignment horizontal="center"/>
    </xf>
    <xf numFmtId="37" fontId="21" fillId="2" borderId="0" xfId="37" applyNumberFormat="1" applyFont="1" applyFill="1" applyBorder="1" applyAlignment="1">
      <alignment horizontal="right"/>
    </xf>
    <xf numFmtId="167" fontId="21" fillId="2" borderId="0" xfId="39" applyNumberFormat="1" applyFont="1" applyFill="1" applyBorder="1" applyAlignment="1">
      <alignment horizontal="right"/>
    </xf>
    <xf numFmtId="37" fontId="16" fillId="2" borderId="0" xfId="34" quotePrefix="1" applyNumberFormat="1" applyFont="1" applyFill="1" applyBorder="1" applyAlignment="1">
      <alignment horizontal="center"/>
    </xf>
    <xf numFmtId="37" fontId="16" fillId="2" borderId="1" xfId="37" applyNumberFormat="1" applyFont="1" applyFill="1" applyBorder="1" applyAlignment="1">
      <alignment horizontal="center"/>
    </xf>
    <xf numFmtId="39" fontId="16" fillId="2" borderId="1" xfId="34" quotePrefix="1" applyNumberFormat="1" applyFont="1" applyFill="1" applyBorder="1" applyAlignment="1">
      <alignment horizontal="center"/>
    </xf>
    <xf numFmtId="37" fontId="16" fillId="2" borderId="1" xfId="34" applyNumberFormat="1" applyFont="1" applyFill="1" applyBorder="1" applyAlignment="1">
      <alignment horizontal="center"/>
    </xf>
    <xf numFmtId="37" fontId="19" fillId="2" borderId="0" xfId="34" applyNumberFormat="1" applyFont="1" applyFill="1" applyBorder="1" applyAlignment="1">
      <alignment horizontal="center"/>
    </xf>
    <xf numFmtId="39" fontId="16" fillId="2" borderId="0" xfId="34" applyNumberFormat="1" applyFont="1" applyFill="1"/>
    <xf numFmtId="37" fontId="16" fillId="2" borderId="0" xfId="34" applyNumberFormat="1" applyFont="1" applyFill="1"/>
    <xf numFmtId="37" fontId="16" fillId="2" borderId="0" xfId="34" applyNumberFormat="1" applyFont="1" applyFill="1" applyBorder="1"/>
    <xf numFmtId="10" fontId="15" fillId="2" borderId="0" xfId="39" applyNumberFormat="1" applyFont="1" applyFill="1" applyBorder="1"/>
    <xf numFmtId="39" fontId="16" fillId="2" borderId="0" xfId="37" applyNumberFormat="1" applyFont="1" applyFill="1" applyBorder="1" applyAlignment="1">
      <alignment horizontal="right"/>
    </xf>
    <xf numFmtId="37" fontId="16" fillId="2" borderId="0" xfId="0" applyNumberFormat="1" applyFont="1" applyFill="1" applyBorder="1"/>
    <xf numFmtId="39" fontId="16" fillId="2" borderId="0" xfId="37" applyNumberFormat="1" applyFont="1" applyFill="1" applyAlignment="1">
      <alignment horizontal="right"/>
    </xf>
    <xf numFmtId="0" fontId="16" fillId="2" borderId="0" xfId="0" applyFont="1" applyFill="1"/>
    <xf numFmtId="37" fontId="16" fillId="2" borderId="0" xfId="0" applyNumberFormat="1" applyFont="1" applyFill="1"/>
    <xf numFmtId="37" fontId="15" fillId="2" borderId="0" xfId="37" applyNumberFormat="1" applyFont="1" applyFill="1" applyBorder="1"/>
    <xf numFmtId="37" fontId="23" fillId="2" borderId="0" xfId="37" applyNumberFormat="1" applyFont="1" applyFill="1"/>
    <xf numFmtId="37" fontId="24" fillId="2" borderId="0" xfId="37" applyNumberFormat="1" applyFont="1" applyFill="1" applyBorder="1"/>
    <xf numFmtId="168" fontId="16" fillId="0" borderId="0" xfId="3" applyNumberFormat="1" applyFont="1" applyFill="1" applyBorder="1"/>
    <xf numFmtId="37" fontId="16" fillId="0" borderId="0" xfId="0" applyNumberFormat="1" applyFont="1" applyBorder="1" applyAlignment="1">
      <alignment horizontal="center"/>
    </xf>
    <xf numFmtId="166" fontId="16" fillId="0" borderId="0" xfId="0" applyNumberFormat="1" applyFont="1" applyBorder="1" applyAlignment="1">
      <alignment horizontal="center"/>
    </xf>
    <xf numFmtId="37" fontId="15" fillId="0" borderId="0" xfId="0" applyNumberFormat="1" applyFont="1" applyBorder="1"/>
    <xf numFmtId="37" fontId="15" fillId="0" borderId="0" xfId="36" applyNumberFormat="1" applyFont="1" applyBorder="1"/>
    <xf numFmtId="37" fontId="16" fillId="0" borderId="0" xfId="36" applyNumberFormat="1" applyFont="1"/>
    <xf numFmtId="37" fontId="15" fillId="0" borderId="0" xfId="36" applyNumberFormat="1" applyFont="1" applyAlignment="1">
      <alignment horizontal="right"/>
    </xf>
    <xf numFmtId="37" fontId="15" fillId="0" borderId="0" xfId="36" applyNumberFormat="1" applyFont="1" applyAlignment="1">
      <alignment horizontal="center"/>
    </xf>
    <xf numFmtId="37" fontId="15" fillId="0" borderId="0" xfId="36" applyNumberFormat="1" applyFont="1"/>
    <xf numFmtId="37" fontId="18" fillId="0" borderId="0" xfId="36" applyNumberFormat="1" applyFont="1" applyBorder="1" applyAlignment="1">
      <alignment horizontal="center"/>
    </xf>
    <xf numFmtId="37" fontId="16" fillId="0" borderId="0" xfId="36" applyNumberFormat="1" applyFont="1" applyAlignment="1">
      <alignment horizontal="center"/>
    </xf>
    <xf numFmtId="37" fontId="16" fillId="0" borderId="1" xfId="36" applyNumberFormat="1" applyFont="1" applyBorder="1"/>
    <xf numFmtId="37" fontId="16" fillId="0" borderId="0" xfId="36" applyNumberFormat="1" applyFont="1" applyBorder="1"/>
    <xf numFmtId="37" fontId="18" fillId="0" borderId="0" xfId="36" applyNumberFormat="1" applyFont="1"/>
    <xf numFmtId="42" fontId="16" fillId="0" borderId="0" xfId="36" applyNumberFormat="1" applyFont="1"/>
    <xf numFmtId="37" fontId="16" fillId="0" borderId="0" xfId="36" applyNumberFormat="1" applyFont="1" applyFill="1"/>
    <xf numFmtId="37" fontId="16" fillId="0" borderId="6" xfId="36" applyNumberFormat="1" applyFont="1" applyFill="1" applyBorder="1"/>
    <xf numFmtId="42" fontId="15" fillId="0" borderId="0" xfId="36" applyNumberFormat="1" applyFont="1" applyFill="1"/>
    <xf numFmtId="37" fontId="15" fillId="0" borderId="0" xfId="36" applyNumberFormat="1" applyFont="1" applyFill="1" applyBorder="1"/>
    <xf numFmtId="37" fontId="16" fillId="0" borderId="0" xfId="36" applyNumberFormat="1" applyFont="1" applyFill="1" applyBorder="1"/>
    <xf numFmtId="10" fontId="16" fillId="0" borderId="0" xfId="39" applyNumberFormat="1" applyFont="1" applyFill="1" applyBorder="1"/>
    <xf numFmtId="37" fontId="19" fillId="0" borderId="0" xfId="36" applyNumberFormat="1" applyFont="1" applyFill="1" applyBorder="1"/>
    <xf numFmtId="10" fontId="16" fillId="0" borderId="0" xfId="36" applyNumberFormat="1" applyFont="1" applyFill="1" applyBorder="1"/>
    <xf numFmtId="0" fontId="16" fillId="0" borderId="0" xfId="0" quotePrefix="1" applyFont="1" applyFill="1" applyBorder="1"/>
    <xf numFmtId="37" fontId="16" fillId="0" borderId="0" xfId="36" quotePrefix="1" applyNumberFormat="1" applyFont="1" applyFill="1" applyBorder="1"/>
    <xf numFmtId="37" fontId="15" fillId="0" borderId="0" xfId="36" applyNumberFormat="1" applyFont="1" applyFill="1" applyBorder="1" applyAlignment="1">
      <alignment horizontal="right"/>
    </xf>
    <xf numFmtId="37" fontId="18" fillId="0" borderId="0" xfId="36" applyNumberFormat="1" applyFont="1" applyFill="1" applyBorder="1" applyAlignment="1">
      <alignment horizontal="center"/>
    </xf>
    <xf numFmtId="37" fontId="16" fillId="0" borderId="0" xfId="36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37" fontId="16" fillId="0" borderId="0" xfId="31" applyNumberFormat="1" applyFont="1" applyAlignment="1">
      <alignment horizontal="centerContinuous"/>
    </xf>
    <xf numFmtId="170" fontId="16" fillId="0" borderId="0" xfId="31" applyNumberFormat="1" applyFont="1" applyAlignment="1">
      <alignment horizontal="centerContinuous"/>
    </xf>
    <xf numFmtId="170" fontId="16" fillId="0" borderId="0" xfId="31" applyNumberFormat="1" applyFont="1" applyFill="1" applyAlignment="1">
      <alignment horizontal="centerContinuous"/>
    </xf>
    <xf numFmtId="10" fontId="16" fillId="0" borderId="0" xfId="31" applyNumberFormat="1" applyFont="1" applyFill="1" applyBorder="1" applyAlignment="1">
      <alignment horizontal="centerContinuous"/>
    </xf>
    <xf numFmtId="0" fontId="16" fillId="0" borderId="0" xfId="31" applyFont="1"/>
    <xf numFmtId="170" fontId="16" fillId="0" borderId="0" xfId="31" applyNumberFormat="1" applyFont="1" applyAlignment="1" applyProtection="1">
      <alignment horizontal="centerContinuous"/>
      <protection locked="0"/>
    </xf>
    <xf numFmtId="170" fontId="16" fillId="0" borderId="0" xfId="31" applyNumberFormat="1" applyFont="1" applyProtection="1">
      <protection locked="0"/>
    </xf>
    <xf numFmtId="37" fontId="16" fillId="0" borderId="0" xfId="31" applyNumberFormat="1" applyFont="1"/>
    <xf numFmtId="170" fontId="16" fillId="0" borderId="0" xfId="31" applyNumberFormat="1" applyFont="1"/>
    <xf numFmtId="170" fontId="16" fillId="0" borderId="0" xfId="31" applyNumberFormat="1" applyFont="1" applyFill="1"/>
    <xf numFmtId="10" fontId="16" fillId="0" borderId="0" xfId="31" applyNumberFormat="1" applyFont="1" applyFill="1" applyBorder="1"/>
    <xf numFmtId="170" fontId="16" fillId="0" borderId="0" xfId="31" applyNumberFormat="1" applyFont="1" applyFill="1" applyAlignment="1">
      <alignment horizontal="center"/>
    </xf>
    <xf numFmtId="0" fontId="16" fillId="0" borderId="0" xfId="31" applyFont="1" applyFill="1" applyAlignment="1">
      <alignment horizontal="center"/>
    </xf>
    <xf numFmtId="170" fontId="19" fillId="0" borderId="0" xfId="31" applyNumberFormat="1" applyFont="1" applyBorder="1" applyAlignment="1" applyProtection="1">
      <alignment horizontal="left"/>
      <protection locked="0"/>
    </xf>
    <xf numFmtId="170" fontId="16" fillId="0" borderId="0" xfId="31" applyNumberFormat="1" applyFont="1" applyBorder="1" applyAlignment="1" applyProtection="1">
      <alignment horizontal="left"/>
      <protection locked="0"/>
    </xf>
    <xf numFmtId="170" fontId="16" fillId="0" borderId="0" xfId="31" applyNumberFormat="1" applyFont="1" applyAlignment="1" applyProtection="1">
      <alignment horizontal="left"/>
      <protection locked="0"/>
    </xf>
    <xf numFmtId="170" fontId="16" fillId="0" borderId="0" xfId="31" applyNumberFormat="1" applyFont="1" applyAlignment="1" applyProtection="1">
      <alignment horizontal="right"/>
      <protection locked="0"/>
    </xf>
    <xf numFmtId="170" fontId="16" fillId="0" borderId="0" xfId="31" applyNumberFormat="1" applyFont="1" applyFill="1" applyBorder="1" applyAlignment="1">
      <alignment horizontal="center"/>
    </xf>
    <xf numFmtId="10" fontId="16" fillId="0" borderId="0" xfId="31" applyNumberFormat="1" applyFont="1" applyFill="1" applyBorder="1" applyAlignment="1">
      <alignment horizontal="fill"/>
    </xf>
    <xf numFmtId="170" fontId="16" fillId="0" borderId="0" xfId="31" applyNumberFormat="1" applyFont="1" applyFill="1" applyAlignment="1" applyProtection="1">
      <alignment horizontal="left"/>
      <protection locked="0"/>
    </xf>
    <xf numFmtId="170" fontId="16" fillId="0" borderId="0" xfId="31" applyNumberFormat="1" applyFont="1" applyFill="1" applyAlignment="1" applyProtection="1">
      <alignment horizontal="right"/>
      <protection locked="0"/>
    </xf>
    <xf numFmtId="171" fontId="16" fillId="0" borderId="0" xfId="31" applyNumberFormat="1" applyFont="1" applyFill="1" applyBorder="1"/>
    <xf numFmtId="170" fontId="16" fillId="0" borderId="0" xfId="31" applyNumberFormat="1" applyFont="1" applyBorder="1"/>
    <xf numFmtId="170" fontId="16" fillId="0" borderId="0" xfId="31" applyNumberFormat="1" applyFont="1" applyFill="1" applyBorder="1"/>
    <xf numFmtId="172" fontId="16" fillId="0" borderId="0" xfId="31" applyNumberFormat="1" applyFont="1" applyFill="1"/>
    <xf numFmtId="172" fontId="16" fillId="0" borderId="0" xfId="31" applyNumberFormat="1" applyFont="1" applyFill="1" applyBorder="1"/>
    <xf numFmtId="170" fontId="16" fillId="0" borderId="0" xfId="31" applyNumberFormat="1" applyFont="1" applyBorder="1" applyAlignment="1" applyProtection="1">
      <alignment horizontal="right"/>
      <protection locked="0"/>
    </xf>
    <xf numFmtId="172" fontId="16" fillId="0" borderId="0" xfId="31" applyNumberFormat="1" applyFont="1" applyBorder="1"/>
    <xf numFmtId="37" fontId="16" fillId="0" borderId="0" xfId="31" applyNumberFormat="1" applyFont="1" applyBorder="1"/>
    <xf numFmtId="0" fontId="19" fillId="0" borderId="0" xfId="31" applyFont="1" applyAlignment="1">
      <alignment horizontal="center"/>
    </xf>
    <xf numFmtId="0" fontId="19" fillId="0" borderId="0" xfId="31" applyFont="1" applyFill="1" applyAlignment="1">
      <alignment horizontal="center"/>
    </xf>
    <xf numFmtId="10" fontId="16" fillId="0" borderId="0" xfId="31" applyNumberFormat="1" applyFont="1" applyAlignment="1">
      <alignment horizontal="center"/>
    </xf>
    <xf numFmtId="10" fontId="19" fillId="0" borderId="0" xfId="31" applyNumberFormat="1" applyFont="1" applyAlignment="1">
      <alignment horizontal="center"/>
    </xf>
    <xf numFmtId="9" fontId="16" fillId="0" borderId="0" xfId="39" applyNumberFormat="1" applyFont="1" applyBorder="1"/>
    <xf numFmtId="170" fontId="15" fillId="0" borderId="0" xfId="31" applyNumberFormat="1" applyFont="1" applyProtection="1">
      <protection locked="0"/>
    </xf>
    <xf numFmtId="170" fontId="15" fillId="0" borderId="0" xfId="31" applyNumberFormat="1" applyFont="1" applyFill="1" applyAlignment="1">
      <alignment horizontal="center"/>
    </xf>
    <xf numFmtId="37" fontId="16" fillId="0" borderId="0" xfId="31" applyNumberFormat="1" applyFont="1" applyFill="1" applyBorder="1"/>
    <xf numFmtId="168" fontId="16" fillId="0" borderId="0" xfId="3" applyNumberFormat="1" applyFont="1" applyFill="1"/>
    <xf numFmtId="43" fontId="16" fillId="0" borderId="0" xfId="3" applyFont="1"/>
    <xf numFmtId="168" fontId="16" fillId="0" borderId="0" xfId="3" applyNumberFormat="1" applyFont="1"/>
    <xf numFmtId="37" fontId="15" fillId="0" borderId="0" xfId="36" applyNumberFormat="1" applyFont="1" applyAlignment="1">
      <alignment horizontal="left"/>
    </xf>
    <xf numFmtId="37" fontId="18" fillId="0" borderId="0" xfId="0" applyNumberFormat="1" applyFont="1"/>
    <xf numFmtId="0" fontId="18" fillId="0" borderId="0" xfId="0" applyFont="1" applyFill="1"/>
    <xf numFmtId="0" fontId="18" fillId="0" borderId="0" xfId="0" applyFont="1"/>
    <xf numFmtId="37" fontId="19" fillId="0" borderId="0" xfId="0" applyNumberFormat="1" applyFont="1" applyBorder="1"/>
    <xf numFmtId="0" fontId="15" fillId="0" borderId="0" xfId="0" applyFont="1" applyFill="1"/>
    <xf numFmtId="37" fontId="19" fillId="0" borderId="0" xfId="0" applyNumberFormat="1" applyFont="1"/>
    <xf numFmtId="37" fontId="16" fillId="0" borderId="1" xfId="0" applyNumberFormat="1" applyFont="1" applyFill="1" applyBorder="1"/>
    <xf numFmtId="9" fontId="16" fillId="0" borderId="1" xfId="39" applyFont="1" applyBorder="1"/>
    <xf numFmtId="9" fontId="16" fillId="0" borderId="0" xfId="39" applyFont="1" applyBorder="1"/>
    <xf numFmtId="37" fontId="15" fillId="0" borderId="0" xfId="33" applyNumberFormat="1" applyFont="1" applyFill="1" applyAlignment="1">
      <alignment horizontal="right"/>
    </xf>
    <xf numFmtId="37" fontId="18" fillId="0" borderId="0" xfId="33" applyNumberFormat="1" applyFont="1" applyFill="1" applyBorder="1" applyAlignment="1">
      <alignment horizontal="center"/>
    </xf>
    <xf numFmtId="37" fontId="15" fillId="0" borderId="0" xfId="33" applyNumberFormat="1" applyFont="1" applyFill="1"/>
    <xf numFmtId="0" fontId="16" fillId="0" borderId="0" xfId="33" applyFont="1" applyFill="1"/>
    <xf numFmtId="37" fontId="15" fillId="0" borderId="0" xfId="36" applyNumberFormat="1" applyFont="1" applyFill="1" applyAlignment="1">
      <alignment horizontal="right"/>
    </xf>
    <xf numFmtId="37" fontId="16" fillId="0" borderId="0" xfId="33" applyNumberFormat="1" applyFont="1" applyFill="1" applyBorder="1"/>
    <xf numFmtId="42" fontId="25" fillId="0" borderId="0" xfId="33" applyNumberFormat="1" applyFont="1" applyFill="1"/>
    <xf numFmtId="0" fontId="16" fillId="0" borderId="0" xfId="33" applyFont="1" applyFill="1" applyBorder="1" applyAlignment="1">
      <alignment horizontal="center"/>
    </xf>
    <xf numFmtId="37" fontId="15" fillId="0" borderId="0" xfId="33" applyNumberFormat="1" applyFont="1" applyFill="1" applyBorder="1" applyAlignment="1">
      <alignment horizontal="center"/>
    </xf>
    <xf numFmtId="37" fontId="16" fillId="0" borderId="0" xfId="33" applyNumberFormat="1" applyFont="1" applyFill="1"/>
    <xf numFmtId="0" fontId="16" fillId="0" borderId="0" xfId="33" applyFont="1" applyFill="1" applyAlignment="1">
      <alignment horizontal="center"/>
    </xf>
    <xf numFmtId="37" fontId="16" fillId="0" borderId="0" xfId="33" applyNumberFormat="1" applyFont="1" applyFill="1" applyAlignment="1">
      <alignment horizontal="center"/>
    </xf>
    <xf numFmtId="0" fontId="16" fillId="0" borderId="1" xfId="33" applyFont="1" applyFill="1" applyBorder="1" applyAlignment="1">
      <alignment horizontal="center"/>
    </xf>
    <xf numFmtId="37" fontId="16" fillId="0" borderId="1" xfId="33" applyNumberFormat="1" applyFont="1" applyFill="1" applyBorder="1" applyAlignment="1">
      <alignment horizontal="center"/>
    </xf>
    <xf numFmtId="17" fontId="16" fillId="0" borderId="0" xfId="33" applyNumberFormat="1" applyFont="1" applyFill="1" applyAlignment="1">
      <alignment horizontal="center"/>
    </xf>
    <xf numFmtId="174" fontId="16" fillId="0" borderId="0" xfId="33" applyNumberFormat="1" applyFont="1"/>
    <xf numFmtId="37" fontId="16" fillId="0" borderId="6" xfId="33" applyNumberFormat="1" applyFont="1" applyFill="1" applyBorder="1"/>
    <xf numFmtId="37" fontId="16" fillId="0" borderId="0" xfId="33" applyNumberFormat="1" applyFont="1" applyFill="1" applyBorder="1" applyAlignment="1">
      <alignment horizontal="center"/>
    </xf>
    <xf numFmtId="0" fontId="15" fillId="0" borderId="0" xfId="33" applyFont="1" applyFill="1"/>
    <xf numFmtId="37" fontId="15" fillId="0" borderId="0" xfId="33" applyNumberFormat="1" applyFont="1" applyFill="1" applyBorder="1"/>
    <xf numFmtId="0" fontId="16" fillId="0" borderId="0" xfId="33" applyFont="1"/>
    <xf numFmtId="42" fontId="16" fillId="0" borderId="0" xfId="33" applyNumberFormat="1" applyFont="1"/>
    <xf numFmtId="37" fontId="16" fillId="0" borderId="0" xfId="33" applyNumberFormat="1" applyFont="1"/>
    <xf numFmtId="0" fontId="16" fillId="0" borderId="0" xfId="33" applyFont="1" applyFill="1" applyAlignment="1">
      <alignment wrapText="1"/>
    </xf>
    <xf numFmtId="0" fontId="15" fillId="0" borderId="0" xfId="33" applyFont="1" applyFill="1" applyAlignment="1">
      <alignment wrapText="1"/>
    </xf>
    <xf numFmtId="42" fontId="16" fillId="0" borderId="0" xfId="33" applyNumberFormat="1" applyFont="1" applyAlignment="1">
      <alignment wrapText="1"/>
    </xf>
    <xf numFmtId="170" fontId="15" fillId="0" borderId="0" xfId="31" applyNumberFormat="1" applyFont="1" applyFill="1" applyAlignment="1">
      <alignment horizontal="right"/>
    </xf>
    <xf numFmtId="169" fontId="16" fillId="0" borderId="0" xfId="11" applyNumberFormat="1" applyFont="1" applyFill="1"/>
    <xf numFmtId="169" fontId="15" fillId="0" borderId="0" xfId="11" applyNumberFormat="1" applyFont="1" applyFill="1" applyAlignment="1">
      <alignment horizontal="right"/>
    </xf>
    <xf numFmtId="169" fontId="16" fillId="0" borderId="0" xfId="11" applyNumberFormat="1" applyFont="1" applyFill="1" applyAlignment="1">
      <alignment horizontal="center"/>
    </xf>
    <xf numFmtId="169" fontId="16" fillId="0" borderId="1" xfId="11" applyNumberFormat="1" applyFont="1" applyFill="1" applyBorder="1" applyAlignment="1">
      <alignment horizontal="center"/>
    </xf>
    <xf numFmtId="169" fontId="16" fillId="0" borderId="0" xfId="11" applyNumberFormat="1" applyFont="1"/>
    <xf numFmtId="169" fontId="16" fillId="0" borderId="6" xfId="11" applyNumberFormat="1" applyFont="1" applyFill="1" applyBorder="1"/>
    <xf numFmtId="169" fontId="15" fillId="0" borderId="5" xfId="11" applyNumberFormat="1" applyFont="1" applyFill="1" applyBorder="1"/>
    <xf numFmtId="169" fontId="16" fillId="0" borderId="0" xfId="11" applyNumberFormat="1" applyFont="1" applyFill="1" applyBorder="1"/>
    <xf numFmtId="169" fontId="16" fillId="0" borderId="0" xfId="11" quotePrefix="1" applyNumberFormat="1" applyFont="1" applyFill="1" applyAlignment="1">
      <alignment horizontal="center"/>
    </xf>
    <xf numFmtId="169" fontId="15" fillId="0" borderId="0" xfId="11" applyNumberFormat="1" applyFont="1" applyFill="1" applyBorder="1" applyAlignment="1">
      <alignment horizontal="right"/>
    </xf>
    <xf numFmtId="169" fontId="15" fillId="0" borderId="0" xfId="11" applyNumberFormat="1" applyFont="1" applyFill="1" applyBorder="1" applyAlignment="1"/>
    <xf numFmtId="169" fontId="16" fillId="0" borderId="0" xfId="11" applyNumberFormat="1" applyFont="1" applyFill="1" applyBorder="1" applyAlignment="1">
      <alignment horizontal="center"/>
    </xf>
    <xf numFmtId="169" fontId="15" fillId="0" borderId="0" xfId="11" applyNumberFormat="1" applyFont="1" applyFill="1" applyBorder="1" applyAlignment="1">
      <alignment horizontal="center"/>
    </xf>
    <xf numFmtId="169" fontId="15" fillId="0" borderId="0" xfId="11" applyNumberFormat="1" applyFont="1" applyFill="1" applyBorder="1"/>
    <xf numFmtId="37" fontId="16" fillId="0" borderId="0" xfId="33" applyNumberFormat="1" applyFont="1" applyBorder="1"/>
    <xf numFmtId="9" fontId="16" fillId="0" borderId="0" xfId="33" applyNumberFormat="1" applyFont="1" applyFill="1" applyAlignment="1">
      <alignment horizontal="center"/>
    </xf>
    <xf numFmtId="168" fontId="16" fillId="0" borderId="0" xfId="3" applyNumberFormat="1" applyFont="1" applyBorder="1"/>
    <xf numFmtId="168" fontId="16" fillId="0" borderId="0" xfId="3" applyNumberFormat="1" applyFont="1" applyFill="1" applyBorder="1" applyAlignment="1"/>
    <xf numFmtId="168" fontId="16" fillId="0" borderId="0" xfId="3" applyNumberFormat="1" applyFont="1" applyFill="1" applyAlignment="1"/>
    <xf numFmtId="168" fontId="16" fillId="0" borderId="12" xfId="3" applyNumberFormat="1" applyFont="1" applyFill="1" applyBorder="1" applyAlignment="1"/>
    <xf numFmtId="168" fontId="16" fillId="0" borderId="1" xfId="3" applyNumberFormat="1" applyFont="1" applyFill="1" applyBorder="1"/>
    <xf numFmtId="174" fontId="16" fillId="2" borderId="0" xfId="37" quotePrefix="1" applyNumberFormat="1" applyFont="1" applyFill="1" applyBorder="1" applyAlignment="1">
      <alignment horizontal="center"/>
    </xf>
    <xf numFmtId="10" fontId="21" fillId="2" borderId="0" xfId="39" applyNumberFormat="1" applyFont="1" applyFill="1" applyBorder="1" applyAlignment="1">
      <alignment horizontal="right"/>
    </xf>
    <xf numFmtId="168" fontId="16" fillId="0" borderId="6" xfId="3" applyNumberFormat="1" applyFont="1" applyFill="1" applyBorder="1"/>
    <xf numFmtId="168" fontId="16" fillId="0" borderId="5" xfId="3" applyNumberFormat="1" applyFont="1" applyFill="1" applyBorder="1"/>
    <xf numFmtId="168" fontId="22" fillId="0" borderId="0" xfId="3" applyNumberFormat="1" applyFont="1" applyFill="1"/>
    <xf numFmtId="168" fontId="16" fillId="2" borderId="0" xfId="3" applyNumberFormat="1" applyFont="1" applyFill="1"/>
    <xf numFmtId="168" fontId="16" fillId="2" borderId="0" xfId="3" applyNumberFormat="1" applyFont="1" applyFill="1" applyAlignment="1">
      <alignment horizontal="right"/>
    </xf>
    <xf numFmtId="168" fontId="16" fillId="2" borderId="13" xfId="3" applyNumberFormat="1" applyFont="1" applyFill="1" applyBorder="1"/>
    <xf numFmtId="168" fontId="16" fillId="2" borderId="0" xfId="3" applyNumberFormat="1" applyFont="1" applyFill="1" applyBorder="1"/>
    <xf numFmtId="168" fontId="16" fillId="2" borderId="5" xfId="3" applyNumberFormat="1" applyFont="1" applyFill="1" applyBorder="1"/>
    <xf numFmtId="168" fontId="22" fillId="2" borderId="0" xfId="3" applyNumberFormat="1" applyFont="1" applyFill="1"/>
    <xf numFmtId="0" fontId="15" fillId="0" borderId="0" xfId="0" applyFont="1" applyAlignment="1"/>
    <xf numFmtId="168" fontId="16" fillId="0" borderId="0" xfId="3" applyNumberFormat="1" applyFont="1" applyFill="1" applyAlignment="1">
      <alignment horizontal="center"/>
    </xf>
    <xf numFmtId="42" fontId="16" fillId="0" borderId="0" xfId="0" applyNumberFormat="1" applyFont="1" applyFill="1" applyBorder="1"/>
    <xf numFmtId="170" fontId="16" fillId="0" borderId="0" xfId="31" applyNumberFormat="1" applyFont="1" applyFill="1" applyBorder="1" applyProtection="1">
      <protection locked="0"/>
    </xf>
    <xf numFmtId="170" fontId="15" fillId="0" borderId="0" xfId="31" applyNumberFormat="1" applyFont="1" applyFill="1" applyBorder="1" applyProtection="1">
      <protection locked="0"/>
    </xf>
    <xf numFmtId="0" fontId="16" fillId="0" borderId="0" xfId="31" applyFont="1" applyFill="1" applyBorder="1"/>
    <xf numFmtId="170" fontId="16" fillId="0" borderId="0" xfId="31" applyNumberFormat="1" applyFont="1" applyFill="1" applyBorder="1" applyAlignment="1" applyProtection="1">
      <alignment horizontal="right"/>
      <protection locked="0"/>
    </xf>
    <xf numFmtId="164" fontId="16" fillId="0" borderId="0" xfId="39" applyNumberFormat="1" applyFont="1" applyFill="1" applyBorder="1"/>
    <xf numFmtId="170" fontId="16" fillId="0" borderId="0" xfId="31" applyNumberFormat="1" applyFont="1" applyFill="1" applyBorder="1" applyAlignment="1" applyProtection="1">
      <alignment horizontal="left"/>
      <protection locked="0"/>
    </xf>
    <xf numFmtId="170" fontId="16" fillId="0" borderId="0" xfId="28" applyNumberFormat="1" applyFont="1" applyFill="1" applyBorder="1" applyAlignment="1" applyProtection="1">
      <alignment horizontal="left"/>
      <protection locked="0"/>
    </xf>
    <xf numFmtId="0" fontId="16" fillId="0" borderId="0" xfId="31" applyFont="1" applyBorder="1"/>
    <xf numFmtId="170" fontId="16" fillId="0" borderId="0" xfId="31" applyNumberFormat="1" applyFont="1" applyBorder="1" applyProtection="1">
      <protection locked="0"/>
    </xf>
    <xf numFmtId="170" fontId="15" fillId="0" borderId="0" xfId="31" applyNumberFormat="1" applyFont="1" applyFill="1" applyBorder="1"/>
    <xf numFmtId="168" fontId="16" fillId="0" borderId="0" xfId="0" applyNumberFormat="1" applyFont="1"/>
    <xf numFmtId="168" fontId="16" fillId="0" borderId="3" xfId="3" applyNumberFormat="1" applyFont="1" applyBorder="1"/>
    <xf numFmtId="10" fontId="16" fillId="0" borderId="3" xfId="39" applyNumberFormat="1" applyFont="1" applyBorder="1"/>
    <xf numFmtId="17" fontId="16" fillId="0" borderId="1" xfId="11" applyNumberFormat="1" applyFont="1" applyFill="1" applyBorder="1" applyAlignment="1">
      <alignment horizontal="center"/>
    </xf>
    <xf numFmtId="42" fontId="16" fillId="0" borderId="0" xfId="36" applyNumberFormat="1" applyFont="1" applyBorder="1"/>
    <xf numFmtId="37" fontId="16" fillId="0" borderId="0" xfId="36" applyNumberFormat="1" applyFont="1" applyAlignment="1">
      <alignment horizontal="left" indent="2"/>
    </xf>
    <xf numFmtId="168" fontId="16" fillId="0" borderId="0" xfId="3" applyNumberFormat="1" applyFont="1" applyFill="1" applyAlignment="1">
      <alignment wrapText="1"/>
    </xf>
    <xf numFmtId="42" fontId="15" fillId="0" borderId="5" xfId="0" applyNumberFormat="1" applyFont="1" applyFill="1" applyBorder="1"/>
    <xf numFmtId="10" fontId="16" fillId="0" borderId="0" xfId="39" applyNumberFormat="1" applyFont="1" applyBorder="1"/>
    <xf numFmtId="168" fontId="15" fillId="0" borderId="0" xfId="3" applyNumberFormat="1" applyFont="1" applyBorder="1"/>
    <xf numFmtId="43" fontId="16" fillId="0" borderId="0" xfId="3" applyFont="1" applyFill="1" applyBorder="1"/>
    <xf numFmtId="37" fontId="16" fillId="0" borderId="0" xfId="31" applyNumberFormat="1" applyFont="1" applyBorder="1" applyAlignment="1">
      <alignment horizontal="center"/>
    </xf>
    <xf numFmtId="170" fontId="16" fillId="0" borderId="0" xfId="31" applyNumberFormat="1" applyFont="1" applyBorder="1" applyAlignment="1">
      <alignment horizontal="center"/>
    </xf>
    <xf numFmtId="178" fontId="15" fillId="0" borderId="0" xfId="0" applyNumberFormat="1" applyFont="1" applyFill="1" applyAlignment="1">
      <alignment horizontal="left"/>
    </xf>
    <xf numFmtId="169" fontId="16" fillId="0" borderId="5" xfId="11" applyNumberFormat="1" applyFont="1" applyBorder="1"/>
    <xf numFmtId="43" fontId="16" fillId="0" borderId="6" xfId="3" applyFont="1" applyBorder="1"/>
    <xf numFmtId="0" fontId="15" fillId="0" borderId="0" xfId="29" applyFont="1"/>
    <xf numFmtId="0" fontId="16" fillId="0" borderId="0" xfId="29" applyFont="1"/>
    <xf numFmtId="0" fontId="16" fillId="0" borderId="0" xfId="29" applyFont="1" applyAlignment="1">
      <alignment horizontal="center"/>
    </xf>
    <xf numFmtId="167" fontId="16" fillId="0" borderId="0" xfId="39" applyNumberFormat="1" applyFont="1" applyAlignment="1">
      <alignment horizontal="center"/>
    </xf>
    <xf numFmtId="9" fontId="15" fillId="0" borderId="0" xfId="29" applyNumberFormat="1" applyFont="1" applyAlignment="1">
      <alignment horizontal="center"/>
    </xf>
    <xf numFmtId="0" fontId="15" fillId="0" borderId="0" xfId="29" applyFont="1" applyAlignment="1">
      <alignment horizontal="center" wrapText="1"/>
    </xf>
    <xf numFmtId="43" fontId="15" fillId="0" borderId="0" xfId="3" applyFont="1" applyAlignment="1">
      <alignment horizontal="center" wrapText="1"/>
    </xf>
    <xf numFmtId="0" fontId="16" fillId="0" borderId="0" xfId="29" applyFont="1" applyAlignment="1">
      <alignment horizontal="center" wrapText="1"/>
    </xf>
    <xf numFmtId="0" fontId="19" fillId="0" borderId="0" xfId="29" applyFont="1" applyAlignment="1">
      <alignment horizontal="left"/>
    </xf>
    <xf numFmtId="0" fontId="15" fillId="0" borderId="0" xfId="29" applyFont="1" applyAlignment="1">
      <alignment horizontal="center"/>
    </xf>
    <xf numFmtId="43" fontId="15" fillId="0" borderId="0" xfId="3" applyFont="1" applyAlignment="1">
      <alignment horizontal="center"/>
    </xf>
    <xf numFmtId="0" fontId="18" fillId="0" borderId="0" xfId="29" applyFont="1"/>
    <xf numFmtId="0" fontId="18" fillId="0" borderId="0" xfId="29" applyFont="1" applyAlignment="1">
      <alignment horizontal="center"/>
    </xf>
    <xf numFmtId="14" fontId="16" fillId="0" borderId="0" xfId="29" applyNumberFormat="1" applyFont="1" applyAlignment="1">
      <alignment horizontal="center"/>
    </xf>
    <xf numFmtId="14" fontId="16" fillId="0" borderId="0" xfId="29" applyNumberFormat="1" applyFont="1"/>
    <xf numFmtId="39" fontId="16" fillId="0" borderId="0" xfId="3" applyNumberFormat="1" applyFont="1" applyAlignment="1">
      <alignment horizontal="center"/>
    </xf>
    <xf numFmtId="43" fontId="16" fillId="0" borderId="0" xfId="29" applyNumberFormat="1" applyFont="1"/>
    <xf numFmtId="43" fontId="16" fillId="0" borderId="0" xfId="29" applyNumberFormat="1" applyFont="1" applyAlignment="1">
      <alignment horizontal="center"/>
    </xf>
    <xf numFmtId="10" fontId="16" fillId="0" borderId="0" xfId="39" applyNumberFormat="1" applyFont="1" applyAlignment="1">
      <alignment horizontal="center"/>
    </xf>
    <xf numFmtId="179" fontId="15" fillId="0" borderId="0" xfId="29" applyNumberFormat="1" applyFont="1" applyAlignment="1">
      <alignment horizontal="center"/>
    </xf>
    <xf numFmtId="39" fontId="16" fillId="0" borderId="0" xfId="3" applyNumberFormat="1" applyFont="1" applyBorder="1" applyAlignment="1">
      <alignment horizontal="center"/>
    </xf>
    <xf numFmtId="167" fontId="16" fillId="0" borderId="0" xfId="39" applyNumberFormat="1" applyFont="1" applyBorder="1" applyAlignment="1">
      <alignment horizontal="center"/>
    </xf>
    <xf numFmtId="43" fontId="16" fillId="0" borderId="0" xfId="29" applyNumberFormat="1" applyFont="1" applyBorder="1"/>
    <xf numFmtId="14" fontId="16" fillId="0" borderId="0" xfId="3" applyNumberFormat="1" applyFont="1" applyAlignment="1">
      <alignment horizontal="center"/>
    </xf>
    <xf numFmtId="0" fontId="16" fillId="0" borderId="0" xfId="29" applyFont="1" applyBorder="1"/>
    <xf numFmtId="14" fontId="16" fillId="0" borderId="0" xfId="29" applyNumberFormat="1" applyFont="1" applyBorder="1"/>
    <xf numFmtId="14" fontId="16" fillId="0" borderId="0" xfId="29" quotePrefix="1" applyNumberFormat="1" applyFont="1" applyAlignment="1">
      <alignment horizontal="center"/>
    </xf>
    <xf numFmtId="14" fontId="16" fillId="0" borderId="0" xfId="29" quotePrefix="1" applyNumberFormat="1" applyFont="1"/>
    <xf numFmtId="0" fontId="19" fillId="0" borderId="0" xfId="29" applyFont="1" applyBorder="1"/>
    <xf numFmtId="0" fontId="16" fillId="0" borderId="0" xfId="29" applyFont="1" applyFill="1" applyAlignment="1">
      <alignment horizontal="center" wrapText="1"/>
    </xf>
    <xf numFmtId="0" fontId="16" fillId="0" borderId="0" xfId="29" applyNumberFormat="1" applyFont="1" applyFill="1"/>
    <xf numFmtId="0" fontId="16" fillId="0" borderId="0" xfId="29" applyFont="1" applyBorder="1" applyAlignment="1">
      <alignment horizontal="center" wrapText="1"/>
    </xf>
    <xf numFmtId="14" fontId="16" fillId="0" borderId="0" xfId="29" applyNumberFormat="1" applyFont="1" applyBorder="1" applyAlignment="1">
      <alignment horizontal="center"/>
    </xf>
    <xf numFmtId="43" fontId="16" fillId="0" borderId="0" xfId="29" applyNumberFormat="1" applyFont="1" applyBorder="1" applyAlignment="1">
      <alignment horizontal="center"/>
    </xf>
    <xf numFmtId="43" fontId="16" fillId="0" borderId="6" xfId="29" applyNumberFormat="1" applyFont="1" applyBorder="1"/>
    <xf numFmtId="0" fontId="16" fillId="0" borderId="0" xfId="29" applyFont="1" applyBorder="1" applyAlignment="1">
      <alignment horizontal="center"/>
    </xf>
    <xf numFmtId="39" fontId="16" fillId="0" borderId="0" xfId="29" applyNumberFormat="1" applyFont="1" applyBorder="1" applyAlignment="1">
      <alignment horizontal="center"/>
    </xf>
    <xf numFmtId="179" fontId="16" fillId="0" borderId="0" xfId="29" applyNumberFormat="1" applyFont="1" applyBorder="1" applyAlignment="1">
      <alignment horizontal="center"/>
    </xf>
    <xf numFmtId="39" fontId="16" fillId="0" borderId="0" xfId="29" applyNumberFormat="1" applyFont="1" applyBorder="1"/>
    <xf numFmtId="39" fontId="16" fillId="0" borderId="0" xfId="29" applyNumberFormat="1" applyFont="1"/>
    <xf numFmtId="49" fontId="16" fillId="0" borderId="0" xfId="29" applyNumberFormat="1" applyFont="1" applyAlignment="1">
      <alignment horizontal="center"/>
    </xf>
    <xf numFmtId="43" fontId="16" fillId="0" borderId="6" xfId="3" applyFont="1" applyFill="1" applyBorder="1"/>
    <xf numFmtId="0" fontId="15" fillId="0" borderId="0" xfId="29" applyFont="1" applyAlignment="1">
      <alignment horizontal="right"/>
    </xf>
    <xf numFmtId="37" fontId="16" fillId="0" borderId="0" xfId="0" applyNumberFormat="1" applyFont="1" applyAlignment="1">
      <alignment horizontal="left" indent="2"/>
    </xf>
    <xf numFmtId="37" fontId="15" fillId="0" borderId="0" xfId="33" applyNumberFormat="1" applyFont="1" applyFill="1" applyAlignment="1"/>
    <xf numFmtId="0" fontId="15" fillId="0" borderId="0" xfId="33" applyFont="1" applyFill="1" applyAlignment="1"/>
    <xf numFmtId="0" fontId="16" fillId="0" borderId="0" xfId="33" applyFont="1" applyFill="1" applyAlignment="1"/>
    <xf numFmtId="0" fontId="16" fillId="0" borderId="0" xfId="0" applyFont="1" applyFill="1" applyAlignment="1"/>
    <xf numFmtId="0" fontId="16" fillId="0" borderId="0" xfId="0" applyFont="1" applyAlignment="1"/>
    <xf numFmtId="0" fontId="0" fillId="0" borderId="0" xfId="0" applyAlignment="1"/>
    <xf numFmtId="9" fontId="18" fillId="2" borderId="0" xfId="39" applyFont="1" applyFill="1" applyBorder="1" applyAlignment="1">
      <alignment horizontal="center"/>
    </xf>
    <xf numFmtId="9" fontId="16" fillId="2" borderId="0" xfId="39" applyFont="1" applyFill="1"/>
    <xf numFmtId="168" fontId="16" fillId="2" borderId="0" xfId="3" applyNumberFormat="1" applyFont="1" applyFill="1" applyBorder="1" applyAlignment="1">
      <alignment horizontal="right"/>
    </xf>
    <xf numFmtId="0" fontId="16" fillId="0" borderId="0" xfId="0" quotePrefix="1" applyNumberFormat="1" applyFont="1" applyBorder="1" applyAlignment="1">
      <alignment horizontal="right"/>
    </xf>
    <xf numFmtId="37" fontId="24" fillId="0" borderId="0" xfId="37" applyNumberFormat="1" applyFont="1" applyBorder="1"/>
    <xf numFmtId="0" fontId="24" fillId="2" borderId="0" xfId="34" applyFont="1" applyFill="1" applyBorder="1"/>
    <xf numFmtId="41" fontId="16" fillId="0" borderId="0" xfId="0" quotePrefix="1" applyNumberFormat="1" applyFont="1" applyBorder="1" applyAlignment="1">
      <alignment horizontal="right"/>
    </xf>
    <xf numFmtId="10" fontId="16" fillId="0" borderId="0" xfId="37" applyNumberFormat="1" applyFont="1" applyFill="1" applyBorder="1"/>
    <xf numFmtId="39" fontId="16" fillId="0" borderId="0" xfId="34" applyNumberFormat="1" applyFont="1" applyFill="1" applyBorder="1"/>
    <xf numFmtId="10" fontId="16" fillId="0" borderId="0" xfId="37" applyNumberFormat="1" applyFont="1" applyBorder="1"/>
    <xf numFmtId="168" fontId="15" fillId="0" borderId="0" xfId="3" applyNumberFormat="1" applyFont="1" applyFill="1" applyBorder="1"/>
    <xf numFmtId="0" fontId="15" fillId="2" borderId="0" xfId="34" applyFont="1" applyFill="1" applyBorder="1"/>
    <xf numFmtId="0" fontId="30" fillId="0" borderId="0" xfId="0" applyFont="1"/>
    <xf numFmtId="0" fontId="29" fillId="0" borderId="0" xfId="0" applyFont="1"/>
    <xf numFmtId="169" fontId="29" fillId="0" borderId="0" xfId="11" applyNumberFormat="1" applyFont="1"/>
    <xf numFmtId="168" fontId="29" fillId="0" borderId="0" xfId="3" applyNumberFormat="1" applyFont="1"/>
    <xf numFmtId="168" fontId="29" fillId="0" borderId="0" xfId="0" applyNumberFormat="1" applyFont="1"/>
    <xf numFmtId="169" fontId="29" fillId="0" borderId="6" xfId="11" applyNumberFormat="1" applyFont="1" applyBorder="1"/>
    <xf numFmtId="169" fontId="29" fillId="0" borderId="0" xfId="0" applyNumberFormat="1" applyFont="1"/>
    <xf numFmtId="0" fontId="29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 wrapText="1"/>
    </xf>
    <xf numFmtId="0" fontId="30" fillId="0" borderId="0" xfId="0" applyFont="1" applyBorder="1"/>
    <xf numFmtId="10" fontId="29" fillId="0" borderId="0" xfId="39" applyNumberFormat="1" applyFont="1"/>
    <xf numFmtId="10" fontId="29" fillId="0" borderId="1" xfId="39" applyNumberFormat="1" applyFont="1" applyBorder="1"/>
    <xf numFmtId="0" fontId="29" fillId="0" borderId="0" xfId="0" applyFont="1" applyBorder="1"/>
    <xf numFmtId="0" fontId="30" fillId="0" borderId="0" xfId="0" applyFont="1" applyBorder="1" applyAlignment="1">
      <alignment horizontal="center" wrapText="1"/>
    </xf>
    <xf numFmtId="0" fontId="30" fillId="0" borderId="0" xfId="0" applyFont="1" applyAlignment="1">
      <alignment horizontal="right"/>
    </xf>
    <xf numFmtId="0" fontId="16" fillId="0" borderId="0" xfId="0" applyNumberFormat="1" applyFont="1" applyFill="1" applyAlignment="1"/>
    <xf numFmtId="175" fontId="16" fillId="0" borderId="1" xfId="0" quotePrefix="1" applyNumberFormat="1" applyFont="1" applyFill="1" applyBorder="1" applyAlignment="1">
      <alignment horizontal="center"/>
    </xf>
    <xf numFmtId="37" fontId="33" fillId="0" borderId="0" xfId="33" applyNumberFormat="1" applyFont="1" applyFill="1"/>
    <xf numFmtId="0" fontId="32" fillId="0" borderId="0" xfId="33" applyFont="1" applyFill="1"/>
    <xf numFmtId="168" fontId="32" fillId="0" borderId="0" xfId="3" applyNumberFormat="1" applyFont="1" applyFill="1"/>
    <xf numFmtId="168" fontId="33" fillId="0" borderId="0" xfId="3" applyNumberFormat="1" applyFont="1" applyFill="1" applyAlignment="1">
      <alignment horizontal="center"/>
    </xf>
    <xf numFmtId="168" fontId="33" fillId="0" borderId="0" xfId="3" applyNumberFormat="1" applyFont="1" applyFill="1" applyAlignment="1">
      <alignment horizontal="right"/>
    </xf>
    <xf numFmtId="168" fontId="32" fillId="0" borderId="0" xfId="3" applyNumberFormat="1" applyFont="1" applyFill="1" applyBorder="1"/>
    <xf numFmtId="169" fontId="33" fillId="0" borderId="0" xfId="11" applyNumberFormat="1" applyFont="1" applyFill="1" applyAlignment="1">
      <alignment horizontal="right"/>
    </xf>
    <xf numFmtId="0" fontId="32" fillId="0" borderId="0" xfId="0" applyFont="1"/>
    <xf numFmtId="37" fontId="32" fillId="0" borderId="0" xfId="33" applyNumberFormat="1" applyFont="1" applyFill="1" applyBorder="1"/>
    <xf numFmtId="169" fontId="33" fillId="0" borderId="0" xfId="11" applyNumberFormat="1" applyFont="1" applyFill="1" applyBorder="1" applyAlignment="1">
      <alignment horizontal="right"/>
    </xf>
    <xf numFmtId="0" fontId="33" fillId="0" borderId="0" xfId="0" applyFont="1"/>
    <xf numFmtId="168" fontId="32" fillId="0" borderId="0" xfId="3" applyNumberFormat="1" applyFont="1"/>
    <xf numFmtId="168" fontId="32" fillId="0" borderId="0" xfId="3" applyNumberFormat="1" applyFont="1" applyAlignment="1">
      <alignment horizontal="center"/>
    </xf>
    <xf numFmtId="174" fontId="32" fillId="0" borderId="0" xfId="0" applyNumberFormat="1" applyFont="1" applyAlignment="1">
      <alignment horizontal="center"/>
    </xf>
    <xf numFmtId="168" fontId="32" fillId="0" borderId="0" xfId="0" applyNumberFormat="1" applyFont="1"/>
    <xf numFmtId="10" fontId="32" fillId="0" borderId="0" xfId="0" applyNumberFormat="1" applyFont="1"/>
    <xf numFmtId="0" fontId="34" fillId="0" borderId="0" xfId="0" applyFont="1" applyAlignment="1">
      <alignment horizontal="center"/>
    </xf>
    <xf numFmtId="169" fontId="32" fillId="0" borderId="0" xfId="11" applyNumberFormat="1" applyFont="1"/>
    <xf numFmtId="175" fontId="32" fillId="0" borderId="0" xfId="0" applyNumberFormat="1" applyFont="1"/>
    <xf numFmtId="169" fontId="32" fillId="0" borderId="0" xfId="11" applyNumberFormat="1" applyFont="1" applyBorder="1"/>
    <xf numFmtId="177" fontId="32" fillId="0" borderId="3" xfId="3" applyNumberFormat="1" applyFont="1" applyBorder="1"/>
    <xf numFmtId="0" fontId="32" fillId="0" borderId="0" xfId="0" applyFont="1" applyAlignment="1">
      <alignment horizontal="center"/>
    </xf>
    <xf numFmtId="164" fontId="32" fillId="3" borderId="2" xfId="39" applyNumberFormat="1" applyFont="1" applyFill="1" applyBorder="1" applyAlignment="1">
      <alignment horizontal="center"/>
    </xf>
    <xf numFmtId="9" fontId="32" fillId="0" borderId="0" xfId="39" applyFont="1"/>
    <xf numFmtId="0" fontId="36" fillId="4" borderId="17" xfId="0" applyFont="1" applyFill="1" applyBorder="1" applyAlignment="1">
      <alignment horizontal="left" vertical="top"/>
    </xf>
    <xf numFmtId="0" fontId="32" fillId="0" borderId="18" xfId="0" applyFont="1" applyBorder="1"/>
    <xf numFmtId="0" fontId="37" fillId="4" borderId="19" xfId="0" applyFont="1" applyFill="1" applyBorder="1" applyAlignment="1">
      <alignment horizontal="left" vertical="top"/>
    </xf>
    <xf numFmtId="0" fontId="36" fillId="4" borderId="19" xfId="0" applyFont="1" applyFill="1" applyBorder="1" applyAlignment="1">
      <alignment horizontal="left" vertical="top"/>
    </xf>
    <xf numFmtId="43" fontId="32" fillId="0" borderId="0" xfId="3" applyFont="1"/>
    <xf numFmtId="43" fontId="32" fillId="0" borderId="3" xfId="3" applyFont="1" applyBorder="1"/>
    <xf numFmtId="37" fontId="15" fillId="3" borderId="20" xfId="32" applyNumberFormat="1" applyFont="1" applyFill="1" applyBorder="1" applyAlignment="1">
      <alignment horizontal="center"/>
    </xf>
    <xf numFmtId="37" fontId="16" fillId="3" borderId="13" xfId="37" applyNumberFormat="1" applyFont="1" applyFill="1" applyBorder="1"/>
    <xf numFmtId="168" fontId="29" fillId="0" borderId="0" xfId="0" applyNumberFormat="1" applyFont="1" applyFill="1"/>
    <xf numFmtId="169" fontId="29" fillId="0" borderId="0" xfId="11" applyNumberFormat="1" applyFont="1" applyFill="1"/>
    <xf numFmtId="42" fontId="16" fillId="0" borderId="0" xfId="0" applyNumberFormat="1" applyFont="1" applyFill="1" applyAlignment="1">
      <alignment horizontal="center"/>
    </xf>
    <xf numFmtId="168" fontId="16" fillId="0" borderId="0" xfId="3" applyNumberFormat="1" applyFont="1" applyFill="1" applyAlignment="1">
      <alignment horizontal="right"/>
    </xf>
    <xf numFmtId="43" fontId="15" fillId="0" borderId="0" xfId="3" applyFont="1" applyFill="1" applyAlignment="1"/>
    <xf numFmtId="0" fontId="15" fillId="0" borderId="0" xfId="0" applyNumberFormat="1" applyFont="1" applyFill="1" applyAlignment="1"/>
    <xf numFmtId="0" fontId="16" fillId="0" borderId="0" xfId="30" applyFont="1" applyFill="1" applyBorder="1" applyAlignment="1"/>
    <xf numFmtId="38" fontId="16" fillId="0" borderId="1" xfId="0" applyNumberFormat="1" applyFont="1" applyFill="1" applyBorder="1"/>
    <xf numFmtId="0" fontId="41" fillId="5" borderId="21" xfId="0" applyFont="1" applyFill="1" applyBorder="1" applyAlignment="1">
      <alignment horizontal="center" vertical="top" wrapText="1"/>
    </xf>
    <xf numFmtId="0" fontId="41" fillId="5" borderId="21" xfId="0" applyFont="1" applyFill="1" applyBorder="1" applyAlignment="1">
      <alignment horizontal="center" vertical="center" wrapText="1"/>
    </xf>
    <xf numFmtId="43" fontId="40" fillId="4" borderId="21" xfId="3" applyNumberFormat="1" applyFont="1" applyFill="1" applyBorder="1" applyAlignment="1">
      <alignment wrapText="1"/>
    </xf>
    <xf numFmtId="43" fontId="40" fillId="6" borderId="21" xfId="3" applyNumberFormat="1" applyFont="1" applyFill="1" applyBorder="1" applyAlignment="1">
      <alignment wrapText="1"/>
    </xf>
    <xf numFmtId="0" fontId="0" fillId="0" borderId="0" xfId="0" applyFill="1"/>
    <xf numFmtId="43" fontId="0" fillId="0" borderId="0" xfId="0" applyNumberFormat="1"/>
    <xf numFmtId="43" fontId="0" fillId="0" borderId="0" xfId="3" applyFont="1"/>
    <xf numFmtId="43" fontId="31" fillId="0" borderId="2" xfId="3" applyFont="1" applyBorder="1"/>
    <xf numFmtId="43" fontId="31" fillId="0" borderId="9" xfId="3" applyFont="1" applyBorder="1" applyAlignment="1">
      <alignment horizontal="right"/>
    </xf>
    <xf numFmtId="0" fontId="31" fillId="0" borderId="11" xfId="17" applyBorder="1"/>
    <xf numFmtId="43" fontId="31" fillId="0" borderId="15" xfId="3" applyFont="1" applyBorder="1"/>
    <xf numFmtId="43" fontId="31" fillId="0" borderId="0" xfId="3" applyFont="1" applyBorder="1"/>
    <xf numFmtId="4" fontId="31" fillId="0" borderId="22" xfId="17" applyNumberFormat="1" applyBorder="1"/>
    <xf numFmtId="43" fontId="31" fillId="0" borderId="23" xfId="3" applyFont="1" applyBorder="1"/>
    <xf numFmtId="10" fontId="0" fillId="0" borderId="24" xfId="39" applyNumberFormat="1" applyFont="1" applyBorder="1"/>
    <xf numFmtId="10" fontId="31" fillId="0" borderId="25" xfId="17" applyNumberFormat="1" applyBorder="1"/>
    <xf numFmtId="0" fontId="43" fillId="0" borderId="1" xfId="0" applyFont="1" applyBorder="1"/>
    <xf numFmtId="0" fontId="42" fillId="0" borderId="1" xfId="17" applyFont="1" applyBorder="1" applyAlignment="1">
      <alignment horizontal="center" wrapText="1"/>
    </xf>
    <xf numFmtId="43" fontId="43" fillId="0" borderId="1" xfId="6" applyFont="1" applyBorder="1" applyAlignment="1">
      <alignment horizontal="center" wrapText="1"/>
    </xf>
    <xf numFmtId="10" fontId="0" fillId="0" borderId="0" xfId="0" applyNumberFormat="1"/>
    <xf numFmtId="0" fontId="45" fillId="0" borderId="0" xfId="0" applyFont="1" applyFill="1"/>
    <xf numFmtId="0" fontId="16" fillId="0" borderId="1" xfId="0" applyFont="1" applyBorder="1" applyAlignment="1">
      <alignment horizontal="center" wrapText="1"/>
    </xf>
    <xf numFmtId="0" fontId="15" fillId="0" borderId="0" xfId="0" applyFont="1" applyFill="1" applyBorder="1"/>
    <xf numFmtId="0" fontId="16" fillId="0" borderId="0" xfId="0" applyFont="1" applyBorder="1" applyAlignment="1">
      <alignment horizontal="center" wrapText="1"/>
    </xf>
    <xf numFmtId="37" fontId="16" fillId="0" borderId="6" xfId="37" applyNumberFormat="1" applyFont="1" applyFill="1" applyBorder="1"/>
    <xf numFmtId="168" fontId="29" fillId="0" borderId="1" xfId="0" applyNumberFormat="1" applyFont="1" applyFill="1" applyBorder="1"/>
    <xf numFmtId="168" fontId="29" fillId="0" borderId="0" xfId="3" applyNumberFormat="1" applyFont="1" applyBorder="1"/>
    <xf numFmtId="0" fontId="68" fillId="0" borderId="0" xfId="26"/>
    <xf numFmtId="43" fontId="68" fillId="0" borderId="0" xfId="26" applyNumberFormat="1"/>
    <xf numFmtId="43" fontId="0" fillId="0" borderId="0" xfId="8" applyFont="1"/>
    <xf numFmtId="43" fontId="0" fillId="0" borderId="0" xfId="8" applyNumberFormat="1" applyFont="1"/>
    <xf numFmtId="0" fontId="48" fillId="0" borderId="0" xfId="26" applyFont="1"/>
    <xf numFmtId="0" fontId="48" fillId="0" borderId="1" xfId="26" applyFont="1" applyFill="1" applyBorder="1" applyAlignment="1">
      <alignment horizontal="center"/>
    </xf>
    <xf numFmtId="0" fontId="48" fillId="0" borderId="1" xfId="26" applyFont="1" applyBorder="1" applyAlignment="1">
      <alignment horizontal="center"/>
    </xf>
    <xf numFmtId="0" fontId="48" fillId="0" borderId="0" xfId="26" applyFont="1" applyAlignment="1">
      <alignment horizontal="center"/>
    </xf>
    <xf numFmtId="14" fontId="48" fillId="0" borderId="0" xfId="26" applyNumberFormat="1" applyFont="1" applyAlignment="1">
      <alignment horizontal="center"/>
    </xf>
    <xf numFmtId="43" fontId="48" fillId="0" borderId="0" xfId="8" applyFont="1" applyAlignment="1">
      <alignment horizontal="center"/>
    </xf>
    <xf numFmtId="37" fontId="16" fillId="0" borderId="5" xfId="0" applyNumberFormat="1" applyFont="1" applyFill="1" applyBorder="1"/>
    <xf numFmtId="43" fontId="52" fillId="0" borderId="0" xfId="3" applyFont="1" applyFill="1"/>
    <xf numFmtId="0" fontId="16" fillId="0" borderId="0" xfId="33" applyNumberFormat="1" applyFont="1" applyFill="1"/>
    <xf numFmtId="0" fontId="68" fillId="0" borderId="0" xfId="26" applyFill="1"/>
    <xf numFmtId="0" fontId="48" fillId="0" borderId="0" xfId="26" applyFont="1" applyFill="1" applyAlignment="1">
      <alignment horizontal="center"/>
    </xf>
    <xf numFmtId="43" fontId="68" fillId="0" borderId="0" xfId="26" applyNumberFormat="1" applyFill="1"/>
    <xf numFmtId="37" fontId="15" fillId="0" borderId="0" xfId="37" applyNumberFormat="1" applyFont="1" applyFill="1" applyAlignment="1">
      <alignment horizontal="left"/>
    </xf>
    <xf numFmtId="0" fontId="16" fillId="0" borderId="0" xfId="16" applyFont="1" applyFill="1"/>
    <xf numFmtId="37" fontId="15" fillId="0" borderId="0" xfId="32" applyNumberFormat="1" applyFont="1" applyFill="1" applyAlignment="1">
      <alignment horizontal="center"/>
    </xf>
    <xf numFmtId="37" fontId="15" fillId="0" borderId="0" xfId="34" applyNumberFormat="1" applyFont="1" applyFill="1" applyAlignment="1">
      <alignment horizontal="right"/>
    </xf>
    <xf numFmtId="37" fontId="18" fillId="0" borderId="0" xfId="34" applyNumberFormat="1" applyFont="1" applyFill="1" applyBorder="1" applyAlignment="1">
      <alignment horizontal="center"/>
    </xf>
    <xf numFmtId="37" fontId="16" fillId="0" borderId="7" xfId="37" applyNumberFormat="1" applyFont="1" applyFill="1" applyBorder="1" applyAlignment="1">
      <alignment horizontal="center"/>
    </xf>
    <xf numFmtId="37" fontId="20" fillId="0" borderId="7" xfId="37" applyNumberFormat="1" applyFont="1" applyFill="1" applyBorder="1" applyAlignment="1">
      <alignment horizontal="right"/>
    </xf>
    <xf numFmtId="167" fontId="20" fillId="0" borderId="8" xfId="40" applyNumberFormat="1" applyFont="1" applyFill="1" applyBorder="1" applyAlignment="1">
      <alignment horizontal="right"/>
    </xf>
    <xf numFmtId="0" fontId="16" fillId="0" borderId="0" xfId="34" applyFont="1" applyFill="1"/>
    <xf numFmtId="10" fontId="16" fillId="0" borderId="0" xfId="40" applyNumberFormat="1" applyFont="1" applyFill="1"/>
    <xf numFmtId="10" fontId="16" fillId="0" borderId="0" xfId="40" applyNumberFormat="1" applyFont="1" applyFill="1" applyBorder="1"/>
    <xf numFmtId="37" fontId="21" fillId="0" borderId="9" xfId="37" applyNumberFormat="1" applyFont="1" applyFill="1" applyBorder="1" applyAlignment="1">
      <alignment horizontal="center"/>
    </xf>
    <xf numFmtId="37" fontId="21" fillId="0" borderId="10" xfId="37" applyNumberFormat="1" applyFont="1" applyFill="1" applyBorder="1" applyAlignment="1">
      <alignment horizontal="right"/>
    </xf>
    <xf numFmtId="10" fontId="21" fillId="0" borderId="11" xfId="40" applyNumberFormat="1" applyFont="1" applyFill="1" applyBorder="1" applyAlignment="1">
      <alignment horizontal="right"/>
    </xf>
    <xf numFmtId="37" fontId="21" fillId="0" borderId="0" xfId="37" applyNumberFormat="1" applyFont="1" applyFill="1" applyBorder="1" applyAlignment="1">
      <alignment horizontal="center"/>
    </xf>
    <xf numFmtId="37" fontId="21" fillId="0" borderId="0" xfId="37" applyNumberFormat="1" applyFont="1" applyFill="1" applyBorder="1" applyAlignment="1">
      <alignment horizontal="right"/>
    </xf>
    <xf numFmtId="10" fontId="21" fillId="0" borderId="0" xfId="40" applyNumberFormat="1" applyFont="1" applyFill="1" applyBorder="1" applyAlignment="1">
      <alignment horizontal="right"/>
    </xf>
    <xf numFmtId="14" fontId="16" fillId="0" borderId="0" xfId="37" quotePrefix="1" applyNumberFormat="1" applyFont="1" applyFill="1" applyBorder="1" applyAlignment="1">
      <alignment horizontal="center"/>
    </xf>
    <xf numFmtId="37" fontId="16" fillId="0" borderId="0" xfId="37" applyNumberFormat="1" applyFont="1" applyFill="1" applyBorder="1" applyAlignment="1">
      <alignment horizontal="center"/>
    </xf>
    <xf numFmtId="37" fontId="16" fillId="0" borderId="0" xfId="34" applyNumberFormat="1" applyFont="1" applyFill="1" applyAlignment="1">
      <alignment horizontal="center"/>
    </xf>
    <xf numFmtId="0" fontId="16" fillId="0" borderId="0" xfId="34" applyFont="1" applyFill="1" applyBorder="1"/>
    <xf numFmtId="174" fontId="16" fillId="0" borderId="0" xfId="37" quotePrefix="1" applyNumberFormat="1" applyFont="1" applyFill="1" applyBorder="1" applyAlignment="1">
      <alignment horizontal="center"/>
    </xf>
    <xf numFmtId="167" fontId="21" fillId="0" borderId="0" xfId="40" applyNumberFormat="1" applyFont="1" applyFill="1" applyBorder="1" applyAlignment="1">
      <alignment horizontal="right"/>
    </xf>
    <xf numFmtId="37" fontId="16" fillId="0" borderId="0" xfId="34" quotePrefix="1" applyNumberFormat="1" applyFont="1" applyFill="1" applyBorder="1" applyAlignment="1">
      <alignment horizontal="center"/>
    </xf>
    <xf numFmtId="39" fontId="16" fillId="0" borderId="1" xfId="34" quotePrefix="1" applyNumberFormat="1" applyFont="1" applyFill="1" applyBorder="1" applyAlignment="1">
      <alignment horizontal="center"/>
    </xf>
    <xf numFmtId="37" fontId="19" fillId="0" borderId="0" xfId="34" applyNumberFormat="1" applyFont="1" applyFill="1" applyBorder="1" applyAlignment="1">
      <alignment horizontal="center"/>
    </xf>
    <xf numFmtId="37" fontId="17" fillId="0" borderId="0" xfId="37" applyNumberFormat="1" applyFont="1" applyFill="1"/>
    <xf numFmtId="39" fontId="16" fillId="0" borderId="0" xfId="34" applyNumberFormat="1" applyFont="1" applyFill="1"/>
    <xf numFmtId="37" fontId="16" fillId="0" borderId="0" xfId="34" applyNumberFormat="1" applyFont="1" applyFill="1"/>
    <xf numFmtId="37" fontId="16" fillId="0" borderId="0" xfId="16" applyNumberFormat="1" applyFont="1" applyFill="1"/>
    <xf numFmtId="37" fontId="16" fillId="0" borderId="0" xfId="16" applyNumberFormat="1" applyFont="1" applyFill="1" applyAlignment="1"/>
    <xf numFmtId="168" fontId="16" fillId="0" borderId="0" xfId="5" applyNumberFormat="1" applyFont="1" applyFill="1" applyBorder="1"/>
    <xf numFmtId="168" fontId="16" fillId="0" borderId="0" xfId="5" applyNumberFormat="1" applyFont="1" applyFill="1"/>
    <xf numFmtId="10" fontId="15" fillId="0" borderId="0" xfId="40" applyNumberFormat="1" applyFont="1" applyFill="1" applyBorder="1"/>
    <xf numFmtId="39" fontId="16" fillId="0" borderId="0" xfId="37" applyNumberFormat="1" applyFont="1" applyFill="1" applyBorder="1" applyAlignment="1">
      <alignment horizontal="right"/>
    </xf>
    <xf numFmtId="168" fontId="16" fillId="0" borderId="2" xfId="5" applyNumberFormat="1" applyFont="1" applyFill="1" applyBorder="1"/>
    <xf numFmtId="168" fontId="16" fillId="0" borderId="0" xfId="5" applyNumberFormat="1" applyFont="1" applyFill="1" applyAlignment="1">
      <alignment horizontal="right"/>
    </xf>
    <xf numFmtId="37" fontId="16" fillId="0" borderId="0" xfId="16" applyNumberFormat="1" applyFont="1" applyFill="1" applyBorder="1"/>
    <xf numFmtId="39" fontId="16" fillId="0" borderId="0" xfId="37" applyNumberFormat="1" applyFont="1" applyFill="1" applyAlignment="1">
      <alignment horizontal="right"/>
    </xf>
    <xf numFmtId="168" fontId="16" fillId="0" borderId="1" xfId="5" applyNumberFormat="1" applyFont="1" applyFill="1" applyBorder="1"/>
    <xf numFmtId="168" fontId="16" fillId="0" borderId="1" xfId="5" applyNumberFormat="1" applyFont="1" applyFill="1" applyBorder="1" applyAlignment="1">
      <alignment horizontal="right"/>
    </xf>
    <xf numFmtId="168" fontId="16" fillId="0" borderId="6" xfId="5" applyNumberFormat="1" applyFont="1" applyFill="1" applyBorder="1"/>
    <xf numFmtId="168" fontId="16" fillId="0" borderId="5" xfId="5" applyNumberFormat="1" applyFont="1" applyFill="1" applyBorder="1"/>
    <xf numFmtId="168" fontId="22" fillId="0" borderId="0" xfId="5" applyNumberFormat="1" applyFont="1" applyFill="1"/>
    <xf numFmtId="37" fontId="23" fillId="0" borderId="0" xfId="37" applyNumberFormat="1" applyFont="1" applyFill="1"/>
    <xf numFmtId="41" fontId="24" fillId="0" borderId="0" xfId="16" applyNumberFormat="1" applyFont="1" applyFill="1"/>
    <xf numFmtId="0" fontId="16" fillId="0" borderId="0" xfId="16" quotePrefix="1" applyNumberFormat="1" applyFont="1" applyFill="1" applyAlignment="1">
      <alignment horizontal="right"/>
    </xf>
    <xf numFmtId="9" fontId="24" fillId="0" borderId="0" xfId="39" applyFont="1" applyFill="1" applyBorder="1"/>
    <xf numFmtId="168" fontId="24" fillId="0" borderId="0" xfId="5" applyNumberFormat="1" applyFont="1" applyFill="1"/>
    <xf numFmtId="168" fontId="24" fillId="0" borderId="0" xfId="5" applyNumberFormat="1" applyFont="1" applyFill="1" applyBorder="1"/>
    <xf numFmtId="37" fontId="16" fillId="0" borderId="0" xfId="37" applyNumberFormat="1" applyFont="1" applyFill="1" applyBorder="1" applyAlignment="1">
      <alignment horizontal="right"/>
    </xf>
    <xf numFmtId="10" fontId="15" fillId="0" borderId="0" xfId="37" applyNumberFormat="1" applyFont="1" applyFill="1" applyBorder="1"/>
    <xf numFmtId="0" fontId="16" fillId="0" borderId="0" xfId="0" applyNumberFormat="1" applyFont="1" applyFill="1"/>
    <xf numFmtId="168" fontId="16" fillId="0" borderId="12" xfId="5" applyNumberFormat="1" applyFont="1" applyFill="1" applyBorder="1"/>
    <xf numFmtId="37" fontId="24" fillId="0" borderId="0" xfId="37" applyNumberFormat="1" applyFont="1" applyFill="1"/>
    <xf numFmtId="9" fontId="24" fillId="0" borderId="0" xfId="39" applyFont="1" applyFill="1"/>
    <xf numFmtId="0" fontId="24" fillId="0" borderId="0" xfId="34" applyFont="1" applyFill="1"/>
    <xf numFmtId="41" fontId="16" fillId="0" borderId="0" xfId="16" quotePrefix="1" applyNumberFormat="1" applyFont="1" applyFill="1" applyAlignment="1">
      <alignment horizontal="right"/>
    </xf>
    <xf numFmtId="10" fontId="16" fillId="0" borderId="4" xfId="37" applyNumberFormat="1" applyFont="1" applyFill="1" applyBorder="1"/>
    <xf numFmtId="10" fontId="16" fillId="0" borderId="0" xfId="37" applyNumberFormat="1" applyFont="1" applyFill="1"/>
    <xf numFmtId="168" fontId="15" fillId="0" borderId="5" xfId="5" applyNumberFormat="1" applyFont="1" applyFill="1" applyBorder="1"/>
    <xf numFmtId="168" fontId="15" fillId="0" borderId="0" xfId="5" applyNumberFormat="1" applyFont="1" applyFill="1"/>
    <xf numFmtId="168" fontId="15" fillId="0" borderId="0" xfId="5" applyNumberFormat="1" applyFont="1" applyFill="1" applyBorder="1"/>
    <xf numFmtId="0" fontId="15" fillId="0" borderId="0" xfId="34" applyFont="1" applyFill="1"/>
    <xf numFmtId="0" fontId="16" fillId="0" borderId="0" xfId="16" applyFont="1" applyFill="1" applyAlignment="1">
      <alignment horizontal="center"/>
    </xf>
    <xf numFmtId="9" fontId="16" fillId="0" borderId="0" xfId="39" applyFont="1" applyFill="1" applyBorder="1"/>
    <xf numFmtId="9" fontId="16" fillId="0" borderId="0" xfId="40" applyFont="1" applyFill="1" applyBorder="1"/>
    <xf numFmtId="39" fontId="16" fillId="0" borderId="30" xfId="34" applyNumberFormat="1" applyFont="1" applyFill="1" applyBorder="1"/>
    <xf numFmtId="37" fontId="15" fillId="0" borderId="6" xfId="37" applyNumberFormat="1" applyFont="1" applyFill="1" applyBorder="1"/>
    <xf numFmtId="10" fontId="16" fillId="0" borderId="31" xfId="37" applyNumberFormat="1" applyFont="1" applyFill="1" applyBorder="1"/>
    <xf numFmtId="39" fontId="16" fillId="0" borderId="16" xfId="34" applyNumberFormat="1" applyFont="1" applyFill="1" applyBorder="1"/>
    <xf numFmtId="43" fontId="16" fillId="0" borderId="0" xfId="5" applyFont="1" applyFill="1" applyBorder="1"/>
    <xf numFmtId="10" fontId="16" fillId="0" borderId="32" xfId="37" applyNumberFormat="1" applyFont="1" applyFill="1" applyBorder="1"/>
    <xf numFmtId="39" fontId="16" fillId="0" borderId="29" xfId="34" applyNumberFormat="1" applyFont="1" applyFill="1" applyBorder="1"/>
    <xf numFmtId="37" fontId="16" fillId="0" borderId="1" xfId="37" applyNumberFormat="1" applyFont="1" applyFill="1" applyBorder="1"/>
    <xf numFmtId="37" fontId="16" fillId="0" borderId="27" xfId="37" applyNumberFormat="1" applyFont="1" applyFill="1" applyBorder="1"/>
    <xf numFmtId="0" fontId="29" fillId="0" borderId="0" xfId="0" applyFont="1" applyFill="1"/>
    <xf numFmtId="0" fontId="29" fillId="0" borderId="1" xfId="0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 wrapText="1"/>
    </xf>
    <xf numFmtId="168" fontId="29" fillId="0" borderId="0" xfId="3" applyNumberFormat="1" applyFont="1" applyFill="1"/>
    <xf numFmtId="169" fontId="29" fillId="0" borderId="6" xfId="11" applyNumberFormat="1" applyFont="1" applyFill="1" applyBorder="1"/>
    <xf numFmtId="10" fontId="29" fillId="0" borderId="0" xfId="0" applyNumberFormat="1" applyFont="1" applyFill="1" applyAlignment="1">
      <alignment horizontal="right"/>
    </xf>
    <xf numFmtId="37" fontId="54" fillId="0" borderId="0" xfId="0" applyNumberFormat="1" applyFont="1"/>
    <xf numFmtId="0" fontId="54" fillId="0" borderId="0" xfId="0" applyFont="1"/>
    <xf numFmtId="0" fontId="54" fillId="0" borderId="0" xfId="0" applyFont="1" applyAlignment="1">
      <alignment horizontal="center"/>
    </xf>
    <xf numFmtId="43" fontId="54" fillId="0" borderId="0" xfId="0" applyNumberFormat="1" applyFont="1"/>
    <xf numFmtId="43" fontId="54" fillId="0" borderId="1" xfId="0" applyNumberFormat="1" applyFont="1" applyBorder="1"/>
    <xf numFmtId="0" fontId="54" fillId="0" borderId="33" xfId="0" applyFont="1" applyBorder="1"/>
    <xf numFmtId="43" fontId="54" fillId="0" borderId="7" xfId="0" applyNumberFormat="1" applyFont="1" applyBorder="1"/>
    <xf numFmtId="43" fontId="54" fillId="0" borderId="8" xfId="0" applyNumberFormat="1" applyFont="1" applyBorder="1"/>
    <xf numFmtId="0" fontId="54" fillId="0" borderId="15" xfId="0" applyFont="1" applyBorder="1"/>
    <xf numFmtId="43" fontId="54" fillId="0" borderId="0" xfId="0" applyNumberFormat="1" applyFont="1" applyBorder="1"/>
    <xf numFmtId="43" fontId="54" fillId="0" borderId="22" xfId="0" applyNumberFormat="1" applyFont="1" applyBorder="1"/>
    <xf numFmtId="0" fontId="54" fillId="0" borderId="0" xfId="0" applyFont="1" applyBorder="1"/>
    <xf numFmtId="0" fontId="54" fillId="0" borderId="22" xfId="0" applyFont="1" applyBorder="1"/>
    <xf numFmtId="43" fontId="54" fillId="0" borderId="34" xfId="0" applyNumberFormat="1" applyFont="1" applyBorder="1"/>
    <xf numFmtId="0" fontId="54" fillId="0" borderId="23" xfId="0" applyFont="1" applyBorder="1"/>
    <xf numFmtId="0" fontId="54" fillId="0" borderId="24" xfId="0" applyFont="1" applyBorder="1"/>
    <xf numFmtId="43" fontId="54" fillId="0" borderId="25" xfId="0" applyNumberFormat="1" applyFont="1" applyBorder="1"/>
    <xf numFmtId="0" fontId="0" fillId="0" borderId="23" xfId="0" applyBorder="1"/>
    <xf numFmtId="0" fontId="54" fillId="0" borderId="9" xfId="0" applyFont="1" applyBorder="1"/>
    <xf numFmtId="0" fontId="54" fillId="0" borderId="7" xfId="0" applyFont="1" applyBorder="1" applyAlignment="1">
      <alignment horizontal="center"/>
    </xf>
    <xf numFmtId="0" fontId="54" fillId="0" borderId="7" xfId="0" applyFont="1" applyBorder="1"/>
    <xf numFmtId="0" fontId="54" fillId="0" borderId="8" xfId="0" applyFont="1" applyBorder="1"/>
    <xf numFmtId="0" fontId="54" fillId="0" borderId="0" xfId="0" applyFont="1" applyBorder="1" applyAlignment="1">
      <alignment horizontal="center"/>
    </xf>
    <xf numFmtId="168" fontId="54" fillId="0" borderId="24" xfId="0" applyNumberFormat="1" applyFont="1" applyBorder="1"/>
    <xf numFmtId="10" fontId="54" fillId="0" borderId="24" xfId="0" applyNumberFormat="1" applyFont="1" applyBorder="1" applyAlignment="1">
      <alignment horizontal="center"/>
    </xf>
    <xf numFmtId="169" fontId="54" fillId="0" borderId="24" xfId="11" applyNumberFormat="1" applyFont="1" applyBorder="1" applyAlignment="1">
      <alignment horizontal="center"/>
    </xf>
    <xf numFmtId="0" fontId="54" fillId="0" borderId="25" xfId="0" applyFont="1" applyBorder="1"/>
    <xf numFmtId="38" fontId="15" fillId="0" borderId="0" xfId="0" applyNumberFormat="1" applyFont="1" applyFill="1"/>
    <xf numFmtId="14" fontId="16" fillId="0" borderId="0" xfId="0" applyNumberFormat="1" applyFont="1" applyFill="1"/>
    <xf numFmtId="166" fontId="15" fillId="0" borderId="0" xfId="0" applyNumberFormat="1" applyFont="1" applyFill="1" applyAlignment="1">
      <alignment horizontal="right"/>
    </xf>
    <xf numFmtId="18" fontId="16" fillId="0" borderId="0" xfId="0" applyNumberFormat="1" applyFont="1" applyFill="1"/>
    <xf numFmtId="38" fontId="15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left"/>
    </xf>
    <xf numFmtId="38" fontId="16" fillId="0" borderId="0" xfId="0" applyNumberFormat="1" applyFont="1" applyFill="1" applyAlignment="1">
      <alignment horizontal="right"/>
    </xf>
    <xf numFmtId="37" fontId="16" fillId="0" borderId="0" xfId="0" applyNumberFormat="1" applyFont="1" applyFill="1" applyAlignment="1">
      <alignment horizontal="left"/>
    </xf>
    <xf numFmtId="43" fontId="16" fillId="0" borderId="0" xfId="3" applyFont="1" applyFill="1"/>
    <xf numFmtId="10" fontId="16" fillId="0" borderId="1" xfId="0" applyNumberFormat="1" applyFont="1" applyFill="1" applyBorder="1"/>
    <xf numFmtId="41" fontId="16" fillId="0" borderId="0" xfId="0" applyNumberFormat="1" applyFont="1" applyFill="1"/>
    <xf numFmtId="44" fontId="16" fillId="0" borderId="0" xfId="11" applyFont="1" applyFill="1"/>
    <xf numFmtId="168" fontId="16" fillId="0" borderId="0" xfId="3" applyNumberFormat="1" applyFont="1" applyFill="1" applyBorder="1" applyAlignment="1">
      <alignment horizontal="center"/>
    </xf>
    <xf numFmtId="168" fontId="16" fillId="0" borderId="0" xfId="0" applyNumberFormat="1" applyFont="1" applyFill="1"/>
    <xf numFmtId="38" fontId="15" fillId="0" borderId="1" xfId="0" applyNumberFormat="1" applyFont="1" applyFill="1" applyBorder="1" applyAlignment="1">
      <alignment horizontal="center"/>
    </xf>
    <xf numFmtId="38" fontId="15" fillId="0" borderId="1" xfId="0" applyNumberFormat="1" applyFont="1" applyFill="1" applyBorder="1"/>
    <xf numFmtId="169" fontId="16" fillId="0" borderId="5" xfId="11" applyNumberFormat="1" applyFont="1" applyFill="1" applyBorder="1"/>
    <xf numFmtId="38" fontId="16" fillId="0" borderId="0" xfId="0" quotePrefix="1" applyNumberFormat="1" applyFont="1" applyFill="1"/>
    <xf numFmtId="0" fontId="15" fillId="0" borderId="0" xfId="29" applyFont="1" applyFill="1"/>
    <xf numFmtId="0" fontId="16" fillId="0" borderId="0" xfId="29" applyFont="1" applyFill="1"/>
    <xf numFmtId="0" fontId="16" fillId="0" borderId="0" xfId="29" applyFont="1" applyFill="1" applyAlignment="1">
      <alignment horizontal="center"/>
    </xf>
    <xf numFmtId="0" fontId="16" fillId="0" borderId="0" xfId="29" applyFont="1" applyFill="1" applyBorder="1"/>
    <xf numFmtId="0" fontId="15" fillId="0" borderId="0" xfId="29" applyFont="1" applyFill="1" applyAlignment="1">
      <alignment horizontal="right"/>
    </xf>
    <xf numFmtId="43" fontId="15" fillId="0" borderId="0" xfId="3" applyFont="1" applyFill="1" applyBorder="1" applyAlignment="1">
      <alignment horizontal="center"/>
    </xf>
    <xf numFmtId="167" fontId="16" fillId="0" borderId="0" xfId="39" applyNumberFormat="1" applyFont="1" applyFill="1" applyAlignment="1">
      <alignment horizontal="center"/>
    </xf>
    <xf numFmtId="9" fontId="15" fillId="0" borderId="0" xfId="29" applyNumberFormat="1" applyFont="1" applyFill="1" applyAlignment="1">
      <alignment horizontal="center"/>
    </xf>
    <xf numFmtId="9" fontId="15" fillId="0" borderId="0" xfId="29" applyNumberFormat="1" applyFont="1" applyFill="1" applyBorder="1" applyAlignment="1">
      <alignment horizontal="center"/>
    </xf>
    <xf numFmtId="0" fontId="15" fillId="0" borderId="0" xfId="29" applyFont="1" applyFill="1" applyAlignment="1">
      <alignment horizontal="center" wrapText="1"/>
    </xf>
    <xf numFmtId="0" fontId="15" fillId="0" borderId="1" xfId="29" applyFont="1" applyFill="1" applyBorder="1" applyAlignment="1">
      <alignment horizontal="center" wrapText="1"/>
    </xf>
    <xf numFmtId="43" fontId="15" fillId="0" borderId="1" xfId="3" applyFont="1" applyFill="1" applyBorder="1" applyAlignment="1">
      <alignment horizontal="center" wrapText="1"/>
    </xf>
    <xf numFmtId="43" fontId="15" fillId="0" borderId="0" xfId="3" applyFont="1" applyFill="1" applyBorder="1" applyAlignment="1">
      <alignment horizontal="center" wrapText="1"/>
    </xf>
    <xf numFmtId="0" fontId="15" fillId="0" borderId="0" xfId="29" applyFont="1" applyFill="1" applyBorder="1" applyAlignment="1">
      <alignment horizontal="center" wrapText="1"/>
    </xf>
    <xf numFmtId="0" fontId="19" fillId="0" borderId="0" xfId="29" applyFont="1" applyFill="1" applyAlignment="1">
      <alignment horizontal="left"/>
    </xf>
    <xf numFmtId="0" fontId="15" fillId="0" borderId="0" xfId="29" applyFont="1" applyFill="1" applyAlignment="1">
      <alignment horizontal="center"/>
    </xf>
    <xf numFmtId="43" fontId="15" fillId="0" borderId="0" xfId="3" applyFont="1" applyFill="1" applyAlignment="1">
      <alignment horizontal="center"/>
    </xf>
    <xf numFmtId="0" fontId="15" fillId="0" borderId="0" xfId="29" applyFont="1" applyFill="1" applyBorder="1" applyAlignment="1">
      <alignment horizontal="center"/>
    </xf>
    <xf numFmtId="0" fontId="18" fillId="0" borderId="0" xfId="29" applyFont="1" applyFill="1"/>
    <xf numFmtId="0" fontId="18" fillId="0" borderId="0" xfId="29" applyFont="1" applyFill="1" applyAlignment="1">
      <alignment horizontal="center"/>
    </xf>
    <xf numFmtId="14" fontId="16" fillId="0" borderId="0" xfId="29" applyNumberFormat="1" applyFont="1" applyFill="1" applyAlignment="1">
      <alignment horizontal="center"/>
    </xf>
    <xf numFmtId="14" fontId="16" fillId="0" borderId="0" xfId="29" applyNumberFormat="1" applyFont="1" applyFill="1"/>
    <xf numFmtId="39" fontId="16" fillId="0" borderId="0" xfId="3" applyNumberFormat="1" applyFont="1" applyFill="1" applyAlignment="1">
      <alignment horizontal="center"/>
    </xf>
    <xf numFmtId="43" fontId="16" fillId="0" borderId="0" xfId="29" applyNumberFormat="1" applyFont="1" applyFill="1"/>
    <xf numFmtId="43" fontId="16" fillId="0" borderId="0" xfId="29" applyNumberFormat="1" applyFont="1" applyFill="1" applyBorder="1"/>
    <xf numFmtId="43" fontId="16" fillId="0" borderId="0" xfId="29" applyNumberFormat="1" applyFont="1" applyFill="1" applyAlignment="1">
      <alignment horizontal="center"/>
    </xf>
    <xf numFmtId="179" fontId="15" fillId="0" borderId="0" xfId="29" applyNumberFormat="1" applyFont="1" applyFill="1" applyAlignment="1">
      <alignment horizontal="center"/>
    </xf>
    <xf numFmtId="14" fontId="16" fillId="0" borderId="0" xfId="3" applyNumberFormat="1" applyFont="1" applyFill="1" applyAlignment="1">
      <alignment horizontal="center"/>
    </xf>
    <xf numFmtId="14" fontId="16" fillId="0" borderId="0" xfId="29" applyNumberFormat="1" applyFont="1" applyFill="1" applyBorder="1"/>
    <xf numFmtId="14" fontId="16" fillId="0" borderId="0" xfId="29" quotePrefix="1" applyNumberFormat="1" applyFont="1" applyFill="1" applyAlignment="1">
      <alignment horizontal="center"/>
    </xf>
    <xf numFmtId="14" fontId="16" fillId="0" borderId="0" xfId="29" quotePrefix="1" applyNumberFormat="1" applyFont="1" applyFill="1"/>
    <xf numFmtId="39" fontId="16" fillId="0" borderId="0" xfId="3" applyNumberFormat="1" applyFont="1" applyFill="1" applyBorder="1" applyAlignment="1">
      <alignment horizontal="center"/>
    </xf>
    <xf numFmtId="167" fontId="16" fillId="0" borderId="0" xfId="39" applyNumberFormat="1" applyFont="1" applyFill="1" applyBorder="1" applyAlignment="1">
      <alignment horizontal="center"/>
    </xf>
    <xf numFmtId="43" fontId="16" fillId="0" borderId="0" xfId="29" applyNumberFormat="1" applyFont="1" applyFill="1" applyBorder="1" applyAlignment="1">
      <alignment horizontal="center"/>
    </xf>
    <xf numFmtId="0" fontId="19" fillId="0" borderId="0" xfId="29" applyFont="1" applyFill="1"/>
    <xf numFmtId="0" fontId="16" fillId="0" borderId="0" xfId="29" applyFont="1" applyFill="1" applyBorder="1" applyAlignment="1">
      <alignment horizontal="center" wrapText="1"/>
    </xf>
    <xf numFmtId="14" fontId="16" fillId="0" borderId="0" xfId="29" applyNumberFormat="1" applyFont="1" applyFill="1" applyBorder="1" applyAlignment="1">
      <alignment horizontal="center"/>
    </xf>
    <xf numFmtId="0" fontId="16" fillId="0" borderId="0" xfId="29" applyNumberFormat="1" applyFont="1" applyFill="1" applyAlignment="1">
      <alignment horizontal="center"/>
    </xf>
    <xf numFmtId="43" fontId="16" fillId="0" borderId="0" xfId="3" applyFont="1" applyFill="1" applyAlignment="1">
      <alignment horizontal="center"/>
    </xf>
    <xf numFmtId="43" fontId="16" fillId="0" borderId="1" xfId="3" applyFont="1" applyFill="1" applyBorder="1"/>
    <xf numFmtId="43" fontId="16" fillId="0" borderId="1" xfId="29" applyNumberFormat="1" applyFont="1" applyFill="1" applyBorder="1"/>
    <xf numFmtId="43" fontId="16" fillId="0" borderId="3" xfId="3" applyFont="1" applyFill="1" applyBorder="1"/>
    <xf numFmtId="0" fontId="19" fillId="0" borderId="0" xfId="29" applyFont="1" applyFill="1" applyBorder="1"/>
    <xf numFmtId="43" fontId="16" fillId="0" borderId="6" xfId="29" applyNumberFormat="1" applyFont="1" applyFill="1" applyBorder="1"/>
    <xf numFmtId="168" fontId="16" fillId="0" borderId="5" xfId="3" applyNumberFormat="1" applyFont="1" applyBorder="1"/>
    <xf numFmtId="168" fontId="16" fillId="0" borderId="2" xfId="3" applyNumberFormat="1" applyFont="1" applyFill="1" applyBorder="1" applyAlignment="1">
      <alignment horizontal="right"/>
    </xf>
    <xf numFmtId="0" fontId="15" fillId="0" borderId="2" xfId="3" applyNumberFormat="1" applyFont="1" applyBorder="1" applyAlignment="1">
      <alignment horizontal="center" wrapText="1"/>
    </xf>
    <xf numFmtId="0" fontId="45" fillId="0" borderId="0" xfId="0" applyFont="1"/>
    <xf numFmtId="0" fontId="52" fillId="0" borderId="0" xfId="0" applyNumberFormat="1" applyFont="1" applyFill="1"/>
    <xf numFmtId="185" fontId="52" fillId="0" borderId="0" xfId="0" applyNumberFormat="1" applyFont="1" applyFill="1"/>
    <xf numFmtId="185" fontId="56" fillId="0" borderId="0" xfId="0" applyNumberFormat="1" applyFont="1" applyFill="1" applyAlignment="1">
      <alignment horizontal="left"/>
    </xf>
    <xf numFmtId="43" fontId="56" fillId="0" borderId="0" xfId="3" applyFont="1" applyFill="1"/>
    <xf numFmtId="185" fontId="56" fillId="0" borderId="0" xfId="0" applyNumberFormat="1" applyFont="1" applyFill="1"/>
    <xf numFmtId="185" fontId="56" fillId="0" borderId="0" xfId="0" applyNumberFormat="1" applyFont="1" applyFill="1" applyAlignment="1">
      <alignment horizontal="center"/>
    </xf>
    <xf numFmtId="185" fontId="56" fillId="0" borderId="33" xfId="0" applyNumberFormat="1" applyFont="1" applyFill="1" applyBorder="1" applyAlignment="1">
      <alignment horizontal="left"/>
    </xf>
    <xf numFmtId="185" fontId="56" fillId="0" borderId="7" xfId="0" applyNumberFormat="1" applyFont="1" applyFill="1" applyBorder="1" applyAlignment="1">
      <alignment horizontal="left"/>
    </xf>
    <xf numFmtId="185" fontId="56" fillId="0" borderId="7" xfId="0" applyNumberFormat="1" applyFont="1" applyFill="1" applyBorder="1" applyAlignment="1">
      <alignment horizontal="center"/>
    </xf>
    <xf numFmtId="43" fontId="56" fillId="0" borderId="8" xfId="3" applyFont="1" applyFill="1" applyBorder="1"/>
    <xf numFmtId="185" fontId="56" fillId="0" borderId="15" xfId="0" applyNumberFormat="1" applyFont="1" applyFill="1" applyBorder="1" applyAlignment="1">
      <alignment horizontal="left"/>
    </xf>
    <xf numFmtId="185" fontId="56" fillId="0" borderId="0" xfId="0" applyNumberFormat="1" applyFont="1" applyFill="1" applyBorder="1" applyAlignment="1">
      <alignment horizontal="left"/>
    </xf>
    <xf numFmtId="185" fontId="56" fillId="0" borderId="0" xfId="0" applyNumberFormat="1" applyFont="1" applyFill="1" applyBorder="1" applyAlignment="1">
      <alignment horizontal="center"/>
    </xf>
    <xf numFmtId="43" fontId="56" fillId="0" borderId="22" xfId="3" applyFont="1" applyFill="1" applyBorder="1"/>
    <xf numFmtId="185" fontId="56" fillId="0" borderId="23" xfId="0" applyNumberFormat="1" applyFont="1" applyFill="1" applyBorder="1" applyAlignment="1">
      <alignment horizontal="left"/>
    </xf>
    <xf numFmtId="185" fontId="56" fillId="0" borderId="24" xfId="0" applyNumberFormat="1" applyFont="1" applyFill="1" applyBorder="1" applyAlignment="1">
      <alignment horizontal="left"/>
    </xf>
    <xf numFmtId="43" fontId="56" fillId="0" borderId="25" xfId="3" applyFont="1" applyFill="1" applyBorder="1"/>
    <xf numFmtId="185" fontId="27" fillId="0" borderId="0" xfId="0" applyNumberFormat="1" applyFont="1" applyFill="1"/>
    <xf numFmtId="185" fontId="27" fillId="0" borderId="0" xfId="0" applyNumberFormat="1" applyFont="1" applyFill="1" applyAlignment="1">
      <alignment horizontal="center"/>
    </xf>
    <xf numFmtId="43" fontId="27" fillId="0" borderId="0" xfId="0" applyNumberFormat="1" applyFont="1" applyFill="1"/>
    <xf numFmtId="185" fontId="27" fillId="0" borderId="33" xfId="0" applyNumberFormat="1" applyFont="1" applyFill="1" applyBorder="1" applyAlignment="1">
      <alignment horizontal="center"/>
    </xf>
    <xf numFmtId="185" fontId="27" fillId="0" borderId="7" xfId="0" applyNumberFormat="1" applyFont="1" applyFill="1" applyBorder="1" applyAlignment="1">
      <alignment horizontal="center"/>
    </xf>
    <xf numFmtId="185" fontId="27" fillId="0" borderId="8" xfId="0" applyNumberFormat="1" applyFont="1" applyFill="1" applyBorder="1" applyAlignment="1">
      <alignment horizontal="center"/>
    </xf>
    <xf numFmtId="185" fontId="27" fillId="0" borderId="15" xfId="0" applyNumberFormat="1" applyFont="1" applyFill="1" applyBorder="1" applyAlignment="1">
      <alignment horizontal="center"/>
    </xf>
    <xf numFmtId="185" fontId="27" fillId="0" borderId="0" xfId="0" applyNumberFormat="1" applyFont="1" applyFill="1" applyBorder="1" applyAlignment="1">
      <alignment horizontal="center"/>
    </xf>
    <xf numFmtId="185" fontId="27" fillId="0" borderId="22" xfId="0" applyNumberFormat="1" applyFont="1" applyFill="1" applyBorder="1" applyAlignment="1">
      <alignment horizontal="center"/>
    </xf>
    <xf numFmtId="185" fontId="27" fillId="0" borderId="0" xfId="0" applyNumberFormat="1" applyFont="1" applyFill="1" applyAlignment="1">
      <alignment vertical="center" wrapText="1"/>
    </xf>
    <xf numFmtId="185" fontId="58" fillId="0" borderId="0" xfId="3" applyNumberFormat="1" applyFont="1" applyFill="1" applyAlignment="1">
      <alignment horizontal="left" wrapText="1"/>
    </xf>
    <xf numFmtId="185" fontId="58" fillId="0" borderId="0" xfId="3" applyNumberFormat="1" applyFont="1" applyFill="1" applyAlignment="1">
      <alignment wrapText="1"/>
    </xf>
    <xf numFmtId="175" fontId="58" fillId="0" borderId="15" xfId="0" applyNumberFormat="1" applyFont="1" applyFill="1" applyBorder="1" applyAlignment="1">
      <alignment horizontal="center" wrapText="1"/>
    </xf>
    <xf numFmtId="175" fontId="58" fillId="0" borderId="0" xfId="0" applyNumberFormat="1" applyFont="1" applyFill="1" applyBorder="1" applyAlignment="1">
      <alignment horizontal="center" wrapText="1"/>
    </xf>
    <xf numFmtId="43" fontId="58" fillId="0" borderId="22" xfId="3" applyFont="1" applyFill="1" applyBorder="1" applyAlignment="1">
      <alignment horizontal="center" wrapText="1"/>
    </xf>
    <xf numFmtId="185" fontId="27" fillId="0" borderId="0" xfId="0" applyNumberFormat="1" applyFont="1" applyFill="1" applyAlignment="1">
      <alignment wrapText="1"/>
    </xf>
    <xf numFmtId="49" fontId="58" fillId="0" borderId="15" xfId="0" applyNumberFormat="1" applyFont="1" applyFill="1" applyBorder="1" applyAlignment="1"/>
    <xf numFmtId="49" fontId="58" fillId="0" borderId="0" xfId="0" applyNumberFormat="1" applyFont="1" applyFill="1" applyBorder="1" applyAlignment="1"/>
    <xf numFmtId="49" fontId="58" fillId="0" borderId="22" xfId="0" applyNumberFormat="1" applyFont="1" applyFill="1" applyBorder="1" applyAlignment="1"/>
    <xf numFmtId="1" fontId="27" fillId="0" borderId="0" xfId="0" applyNumberFormat="1" applyFont="1" applyFill="1" applyAlignment="1">
      <alignment horizontal="left"/>
    </xf>
    <xf numFmtId="43" fontId="27" fillId="0" borderId="15" xfId="3" applyFont="1" applyFill="1" applyBorder="1"/>
    <xf numFmtId="43" fontId="27" fillId="0" borderId="0" xfId="3" applyFont="1" applyFill="1" applyBorder="1"/>
    <xf numFmtId="43" fontId="27" fillId="0" borderId="22" xfId="3" applyFont="1" applyFill="1" applyBorder="1" applyAlignment="1"/>
    <xf numFmtId="43" fontId="27" fillId="0" borderId="0" xfId="3" applyFont="1" applyFill="1" applyBorder="1" applyAlignment="1"/>
    <xf numFmtId="43" fontId="27" fillId="0" borderId="22" xfId="3" applyFont="1" applyFill="1" applyBorder="1" applyAlignment="1">
      <alignment horizontal="center"/>
    </xf>
    <xf numFmtId="43" fontId="27" fillId="0" borderId="0" xfId="3" applyFont="1" applyFill="1"/>
    <xf numFmtId="1" fontId="27" fillId="0" borderId="0" xfId="0" applyNumberFormat="1" applyFont="1" applyFill="1" applyAlignment="1">
      <alignment horizontal="left" wrapText="1"/>
    </xf>
    <xf numFmtId="43" fontId="58" fillId="0" borderId="15" xfId="3" applyFont="1" applyFill="1" applyBorder="1"/>
    <xf numFmtId="43" fontId="58" fillId="0" borderId="0" xfId="3" applyFont="1" applyFill="1" applyBorder="1"/>
    <xf numFmtId="43" fontId="58" fillId="0" borderId="0" xfId="3" applyFont="1" applyFill="1" applyBorder="1" applyAlignment="1"/>
    <xf numFmtId="43" fontId="27" fillId="0" borderId="15" xfId="3" applyFont="1" applyFill="1" applyBorder="1" applyAlignment="1"/>
    <xf numFmtId="1" fontId="27" fillId="0" borderId="0" xfId="0" quotePrefix="1" applyNumberFormat="1" applyFont="1" applyFill="1" applyAlignment="1">
      <alignment horizontal="left"/>
    </xf>
    <xf numFmtId="185" fontId="49" fillId="0" borderId="0" xfId="0" applyNumberFormat="1" applyFont="1" applyFill="1"/>
    <xf numFmtId="1" fontId="49" fillId="0" borderId="0" xfId="0" applyNumberFormat="1" applyFont="1" applyFill="1" applyAlignment="1">
      <alignment horizontal="left"/>
    </xf>
    <xf numFmtId="185" fontId="27" fillId="0" borderId="0" xfId="0" applyNumberFormat="1" applyFont="1" applyFill="1" applyBorder="1"/>
    <xf numFmtId="43" fontId="58" fillId="0" borderId="15" xfId="3" applyFont="1" applyFill="1" applyBorder="1" applyAlignment="1"/>
    <xf numFmtId="49" fontId="27" fillId="0" borderId="0" xfId="0" applyNumberFormat="1" applyFont="1" applyFill="1" applyAlignment="1">
      <alignment horizontal="left"/>
    </xf>
    <xf numFmtId="43" fontId="59" fillId="0" borderId="15" xfId="3" applyFont="1" applyFill="1" applyBorder="1" applyAlignment="1"/>
    <xf numFmtId="43" fontId="59" fillId="0" borderId="0" xfId="3" applyFont="1" applyFill="1" applyBorder="1" applyAlignment="1"/>
    <xf numFmtId="43" fontId="58" fillId="0" borderId="22" xfId="3" applyFont="1" applyFill="1" applyBorder="1"/>
    <xf numFmtId="43" fontId="59" fillId="0" borderId="15" xfId="3" applyFont="1" applyFill="1" applyBorder="1"/>
    <xf numFmtId="43" fontId="59" fillId="0" borderId="0" xfId="3" applyFont="1" applyFill="1" applyBorder="1"/>
    <xf numFmtId="43" fontId="27" fillId="0" borderId="23" xfId="3" applyFont="1" applyFill="1" applyBorder="1"/>
    <xf numFmtId="43" fontId="27" fillId="0" borderId="24" xfId="3" applyFont="1" applyFill="1" applyBorder="1"/>
    <xf numFmtId="43" fontId="27" fillId="0" borderId="25" xfId="3" applyFont="1" applyFill="1" applyBorder="1" applyAlignment="1">
      <alignment horizontal="center"/>
    </xf>
    <xf numFmtId="43" fontId="27" fillId="0" borderId="0" xfId="3" applyFont="1" applyFill="1" applyAlignment="1">
      <alignment horizontal="center"/>
    </xf>
    <xf numFmtId="43" fontId="27" fillId="0" borderId="33" xfId="3" applyFont="1" applyFill="1" applyBorder="1"/>
    <xf numFmtId="43" fontId="27" fillId="0" borderId="7" xfId="3" applyFont="1" applyFill="1" applyBorder="1"/>
    <xf numFmtId="43" fontId="27" fillId="0" borderId="8" xfId="3" applyFont="1" applyFill="1" applyBorder="1"/>
    <xf numFmtId="43" fontId="58" fillId="0" borderId="0" xfId="3" applyFont="1" applyFill="1"/>
    <xf numFmtId="43" fontId="59" fillId="0" borderId="25" xfId="3" applyFont="1" applyFill="1" applyBorder="1"/>
    <xf numFmtId="43" fontId="59" fillId="0" borderId="0" xfId="3" applyFont="1" applyFill="1"/>
    <xf numFmtId="43" fontId="27" fillId="0" borderId="33" xfId="3" applyFont="1" applyFill="1" applyBorder="1" applyAlignment="1">
      <alignment horizontal="center"/>
    </xf>
    <xf numFmtId="43" fontId="27" fillId="0" borderId="7" xfId="3" applyFont="1" applyFill="1" applyBorder="1" applyAlignment="1">
      <alignment horizontal="center"/>
    </xf>
    <xf numFmtId="43" fontId="27" fillId="0" borderId="8" xfId="3" applyFont="1" applyFill="1" applyBorder="1" applyAlignment="1">
      <alignment horizontal="center"/>
    </xf>
    <xf numFmtId="185" fontId="58" fillId="0" borderId="0" xfId="0" applyNumberFormat="1" applyFont="1" applyFill="1" applyBorder="1"/>
    <xf numFmtId="43" fontId="58" fillId="0" borderId="15" xfId="3" applyFont="1" applyFill="1" applyBorder="1" applyAlignment="1">
      <alignment horizontal="center"/>
    </xf>
    <xf numFmtId="43" fontId="58" fillId="0" borderId="0" xfId="3" applyFont="1" applyFill="1" applyBorder="1" applyAlignment="1">
      <alignment horizontal="center"/>
    </xf>
    <xf numFmtId="43" fontId="58" fillId="0" borderId="22" xfId="3" applyFont="1" applyFill="1" applyBorder="1" applyAlignment="1">
      <alignment horizontal="center"/>
    </xf>
    <xf numFmtId="9" fontId="27" fillId="0" borderId="0" xfId="39" applyFont="1" applyFill="1" applyBorder="1" applyAlignment="1">
      <alignment horizontal="right"/>
    </xf>
    <xf numFmtId="9" fontId="27" fillId="0" borderId="22" xfId="39" applyFont="1" applyFill="1" applyBorder="1" applyAlignment="1">
      <alignment horizontal="right"/>
    </xf>
    <xf numFmtId="43" fontId="27" fillId="0" borderId="0" xfId="3" applyFont="1" applyFill="1" applyBorder="1" applyAlignment="1">
      <alignment horizontal="center"/>
    </xf>
    <xf numFmtId="168" fontId="16" fillId="7" borderId="0" xfId="3" applyNumberFormat="1" applyFont="1" applyFill="1"/>
    <xf numFmtId="10" fontId="16" fillId="7" borderId="0" xfId="0" applyNumberFormat="1" applyFont="1" applyFill="1"/>
    <xf numFmtId="37" fontId="61" fillId="0" borderId="0" xfId="0" applyNumberFormat="1" applyFont="1" applyFill="1"/>
    <xf numFmtId="37" fontId="61" fillId="0" borderId="0" xfId="37" applyNumberFormat="1" applyFont="1" applyFill="1"/>
    <xf numFmtId="37" fontId="45" fillId="0" borderId="0" xfId="37" applyNumberFormat="1" applyFont="1" applyFill="1"/>
    <xf numFmtId="0" fontId="45" fillId="0" borderId="0" xfId="16" applyFont="1" applyFill="1"/>
    <xf numFmtId="37" fontId="45" fillId="0" borderId="0" xfId="34" applyNumberFormat="1" applyFont="1" applyFill="1" applyBorder="1" applyAlignment="1">
      <alignment horizontal="center"/>
    </xf>
    <xf numFmtId="37" fontId="45" fillId="0" borderId="0" xfId="37" applyNumberFormat="1" applyFont="1" applyFill="1" applyAlignment="1">
      <alignment horizontal="center"/>
    </xf>
    <xf numFmtId="0" fontId="45" fillId="0" borderId="0" xfId="34" applyFont="1" applyFill="1" applyBorder="1"/>
    <xf numFmtId="37" fontId="45" fillId="0" borderId="0" xfId="34" quotePrefix="1" applyNumberFormat="1" applyFont="1" applyFill="1" applyBorder="1" applyAlignment="1">
      <alignment horizontal="center"/>
    </xf>
    <xf numFmtId="37" fontId="61" fillId="0" borderId="0" xfId="37" applyNumberFormat="1" applyFont="1" applyFill="1" applyBorder="1"/>
    <xf numFmtId="37" fontId="45" fillId="0" borderId="0" xfId="37" applyNumberFormat="1" applyFont="1" applyFill="1" applyBorder="1"/>
    <xf numFmtId="37" fontId="45" fillId="0" borderId="0" xfId="34" applyNumberFormat="1" applyFont="1" applyFill="1" applyBorder="1"/>
    <xf numFmtId="37" fontId="45" fillId="0" borderId="0" xfId="16" applyNumberFormat="1" applyFont="1" applyFill="1"/>
    <xf numFmtId="168" fontId="45" fillId="0" borderId="0" xfId="5" applyNumberFormat="1" applyFont="1" applyFill="1" applyBorder="1"/>
    <xf numFmtId="168" fontId="45" fillId="0" borderId="0" xfId="5" applyNumberFormat="1" applyFont="1" applyFill="1"/>
    <xf numFmtId="10" fontId="45" fillId="0" borderId="0" xfId="39" applyNumberFormat="1" applyFont="1" applyFill="1" applyBorder="1"/>
    <xf numFmtId="10" fontId="61" fillId="0" borderId="0" xfId="40" applyNumberFormat="1" applyFont="1" applyFill="1" applyBorder="1"/>
    <xf numFmtId="168" fontId="45" fillId="0" borderId="0" xfId="3" applyNumberFormat="1" applyFont="1" applyFill="1" applyBorder="1"/>
    <xf numFmtId="37" fontId="45" fillId="0" borderId="0" xfId="16" applyNumberFormat="1" applyFont="1" applyFill="1" applyBorder="1"/>
    <xf numFmtId="10" fontId="45" fillId="0" borderId="0" xfId="40" applyNumberFormat="1" applyFont="1" applyFill="1" applyBorder="1"/>
    <xf numFmtId="168" fontId="45" fillId="0" borderId="0" xfId="40" applyNumberFormat="1" applyFont="1" applyFill="1" applyBorder="1"/>
    <xf numFmtId="37" fontId="45" fillId="0" borderId="0" xfId="16" applyNumberFormat="1" applyFont="1" applyFill="1" applyAlignment="1"/>
    <xf numFmtId="168" fontId="45" fillId="0" borderId="1" xfId="5" applyNumberFormat="1" applyFont="1" applyFill="1" applyBorder="1"/>
    <xf numFmtId="168" fontId="45" fillId="0" borderId="1" xfId="3" applyNumberFormat="1" applyFont="1" applyFill="1" applyBorder="1"/>
    <xf numFmtId="0" fontId="45" fillId="0" borderId="0" xfId="34" applyFont="1" applyFill="1"/>
    <xf numFmtId="168" fontId="62" fillId="0" borderId="0" xfId="5" applyNumberFormat="1" applyFont="1" applyFill="1"/>
    <xf numFmtId="10" fontId="45" fillId="0" borderId="0" xfId="37" applyNumberFormat="1" applyFont="1" applyFill="1" applyBorder="1"/>
    <xf numFmtId="10" fontId="61" fillId="0" borderId="0" xfId="37" applyNumberFormat="1" applyFont="1" applyFill="1" applyBorder="1"/>
    <xf numFmtId="37" fontId="63" fillId="0" borderId="0" xfId="37" applyNumberFormat="1" applyFont="1" applyFill="1"/>
    <xf numFmtId="37" fontId="63" fillId="0" borderId="0" xfId="37" applyNumberFormat="1" applyFont="1" applyFill="1" applyBorder="1"/>
    <xf numFmtId="0" fontId="63" fillId="0" borderId="0" xfId="34" applyFont="1" applyFill="1"/>
    <xf numFmtId="37" fontId="61" fillId="0" borderId="0" xfId="37" applyNumberFormat="1" applyFont="1" applyFill="1" applyBorder="1" applyAlignment="1">
      <alignment horizontal="left"/>
    </xf>
    <xf numFmtId="168" fontId="64" fillId="0" borderId="0" xfId="5" applyNumberFormat="1" applyFont="1" applyFill="1" applyBorder="1"/>
    <xf numFmtId="37" fontId="64" fillId="0" borderId="0" xfId="37" applyNumberFormat="1" applyFont="1" applyFill="1" applyBorder="1"/>
    <xf numFmtId="0" fontId="64" fillId="0" borderId="0" xfId="16" applyFont="1" applyFill="1" applyBorder="1"/>
    <xf numFmtId="37" fontId="45" fillId="0" borderId="1" xfId="37" applyNumberFormat="1" applyFont="1" applyFill="1" applyBorder="1"/>
    <xf numFmtId="37" fontId="45" fillId="0" borderId="14" xfId="37" applyNumberFormat="1" applyFont="1" applyFill="1" applyBorder="1"/>
    <xf numFmtId="37" fontId="45" fillId="0" borderId="35" xfId="37" applyNumberFormat="1" applyFont="1" applyFill="1" applyBorder="1"/>
    <xf numFmtId="37" fontId="65" fillId="0" borderId="0" xfId="37" applyNumberFormat="1" applyFont="1" applyFill="1"/>
    <xf numFmtId="37" fontId="66" fillId="0" borderId="0" xfId="37" applyNumberFormat="1" applyFont="1" applyFill="1"/>
    <xf numFmtId="44" fontId="65" fillId="0" borderId="0" xfId="12" applyFont="1" applyFill="1"/>
    <xf numFmtId="0" fontId="65" fillId="0" borderId="0" xfId="18" applyFont="1" applyFill="1"/>
    <xf numFmtId="37" fontId="65" fillId="0" borderId="0" xfId="34" applyNumberFormat="1" applyFont="1" applyFill="1" applyBorder="1" applyAlignment="1">
      <alignment horizontal="center"/>
    </xf>
    <xf numFmtId="173" fontId="65" fillId="0" borderId="0" xfId="37" applyNumberFormat="1" applyFont="1" applyFill="1"/>
    <xf numFmtId="14" fontId="65" fillId="0" borderId="0" xfId="37" quotePrefix="1" applyNumberFormat="1" applyFont="1" applyFill="1" applyBorder="1" applyAlignment="1">
      <alignment horizontal="center"/>
    </xf>
    <xf numFmtId="37" fontId="65" fillId="0" borderId="0" xfId="37" applyNumberFormat="1" applyFont="1" applyFill="1" applyBorder="1"/>
    <xf numFmtId="37" fontId="65" fillId="0" borderId="0" xfId="37" applyNumberFormat="1" applyFont="1" applyFill="1" applyBorder="1" applyAlignment="1">
      <alignment horizontal="center"/>
    </xf>
    <xf numFmtId="37" fontId="65" fillId="0" borderId="0" xfId="37" applyNumberFormat="1" applyFont="1" applyFill="1" applyAlignment="1">
      <alignment horizontal="center"/>
    </xf>
    <xf numFmtId="190" fontId="65" fillId="0" borderId="0" xfId="12" applyNumberFormat="1" applyFont="1" applyFill="1" applyAlignment="1">
      <alignment horizontal="center"/>
    </xf>
    <xf numFmtId="37" fontId="67" fillId="0" borderId="0" xfId="37" applyNumberFormat="1" applyFont="1" applyFill="1" applyBorder="1" applyAlignment="1">
      <alignment horizontal="center"/>
    </xf>
    <xf numFmtId="44" fontId="65" fillId="0" borderId="0" xfId="12" applyFont="1" applyFill="1" applyAlignment="1">
      <alignment horizontal="center"/>
    </xf>
    <xf numFmtId="37" fontId="65" fillId="0" borderId="1" xfId="34" applyNumberFormat="1" applyFont="1" applyFill="1" applyBorder="1" applyAlignment="1">
      <alignment horizontal="center"/>
    </xf>
    <xf numFmtId="37" fontId="65" fillId="0" borderId="1" xfId="34" quotePrefix="1" applyNumberFormat="1" applyFont="1" applyFill="1" applyBorder="1" applyAlignment="1">
      <alignment horizontal="center"/>
    </xf>
    <xf numFmtId="37" fontId="65" fillId="0" borderId="0" xfId="34" applyNumberFormat="1" applyFont="1" applyFill="1" applyAlignment="1">
      <alignment horizontal="center"/>
    </xf>
    <xf numFmtId="168" fontId="65" fillId="0" borderId="5" xfId="7" applyNumberFormat="1" applyFont="1" applyFill="1" applyBorder="1"/>
    <xf numFmtId="0" fontId="65" fillId="0" borderId="0" xfId="18" applyFont="1" applyFill="1" applyBorder="1"/>
    <xf numFmtId="2" fontId="16" fillId="0" borderId="0" xfId="27" applyNumberFormat="1" applyFont="1" applyFill="1"/>
    <xf numFmtId="170" fontId="9" fillId="0" borderId="0" xfId="0" applyNumberFormat="1" applyFont="1" applyFill="1"/>
    <xf numFmtId="10" fontId="15" fillId="0" borderId="0" xfId="39" applyNumberFormat="1" applyFont="1" applyFill="1" applyBorder="1"/>
    <xf numFmtId="10" fontId="16" fillId="0" borderId="0" xfId="39" applyNumberFormat="1" applyFont="1"/>
    <xf numFmtId="37" fontId="45" fillId="0" borderId="0" xfId="0" applyNumberFormat="1" applyFont="1" applyFill="1"/>
    <xf numFmtId="41" fontId="16" fillId="0" borderId="0" xfId="31" applyNumberFormat="1" applyFont="1" applyFill="1" applyAlignment="1" applyProtection="1">
      <alignment horizontal="left"/>
      <protection locked="0"/>
    </xf>
    <xf numFmtId="37" fontId="16" fillId="0" borderId="0" xfId="31" applyNumberFormat="1" applyFont="1" applyFill="1"/>
    <xf numFmtId="37" fontId="16" fillId="0" borderId="0" xfId="31" applyNumberFormat="1" applyFont="1" applyFill="1" applyAlignment="1">
      <alignment horizontal="center"/>
    </xf>
    <xf numFmtId="37" fontId="16" fillId="0" borderId="5" xfId="31" applyNumberFormat="1" applyFont="1" applyFill="1" applyBorder="1"/>
    <xf numFmtId="171" fontId="16" fillId="0" borderId="0" xfId="31" applyNumberFormat="1" applyFont="1" applyFill="1"/>
    <xf numFmtId="10" fontId="16" fillId="0" borderId="1" xfId="31" applyNumberFormat="1" applyFont="1" applyFill="1" applyBorder="1"/>
    <xf numFmtId="37" fontId="16" fillId="0" borderId="1" xfId="31" applyNumberFormat="1" applyFont="1" applyFill="1" applyBorder="1"/>
    <xf numFmtId="37" fontId="16" fillId="0" borderId="26" xfId="31" applyNumberFormat="1" applyFont="1" applyFill="1" applyBorder="1"/>
    <xf numFmtId="10" fontId="16" fillId="0" borderId="26" xfId="31" applyNumberFormat="1" applyFont="1" applyFill="1" applyBorder="1"/>
    <xf numFmtId="10" fontId="16" fillId="0" borderId="5" xfId="31" applyNumberFormat="1" applyFont="1" applyFill="1" applyBorder="1"/>
    <xf numFmtId="170" fontId="16" fillId="0" borderId="0" xfId="31" applyNumberFormat="1" applyFont="1" applyFill="1" applyProtection="1">
      <protection locked="0"/>
    </xf>
    <xf numFmtId="168" fontId="65" fillId="0" borderId="5" xfId="5" applyNumberFormat="1" applyFont="1" applyFill="1" applyBorder="1"/>
    <xf numFmtId="39" fontId="16" fillId="0" borderId="0" xfId="29" applyNumberFormat="1" applyFont="1" applyFill="1"/>
    <xf numFmtId="14" fontId="65" fillId="0" borderId="0" xfId="37" applyNumberFormat="1" applyFont="1" applyFill="1" applyBorder="1"/>
    <xf numFmtId="168" fontId="29" fillId="0" borderId="0" xfId="0" applyNumberFormat="1" applyFont="1" applyFill="1" applyBorder="1"/>
    <xf numFmtId="168" fontId="29" fillId="0" borderId="0" xfId="0" applyNumberFormat="1" applyFont="1" applyBorder="1"/>
    <xf numFmtId="168" fontId="29" fillId="0" borderId="0" xfId="3" applyNumberFormat="1" applyFont="1" applyFill="1" applyBorder="1"/>
    <xf numFmtId="37" fontId="70" fillId="0" borderId="0" xfId="43" applyNumberFormat="1" applyFont="1" applyFill="1"/>
    <xf numFmtId="168" fontId="71" fillId="0" borderId="0" xfId="42" applyNumberFormat="1" applyFont="1" applyFill="1"/>
    <xf numFmtId="185" fontId="71" fillId="0" borderId="0" xfId="43" applyFont="1" applyFill="1"/>
    <xf numFmtId="192" fontId="71" fillId="0" borderId="0" xfId="42" applyNumberFormat="1" applyFont="1" applyFill="1"/>
    <xf numFmtId="169" fontId="71" fillId="0" borderId="0" xfId="42" applyNumberFormat="1" applyFont="1" applyFill="1"/>
    <xf numFmtId="168" fontId="71" fillId="0" borderId="0" xfId="42" applyNumberFormat="1" applyFont="1" applyFill="1" applyBorder="1"/>
    <xf numFmtId="185" fontId="72" fillId="0" borderId="0" xfId="41" applyFont="1" applyFill="1"/>
    <xf numFmtId="168" fontId="71" fillId="0" borderId="0" xfId="3" applyNumberFormat="1" applyFont="1" applyFill="1"/>
    <xf numFmtId="168" fontId="72" fillId="0" borderId="0" xfId="3" applyNumberFormat="1" applyFont="1" applyFill="1"/>
    <xf numFmtId="42" fontId="70" fillId="0" borderId="0" xfId="43" applyNumberFormat="1" applyFont="1" applyFill="1" applyAlignment="1">
      <alignment horizontal="right"/>
    </xf>
    <xf numFmtId="169" fontId="70" fillId="0" borderId="0" xfId="43" applyNumberFormat="1" applyFont="1" applyFill="1" applyAlignment="1">
      <alignment horizontal="right"/>
    </xf>
    <xf numFmtId="192" fontId="70" fillId="0" borderId="0" xfId="43" applyNumberFormat="1" applyFont="1" applyFill="1" applyBorder="1" applyAlignment="1">
      <alignment horizontal="right"/>
    </xf>
    <xf numFmtId="185" fontId="71" fillId="0" borderId="0" xfId="43" applyFont="1" applyFill="1" applyAlignment="1">
      <alignment horizontal="center"/>
    </xf>
    <xf numFmtId="185" fontId="70" fillId="0" borderId="0" xfId="43" applyFont="1" applyFill="1"/>
    <xf numFmtId="192" fontId="71" fillId="0" borderId="0" xfId="42" applyNumberFormat="1" applyFont="1" applyFill="1" applyBorder="1"/>
    <xf numFmtId="169" fontId="71" fillId="0" borderId="0" xfId="43" applyNumberFormat="1" applyFont="1" applyFill="1"/>
    <xf numFmtId="185" fontId="70" fillId="0" borderId="0" xfId="43" applyFont="1" applyFill="1" applyAlignment="1">
      <alignment horizontal="center"/>
    </xf>
    <xf numFmtId="169" fontId="71" fillId="0" borderId="0" xfId="45" applyNumberFormat="1" applyFont="1" applyFill="1" applyBorder="1" applyAlignment="1"/>
    <xf numFmtId="178" fontId="70" fillId="0" borderId="0" xfId="43" applyNumberFormat="1" applyFont="1" applyFill="1" applyAlignment="1">
      <alignment horizontal="left"/>
    </xf>
    <xf numFmtId="43" fontId="71" fillId="0" borderId="0" xfId="46" applyFont="1" applyFill="1"/>
    <xf numFmtId="185" fontId="71" fillId="0" borderId="0" xfId="43" applyFont="1" applyFill="1" applyAlignment="1">
      <alignment horizontal="left"/>
    </xf>
    <xf numFmtId="164" fontId="70" fillId="0" borderId="2" xfId="49" applyNumberFormat="1" applyFont="1" applyFill="1" applyBorder="1" applyAlignment="1">
      <alignment horizontal="center"/>
    </xf>
    <xf numFmtId="37" fontId="71" fillId="0" borderId="0" xfId="44" applyNumberFormat="1" applyFont="1" applyFill="1" applyAlignment="1"/>
    <xf numFmtId="37" fontId="71" fillId="0" borderId="0" xfId="44" applyNumberFormat="1" applyFont="1" applyFill="1" applyAlignment="1">
      <alignment horizontal="center"/>
    </xf>
    <xf numFmtId="185" fontId="71" fillId="0" borderId="0" xfId="43" applyFont="1" applyFill="1" applyBorder="1" applyAlignment="1">
      <alignment horizontal="center"/>
    </xf>
    <xf numFmtId="42" fontId="71" fillId="0" borderId="0" xfId="43" applyNumberFormat="1" applyFont="1" applyFill="1" applyBorder="1" applyAlignment="1">
      <alignment horizontal="center"/>
    </xf>
    <xf numFmtId="185" fontId="71" fillId="0" borderId="0" xfId="43" applyFont="1" applyFill="1" applyBorder="1"/>
    <xf numFmtId="168" fontId="71" fillId="0" borderId="1" xfId="42" applyNumberFormat="1" applyFont="1" applyFill="1" applyBorder="1" applyAlignment="1">
      <alignment horizontal="center" wrapText="1"/>
    </xf>
    <xf numFmtId="37" fontId="71" fillId="0" borderId="0" xfId="44" applyNumberFormat="1" applyFont="1" applyFill="1" applyBorder="1" applyAlignment="1">
      <alignment horizontal="center" wrapText="1"/>
    </xf>
    <xf numFmtId="168" fontId="71" fillId="0" borderId="0" xfId="42" applyNumberFormat="1" applyFont="1" applyFill="1" applyBorder="1" applyAlignment="1">
      <alignment horizontal="center" wrapText="1"/>
    </xf>
    <xf numFmtId="169" fontId="71" fillId="0" borderId="1" xfId="42" applyNumberFormat="1" applyFont="1" applyFill="1" applyBorder="1" applyAlignment="1">
      <alignment horizontal="center" wrapText="1"/>
    </xf>
    <xf numFmtId="168" fontId="72" fillId="0" borderId="0" xfId="42" applyNumberFormat="1" applyFont="1" applyFill="1"/>
    <xf numFmtId="168" fontId="71" fillId="0" borderId="0" xfId="3" applyNumberFormat="1" applyFont="1" applyFill="1" applyBorder="1" applyAlignment="1">
      <alignment horizontal="center" wrapText="1"/>
    </xf>
    <xf numFmtId="192" fontId="71" fillId="0" borderId="0" xfId="42" applyNumberFormat="1" applyFont="1" applyFill="1" applyBorder="1" applyAlignment="1">
      <alignment horizontal="center" wrapText="1"/>
    </xf>
    <xf numFmtId="169" fontId="71" fillId="0" borderId="1" xfId="44" applyNumberFormat="1" applyFont="1" applyFill="1" applyBorder="1" applyAlignment="1">
      <alignment horizontal="center" wrapText="1"/>
    </xf>
    <xf numFmtId="185" fontId="70" fillId="0" borderId="0" xfId="43" applyFont="1" applyFill="1" applyBorder="1" applyAlignment="1">
      <alignment horizontal="center"/>
    </xf>
    <xf numFmtId="42" fontId="70" fillId="0" borderId="0" xfId="43" applyNumberFormat="1" applyFont="1" applyFill="1" applyBorder="1" applyAlignment="1">
      <alignment horizontal="center"/>
    </xf>
    <xf numFmtId="185" fontId="70" fillId="0" borderId="0" xfId="43" applyFont="1" applyFill="1" applyBorder="1"/>
    <xf numFmtId="169" fontId="70" fillId="0" borderId="0" xfId="45" applyNumberFormat="1" applyFont="1" applyFill="1" applyAlignment="1"/>
    <xf numFmtId="168" fontId="70" fillId="0" borderId="0" xfId="46" applyNumberFormat="1" applyFont="1" applyFill="1" applyBorder="1" applyAlignment="1"/>
    <xf numFmtId="185" fontId="71" fillId="0" borderId="0" xfId="44" applyNumberFormat="1" applyFont="1" applyFill="1" applyBorder="1"/>
    <xf numFmtId="39" fontId="71" fillId="0" borderId="0" xfId="44" applyNumberFormat="1" applyFont="1" applyFill="1" applyBorder="1"/>
    <xf numFmtId="185" fontId="71" fillId="0" borderId="0" xfId="43" applyFont="1" applyFill="1" applyAlignment="1"/>
    <xf numFmtId="43" fontId="71" fillId="0" borderId="0" xfId="42" applyFont="1" applyFill="1" applyBorder="1"/>
    <xf numFmtId="42" fontId="70" fillId="0" borderId="11" xfId="43" applyNumberFormat="1" applyFont="1" applyFill="1" applyBorder="1" applyAlignment="1">
      <alignment horizontal="center"/>
    </xf>
    <xf numFmtId="185" fontId="70" fillId="0" borderId="0" xfId="44" applyNumberFormat="1" applyFont="1" applyFill="1" applyBorder="1"/>
    <xf numFmtId="39" fontId="70" fillId="0" borderId="0" xfId="44" applyNumberFormat="1" applyFont="1" applyFill="1" applyBorder="1"/>
    <xf numFmtId="39" fontId="70" fillId="0" borderId="0" xfId="44" applyNumberFormat="1" applyFont="1" applyFill="1" applyBorder="1" applyAlignment="1"/>
    <xf numFmtId="168" fontId="70" fillId="0" borderId="0" xfId="46" quotePrefix="1" applyNumberFormat="1" applyFont="1" applyFill="1" applyBorder="1" applyAlignment="1"/>
    <xf numFmtId="169" fontId="70" fillId="0" borderId="0" xfId="45" applyNumberFormat="1" applyFont="1" applyFill="1" applyBorder="1" applyAlignment="1"/>
    <xf numFmtId="185" fontId="71" fillId="0" borderId="0" xfId="44" applyNumberFormat="1" applyFont="1" applyFill="1" applyBorder="1" applyAlignment="1"/>
    <xf numFmtId="169" fontId="72" fillId="0" borderId="0" xfId="42" applyNumberFormat="1" applyFont="1" applyFill="1"/>
    <xf numFmtId="168" fontId="72" fillId="0" borderId="0" xfId="42" applyNumberFormat="1" applyFont="1" applyFill="1" applyBorder="1"/>
    <xf numFmtId="192" fontId="72" fillId="0" borderId="0" xfId="42" applyNumberFormat="1" applyFont="1" applyFill="1" applyBorder="1"/>
    <xf numFmtId="43" fontId="71" fillId="0" borderId="0" xfId="46" applyFont="1" applyFill="1" applyAlignment="1"/>
    <xf numFmtId="185" fontId="71" fillId="0" borderId="0" xfId="44" applyNumberFormat="1" applyFont="1" applyFill="1" applyBorder="1" applyAlignment="1">
      <alignment horizontal="left"/>
    </xf>
    <xf numFmtId="44" fontId="71" fillId="0" borderId="0" xfId="45" applyFont="1" applyFill="1" applyBorder="1" applyAlignment="1"/>
    <xf numFmtId="9" fontId="71" fillId="0" borderId="0" xfId="49" applyFont="1" applyFill="1" applyAlignment="1"/>
    <xf numFmtId="43" fontId="70" fillId="0" borderId="0" xfId="46" applyFont="1" applyFill="1" applyAlignment="1"/>
    <xf numFmtId="185" fontId="70" fillId="0" borderId="0" xfId="44" applyNumberFormat="1" applyFont="1" applyFill="1" applyBorder="1" applyAlignment="1">
      <alignment horizontal="left"/>
    </xf>
    <xf numFmtId="44" fontId="70" fillId="0" borderId="0" xfId="45" applyFont="1" applyFill="1" applyBorder="1" applyAlignment="1"/>
    <xf numFmtId="192" fontId="72" fillId="0" borderId="0" xfId="42" applyNumberFormat="1" applyFont="1" applyFill="1"/>
    <xf numFmtId="43" fontId="72" fillId="0" borderId="0" xfId="3" applyFont="1" applyFill="1"/>
    <xf numFmtId="169" fontId="71" fillId="0" borderId="0" xfId="45" applyNumberFormat="1" applyFont="1" applyFill="1" applyAlignment="1"/>
    <xf numFmtId="185" fontId="71" fillId="0" borderId="0" xfId="44" applyNumberFormat="1" applyFont="1" applyFill="1" applyBorder="1" applyAlignment="1">
      <alignment horizontal="left" indent="1"/>
    </xf>
    <xf numFmtId="37" fontId="71" fillId="0" borderId="0" xfId="44" applyNumberFormat="1" applyFont="1" applyFill="1" applyBorder="1"/>
    <xf numFmtId="37" fontId="71" fillId="0" borderId="0" xfId="44" applyNumberFormat="1" applyFont="1" applyFill="1" applyBorder="1" applyAlignment="1"/>
    <xf numFmtId="185" fontId="70" fillId="0" borderId="0" xfId="44" applyNumberFormat="1" applyFont="1" applyFill="1" applyBorder="1" applyAlignment="1">
      <alignment horizontal="left" indent="1"/>
    </xf>
    <xf numFmtId="37" fontId="70" fillId="0" borderId="0" xfId="44" applyNumberFormat="1" applyFont="1" applyFill="1" applyBorder="1"/>
    <xf numFmtId="37" fontId="70" fillId="0" borderId="0" xfId="44" applyNumberFormat="1" applyFont="1" applyFill="1" applyBorder="1" applyAlignment="1"/>
    <xf numFmtId="168" fontId="71" fillId="0" borderId="0" xfId="43" applyNumberFormat="1" applyFont="1" applyFill="1" applyAlignment="1">
      <alignment horizontal="center"/>
    </xf>
    <xf numFmtId="169" fontId="71" fillId="0" borderId="0" xfId="43" applyNumberFormat="1" applyFont="1" applyFill="1" applyAlignment="1">
      <alignment horizontal="center"/>
    </xf>
    <xf numFmtId="43" fontId="71" fillId="0" borderId="0" xfId="43" applyNumberFormat="1" applyFont="1" applyFill="1"/>
    <xf numFmtId="168" fontId="71" fillId="0" borderId="0" xfId="43" applyNumberFormat="1" applyFont="1" applyFill="1" applyBorder="1" applyAlignment="1">
      <alignment horizontal="center"/>
    </xf>
    <xf numFmtId="169" fontId="71" fillId="0" borderId="0" xfId="43" applyNumberFormat="1" applyFont="1" applyFill="1" applyBorder="1" applyAlignment="1">
      <alignment horizontal="center"/>
    </xf>
    <xf numFmtId="43" fontId="71" fillId="0" borderId="0" xfId="43" applyNumberFormat="1" applyFont="1" applyFill="1" applyBorder="1"/>
    <xf numFmtId="169" fontId="72" fillId="0" borderId="0" xfId="41" applyNumberFormat="1" applyFont="1" applyFill="1"/>
    <xf numFmtId="168" fontId="70" fillId="0" borderId="0" xfId="43" applyNumberFormat="1" applyFont="1" applyFill="1" applyAlignment="1">
      <alignment horizontal="center"/>
    </xf>
    <xf numFmtId="169" fontId="70" fillId="0" borderId="0" xfId="43" applyNumberFormat="1" applyFont="1" applyFill="1" applyAlignment="1">
      <alignment horizontal="center"/>
    </xf>
    <xf numFmtId="43" fontId="70" fillId="0" borderId="0" xfId="43" applyNumberFormat="1" applyFont="1" applyFill="1"/>
    <xf numFmtId="185" fontId="71" fillId="0" borderId="0" xfId="43" applyFont="1" applyFill="1" applyBorder="1" applyAlignment="1"/>
    <xf numFmtId="43" fontId="72" fillId="0" borderId="9" xfId="42" applyFont="1" applyFill="1" applyBorder="1" applyAlignment="1">
      <alignment horizontal="center"/>
    </xf>
    <xf numFmtId="168" fontId="71" fillId="0" borderId="11" xfId="43" applyNumberFormat="1" applyFont="1" applyFill="1" applyBorder="1" applyAlignment="1">
      <alignment horizontal="center"/>
    </xf>
    <xf numFmtId="185" fontId="72" fillId="0" borderId="0" xfId="41" applyFont="1" applyFill="1" applyAlignment="1">
      <alignment horizontal="center"/>
    </xf>
    <xf numFmtId="43" fontId="73" fillId="0" borderId="0" xfId="42" applyFont="1" applyFill="1" applyAlignment="1">
      <alignment horizontal="center"/>
    </xf>
    <xf numFmtId="10" fontId="72" fillId="0" borderId="0" xfId="39" applyNumberFormat="1" applyFont="1" applyFill="1"/>
    <xf numFmtId="168" fontId="72" fillId="0" borderId="9" xfId="42" applyNumberFormat="1" applyFont="1" applyFill="1" applyBorder="1" applyAlignment="1">
      <alignment horizontal="center"/>
    </xf>
    <xf numFmtId="168" fontId="45" fillId="0" borderId="0" xfId="3" applyNumberFormat="1" applyFont="1"/>
    <xf numFmtId="0" fontId="45" fillId="0" borderId="0" xfId="0" applyFont="1" applyFill="1" applyBorder="1"/>
    <xf numFmtId="0" fontId="61" fillId="0" borderId="0" xfId="0" applyFont="1" applyAlignment="1">
      <alignment horizontal="center"/>
    </xf>
    <xf numFmtId="0" fontId="74" fillId="0" borderId="0" xfId="0" applyFont="1"/>
    <xf numFmtId="41" fontId="45" fillId="0" borderId="0" xfId="0" applyNumberFormat="1" applyFont="1"/>
    <xf numFmtId="37" fontId="45" fillId="0" borderId="0" xfId="0" applyNumberFormat="1" applyFont="1"/>
    <xf numFmtId="168" fontId="45" fillId="0" borderId="0" xfId="0" applyNumberFormat="1" applyFont="1"/>
    <xf numFmtId="10" fontId="45" fillId="0" borderId="0" xfId="39" applyNumberFormat="1" applyFont="1"/>
    <xf numFmtId="185" fontId="45" fillId="0" borderId="0" xfId="25" applyNumberFormat="1" applyFont="1" applyFill="1" applyBorder="1"/>
    <xf numFmtId="185" fontId="45" fillId="0" borderId="0" xfId="25" applyFont="1" applyFill="1"/>
    <xf numFmtId="185" fontId="75" fillId="0" borderId="0" xfId="0" applyNumberFormat="1" applyFont="1" applyFill="1"/>
    <xf numFmtId="185" fontId="45" fillId="0" borderId="0" xfId="16" applyNumberFormat="1" applyFont="1" applyFill="1"/>
    <xf numFmtId="10" fontId="45" fillId="0" borderId="0" xfId="40" applyNumberFormat="1" applyFont="1" applyFill="1"/>
    <xf numFmtId="37" fontId="61" fillId="0" borderId="0" xfId="37" applyNumberFormat="1" applyFont="1" applyFill="1" applyAlignment="1">
      <alignment horizontal="right"/>
    </xf>
    <xf numFmtId="185" fontId="45" fillId="0" borderId="0" xfId="0" applyNumberFormat="1" applyFont="1"/>
    <xf numFmtId="37" fontId="61" fillId="0" borderId="0" xfId="37" applyNumberFormat="1" applyFont="1" applyFill="1" applyAlignment="1">
      <alignment horizontal="centerContinuous"/>
    </xf>
    <xf numFmtId="185" fontId="45" fillId="0" borderId="0" xfId="16" applyNumberFormat="1" applyFont="1" applyFill="1" applyAlignment="1">
      <alignment horizontal="centerContinuous"/>
    </xf>
    <xf numFmtId="168" fontId="45" fillId="0" borderId="0" xfId="5" applyNumberFormat="1" applyFont="1" applyFill="1" applyBorder="1" applyAlignment="1">
      <alignment horizontal="centerContinuous"/>
    </xf>
    <xf numFmtId="37" fontId="45" fillId="0" borderId="0" xfId="37" applyNumberFormat="1" applyFont="1" applyFill="1" applyAlignment="1">
      <alignment horizontal="centerContinuous"/>
    </xf>
    <xf numFmtId="173" fontId="45" fillId="0" borderId="0" xfId="37" applyNumberFormat="1" applyFont="1" applyFill="1" applyAlignment="1">
      <alignment horizontal="centerContinuous"/>
    </xf>
    <xf numFmtId="14" fontId="45" fillId="0" borderId="0" xfId="37" quotePrefix="1" applyNumberFormat="1" applyFont="1" applyFill="1" applyBorder="1" applyAlignment="1">
      <alignment horizontal="centerContinuous"/>
    </xf>
    <xf numFmtId="37" fontId="45" fillId="0" borderId="0" xfId="37" applyNumberFormat="1" applyFont="1" applyFill="1" applyBorder="1" applyAlignment="1">
      <alignment horizontal="centerContinuous"/>
    </xf>
    <xf numFmtId="168" fontId="45" fillId="0" borderId="0" xfId="5" applyNumberFormat="1" applyFont="1" applyFill="1" applyBorder="1" applyAlignment="1">
      <alignment horizontal="center"/>
    </xf>
    <xf numFmtId="14" fontId="45" fillId="0" borderId="0" xfId="37" quotePrefix="1" applyNumberFormat="1" applyFont="1" applyFill="1" applyBorder="1" applyAlignment="1">
      <alignment horizontal="center"/>
    </xf>
    <xf numFmtId="37" fontId="45" fillId="0" borderId="0" xfId="38" applyNumberFormat="1" applyFont="1" applyFill="1" applyAlignment="1">
      <alignment horizontal="center"/>
    </xf>
    <xf numFmtId="168" fontId="45" fillId="0" borderId="0" xfId="7" applyNumberFormat="1" applyFont="1" applyFill="1" applyBorder="1" applyAlignment="1">
      <alignment horizontal="center"/>
    </xf>
    <xf numFmtId="37" fontId="45" fillId="0" borderId="0" xfId="38" applyNumberFormat="1" applyFont="1" applyFill="1" applyBorder="1" applyAlignment="1">
      <alignment horizontal="center"/>
    </xf>
    <xf numFmtId="37" fontId="45" fillId="0" borderId="0" xfId="35" applyNumberFormat="1" applyFont="1" applyFill="1" applyBorder="1" applyAlignment="1">
      <alignment horizontal="center"/>
    </xf>
    <xf numFmtId="185" fontId="45" fillId="0" borderId="0" xfId="19" applyFont="1" applyFill="1"/>
    <xf numFmtId="14" fontId="45" fillId="0" borderId="0" xfId="38" applyNumberFormat="1" applyFont="1" applyFill="1" applyAlignment="1">
      <alignment horizontal="center"/>
    </xf>
    <xf numFmtId="185" fontId="45" fillId="0" borderId="0" xfId="0" applyNumberFormat="1" applyFont="1" applyFill="1"/>
    <xf numFmtId="37" fontId="45" fillId="0" borderId="0" xfId="38" applyNumberFormat="1" applyFont="1" applyFill="1"/>
    <xf numFmtId="168" fontId="45" fillId="0" borderId="0" xfId="7" applyNumberFormat="1" applyFont="1" applyFill="1" applyAlignment="1">
      <alignment horizontal="center"/>
    </xf>
    <xf numFmtId="185" fontId="61" fillId="0" borderId="1" xfId="0" applyNumberFormat="1" applyFont="1" applyFill="1" applyBorder="1"/>
    <xf numFmtId="185" fontId="45" fillId="0" borderId="1" xfId="19" applyFont="1" applyFill="1" applyBorder="1"/>
    <xf numFmtId="185" fontId="45" fillId="0" borderId="0" xfId="19" applyFont="1" applyFill="1" applyBorder="1"/>
    <xf numFmtId="168" fontId="45" fillId="0" borderId="1" xfId="7" applyNumberFormat="1" applyFont="1" applyFill="1" applyBorder="1" applyAlignment="1">
      <alignment horizontal="center"/>
    </xf>
    <xf numFmtId="185" fontId="45" fillId="0" borderId="0" xfId="0" applyNumberFormat="1" applyFont="1" applyFill="1" applyBorder="1" applyAlignment="1">
      <alignment horizontal="center"/>
    </xf>
    <xf numFmtId="185" fontId="45" fillId="0" borderId="0" xfId="0" applyNumberFormat="1" applyFont="1" applyFill="1" applyBorder="1"/>
    <xf numFmtId="185" fontId="45" fillId="0" borderId="0" xfId="0" applyNumberFormat="1" applyFont="1" applyFill="1" applyAlignment="1">
      <alignment horizontal="center"/>
    </xf>
    <xf numFmtId="168" fontId="45" fillId="0" borderId="0" xfId="5" applyNumberFormat="1" applyFont="1" applyFill="1" applyBorder="1" applyAlignment="1">
      <alignment horizontal="right"/>
    </xf>
    <xf numFmtId="185" fontId="45" fillId="0" borderId="0" xfId="0" applyNumberFormat="1" applyFont="1" applyBorder="1"/>
    <xf numFmtId="168" fontId="45" fillId="0" borderId="0" xfId="7" applyNumberFormat="1" applyFont="1" applyFill="1" applyBorder="1"/>
    <xf numFmtId="37" fontId="45" fillId="0" borderId="0" xfId="38" applyNumberFormat="1" applyFont="1" applyFill="1" applyBorder="1"/>
    <xf numFmtId="43" fontId="45" fillId="0" borderId="0" xfId="4" applyFont="1" applyFill="1" applyBorder="1"/>
    <xf numFmtId="185" fontId="45" fillId="0" borderId="0" xfId="25" applyFont="1" applyFill="1" applyBorder="1"/>
    <xf numFmtId="168" fontId="45" fillId="0" borderId="5" xfId="7" applyNumberFormat="1" applyFont="1" applyFill="1" applyBorder="1"/>
    <xf numFmtId="43" fontId="45" fillId="0" borderId="0" xfId="3" applyFont="1" applyFill="1"/>
    <xf numFmtId="168" fontId="45" fillId="0" borderId="3" xfId="5" applyNumberFormat="1" applyFont="1" applyFill="1" applyBorder="1"/>
    <xf numFmtId="10" fontId="45" fillId="0" borderId="0" xfId="39" applyNumberFormat="1" applyFont="1" applyFill="1"/>
    <xf numFmtId="0" fontId="15" fillId="0" borderId="0" xfId="0" applyFont="1" applyAlignment="1">
      <alignment horizontal="right"/>
    </xf>
    <xf numFmtId="0" fontId="16" fillId="0" borderId="1" xfId="0" applyFont="1" applyFill="1" applyBorder="1"/>
    <xf numFmtId="10" fontId="16" fillId="0" borderId="0" xfId="39" applyNumberFormat="1" applyFont="1" applyBorder="1" applyAlignment="1"/>
    <xf numFmtId="0" fontId="65" fillId="0" borderId="0" xfId="0" applyFont="1" applyAlignment="1">
      <alignment horizontal="justify"/>
    </xf>
    <xf numFmtId="0" fontId="15" fillId="0" borderId="0" xfId="0" applyFont="1" applyBorder="1"/>
    <xf numFmtId="168" fontId="16" fillId="0" borderId="1" xfId="0" applyNumberFormat="1" applyFont="1" applyBorder="1" applyAlignment="1">
      <alignment horizontal="center"/>
    </xf>
    <xf numFmtId="169" fontId="29" fillId="0" borderId="1" xfId="11" applyNumberFormat="1" applyFont="1" applyFill="1" applyBorder="1"/>
    <xf numFmtId="0" fontId="45" fillId="0" borderId="0" xfId="0" applyFont="1" applyFill="1" applyAlignment="1">
      <alignment horizontal="right"/>
    </xf>
    <xf numFmtId="166" fontId="16" fillId="0" borderId="0" xfId="0" applyNumberFormat="1" applyFont="1" applyAlignment="1">
      <alignment horizontal="right"/>
    </xf>
    <xf numFmtId="43" fontId="70" fillId="0" borderId="0" xfId="3" applyFont="1" applyFill="1" applyBorder="1" applyAlignment="1">
      <alignment horizontal="center"/>
    </xf>
    <xf numFmtId="169" fontId="71" fillId="0" borderId="0" xfId="42" applyNumberFormat="1" applyFont="1" applyFill="1" applyBorder="1" applyAlignment="1">
      <alignment horizontal="center" wrapText="1"/>
    </xf>
    <xf numFmtId="169" fontId="71" fillId="0" borderId="0" xfId="44" applyNumberFormat="1" applyFont="1" applyFill="1" applyBorder="1" applyAlignment="1">
      <alignment horizontal="center" wrapText="1"/>
    </xf>
    <xf numFmtId="166" fontId="45" fillId="0" borderId="0" xfId="0" applyNumberFormat="1" applyFont="1"/>
    <xf numFmtId="166" fontId="61" fillId="0" borderId="0" xfId="0" applyNumberFormat="1" applyFont="1" applyFill="1"/>
    <xf numFmtId="43" fontId="76" fillId="0" borderId="0" xfId="3" applyFont="1" applyAlignment="1">
      <alignment horizontal="center"/>
    </xf>
    <xf numFmtId="166" fontId="45" fillId="0" borderId="0" xfId="0" applyNumberFormat="1" applyFont="1" applyFill="1"/>
    <xf numFmtId="166" fontId="45" fillId="0" borderId="0" xfId="0" applyNumberFormat="1" applyFont="1" applyFill="1" applyAlignment="1">
      <alignment horizontal="center"/>
    </xf>
    <xf numFmtId="166" fontId="45" fillId="0" borderId="0" xfId="0" applyNumberFormat="1" applyFont="1" applyAlignment="1">
      <alignment horizontal="center"/>
    </xf>
    <xf numFmtId="166" fontId="77" fillId="0" borderId="0" xfId="0" applyNumberFormat="1" applyFont="1"/>
    <xf numFmtId="168" fontId="45" fillId="0" borderId="0" xfId="3" applyNumberFormat="1" applyFont="1" applyFill="1" applyAlignment="1">
      <alignment horizontal="fill"/>
    </xf>
    <xf numFmtId="168" fontId="45" fillId="0" borderId="0" xfId="3" applyNumberFormat="1" applyFont="1" applyFill="1"/>
    <xf numFmtId="43" fontId="45" fillId="0" borderId="0" xfId="3" applyFont="1"/>
    <xf numFmtId="43" fontId="45" fillId="0" borderId="0" xfId="0" applyNumberFormat="1" applyFont="1"/>
    <xf numFmtId="166" fontId="45" fillId="0" borderId="0" xfId="0" applyNumberFormat="1" applyFont="1" applyFill="1" applyAlignment="1">
      <alignment horizontal="fill"/>
    </xf>
    <xf numFmtId="166" fontId="45" fillId="0" borderId="1" xfId="0" applyNumberFormat="1" applyFont="1" applyFill="1" applyBorder="1"/>
    <xf numFmtId="166" fontId="45" fillId="0" borderId="1" xfId="0" applyNumberFormat="1" applyFont="1" applyBorder="1"/>
    <xf numFmtId="43" fontId="45" fillId="0" borderId="0" xfId="3" applyFont="1" applyFill="1" applyAlignment="1">
      <alignment horizontal="fill"/>
    </xf>
    <xf numFmtId="43" fontId="45" fillId="0" borderId="0" xfId="3" applyFont="1" applyFill="1" applyAlignment="1">
      <alignment horizontal="right"/>
    </xf>
    <xf numFmtId="168" fontId="45" fillId="0" borderId="5" xfId="3" applyNumberFormat="1" applyFont="1" applyFill="1" applyBorder="1" applyAlignment="1">
      <alignment horizontal="right"/>
    </xf>
    <xf numFmtId="166" fontId="45" fillId="0" borderId="5" xfId="0" applyNumberFormat="1" applyFont="1" applyFill="1" applyBorder="1" applyAlignment="1">
      <alignment horizontal="right"/>
    </xf>
    <xf numFmtId="166" fontId="45" fillId="0" borderId="5" xfId="0" applyNumberFormat="1" applyFont="1" applyBorder="1" applyAlignment="1">
      <alignment horizontal="right"/>
    </xf>
    <xf numFmtId="166" fontId="45" fillId="0" borderId="0" xfId="0" applyNumberFormat="1" applyFont="1" applyBorder="1" applyAlignment="1">
      <alignment horizontal="right"/>
    </xf>
    <xf numFmtId="43" fontId="45" fillId="0" borderId="0" xfId="0" applyNumberFormat="1" applyFont="1" applyBorder="1"/>
    <xf numFmtId="166" fontId="45" fillId="0" borderId="0" xfId="0" applyNumberFormat="1" applyFont="1" applyAlignment="1">
      <alignment horizontal="right"/>
    </xf>
    <xf numFmtId="166" fontId="78" fillId="0" borderId="0" xfId="0" applyNumberFormat="1" applyFont="1" applyFill="1"/>
    <xf numFmtId="166" fontId="75" fillId="0" borderId="0" xfId="0" applyNumberFormat="1" applyFont="1" applyFill="1"/>
    <xf numFmtId="168" fontId="75" fillId="0" borderId="0" xfId="3" applyNumberFormat="1" applyFont="1" applyFill="1"/>
    <xf numFmtId="168" fontId="78" fillId="0" borderId="0" xfId="3" applyNumberFormat="1" applyFont="1" applyFill="1" applyAlignment="1">
      <alignment horizontal="right"/>
    </xf>
    <xf numFmtId="43" fontId="75" fillId="0" borderId="0" xfId="3" applyFont="1" applyFill="1"/>
    <xf numFmtId="9" fontId="75" fillId="0" borderId="0" xfId="39" applyFont="1" applyFill="1"/>
    <xf numFmtId="44" fontId="75" fillId="0" borderId="0" xfId="11" applyFont="1" applyFill="1"/>
    <xf numFmtId="166" fontId="75" fillId="0" borderId="0" xfId="0" applyNumberFormat="1" applyFont="1" applyFill="1" applyAlignment="1">
      <alignment horizontal="center"/>
    </xf>
    <xf numFmtId="168" fontId="75" fillId="0" borderId="0" xfId="3" applyNumberFormat="1" applyFont="1" applyFill="1" applyAlignment="1">
      <alignment horizontal="center"/>
    </xf>
    <xf numFmtId="168" fontId="75" fillId="0" borderId="1" xfId="3" applyNumberFormat="1" applyFont="1" applyFill="1" applyBorder="1" applyAlignment="1">
      <alignment horizontal="center"/>
    </xf>
    <xf numFmtId="166" fontId="75" fillId="0" borderId="1" xfId="0" applyNumberFormat="1" applyFont="1" applyFill="1" applyBorder="1"/>
    <xf numFmtId="166" fontId="75" fillId="0" borderId="0" xfId="0" applyNumberFormat="1" applyFont="1" applyFill="1" applyAlignment="1">
      <alignment horizontal="right"/>
    </xf>
    <xf numFmtId="166" fontId="75" fillId="0" borderId="0" xfId="0" applyNumberFormat="1" applyFont="1" applyFill="1" applyAlignment="1">
      <alignment horizontal="left"/>
    </xf>
    <xf numFmtId="43" fontId="75" fillId="7" borderId="0" xfId="3" applyFont="1" applyFill="1"/>
    <xf numFmtId="168" fontId="75" fillId="0" borderId="6" xfId="3" applyNumberFormat="1" applyFont="1" applyFill="1" applyBorder="1"/>
    <xf numFmtId="168" fontId="75" fillId="0" borderId="1" xfId="3" applyNumberFormat="1" applyFont="1" applyFill="1" applyBorder="1"/>
    <xf numFmtId="166" fontId="75" fillId="0" borderId="0" xfId="0" applyNumberFormat="1" applyFont="1" applyFill="1" applyBorder="1"/>
    <xf numFmtId="168" fontId="75" fillId="0" borderId="0" xfId="3" applyNumberFormat="1" applyFont="1" applyFill="1" applyAlignment="1">
      <alignment horizontal="fill"/>
    </xf>
    <xf numFmtId="168" fontId="78" fillId="0" borderId="0" xfId="3" applyNumberFormat="1" applyFont="1" applyFill="1"/>
    <xf numFmtId="168" fontId="75" fillId="0" borderId="5" xfId="3" applyNumberFormat="1" applyFont="1" applyFill="1" applyBorder="1"/>
    <xf numFmtId="10" fontId="75" fillId="0" borderId="9" xfId="39" applyNumberFormat="1" applyFont="1" applyFill="1" applyBorder="1"/>
    <xf numFmtId="43" fontId="75" fillId="0" borderId="2" xfId="3" applyFont="1" applyFill="1" applyBorder="1"/>
    <xf numFmtId="168" fontId="75" fillId="0" borderId="0" xfId="3" applyNumberFormat="1" applyFont="1" applyFill="1" applyBorder="1"/>
    <xf numFmtId="10" fontId="75" fillId="0" borderId="0" xfId="39" applyNumberFormat="1" applyFont="1" applyFill="1" applyBorder="1"/>
    <xf numFmtId="168" fontId="75" fillId="0" borderId="0" xfId="0" applyNumberFormat="1" applyFont="1" applyFill="1"/>
    <xf numFmtId="168" fontId="75" fillId="0" borderId="0" xfId="3" applyNumberFormat="1" applyFont="1" applyFill="1" applyAlignment="1">
      <alignment horizontal="right"/>
    </xf>
    <xf numFmtId="10" fontId="75" fillId="0" borderId="0" xfId="0" applyNumberFormat="1" applyFont="1" applyFill="1"/>
    <xf numFmtId="42" fontId="75" fillId="0" borderId="0" xfId="0" applyNumberFormat="1" applyFont="1" applyFill="1" applyAlignment="1">
      <alignment horizontal="right"/>
    </xf>
    <xf numFmtId="185" fontId="61" fillId="0" borderId="0" xfId="0" applyNumberFormat="1" applyFont="1"/>
    <xf numFmtId="41" fontId="45" fillId="0" borderId="0" xfId="11" applyNumberFormat="1" applyFont="1"/>
    <xf numFmtId="41" fontId="45" fillId="0" borderId="1" xfId="0" applyNumberFormat="1" applyFont="1" applyBorder="1"/>
    <xf numFmtId="9" fontId="45" fillId="0" borderId="3" xfId="39" applyNumberFormat="1" applyFont="1" applyBorder="1"/>
    <xf numFmtId="41" fontId="45" fillId="0" borderId="6" xfId="0" applyNumberFormat="1" applyFont="1" applyBorder="1"/>
    <xf numFmtId="167" fontId="45" fillId="0" borderId="6" xfId="39" applyNumberFormat="1" applyFont="1" applyBorder="1"/>
    <xf numFmtId="167" fontId="45" fillId="0" borderId="0" xfId="39" applyNumberFormat="1" applyFont="1" applyBorder="1"/>
    <xf numFmtId="185" fontId="45" fillId="0" borderId="0" xfId="0" applyNumberFormat="1" applyFont="1" applyAlignment="1">
      <alignment wrapText="1"/>
    </xf>
    <xf numFmtId="41" fontId="45" fillId="0" borderId="3" xfId="0" applyNumberFormat="1" applyFont="1" applyBorder="1"/>
    <xf numFmtId="168" fontId="45" fillId="0" borderId="0" xfId="3" applyNumberFormat="1" applyFont="1" applyBorder="1"/>
    <xf numFmtId="168" fontId="45" fillId="0" borderId="0" xfId="3" applyNumberFormat="1" applyFont="1" applyBorder="1" applyAlignment="1">
      <alignment horizontal="center"/>
    </xf>
    <xf numFmtId="185" fontId="45" fillId="0" borderId="0" xfId="0" applyNumberFormat="1" applyFont="1" applyBorder="1" applyAlignment="1">
      <alignment horizontal="center"/>
    </xf>
    <xf numFmtId="185" fontId="45" fillId="0" borderId="0" xfId="0" applyNumberFormat="1" applyFont="1" applyBorder="1" applyAlignment="1">
      <alignment horizontal="left"/>
    </xf>
    <xf numFmtId="187" fontId="45" fillId="0" borderId="0" xfId="3" applyNumberFormat="1" applyFont="1" applyBorder="1"/>
    <xf numFmtId="43" fontId="45" fillId="0" borderId="0" xfId="11" applyNumberFormat="1" applyFont="1" applyBorder="1"/>
    <xf numFmtId="188" fontId="45" fillId="0" borderId="0" xfId="3" applyNumberFormat="1" applyFont="1" applyBorder="1"/>
    <xf numFmtId="185" fontId="61" fillId="0" borderId="0" xfId="0" applyNumberFormat="1" applyFont="1" applyBorder="1"/>
    <xf numFmtId="43" fontId="45" fillId="0" borderId="0" xfId="39" applyNumberFormat="1" applyFont="1" applyBorder="1"/>
    <xf numFmtId="10" fontId="45" fillId="0" borderId="0" xfId="39" applyNumberFormat="1" applyFont="1" applyBorder="1"/>
    <xf numFmtId="42" fontId="16" fillId="0" borderId="0" xfId="0" applyNumberFormat="1" applyFont="1" applyBorder="1"/>
    <xf numFmtId="169" fontId="16" fillId="0" borderId="0" xfId="11" applyNumberFormat="1" applyFont="1" applyBorder="1"/>
    <xf numFmtId="42" fontId="16" fillId="0" borderId="26" xfId="0" applyNumberFormat="1" applyFont="1" applyBorder="1"/>
    <xf numFmtId="0" fontId="61" fillId="0" borderId="0" xfId="0" applyFont="1"/>
    <xf numFmtId="0" fontId="15" fillId="0" borderId="1" xfId="29" applyFont="1" applyBorder="1" applyAlignment="1">
      <alignment horizontal="center" wrapText="1"/>
    </xf>
    <xf numFmtId="43" fontId="15" fillId="0" borderId="1" xfId="3" applyFont="1" applyBorder="1" applyAlignment="1">
      <alignment horizontal="center" wrapText="1"/>
    </xf>
    <xf numFmtId="37" fontId="15" fillId="3" borderId="38" xfId="32" applyNumberFormat="1" applyFont="1" applyFill="1" applyBorder="1" applyAlignment="1">
      <alignment horizontal="center"/>
    </xf>
    <xf numFmtId="166" fontId="61" fillId="0" borderId="0" xfId="0" applyNumberFormat="1" applyFont="1" applyAlignment="1">
      <alignment horizontal="center"/>
    </xf>
    <xf numFmtId="166" fontId="61" fillId="0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right"/>
    </xf>
    <xf numFmtId="37" fontId="61" fillId="0" borderId="0" xfId="34" applyNumberFormat="1" applyFont="1" applyFill="1" applyBorder="1" applyAlignment="1">
      <alignment horizontal="center"/>
    </xf>
    <xf numFmtId="37" fontId="61" fillId="0" borderId="0" xfId="37" applyNumberFormat="1" applyFont="1" applyFill="1" applyAlignment="1">
      <alignment horizontal="center"/>
    </xf>
    <xf numFmtId="37" fontId="61" fillId="0" borderId="0" xfId="37" applyNumberFormat="1" applyFont="1" applyFill="1" applyBorder="1" applyAlignment="1">
      <alignment horizontal="center"/>
    </xf>
    <xf numFmtId="37" fontId="61" fillId="0" borderId="1" xfId="34" applyNumberFormat="1" applyFont="1" applyFill="1" applyBorder="1" applyAlignment="1">
      <alignment horizontal="center"/>
    </xf>
    <xf numFmtId="37" fontId="61" fillId="0" borderId="1" xfId="37" applyNumberFormat="1" applyFont="1" applyFill="1" applyBorder="1" applyAlignment="1">
      <alignment horizontal="center"/>
    </xf>
    <xf numFmtId="0" fontId="61" fillId="0" borderId="0" xfId="0" applyFont="1" applyFill="1" applyAlignment="1">
      <alignment horizontal="right"/>
    </xf>
    <xf numFmtId="37" fontId="16" fillId="0" borderId="3" xfId="36" applyNumberFormat="1" applyFont="1" applyFill="1" applyBorder="1"/>
    <xf numFmtId="166" fontId="61" fillId="0" borderId="0" xfId="0" applyNumberFormat="1" applyFont="1" applyFill="1" applyAlignment="1">
      <alignment horizontal="right"/>
    </xf>
    <xf numFmtId="168" fontId="61" fillId="0" borderId="0" xfId="3" applyNumberFormat="1" applyFont="1" applyAlignment="1">
      <alignment horizontal="right"/>
    </xf>
    <xf numFmtId="168" fontId="79" fillId="0" borderId="0" xfId="3" applyNumberFormat="1" applyFont="1" applyFill="1"/>
    <xf numFmtId="168" fontId="79" fillId="0" borderId="0" xfId="3" applyNumberFormat="1" applyFont="1" applyFill="1" applyAlignment="1">
      <alignment horizontal="fill"/>
    </xf>
    <xf numFmtId="169" fontId="29" fillId="0" borderId="3" xfId="11" applyNumberFormat="1" applyFont="1" applyFill="1" applyBorder="1"/>
    <xf numFmtId="44" fontId="16" fillId="0" borderId="0" xfId="0" applyNumberFormat="1" applyFont="1" applyBorder="1"/>
    <xf numFmtId="0" fontId="61" fillId="0" borderId="0" xfId="0" applyFont="1" applyFill="1"/>
    <xf numFmtId="168" fontId="71" fillId="0" borderId="1" xfId="3" applyNumberFormat="1" applyFont="1" applyFill="1" applyBorder="1" applyAlignment="1">
      <alignment horizontal="center" wrapText="1"/>
    </xf>
    <xf numFmtId="9" fontId="70" fillId="0" borderId="0" xfId="39" applyFont="1" applyFill="1" applyAlignment="1"/>
    <xf numFmtId="43" fontId="71" fillId="0" borderId="0" xfId="3" applyFont="1" applyFill="1" applyAlignment="1">
      <alignment horizontal="center"/>
    </xf>
    <xf numFmtId="43" fontId="71" fillId="0" borderId="0" xfId="3" applyFont="1" applyFill="1" applyBorder="1" applyAlignment="1">
      <alignment horizontal="center"/>
    </xf>
    <xf numFmtId="43" fontId="73" fillId="0" borderId="0" xfId="3" applyFont="1" applyFill="1"/>
    <xf numFmtId="43" fontId="71" fillId="0" borderId="1" xfId="3" applyFont="1" applyFill="1" applyBorder="1" applyAlignment="1">
      <alignment horizontal="center"/>
    </xf>
    <xf numFmtId="43" fontId="70" fillId="0" borderId="9" xfId="3" applyFont="1" applyFill="1" applyBorder="1" applyAlignment="1">
      <alignment horizontal="center"/>
    </xf>
    <xf numFmtId="43" fontId="71" fillId="0" borderId="0" xfId="39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176" fontId="15" fillId="0" borderId="2" xfId="0" applyNumberFormat="1" applyFont="1" applyBorder="1"/>
    <xf numFmtId="10" fontId="0" fillId="0" borderId="0" xfId="39" applyNumberFormat="1" applyFont="1"/>
    <xf numFmtId="0" fontId="0" fillId="0" borderId="0" xfId="0" applyNumberFormat="1"/>
    <xf numFmtId="9" fontId="0" fillId="0" borderId="0" xfId="39" applyFont="1"/>
    <xf numFmtId="167" fontId="0" fillId="0" borderId="0" xfId="39" applyNumberFormat="1" applyFont="1"/>
    <xf numFmtId="0" fontId="0" fillId="0" borderId="0" xfId="0" pivotButton="1"/>
    <xf numFmtId="0" fontId="0" fillId="7" borderId="0" xfId="0" applyNumberFormat="1" applyFill="1"/>
    <xf numFmtId="43" fontId="52" fillId="0" borderId="0" xfId="0" applyNumberFormat="1" applyFont="1" applyFill="1"/>
    <xf numFmtId="41" fontId="52" fillId="0" borderId="0" xfId="0" applyNumberFormat="1" applyFont="1" applyFill="1"/>
    <xf numFmtId="185" fontId="27" fillId="0" borderId="1" xfId="3" applyNumberFormat="1" applyFont="1" applyFill="1" applyBorder="1" applyAlignment="1">
      <alignment horizontal="left" vertical="center" wrapText="1"/>
    </xf>
    <xf numFmtId="185" fontId="27" fillId="0" borderId="1" xfId="3" applyNumberFormat="1" applyFont="1" applyFill="1" applyBorder="1" applyAlignment="1">
      <alignment vertical="center" wrapText="1"/>
    </xf>
    <xf numFmtId="175" fontId="27" fillId="0" borderId="28" xfId="0" applyNumberFormat="1" applyFont="1" applyFill="1" applyBorder="1" applyAlignment="1">
      <alignment horizontal="center" vertical="center" wrapText="1"/>
    </xf>
    <xf numFmtId="175" fontId="27" fillId="0" borderId="1" xfId="0" applyNumberFormat="1" applyFont="1" applyFill="1" applyBorder="1" applyAlignment="1">
      <alignment horizontal="center" vertical="center" wrapText="1"/>
    </xf>
    <xf numFmtId="43" fontId="27" fillId="0" borderId="34" xfId="3" applyFont="1" applyFill="1" applyBorder="1" applyAlignment="1">
      <alignment horizontal="center" vertical="center" wrapText="1"/>
    </xf>
    <xf numFmtId="43" fontId="75" fillId="0" borderId="0" xfId="3" applyFont="1" applyFill="1" applyBorder="1"/>
    <xf numFmtId="10" fontId="75" fillId="0" borderId="2" xfId="39" applyNumberFormat="1" applyFont="1" applyFill="1" applyBorder="1"/>
    <xf numFmtId="43" fontId="27" fillId="0" borderId="15" xfId="3" applyNumberFormat="1" applyFont="1" applyFill="1" applyBorder="1" applyAlignment="1"/>
    <xf numFmtId="167" fontId="16" fillId="0" borderId="0" xfId="39" applyNumberFormat="1" applyFont="1"/>
    <xf numFmtId="174" fontId="45" fillId="0" borderId="0" xfId="38" applyNumberFormat="1" applyFont="1" applyFill="1" applyBorder="1" applyAlignment="1">
      <alignment horizontal="center"/>
    </xf>
    <xf numFmtId="37" fontId="61" fillId="0" borderId="0" xfId="38" applyNumberFormat="1" applyFont="1" applyFill="1" applyBorder="1" applyAlignment="1">
      <alignment horizontal="center"/>
    </xf>
    <xf numFmtId="37" fontId="61" fillId="0" borderId="0" xfId="35" applyNumberFormat="1" applyFont="1" applyFill="1" applyBorder="1" applyAlignment="1">
      <alignment horizontal="center"/>
    </xf>
    <xf numFmtId="185" fontId="61" fillId="0" borderId="0" xfId="25" applyFont="1" applyFill="1" applyAlignment="1">
      <alignment horizontal="center"/>
    </xf>
    <xf numFmtId="0" fontId="61" fillId="0" borderId="0" xfId="0" applyFont="1" applyFill="1" applyAlignment="1">
      <alignment horizontal="center"/>
    </xf>
    <xf numFmtId="37" fontId="61" fillId="0" borderId="0" xfId="38" applyNumberFormat="1" applyFont="1" applyFill="1" applyAlignment="1">
      <alignment horizontal="center"/>
    </xf>
    <xf numFmtId="37" fontId="61" fillId="0" borderId="0" xfId="38" quotePrefix="1" applyNumberFormat="1" applyFont="1" applyFill="1" applyAlignment="1">
      <alignment horizontal="center"/>
    </xf>
    <xf numFmtId="37" fontId="61" fillId="0" borderId="0" xfId="35" applyNumberFormat="1" applyFont="1" applyFill="1" applyAlignment="1">
      <alignment horizontal="center"/>
    </xf>
    <xf numFmtId="14" fontId="61" fillId="0" borderId="0" xfId="38" applyNumberFormat="1" applyFont="1" applyFill="1" applyAlignment="1">
      <alignment horizontal="center"/>
    </xf>
    <xf numFmtId="185" fontId="61" fillId="0" borderId="0" xfId="25" applyFont="1" applyFill="1"/>
    <xf numFmtId="168" fontId="61" fillId="0" borderId="0" xfId="5" applyNumberFormat="1" applyFont="1" applyFill="1" applyBorder="1" applyAlignment="1">
      <alignment horizontal="center"/>
    </xf>
    <xf numFmtId="168" fontId="61" fillId="0" borderId="0" xfId="5" applyNumberFormat="1" applyFont="1" applyFill="1" applyAlignment="1">
      <alignment horizontal="center"/>
    </xf>
    <xf numFmtId="37" fontId="61" fillId="0" borderId="1" xfId="38" applyNumberFormat="1" applyFont="1" applyFill="1" applyBorder="1" applyAlignment="1">
      <alignment horizontal="center"/>
    </xf>
    <xf numFmtId="168" fontId="61" fillId="0" borderId="1" xfId="5" applyNumberFormat="1" applyFont="1" applyFill="1" applyBorder="1" applyAlignment="1">
      <alignment horizontal="center"/>
    </xf>
    <xf numFmtId="168" fontId="45" fillId="0" borderId="0" xfId="4" applyNumberFormat="1" applyFont="1" applyFill="1" applyBorder="1"/>
    <xf numFmtId="14" fontId="45" fillId="0" borderId="0" xfId="25" applyNumberFormat="1" applyFont="1" applyFill="1" applyBorder="1"/>
    <xf numFmtId="43" fontId="52" fillId="0" borderId="0" xfId="51" applyNumberFormat="1" applyFont="1" applyFill="1"/>
    <xf numFmtId="1" fontId="80" fillId="0" borderId="0" xfId="52" applyNumberFormat="1" applyFont="1" applyFill="1"/>
    <xf numFmtId="1" fontId="52" fillId="0" borderId="0" xfId="53" applyNumberFormat="1" applyFont="1" applyFill="1" applyBorder="1"/>
    <xf numFmtId="1" fontId="52" fillId="0" borderId="0" xfId="54" applyNumberFormat="1" applyFont="1" applyFill="1" applyBorder="1"/>
    <xf numFmtId="1" fontId="52" fillId="0" borderId="0" xfId="55" applyNumberFormat="1" applyFont="1" applyFill="1"/>
    <xf numFmtId="43" fontId="45" fillId="0" borderId="0" xfId="4" applyFont="1" applyFill="1"/>
    <xf numFmtId="9" fontId="18" fillId="2" borderId="0" xfId="39" applyNumberFormat="1" applyFont="1" applyFill="1" applyBorder="1" applyAlignment="1">
      <alignment horizontal="center"/>
    </xf>
    <xf numFmtId="39" fontId="16" fillId="0" borderId="0" xfId="37" applyNumberFormat="1" applyFont="1" applyFill="1"/>
    <xf numFmtId="37" fontId="61" fillId="0" borderId="0" xfId="38" applyNumberFormat="1" applyFont="1" applyFill="1" applyAlignment="1">
      <alignment horizontal="left"/>
    </xf>
    <xf numFmtId="42" fontId="70" fillId="0" borderId="0" xfId="42" applyNumberFormat="1" applyFont="1" applyFill="1" applyAlignment="1"/>
    <xf numFmtId="42" fontId="70" fillId="0" borderId="3" xfId="42" quotePrefix="1" applyNumberFormat="1" applyFont="1" applyFill="1" applyBorder="1" applyAlignment="1"/>
    <xf numFmtId="192" fontId="71" fillId="0" borderId="1" xfId="42" applyNumberFormat="1" applyFont="1" applyFill="1" applyBorder="1" applyAlignment="1">
      <alignment horizontal="center" wrapText="1"/>
    </xf>
    <xf numFmtId="39" fontId="71" fillId="0" borderId="0" xfId="44" applyNumberFormat="1" applyFont="1" applyFill="1" applyBorder="1" applyAlignment="1"/>
    <xf numFmtId="169" fontId="71" fillId="0" borderId="0" xfId="44" applyNumberFormat="1" applyFont="1" applyFill="1" applyAlignment="1"/>
    <xf numFmtId="168" fontId="71" fillId="0" borderId="0" xfId="46" applyNumberFormat="1" applyFont="1" applyFill="1" applyBorder="1" applyAlignment="1"/>
    <xf numFmtId="39" fontId="70" fillId="0" borderId="0" xfId="44" applyNumberFormat="1" applyFont="1" applyFill="1" applyAlignment="1">
      <alignment horizontal="center"/>
    </xf>
    <xf numFmtId="168" fontId="70" fillId="0" borderId="0" xfId="42" applyNumberFormat="1" applyFont="1" applyFill="1" applyAlignment="1"/>
    <xf numFmtId="39" fontId="70" fillId="0" borderId="0" xfId="44" applyNumberFormat="1" applyFont="1" applyFill="1" applyAlignment="1"/>
    <xf numFmtId="169" fontId="70" fillId="0" borderId="0" xfId="42" applyNumberFormat="1" applyFont="1" applyFill="1" applyAlignment="1"/>
    <xf numFmtId="168" fontId="70" fillId="0" borderId="0" xfId="42" applyNumberFormat="1" applyFont="1" applyFill="1" applyBorder="1" applyAlignment="1"/>
    <xf numFmtId="168" fontId="70" fillId="0" borderId="0" xfId="5" applyNumberFormat="1" applyFont="1" applyFill="1" applyAlignment="1"/>
    <xf numFmtId="192" fontId="70" fillId="0" borderId="0" xfId="42" applyNumberFormat="1" applyFont="1" applyFill="1" applyBorder="1" applyAlignment="1"/>
    <xf numFmtId="169" fontId="70" fillId="0" borderId="0" xfId="44" applyNumberFormat="1" applyFont="1" applyFill="1" applyAlignment="1"/>
    <xf numFmtId="39" fontId="70" fillId="0" borderId="0" xfId="44" applyNumberFormat="1" applyFont="1" applyFill="1"/>
    <xf numFmtId="168" fontId="70" fillId="0" borderId="0" xfId="42" quotePrefix="1" applyNumberFormat="1" applyFont="1" applyFill="1" applyAlignment="1"/>
    <xf numFmtId="44" fontId="70" fillId="0" borderId="0" xfId="63" quotePrefix="1" applyFont="1" applyFill="1" applyAlignment="1"/>
    <xf numFmtId="39" fontId="71" fillId="0" borderId="0" xfId="44" applyNumberFormat="1" applyFont="1" applyFill="1"/>
    <xf numFmtId="168" fontId="71" fillId="0" borderId="0" xfId="5" applyNumberFormat="1" applyFont="1" applyFill="1" applyBorder="1" applyAlignment="1"/>
    <xf numFmtId="43" fontId="71" fillId="0" borderId="0" xfId="5" applyNumberFormat="1" applyFont="1" applyFill="1" applyAlignment="1"/>
    <xf numFmtId="185" fontId="70" fillId="0" borderId="0" xfId="44" applyNumberFormat="1" applyFont="1" applyFill="1" applyAlignment="1">
      <alignment horizontal="left" indent="2"/>
    </xf>
    <xf numFmtId="185" fontId="73" fillId="0" borderId="0" xfId="41" applyFont="1" applyFill="1"/>
    <xf numFmtId="185" fontId="70" fillId="0" borderId="0" xfId="44" applyNumberFormat="1" applyFont="1" applyFill="1" applyAlignment="1">
      <alignment horizontal="left" indent="3"/>
    </xf>
    <xf numFmtId="169" fontId="70" fillId="0" borderId="0" xfId="65" applyNumberFormat="1" applyFont="1" applyFill="1" applyBorder="1" applyAlignment="1"/>
    <xf numFmtId="168" fontId="71" fillId="0" borderId="0" xfId="46" quotePrefix="1" applyNumberFormat="1" applyFont="1" applyFill="1" applyBorder="1" applyAlignment="1"/>
    <xf numFmtId="168" fontId="70" fillId="0" borderId="0" xfId="5" applyNumberFormat="1" applyFont="1" applyFill="1" applyBorder="1" applyAlignment="1"/>
    <xf numFmtId="168" fontId="71" fillId="0" borderId="0" xfId="42" quotePrefix="1" applyNumberFormat="1" applyFont="1" applyFill="1" applyBorder="1" applyAlignment="1"/>
    <xf numFmtId="169" fontId="71" fillId="0" borderId="0" xfId="42" applyNumberFormat="1" applyFont="1" applyFill="1" applyBorder="1" applyAlignment="1"/>
    <xf numFmtId="169" fontId="71" fillId="0" borderId="0" xfId="46" applyNumberFormat="1" applyFont="1" applyFill="1" applyBorder="1" applyAlignment="1"/>
    <xf numFmtId="185" fontId="72" fillId="0" borderId="0" xfId="41" applyFont="1" applyFill="1" applyBorder="1"/>
    <xf numFmtId="39" fontId="70" fillId="0" borderId="0" xfId="44" applyNumberFormat="1" applyFont="1" applyFill="1" applyBorder="1" applyAlignment="1">
      <alignment horizontal="left" indent="3"/>
    </xf>
    <xf numFmtId="168" fontId="73" fillId="0" borderId="0" xfId="42" applyNumberFormat="1" applyFont="1" applyFill="1"/>
    <xf numFmtId="168" fontId="73" fillId="0" borderId="0" xfId="5" applyNumberFormat="1" applyFont="1" applyFill="1" applyBorder="1"/>
    <xf numFmtId="192" fontId="73" fillId="0" borderId="0" xfId="42" applyNumberFormat="1" applyFont="1" applyFill="1" applyBorder="1"/>
    <xf numFmtId="168" fontId="72" fillId="0" borderId="0" xfId="5" applyNumberFormat="1" applyFont="1" applyFill="1" applyBorder="1"/>
    <xf numFmtId="168" fontId="71" fillId="0" borderId="0" xfId="42" applyNumberFormat="1" applyFont="1" applyFill="1" applyAlignment="1"/>
    <xf numFmtId="169" fontId="71" fillId="0" borderId="0" xfId="42" applyNumberFormat="1" applyFont="1" applyFill="1" applyAlignment="1"/>
    <xf numFmtId="168" fontId="71" fillId="0" borderId="0" xfId="42" applyNumberFormat="1" applyFont="1" applyFill="1" applyBorder="1" applyAlignment="1"/>
    <xf numFmtId="168" fontId="71" fillId="0" borderId="0" xfId="5" applyNumberFormat="1" applyFont="1" applyFill="1" applyAlignment="1"/>
    <xf numFmtId="192" fontId="71" fillId="0" borderId="0" xfId="42" applyNumberFormat="1" applyFont="1" applyFill="1" applyBorder="1" applyAlignment="1"/>
    <xf numFmtId="168" fontId="71" fillId="0" borderId="0" xfId="46" applyNumberFormat="1" applyFont="1" applyFill="1" applyAlignment="1"/>
    <xf numFmtId="39" fontId="71" fillId="0" borderId="0" xfId="44" applyNumberFormat="1" applyFont="1" applyFill="1" applyAlignment="1"/>
    <xf numFmtId="169" fontId="71" fillId="0" borderId="0" xfId="46" applyNumberFormat="1" applyFont="1" applyFill="1" applyAlignment="1"/>
    <xf numFmtId="168" fontId="71" fillId="0" borderId="0" xfId="42" quotePrefix="1" applyNumberFormat="1" applyFont="1" applyFill="1" applyAlignment="1"/>
    <xf numFmtId="168" fontId="71" fillId="0" borderId="0" xfId="46" quotePrefix="1" applyNumberFormat="1" applyFont="1" applyFill="1" applyAlignment="1"/>
    <xf numFmtId="168" fontId="70" fillId="0" borderId="3" xfId="42" applyNumberFormat="1" applyFont="1" applyFill="1" applyBorder="1" applyAlignment="1"/>
    <xf numFmtId="168" fontId="70" fillId="0" borderId="0" xfId="46" applyNumberFormat="1" applyFont="1" applyFill="1" applyAlignment="1"/>
    <xf numFmtId="169" fontId="70" fillId="0" borderId="3" xfId="42" applyNumberFormat="1" applyFont="1" applyFill="1" applyBorder="1" applyAlignment="1"/>
    <xf numFmtId="168" fontId="70" fillId="0" borderId="3" xfId="5" applyNumberFormat="1" applyFont="1" applyFill="1" applyBorder="1" applyAlignment="1"/>
    <xf numFmtId="44" fontId="70" fillId="0" borderId="3" xfId="65" applyNumberFormat="1" applyFont="1" applyFill="1" applyBorder="1" applyAlignment="1"/>
    <xf numFmtId="168" fontId="70" fillId="0" borderId="3" xfId="42" quotePrefix="1" applyNumberFormat="1" applyFont="1" applyFill="1" applyBorder="1" applyAlignment="1"/>
    <xf numFmtId="168" fontId="73" fillId="0" borderId="3" xfId="42" applyNumberFormat="1" applyFont="1" applyFill="1" applyBorder="1"/>
    <xf numFmtId="185" fontId="71" fillId="0" borderId="0" xfId="44" applyNumberFormat="1" applyFont="1" applyFill="1" applyAlignment="1">
      <alignment horizontal="left" indent="1"/>
    </xf>
    <xf numFmtId="44" fontId="71" fillId="0" borderId="0" xfId="63" applyFont="1" applyFill="1" applyBorder="1" applyAlignment="1"/>
    <xf numFmtId="169" fontId="71" fillId="0" borderId="0" xfId="65" applyNumberFormat="1" applyFont="1" applyFill="1" applyAlignment="1"/>
    <xf numFmtId="43" fontId="71" fillId="0" borderId="0" xfId="5" applyFont="1" applyFill="1" applyAlignment="1"/>
    <xf numFmtId="37" fontId="70" fillId="0" borderId="3" xfId="42" applyNumberFormat="1" applyFont="1" applyFill="1" applyBorder="1" applyAlignment="1"/>
    <xf numFmtId="42" fontId="70" fillId="0" borderId="3" xfId="42" applyNumberFormat="1" applyFont="1" applyFill="1" applyBorder="1" applyAlignment="1"/>
    <xf numFmtId="168" fontId="71" fillId="0" borderId="3" xfId="5" applyNumberFormat="1" applyFont="1" applyFill="1" applyBorder="1" applyAlignment="1"/>
    <xf numFmtId="39" fontId="71" fillId="0" borderId="0" xfId="44" applyNumberFormat="1" applyFont="1" applyFill="1" applyAlignment="1">
      <alignment horizontal="left" indent="1"/>
    </xf>
    <xf numFmtId="168" fontId="72" fillId="0" borderId="0" xfId="5" applyNumberFormat="1" applyFont="1" applyFill="1"/>
    <xf numFmtId="39" fontId="70" fillId="0" borderId="0" xfId="44" applyNumberFormat="1" applyFont="1" applyFill="1" applyAlignment="1">
      <alignment horizontal="left" indent="2"/>
    </xf>
    <xf numFmtId="39" fontId="70" fillId="0" borderId="0" xfId="44" applyNumberFormat="1" applyFont="1" applyFill="1" applyAlignment="1">
      <alignment horizontal="left" indent="3"/>
    </xf>
    <xf numFmtId="39" fontId="70" fillId="0" borderId="0" xfId="44" applyNumberFormat="1" applyFont="1" applyFill="1" applyAlignment="1">
      <alignment horizontal="left" indent="4"/>
    </xf>
    <xf numFmtId="169" fontId="71" fillId="0" borderId="0" xfId="63" applyNumberFormat="1" applyFont="1" applyFill="1" applyAlignment="1"/>
    <xf numFmtId="0" fontId="84" fillId="0" borderId="0" xfId="70" applyFill="1">
      <alignment vertical="top"/>
    </xf>
    <xf numFmtId="44" fontId="71" fillId="0" borderId="0" xfId="11" applyFont="1" applyFill="1" applyAlignment="1">
      <alignment horizontal="center"/>
    </xf>
    <xf numFmtId="0" fontId="87" fillId="0" borderId="0" xfId="0" applyFont="1"/>
    <xf numFmtId="0" fontId="57" fillId="0" borderId="0" xfId="16" applyFont="1" applyFill="1" applyAlignment="1">
      <alignment horizontal="left"/>
    </xf>
    <xf numFmtId="195" fontId="27" fillId="0" borderId="0" xfId="16" applyNumberFormat="1" applyFont="1" applyFill="1" applyAlignment="1">
      <alignment horizontal="center"/>
    </xf>
    <xf numFmtId="0" fontId="27" fillId="0" borderId="0" xfId="16" applyFont="1" applyFill="1"/>
    <xf numFmtId="0" fontId="57" fillId="0" borderId="0" xfId="16" applyFont="1" applyFill="1" applyAlignment="1">
      <alignment horizontal="right"/>
    </xf>
    <xf numFmtId="0" fontId="27" fillId="0" borderId="0" xfId="16" applyFont="1" applyFill="1" applyAlignment="1">
      <alignment horizontal="center"/>
    </xf>
    <xf numFmtId="0" fontId="58" fillId="0" borderId="0" xfId="16" applyFont="1" applyFill="1" applyAlignment="1">
      <alignment horizontal="center" wrapText="1"/>
    </xf>
    <xf numFmtId="43" fontId="58" fillId="0" borderId="0" xfId="3" applyFont="1" applyFill="1" applyAlignment="1">
      <alignment horizontal="center" wrapText="1"/>
    </xf>
    <xf numFmtId="0" fontId="27" fillId="0" borderId="0" xfId="16" applyNumberFormat="1" applyFont="1" applyFill="1" applyAlignment="1">
      <alignment horizontal="center"/>
    </xf>
    <xf numFmtId="0" fontId="58" fillId="0" borderId="0" xfId="16" applyFont="1" applyFill="1"/>
    <xf numFmtId="189" fontId="27" fillId="0" borderId="0" xfId="16" applyNumberFormat="1" applyFont="1" applyFill="1" applyAlignment="1">
      <alignment horizontal="center"/>
    </xf>
    <xf numFmtId="0" fontId="27" fillId="0" borderId="0" xfId="16" quotePrefix="1" applyNumberFormat="1" applyFont="1" applyFill="1" applyAlignment="1">
      <alignment horizontal="left"/>
    </xf>
    <xf numFmtId="168" fontId="27" fillId="0" borderId="0" xfId="3" applyNumberFormat="1" applyFont="1" applyFill="1"/>
    <xf numFmtId="185" fontId="53" fillId="0" borderId="0" xfId="16" applyNumberFormat="1" applyFont="1" applyFill="1"/>
    <xf numFmtId="168" fontId="53" fillId="0" borderId="0" xfId="3" applyNumberFormat="1" applyFont="1" applyFill="1"/>
    <xf numFmtId="189" fontId="58" fillId="0" borderId="0" xfId="3" applyNumberFormat="1" applyFont="1" applyFill="1" applyAlignment="1">
      <alignment horizontal="center"/>
    </xf>
    <xf numFmtId="43" fontId="58" fillId="0" borderId="0" xfId="3" quotePrefix="1" applyFont="1" applyFill="1"/>
    <xf numFmtId="43" fontId="58" fillId="0" borderId="0" xfId="3" applyFont="1" applyFill="1" applyAlignment="1">
      <alignment horizontal="center"/>
    </xf>
    <xf numFmtId="9" fontId="53" fillId="0" borderId="0" xfId="39" applyFont="1" applyFill="1"/>
    <xf numFmtId="10" fontId="27" fillId="0" borderId="0" xfId="39" applyNumberFormat="1" applyFont="1" applyFill="1"/>
    <xf numFmtId="168" fontId="27" fillId="0" borderId="0" xfId="3" applyNumberFormat="1" applyFont="1" applyFill="1" applyAlignment="1">
      <alignment horizontal="center"/>
    </xf>
    <xf numFmtId="37" fontId="27" fillId="0" borderId="0" xfId="3" applyNumberFormat="1" applyFont="1" applyFill="1" applyAlignment="1">
      <alignment horizontal="center"/>
    </xf>
    <xf numFmtId="10" fontId="53" fillId="0" borderId="0" xfId="39" applyNumberFormat="1" applyFont="1" applyFill="1"/>
    <xf numFmtId="43" fontId="27" fillId="0" borderId="0" xfId="16" applyNumberFormat="1" applyFont="1" applyFill="1"/>
    <xf numFmtId="0" fontId="103" fillId="0" borderId="0" xfId="16" applyFont="1" applyFill="1"/>
    <xf numFmtId="0" fontId="27" fillId="0" borderId="0" xfId="3" applyNumberFormat="1" applyFont="1" applyFill="1"/>
    <xf numFmtId="195" fontId="53" fillId="0" borderId="0" xfId="16" applyNumberFormat="1" applyFont="1" applyFill="1" applyAlignment="1">
      <alignment horizontal="center"/>
    </xf>
    <xf numFmtId="0" fontId="27" fillId="0" borderId="0" xfId="3" applyNumberFormat="1" applyFont="1" applyFill="1" applyAlignment="1">
      <alignment horizontal="left"/>
    </xf>
    <xf numFmtId="174" fontId="27" fillId="0" borderId="0" xfId="3" applyNumberFormat="1" applyFont="1" applyFill="1" applyAlignment="1">
      <alignment horizontal="center"/>
    </xf>
    <xf numFmtId="168" fontId="58" fillId="0" borderId="0" xfId="3" applyNumberFormat="1" applyFont="1" applyFill="1"/>
    <xf numFmtId="43" fontId="27" fillId="0" borderId="0" xfId="3" applyNumberFormat="1" applyFont="1" applyFill="1"/>
    <xf numFmtId="168" fontId="27" fillId="0" borderId="0" xfId="16" applyNumberFormat="1" applyFont="1" applyFill="1"/>
    <xf numFmtId="0" fontId="57" fillId="0" borderId="0" xfId="16" applyFont="1" applyAlignment="1">
      <alignment horizontal="left"/>
    </xf>
    <xf numFmtId="195" fontId="27" fillId="0" borderId="0" xfId="16" applyNumberFormat="1" applyFont="1" applyAlignment="1">
      <alignment horizontal="center"/>
    </xf>
    <xf numFmtId="0" fontId="27" fillId="0" borderId="0" xfId="16" applyFont="1"/>
    <xf numFmtId="1" fontId="57" fillId="0" borderId="0" xfId="16" applyNumberFormat="1" applyFont="1" applyFill="1" applyAlignment="1">
      <alignment horizontal="center"/>
    </xf>
    <xf numFmtId="43" fontId="27" fillId="0" borderId="0" xfId="3" applyFont="1" applyAlignment="1">
      <alignment horizontal="center"/>
    </xf>
    <xf numFmtId="0" fontId="57" fillId="0" borderId="0" xfId="16" applyFont="1" applyAlignment="1">
      <alignment horizontal="right"/>
    </xf>
    <xf numFmtId="1" fontId="27" fillId="0" borderId="0" xfId="16" applyNumberFormat="1" applyFont="1" applyFill="1" applyAlignment="1">
      <alignment horizontal="center"/>
    </xf>
    <xf numFmtId="185" fontId="53" fillId="0" borderId="0" xfId="16" applyNumberFormat="1" applyFont="1"/>
    <xf numFmtId="1" fontId="53" fillId="0" borderId="0" xfId="16" applyNumberFormat="1" applyFont="1"/>
    <xf numFmtId="0" fontId="27" fillId="0" borderId="0" xfId="16" applyFont="1" applyAlignment="1">
      <alignment horizontal="center"/>
    </xf>
    <xf numFmtId="185" fontId="104" fillId="0" borderId="0" xfId="16" applyNumberFormat="1" applyFont="1" applyAlignment="1">
      <alignment horizontal="center" wrapText="1"/>
    </xf>
    <xf numFmtId="195" fontId="53" fillId="0" borderId="0" xfId="16" applyNumberFormat="1" applyFont="1" applyAlignment="1">
      <alignment horizontal="center"/>
    </xf>
    <xf numFmtId="1" fontId="104" fillId="0" borderId="0" xfId="16" applyNumberFormat="1" applyFont="1" applyFill="1" applyAlignment="1">
      <alignment horizontal="center" wrapText="1"/>
    </xf>
    <xf numFmtId="43" fontId="104" fillId="0" borderId="0" xfId="3" applyFont="1" applyAlignment="1">
      <alignment horizontal="center" wrapText="1"/>
    </xf>
    <xf numFmtId="0" fontId="58" fillId="0" borderId="0" xfId="16" applyFont="1" applyAlignment="1">
      <alignment horizontal="center" wrapText="1"/>
    </xf>
    <xf numFmtId="185" fontId="53" fillId="0" borderId="0" xfId="16" applyNumberFormat="1" applyFont="1" applyAlignment="1">
      <alignment horizontal="center"/>
    </xf>
    <xf numFmtId="1" fontId="53" fillId="0" borderId="0" xfId="16" applyNumberFormat="1" applyFont="1" applyFill="1" applyAlignment="1">
      <alignment horizontal="center"/>
    </xf>
    <xf numFmtId="43" fontId="53" fillId="0" borderId="0" xfId="3" applyFont="1" applyAlignment="1">
      <alignment horizontal="center"/>
    </xf>
    <xf numFmtId="185" fontId="104" fillId="0" borderId="0" xfId="16" applyNumberFormat="1" applyFont="1"/>
    <xf numFmtId="189" fontId="53" fillId="0" borderId="0" xfId="3" applyNumberFormat="1" applyFont="1" applyFill="1" applyAlignment="1">
      <alignment horizontal="center"/>
    </xf>
    <xf numFmtId="168" fontId="53" fillId="0" borderId="0" xfId="3" applyNumberFormat="1" applyFont="1"/>
    <xf numFmtId="168" fontId="53" fillId="0" borderId="0" xfId="3" applyNumberFormat="1" applyFont="1" applyAlignment="1">
      <alignment horizontal="center"/>
    </xf>
    <xf numFmtId="41" fontId="53" fillId="0" borderId="0" xfId="16" applyNumberFormat="1" applyFont="1"/>
    <xf numFmtId="0" fontId="53" fillId="0" borderId="0" xfId="16" applyNumberFormat="1" applyFont="1" applyFill="1" applyAlignment="1">
      <alignment horizontal="left"/>
    </xf>
    <xf numFmtId="1" fontId="53" fillId="0" borderId="0" xfId="3" applyNumberFormat="1" applyFont="1" applyFill="1" applyAlignment="1">
      <alignment horizontal="center"/>
    </xf>
    <xf numFmtId="41" fontId="53" fillId="0" borderId="0" xfId="3" applyNumberFormat="1" applyFont="1"/>
    <xf numFmtId="9" fontId="53" fillId="0" borderId="0" xfId="39" applyFont="1"/>
    <xf numFmtId="1" fontId="53" fillId="0" borderId="0" xfId="16" applyNumberFormat="1" applyFont="1" applyFill="1" applyAlignment="1">
      <alignment horizontal="left"/>
    </xf>
    <xf numFmtId="43" fontId="53" fillId="0" borderId="0" xfId="3" applyFont="1"/>
    <xf numFmtId="189" fontId="104" fillId="0" borderId="0" xfId="3" applyNumberFormat="1" applyFont="1" applyFill="1" applyAlignment="1">
      <alignment horizontal="center"/>
    </xf>
    <xf numFmtId="43" fontId="104" fillId="0" borderId="0" xfId="3" quotePrefix="1" applyFont="1" applyFill="1"/>
    <xf numFmtId="43" fontId="104" fillId="0" borderId="0" xfId="3" applyFont="1"/>
    <xf numFmtId="43" fontId="104" fillId="0" borderId="0" xfId="3" applyFont="1" applyAlignment="1">
      <alignment horizontal="center"/>
    </xf>
    <xf numFmtId="1" fontId="104" fillId="0" borderId="0" xfId="3" applyNumberFormat="1" applyFont="1" applyFill="1" applyAlignment="1">
      <alignment horizontal="center"/>
    </xf>
    <xf numFmtId="43" fontId="58" fillId="0" borderId="0" xfId="3" applyFont="1"/>
    <xf numFmtId="10" fontId="53" fillId="0" borderId="0" xfId="39" applyNumberFormat="1" applyFont="1"/>
    <xf numFmtId="195" fontId="104" fillId="0" borderId="0" xfId="16" applyNumberFormat="1" applyFont="1" applyAlignment="1">
      <alignment horizontal="center"/>
    </xf>
    <xf numFmtId="1" fontId="58" fillId="0" borderId="0" xfId="16" applyNumberFormat="1" applyFont="1" applyFill="1" applyAlignment="1">
      <alignment horizontal="center"/>
    </xf>
    <xf numFmtId="168" fontId="59" fillId="0" borderId="0" xfId="3" applyNumberFormat="1" applyFont="1"/>
    <xf numFmtId="168" fontId="105" fillId="0" borderId="0" xfId="3" applyNumberFormat="1" applyFont="1"/>
    <xf numFmtId="185" fontId="104" fillId="0" borderId="0" xfId="16" applyNumberFormat="1" applyFont="1" applyFill="1"/>
    <xf numFmtId="185" fontId="53" fillId="0" borderId="0" xfId="16" quotePrefix="1" applyNumberFormat="1" applyFont="1" applyFill="1"/>
    <xf numFmtId="37" fontId="53" fillId="0" borderId="0" xfId="3" applyNumberFormat="1" applyFont="1" applyFill="1" applyBorder="1" applyProtection="1">
      <protection locked="0"/>
    </xf>
    <xf numFmtId="0" fontId="53" fillId="0" borderId="0" xfId="16" quotePrefix="1" applyNumberFormat="1" applyFont="1" applyFill="1" applyAlignment="1">
      <alignment horizontal="left"/>
    </xf>
    <xf numFmtId="168" fontId="106" fillId="0" borderId="0" xfId="3" applyNumberFormat="1" applyFont="1"/>
    <xf numFmtId="185" fontId="27" fillId="0" borderId="0" xfId="16" applyNumberFormat="1" applyFont="1"/>
    <xf numFmtId="168" fontId="106" fillId="0" borderId="0" xfId="3" applyNumberFormat="1" applyFont="1" applyFill="1"/>
    <xf numFmtId="168" fontId="104" fillId="0" borderId="0" xfId="3" applyNumberFormat="1" applyFont="1" applyAlignment="1">
      <alignment horizontal="center"/>
    </xf>
    <xf numFmtId="43" fontId="53" fillId="0" borderId="0" xfId="16" applyNumberFormat="1" applyFont="1"/>
    <xf numFmtId="0" fontId="53" fillId="0" borderId="0" xfId="16" applyNumberFormat="1" applyFont="1"/>
    <xf numFmtId="185" fontId="107" fillId="0" borderId="0" xfId="16" applyNumberFormat="1" applyFont="1" applyFill="1"/>
    <xf numFmtId="185" fontId="53" fillId="0" borderId="0" xfId="3" applyNumberFormat="1" applyFont="1" applyFill="1"/>
    <xf numFmtId="1" fontId="53" fillId="0" borderId="0" xfId="3" applyNumberFormat="1" applyFont="1" applyFill="1" applyAlignment="1">
      <alignment horizontal="left"/>
    </xf>
    <xf numFmtId="185" fontId="53" fillId="0" borderId="0" xfId="3" applyNumberFormat="1" applyFont="1" applyFill="1" applyAlignment="1">
      <alignment horizontal="left"/>
    </xf>
    <xf numFmtId="168" fontId="104" fillId="0" borderId="0" xfId="3" applyNumberFormat="1" applyFont="1"/>
    <xf numFmtId="43" fontId="53" fillId="0" borderId="0" xfId="3" applyNumberFormat="1" applyFont="1" applyFill="1"/>
    <xf numFmtId="168" fontId="53" fillId="0" borderId="0" xfId="16" applyNumberFormat="1" applyFont="1"/>
    <xf numFmtId="168" fontId="53" fillId="0" borderId="0" xfId="16" applyNumberFormat="1" applyFont="1" applyFill="1"/>
    <xf numFmtId="0" fontId="27" fillId="0" borderId="0" xfId="16" applyNumberFormat="1" applyFont="1" applyAlignment="1">
      <alignment horizontal="center"/>
    </xf>
    <xf numFmtId="0" fontId="27" fillId="0" borderId="0" xfId="277" applyFont="1" applyFill="1"/>
    <xf numFmtId="183" fontId="27" fillId="0" borderId="0" xfId="277" applyNumberFormat="1" applyFont="1" applyFill="1"/>
    <xf numFmtId="183" fontId="27" fillId="0" borderId="0" xfId="277" applyNumberFormat="1" applyFont="1" applyFill="1" applyBorder="1"/>
    <xf numFmtId="180" fontId="57" fillId="0" borderId="0" xfId="277" applyNumberFormat="1" applyFont="1" applyFill="1" applyBorder="1" applyAlignment="1">
      <alignment horizontal="left"/>
    </xf>
    <xf numFmtId="183" fontId="27" fillId="0" borderId="0" xfId="277" applyNumberFormat="1" applyFont="1" applyFill="1" applyBorder="1" applyAlignment="1">
      <alignment horizontal="center"/>
    </xf>
    <xf numFmtId="183" fontId="27" fillId="0" borderId="0" xfId="277" applyNumberFormat="1" applyFont="1" applyFill="1" applyAlignment="1">
      <alignment horizontal="center"/>
    </xf>
    <xf numFmtId="183" fontId="27" fillId="0" borderId="0" xfId="277" applyNumberFormat="1" applyFont="1" applyFill="1" applyBorder="1" applyAlignment="1">
      <alignment wrapText="1"/>
    </xf>
    <xf numFmtId="183" fontId="27" fillId="0" borderId="0" xfId="277" applyNumberFormat="1" applyFont="1" applyFill="1" applyAlignment="1">
      <alignment wrapText="1"/>
    </xf>
    <xf numFmtId="168" fontId="27" fillId="0" borderId="0" xfId="3" applyNumberFormat="1" applyFont="1" applyFill="1" applyBorder="1" applyAlignment="1">
      <alignment wrapText="1"/>
    </xf>
    <xf numFmtId="183" fontId="27" fillId="0" borderId="1" xfId="277" applyNumberFormat="1" applyFont="1" applyFill="1" applyBorder="1" applyAlignment="1">
      <alignment horizontal="center"/>
    </xf>
    <xf numFmtId="183" fontId="27" fillId="0" borderId="1" xfId="359" applyNumberFormat="1" applyFont="1" applyFill="1" applyBorder="1" applyAlignment="1">
      <alignment horizontal="center"/>
    </xf>
    <xf numFmtId="37" fontId="27" fillId="0" borderId="0" xfId="17" applyNumberFormat="1" applyFont="1" applyFill="1" applyBorder="1" applyAlignment="1"/>
    <xf numFmtId="168" fontId="27" fillId="0" borderId="1" xfId="3" applyNumberFormat="1" applyFont="1" applyFill="1" applyBorder="1" applyAlignment="1">
      <alignment horizontal="center" wrapText="1"/>
    </xf>
    <xf numFmtId="183" fontId="27" fillId="0" borderId="0" xfId="359" applyNumberFormat="1" applyFont="1" applyFill="1" applyBorder="1"/>
    <xf numFmtId="183" fontId="27" fillId="0" borderId="1" xfId="277" applyNumberFormat="1" applyFont="1" applyFill="1" applyBorder="1" applyAlignment="1">
      <alignment horizontal="center" wrapText="1"/>
    </xf>
    <xf numFmtId="183" fontId="27" fillId="0" borderId="0" xfId="277" applyNumberFormat="1" applyFont="1" applyFill="1" applyAlignment="1">
      <alignment horizontal="right"/>
    </xf>
    <xf numFmtId="189" fontId="27" fillId="0" borderId="0" xfId="277" applyNumberFormat="1" applyFont="1" applyFill="1"/>
    <xf numFmtId="183" fontId="27" fillId="0" borderId="0" xfId="359" applyNumberFormat="1" applyFont="1" applyFill="1" applyAlignment="1">
      <alignment horizontal="center"/>
    </xf>
    <xf numFmtId="183" fontId="27" fillId="0" borderId="0" xfId="359" applyNumberFormat="1" applyFont="1" applyFill="1" applyBorder="1" applyAlignment="1">
      <alignment horizontal="center"/>
    </xf>
    <xf numFmtId="183" fontId="27" fillId="0" borderId="0" xfId="359" applyNumberFormat="1" applyFont="1" applyFill="1"/>
    <xf numFmtId="183" fontId="27" fillId="0" borderId="0" xfId="277" applyNumberFormat="1" applyFont="1" applyFill="1" applyAlignment="1">
      <alignment horizontal="center" wrapText="1"/>
    </xf>
    <xf numFmtId="168" fontId="27" fillId="0" borderId="0" xfId="3" applyNumberFormat="1" applyFont="1" applyFill="1" applyAlignment="1">
      <alignment horizontal="center" wrapText="1"/>
    </xf>
    <xf numFmtId="180" fontId="27" fillId="0" borderId="0" xfId="277" applyNumberFormat="1" applyFont="1" applyFill="1" applyBorder="1" applyAlignment="1">
      <alignment horizontal="left"/>
    </xf>
    <xf numFmtId="189" fontId="27" fillId="0" borderId="0" xfId="277" quotePrefix="1" applyNumberFormat="1" applyFont="1" applyFill="1" applyAlignment="1">
      <alignment horizontal="center"/>
    </xf>
    <xf numFmtId="198" fontId="27" fillId="0" borderId="0" xfId="359" applyNumberFormat="1" applyFont="1" applyFill="1" applyAlignment="1">
      <alignment horizontal="center"/>
    </xf>
    <xf numFmtId="37" fontId="27" fillId="0" borderId="0" xfId="17" applyNumberFormat="1" applyFont="1" applyFill="1" applyAlignment="1"/>
    <xf numFmtId="0" fontId="27" fillId="0" borderId="0" xfId="277" applyNumberFormat="1" applyFont="1" applyFill="1" applyAlignment="1">
      <alignment horizontal="center" wrapText="1"/>
    </xf>
    <xf numFmtId="2" fontId="27" fillId="0" borderId="0" xfId="359" applyNumberFormat="1" applyFont="1" applyFill="1"/>
    <xf numFmtId="9" fontId="27" fillId="0" borderId="0" xfId="39" applyFont="1" applyFill="1"/>
    <xf numFmtId="168" fontId="27" fillId="0" borderId="0" xfId="277" applyNumberFormat="1" applyFont="1" applyFill="1"/>
    <xf numFmtId="168" fontId="27" fillId="0" borderId="0" xfId="3" applyNumberFormat="1" applyFont="1" applyFill="1" applyAlignment="1"/>
    <xf numFmtId="168" fontId="27" fillId="0" borderId="3" xfId="277" applyNumberFormat="1" applyFont="1" applyFill="1" applyBorder="1"/>
    <xf numFmtId="189" fontId="27" fillId="0" borderId="0" xfId="277" applyNumberFormat="1" applyFont="1" applyFill="1" applyAlignment="1">
      <alignment horizontal="center"/>
    </xf>
    <xf numFmtId="183" fontId="27" fillId="0" borderId="1" xfId="359" applyNumberFormat="1" applyFont="1" applyFill="1" applyBorder="1" applyAlignment="1">
      <alignment horizontal="center" wrapText="1"/>
    </xf>
    <xf numFmtId="37" fontId="27" fillId="0" borderId="0" xfId="277" applyNumberFormat="1" applyFont="1" applyFill="1"/>
    <xf numFmtId="183" fontId="27" fillId="0" borderId="0" xfId="360" applyFont="1" applyFill="1" applyBorder="1"/>
    <xf numFmtId="10" fontId="27" fillId="0" borderId="0" xfId="39" applyNumberFormat="1" applyFont="1" applyFill="1" applyBorder="1" applyAlignment="1">
      <alignment horizontal="right" wrapText="1"/>
    </xf>
    <xf numFmtId="49" fontId="27" fillId="0" borderId="0" xfId="277" applyNumberFormat="1" applyFont="1" applyFill="1" applyAlignment="1">
      <alignment horizontal="center"/>
    </xf>
    <xf numFmtId="10" fontId="27" fillId="0" borderId="0" xfId="361" applyNumberFormat="1" applyFont="1" applyFill="1"/>
    <xf numFmtId="49" fontId="27" fillId="0" borderId="0" xfId="359" applyNumberFormat="1" applyFont="1" applyFill="1" applyAlignment="1">
      <alignment horizontal="center"/>
    </xf>
    <xf numFmtId="183" fontId="27" fillId="0" borderId="0" xfId="360" applyFont="1" applyFill="1"/>
    <xf numFmtId="183" fontId="27" fillId="0" borderId="0" xfId="17" applyNumberFormat="1" applyFont="1" applyFill="1" applyBorder="1"/>
    <xf numFmtId="183" fontId="27" fillId="0" borderId="0" xfId="17" applyNumberFormat="1" applyFont="1" applyFill="1"/>
    <xf numFmtId="198" fontId="27" fillId="0" borderId="0" xfId="277" applyNumberFormat="1" applyFont="1" applyFill="1" applyAlignment="1">
      <alignment horizontal="center"/>
    </xf>
    <xf numFmtId="183" fontId="27" fillId="0" borderId="0" xfId="277" applyNumberFormat="1" applyFont="1" applyFill="1" applyAlignment="1">
      <alignment horizontal="left"/>
    </xf>
    <xf numFmtId="183" fontId="27" fillId="0" borderId="0" xfId="359" applyNumberFormat="1" applyFont="1" applyFill="1" applyBorder="1" applyAlignment="1">
      <alignment horizontal="left"/>
    </xf>
    <xf numFmtId="198" fontId="27" fillId="0" borderId="0" xfId="277" applyNumberFormat="1" applyFont="1" applyFill="1" applyAlignment="1">
      <alignment horizontal="left"/>
    </xf>
    <xf numFmtId="43" fontId="27" fillId="0" borderId="0" xfId="277" applyNumberFormat="1" applyFont="1" applyFill="1"/>
    <xf numFmtId="183" fontId="27" fillId="0" borderId="0" xfId="277" applyNumberFormat="1" applyFont="1" applyFill="1" applyBorder="1" applyAlignment="1">
      <alignment horizontal="center" vertical="center"/>
    </xf>
    <xf numFmtId="168" fontId="27" fillId="0" borderId="0" xfId="3" applyNumberFormat="1" applyFont="1" applyFill="1" applyBorder="1" applyAlignment="1">
      <alignment horizontal="center" vertical="center"/>
    </xf>
    <xf numFmtId="168" fontId="27" fillId="0" borderId="0" xfId="3" applyNumberFormat="1" applyFont="1" applyFill="1" applyBorder="1"/>
    <xf numFmtId="37" fontId="27" fillId="0" borderId="0" xfId="17" applyNumberFormat="1" applyFont="1" applyFill="1" applyBorder="1" applyAlignment="1">
      <alignment horizontal="right"/>
    </xf>
    <xf numFmtId="183" fontId="27" fillId="0" borderId="0" xfId="359" applyNumberFormat="1" applyFont="1" applyFill="1" applyBorder="1" applyAlignment="1">
      <alignment horizontal="right"/>
    </xf>
    <xf numFmtId="183" fontId="27" fillId="0" borderId="0" xfId="277" applyNumberFormat="1" applyFont="1" applyFill="1" applyBorder="1" applyAlignment="1"/>
    <xf numFmtId="183" fontId="27" fillId="0" borderId="0" xfId="277" applyNumberFormat="1" applyFont="1" applyFill="1" applyAlignment="1"/>
    <xf numFmtId="0" fontId="27" fillId="0" borderId="0" xfId="277" applyFont="1" applyFill="1" applyAlignment="1">
      <alignment horizontal="right"/>
    </xf>
    <xf numFmtId="0" fontId="27" fillId="0" borderId="0" xfId="277" applyFont="1" applyFill="1" applyAlignment="1">
      <alignment horizontal="center"/>
    </xf>
    <xf numFmtId="43" fontId="27" fillId="0" borderId="0" xfId="361" applyFont="1" applyFill="1" applyBorder="1"/>
    <xf numFmtId="168" fontId="27" fillId="0" borderId="0" xfId="361" applyNumberFormat="1" applyFont="1" applyFill="1" applyBorder="1"/>
    <xf numFmtId="168" fontId="27" fillId="0" borderId="0" xfId="361" applyNumberFormat="1" applyFont="1" applyFill="1" applyBorder="1" applyAlignment="1">
      <alignment horizontal="center" wrapText="1"/>
    </xf>
    <xf numFmtId="183" fontId="27" fillId="0" borderId="1" xfId="359" applyNumberFormat="1" applyFont="1" applyFill="1" applyBorder="1"/>
    <xf numFmtId="43" fontId="27" fillId="0" borderId="1" xfId="361" applyFont="1" applyFill="1" applyBorder="1" applyAlignment="1">
      <alignment horizontal="center" wrapText="1"/>
    </xf>
    <xf numFmtId="168" fontId="27" fillId="0" borderId="1" xfId="361" applyNumberFormat="1" applyFont="1" applyFill="1" applyBorder="1" applyAlignment="1">
      <alignment horizontal="center" wrapText="1"/>
    </xf>
    <xf numFmtId="189" fontId="27" fillId="0" borderId="0" xfId="359" applyNumberFormat="1" applyFont="1" applyFill="1" applyAlignment="1">
      <alignment horizontal="center"/>
    </xf>
    <xf numFmtId="183" fontId="27" fillId="0" borderId="0" xfId="277" applyNumberFormat="1" applyFont="1" applyFill="1" applyBorder="1" applyAlignment="1">
      <alignment horizontal="center" wrapText="1"/>
    </xf>
    <xf numFmtId="189" fontId="27" fillId="0" borderId="0" xfId="359" applyNumberFormat="1" applyFont="1" applyFill="1"/>
    <xf numFmtId="43" fontId="27" fillId="0" borderId="0" xfId="361" applyFont="1" applyFill="1"/>
    <xf numFmtId="168" fontId="27" fillId="0" borderId="0" xfId="361" applyNumberFormat="1" applyFont="1" applyFill="1"/>
    <xf numFmtId="1" fontId="27" fillId="0" borderId="0" xfId="359" applyNumberFormat="1" applyFont="1" applyFill="1" applyAlignment="1">
      <alignment horizontal="center"/>
    </xf>
    <xf numFmtId="168" fontId="27" fillId="0" borderId="0" xfId="359" applyNumberFormat="1" applyFont="1" applyFill="1"/>
    <xf numFmtId="168" fontId="27" fillId="0" borderId="1" xfId="359" applyNumberFormat="1" applyFont="1" applyFill="1" applyBorder="1"/>
    <xf numFmtId="0" fontId="27" fillId="0" borderId="0" xfId="277" applyFont="1"/>
    <xf numFmtId="189" fontId="27" fillId="0" borderId="0" xfId="277" applyNumberFormat="1" applyFont="1" applyAlignment="1">
      <alignment horizontal="center"/>
    </xf>
    <xf numFmtId="43" fontId="27" fillId="0" borderId="0" xfId="361" applyFont="1" applyFill="1" applyBorder="1" applyAlignment="1">
      <alignment horizontal="center"/>
    </xf>
    <xf numFmtId="183" fontId="27" fillId="0" borderId="0" xfId="359" applyNumberFormat="1" applyFont="1" applyFill="1" applyBorder="1" applyAlignment="1">
      <alignment horizontal="center" wrapText="1"/>
    </xf>
    <xf numFmtId="198" fontId="27" fillId="0" borderId="0" xfId="359" applyNumberFormat="1" applyFont="1" applyFill="1" applyBorder="1" applyAlignment="1">
      <alignment horizontal="center"/>
    </xf>
    <xf numFmtId="10" fontId="27" fillId="0" borderId="0" xfId="39" applyNumberFormat="1" applyFont="1" applyFill="1" applyBorder="1" applyAlignment="1">
      <alignment wrapText="1"/>
    </xf>
    <xf numFmtId="168" fontId="27" fillId="0" borderId="0" xfId="359" applyNumberFormat="1" applyFont="1" applyFill="1" applyBorder="1"/>
    <xf numFmtId="168" fontId="27" fillId="0" borderId="3" xfId="359" applyNumberFormat="1" applyFont="1" applyFill="1" applyBorder="1"/>
    <xf numFmtId="49" fontId="27" fillId="0" borderId="0" xfId="277" applyNumberFormat="1" applyFont="1" applyFill="1"/>
    <xf numFmtId="10" fontId="27" fillId="0" borderId="0" xfId="277" applyNumberFormat="1" applyFont="1" applyFill="1"/>
    <xf numFmtId="37" fontId="27" fillId="0" borderId="0" xfId="16" applyNumberFormat="1" applyFont="1" applyFill="1" applyAlignment="1"/>
    <xf numFmtId="43" fontId="27" fillId="0" borderId="0" xfId="16" applyNumberFormat="1" applyFont="1" applyFill="1" applyAlignment="1">
      <alignment horizontal="center"/>
    </xf>
    <xf numFmtId="185" fontId="53" fillId="0" borderId="0" xfId="16" applyNumberFormat="1" applyFont="1" applyAlignment="1">
      <alignment horizontal="right"/>
    </xf>
    <xf numFmtId="167" fontId="27" fillId="0" borderId="0" xfId="39" applyNumberFormat="1" applyFont="1"/>
    <xf numFmtId="0" fontId="27" fillId="0" borderId="0" xfId="16" applyFont="1" applyFill="1" applyAlignment="1">
      <alignment horizontal="right"/>
    </xf>
    <xf numFmtId="1" fontId="27" fillId="0" borderId="0" xfId="16" applyNumberFormat="1" applyFont="1"/>
    <xf numFmtId="169" fontId="16" fillId="0" borderId="1" xfId="11" applyNumberFormat="1" applyFont="1" applyFill="1" applyBorder="1"/>
    <xf numFmtId="0" fontId="27" fillId="0" borderId="0" xfId="277" applyFont="1" applyFill="1"/>
    <xf numFmtId="183" fontId="27" fillId="0" borderId="0" xfId="21" applyNumberFormat="1" applyFont="1" applyFill="1"/>
    <xf numFmtId="0" fontId="27" fillId="0" borderId="0" xfId="0" applyNumberFormat="1" applyFont="1" applyFill="1" applyAlignment="1">
      <alignment horizontal="center" wrapText="1"/>
    </xf>
    <xf numFmtId="168" fontId="27" fillId="0" borderId="0" xfId="0" applyNumberFormat="1" applyFont="1" applyFill="1"/>
    <xf numFmtId="183" fontId="27" fillId="0" borderId="0" xfId="0" applyNumberFormat="1" applyFont="1" applyFill="1"/>
    <xf numFmtId="198" fontId="27" fillId="0" borderId="0" xfId="21" applyNumberFormat="1" applyFont="1" applyFill="1" applyAlignment="1">
      <alignment horizontal="center"/>
    </xf>
    <xf numFmtId="37" fontId="57" fillId="0" borderId="0" xfId="277" applyNumberFormat="1" applyFont="1" applyFill="1"/>
    <xf numFmtId="183" fontId="57" fillId="0" borderId="0" xfId="277" applyNumberFormat="1" applyFont="1" applyFill="1"/>
    <xf numFmtId="42" fontId="16" fillId="0" borderId="1" xfId="0" applyNumberFormat="1" applyFont="1" applyFill="1" applyBorder="1"/>
    <xf numFmtId="0" fontId="4" fillId="0" borderId="1" xfId="0" applyFont="1" applyBorder="1"/>
    <xf numFmtId="0" fontId="9" fillId="0" borderId="0" xfId="0" applyFont="1"/>
    <xf numFmtId="10" fontId="9" fillId="0" borderId="0" xfId="39" applyNumberFormat="1" applyFont="1"/>
    <xf numFmtId="0" fontId="4" fillId="0" borderId="0" xfId="0" applyFont="1"/>
    <xf numFmtId="44" fontId="4" fillId="0" borderId="0" xfId="11" applyFont="1"/>
    <xf numFmtId="10" fontId="4" fillId="0" borderId="0" xfId="39" applyNumberFormat="1" applyFont="1"/>
    <xf numFmtId="0" fontId="4" fillId="0" borderId="0" xfId="0" applyFont="1" applyAlignment="1">
      <alignment horizontal="left"/>
    </xf>
    <xf numFmtId="10" fontId="4" fillId="0" borderId="1" xfId="39" applyNumberFormat="1" applyFont="1" applyBorder="1"/>
    <xf numFmtId="44" fontId="4" fillId="0" borderId="1" xfId="11" applyFont="1" applyBorder="1"/>
    <xf numFmtId="166" fontId="127" fillId="0" borderId="0" xfId="0" applyNumberFormat="1" applyFont="1" applyFill="1"/>
    <xf numFmtId="14" fontId="16" fillId="0" borderId="0" xfId="29" applyNumberFormat="1" applyFont="1" applyFill="1" applyBorder="1" applyAlignment="1">
      <alignment horizontal="center" wrapText="1"/>
    </xf>
    <xf numFmtId="0" fontId="128" fillId="0" borderId="0" xfId="29" applyNumberFormat="1" applyFont="1" applyFill="1" applyAlignment="1">
      <alignment horizontal="left"/>
    </xf>
    <xf numFmtId="41" fontId="129" fillId="0" borderId="0" xfId="362" applyNumberFormat="1" applyFont="1"/>
    <xf numFmtId="41" fontId="129" fillId="61" borderId="0" xfId="362" applyNumberFormat="1" applyFont="1" applyFill="1"/>
    <xf numFmtId="0" fontId="128" fillId="0" borderId="0" xfId="29" applyNumberFormat="1" applyFont="1" applyFill="1" applyAlignment="1">
      <alignment horizontal="center"/>
    </xf>
    <xf numFmtId="0" fontId="129" fillId="0" borderId="4" xfId="362" applyNumberFormat="1" applyFont="1" applyBorder="1" applyAlignment="1">
      <alignment horizontal="center" wrapText="1"/>
    </xf>
    <xf numFmtId="41" fontId="129" fillId="0" borderId="4" xfId="362" applyNumberFormat="1" applyFont="1" applyBorder="1"/>
    <xf numFmtId="41" fontId="129" fillId="0" borderId="4" xfId="362" applyNumberFormat="1" applyFont="1" applyBorder="1" applyAlignment="1">
      <alignment horizontal="center" wrapText="1"/>
    </xf>
    <xf numFmtId="41" fontId="129" fillId="0" borderId="4" xfId="21" applyNumberFormat="1" applyFont="1" applyFill="1" applyBorder="1" applyAlignment="1">
      <alignment horizontal="center" wrapText="1"/>
    </xf>
    <xf numFmtId="41" fontId="129" fillId="0" borderId="4" xfId="21" applyNumberFormat="1" applyFont="1" applyFill="1" applyBorder="1" applyAlignment="1">
      <alignment horizontal="center"/>
    </xf>
    <xf numFmtId="0" fontId="129" fillId="0" borderId="4" xfId="362" applyNumberFormat="1" applyFont="1" applyBorder="1" applyAlignment="1">
      <alignment horizontal="center"/>
    </xf>
    <xf numFmtId="0" fontId="131" fillId="0" borderId="4" xfId="362" applyNumberFormat="1" applyFont="1" applyFill="1" applyBorder="1" applyAlignment="1">
      <alignment horizontal="center"/>
    </xf>
    <xf numFmtId="41" fontId="131" fillId="0" borderId="4" xfId="362" applyNumberFormat="1" applyFont="1" applyFill="1" applyBorder="1"/>
    <xf numFmtId="41" fontId="131" fillId="0" borderId="4" xfId="29" applyNumberFormat="1" applyFont="1" applyFill="1" applyBorder="1"/>
    <xf numFmtId="0" fontId="131" fillId="0" borderId="4" xfId="362" applyNumberFormat="1" applyFont="1" applyFill="1" applyBorder="1" applyAlignment="1">
      <alignment horizontal="center" wrapText="1"/>
    </xf>
    <xf numFmtId="0" fontId="131" fillId="0" borderId="0" xfId="362" applyNumberFormat="1" applyFont="1" applyFill="1" applyAlignment="1">
      <alignment horizontal="center"/>
    </xf>
    <xf numFmtId="41" fontId="131" fillId="0" borderId="0" xfId="362" applyNumberFormat="1" applyFont="1" applyFill="1"/>
    <xf numFmtId="41" fontId="129" fillId="0" borderId="1" xfId="362" applyNumberFormat="1" applyFont="1" applyBorder="1"/>
    <xf numFmtId="41" fontId="129" fillId="0" borderId="0" xfId="362" applyNumberFormat="1" applyFont="1" applyBorder="1"/>
    <xf numFmtId="0" fontId="129" fillId="0" borderId="0" xfId="362" applyNumberFormat="1" applyFont="1" applyAlignment="1">
      <alignment horizontal="center"/>
    </xf>
    <xf numFmtId="41" fontId="129" fillId="0" borderId="2" xfId="362" applyNumberFormat="1" applyFont="1" applyBorder="1"/>
    <xf numFmtId="0" fontId="131" fillId="0" borderId="4" xfId="362" quotePrefix="1" applyNumberFormat="1" applyFont="1" applyFill="1" applyBorder="1" applyAlignment="1">
      <alignment horizontal="center"/>
    </xf>
    <xf numFmtId="41" fontId="129" fillId="0" borderId="3" xfId="362" applyNumberFormat="1" applyFont="1" applyBorder="1"/>
    <xf numFmtId="41" fontId="129" fillId="61" borderId="1" xfId="362" applyNumberFormat="1" applyFont="1" applyFill="1" applyBorder="1"/>
    <xf numFmtId="41" fontId="129" fillId="0" borderId="29" xfId="362" applyNumberFormat="1" applyFont="1" applyBorder="1"/>
    <xf numFmtId="14" fontId="16" fillId="0" borderId="0" xfId="0" applyNumberFormat="1" applyFont="1"/>
    <xf numFmtId="49" fontId="58" fillId="0" borderId="0" xfId="0" applyNumberFormat="1" applyFont="1" applyFill="1" applyAlignment="1">
      <alignment horizontal="center"/>
    </xf>
    <xf numFmtId="173" fontId="16" fillId="0" borderId="0" xfId="0" applyNumberFormat="1" applyFont="1" applyBorder="1"/>
    <xf numFmtId="0" fontId="81" fillId="0" borderId="0" xfId="0" applyFont="1" applyFill="1" applyAlignment="1">
      <alignment horizontal="left" indent="1"/>
    </xf>
    <xf numFmtId="43" fontId="27" fillId="0" borderId="0" xfId="3" applyFont="1" applyFill="1" applyAlignment="1">
      <alignment horizontal="left" indent="1"/>
    </xf>
    <xf numFmtId="43" fontId="0" fillId="0" borderId="0" xfId="3" applyFont="1" applyFill="1"/>
    <xf numFmtId="0" fontId="27" fillId="0" borderId="0" xfId="0" applyFont="1" applyFill="1"/>
    <xf numFmtId="185" fontId="45" fillId="0" borderId="0" xfId="0" applyNumberFormat="1" applyFont="1" applyFill="1" applyAlignment="1">
      <alignment horizontal="right"/>
    </xf>
    <xf numFmtId="199" fontId="129" fillId="0" borderId="0" xfId="362" applyNumberFormat="1" applyFont="1"/>
    <xf numFmtId="43" fontId="27" fillId="7" borderId="15" xfId="3" applyFont="1" applyFill="1" applyBorder="1"/>
    <xf numFmtId="43" fontId="27" fillId="7" borderId="0" xfId="3" applyFont="1" applyFill="1" applyBorder="1"/>
    <xf numFmtId="49" fontId="55" fillId="0" borderId="0" xfId="3" applyNumberFormat="1" applyFont="1" applyFill="1" applyAlignment="1">
      <alignment horizontal="left"/>
    </xf>
    <xf numFmtId="185" fontId="55" fillId="0" borderId="0" xfId="3" applyNumberFormat="1" applyFont="1" applyFill="1"/>
    <xf numFmtId="185" fontId="55" fillId="0" borderId="0" xfId="3" applyNumberFormat="1" applyFont="1" applyFill="1" applyAlignment="1">
      <alignment horizontal="center"/>
    </xf>
    <xf numFmtId="185" fontId="55" fillId="0" borderId="0" xfId="3" applyNumberFormat="1" applyFont="1" applyFill="1" applyAlignment="1">
      <alignment horizontal="right"/>
    </xf>
    <xf numFmtId="185" fontId="52" fillId="0" borderId="0" xfId="0" applyNumberFormat="1" applyFont="1" applyFill="1" applyAlignment="1">
      <alignment horizontal="left"/>
    </xf>
    <xf numFmtId="185" fontId="52" fillId="0" borderId="0" xfId="0" applyNumberFormat="1" applyFont="1" applyFill="1" applyAlignment="1">
      <alignment horizontal="center"/>
    </xf>
    <xf numFmtId="1" fontId="27" fillId="62" borderId="0" xfId="0" applyNumberFormat="1" applyFont="1" applyFill="1" applyAlignment="1">
      <alignment horizontal="left"/>
    </xf>
    <xf numFmtId="185" fontId="27" fillId="62" borderId="0" xfId="0" applyNumberFormat="1" applyFont="1" applyFill="1"/>
    <xf numFmtId="43" fontId="27" fillId="62" borderId="15" xfId="3" applyFont="1" applyFill="1" applyBorder="1"/>
    <xf numFmtId="43" fontId="27" fillId="62" borderId="0" xfId="3" applyFont="1" applyFill="1" applyBorder="1"/>
    <xf numFmtId="43" fontId="27" fillId="62" borderId="0" xfId="3" applyFont="1" applyFill="1" applyBorder="1" applyAlignment="1"/>
    <xf numFmtId="43" fontId="27" fillId="62" borderId="15" xfId="3" applyFont="1" applyFill="1" applyBorder="1" applyAlignment="1"/>
    <xf numFmtId="43" fontId="27" fillId="62" borderId="22" xfId="3" applyFont="1" applyFill="1" applyBorder="1" applyAlignment="1">
      <alignment horizontal="center"/>
    </xf>
    <xf numFmtId="43" fontId="27" fillId="62" borderId="0" xfId="3" applyFont="1" applyFill="1"/>
    <xf numFmtId="0" fontId="52" fillId="62" borderId="0" xfId="0" applyNumberFormat="1" applyFont="1" applyFill="1"/>
    <xf numFmtId="185" fontId="52" fillId="62" borderId="0" xfId="0" applyNumberFormat="1" applyFont="1" applyFill="1"/>
    <xf numFmtId="43" fontId="52" fillId="62" borderId="0" xfId="3" applyFont="1" applyFill="1"/>
    <xf numFmtId="43" fontId="52" fillId="62" borderId="0" xfId="0" applyNumberFormat="1" applyFont="1" applyFill="1"/>
    <xf numFmtId="1" fontId="27" fillId="62" borderId="0" xfId="0" quotePrefix="1" applyNumberFormat="1" applyFont="1" applyFill="1" applyAlignment="1">
      <alignment horizontal="left"/>
    </xf>
    <xf numFmtId="166" fontId="61" fillId="0" borderId="0" xfId="0" applyNumberFormat="1" applyFont="1" applyAlignment="1">
      <alignment horizontal="center"/>
    </xf>
    <xf numFmtId="185" fontId="71" fillId="0" borderId="1" xfId="43" applyFont="1" applyFill="1" applyBorder="1" applyAlignment="1">
      <alignment horizontal="center"/>
    </xf>
    <xf numFmtId="0" fontId="45" fillId="0" borderId="0" xfId="0" applyNumberFormat="1" applyFont="1" applyAlignment="1"/>
    <xf numFmtId="0" fontId="45" fillId="0" borderId="0" xfId="0" applyNumberFormat="1" applyFont="1" applyAlignment="1">
      <alignment horizontal="center"/>
    </xf>
    <xf numFmtId="0" fontId="45" fillId="0" borderId="18" xfId="0" applyNumberFormat="1" applyFont="1" applyBorder="1" applyAlignment="1">
      <alignment horizontal="center"/>
    </xf>
    <xf numFmtId="37" fontId="45" fillId="0" borderId="1" xfId="0" applyNumberFormat="1" applyFont="1" applyFill="1" applyBorder="1" applyAlignment="1">
      <alignment horizontal="center"/>
    </xf>
    <xf numFmtId="37" fontId="61" fillId="0" borderId="0" xfId="0" applyNumberFormat="1" applyFont="1"/>
    <xf numFmtId="0" fontId="61" fillId="0" borderId="0" xfId="0" applyNumberFormat="1" applyFont="1" applyAlignment="1"/>
    <xf numFmtId="0" fontId="61" fillId="0" borderId="0" xfId="363" applyFont="1"/>
    <xf numFmtId="0" fontId="45" fillId="0" borderId="0" xfId="363" applyFont="1"/>
    <xf numFmtId="41" fontId="45" fillId="0" borderId="0" xfId="363" applyNumberFormat="1" applyFont="1"/>
    <xf numFmtId="0" fontId="61" fillId="0" borderId="0" xfId="363" applyFont="1" applyFill="1"/>
    <xf numFmtId="0" fontId="45" fillId="0" borderId="0" xfId="363" applyFont="1" applyFill="1"/>
    <xf numFmtId="41" fontId="45" fillId="0" borderId="0" xfId="363" applyNumberFormat="1" applyFont="1" applyFill="1"/>
    <xf numFmtId="42" fontId="45" fillId="0" borderId="0" xfId="363" applyNumberFormat="1" applyFont="1" applyFill="1"/>
    <xf numFmtId="49" fontId="45" fillId="0" borderId="0" xfId="363" applyNumberFormat="1" applyFont="1"/>
    <xf numFmtId="166" fontId="45" fillId="0" borderId="0" xfId="363" applyNumberFormat="1" applyFont="1"/>
    <xf numFmtId="41" fontId="61" fillId="0" borderId="3" xfId="363" applyNumberFormat="1" applyFont="1" applyFill="1" applyBorder="1"/>
    <xf numFmtId="3" fontId="45" fillId="0" borderId="0" xfId="0" applyNumberFormat="1" applyFont="1"/>
    <xf numFmtId="178" fontId="61" fillId="0" borderId="0" xfId="43" applyNumberFormat="1" applyFont="1" applyFill="1" applyAlignment="1">
      <alignment horizontal="left"/>
    </xf>
    <xf numFmtId="0" fontId="45" fillId="0" borderId="0" xfId="0" applyFont="1" applyFill="1" applyBorder="1" applyAlignment="1">
      <alignment horizontal="left"/>
    </xf>
    <xf numFmtId="37" fontId="45" fillId="0" borderId="1" xfId="0" applyNumberFormat="1" applyFont="1" applyBorder="1"/>
    <xf numFmtId="0" fontId="45" fillId="0" borderId="1" xfId="0" applyFont="1" applyBorder="1" applyAlignment="1">
      <alignment horizontal="center" wrapText="1"/>
    </xf>
    <xf numFmtId="44" fontId="45" fillId="0" borderId="0" xfId="0" applyNumberFormat="1" applyFont="1" applyFill="1"/>
    <xf numFmtId="0" fontId="45" fillId="0" borderId="0" xfId="0" applyFont="1" applyFill="1" applyAlignment="1">
      <alignment horizontal="center"/>
    </xf>
    <xf numFmtId="44" fontId="45" fillId="0" borderId="0" xfId="0" applyNumberFormat="1" applyFont="1" applyFill="1" applyAlignment="1">
      <alignment horizontal="center"/>
    </xf>
    <xf numFmtId="10" fontId="45" fillId="0" borderId="0" xfId="39" applyNumberFormat="1" applyFont="1" applyFill="1" applyAlignment="1">
      <alignment horizontal="center"/>
    </xf>
    <xf numFmtId="44" fontId="45" fillId="0" borderId="0" xfId="11" applyFont="1" applyFill="1" applyBorder="1" applyAlignment="1">
      <alignment horizontal="center"/>
    </xf>
    <xf numFmtId="37" fontId="45" fillId="0" borderId="0" xfId="0" applyNumberFormat="1" applyFont="1" applyFill="1" applyBorder="1" applyAlignment="1">
      <alignment horizontal="center"/>
    </xf>
    <xf numFmtId="168" fontId="45" fillId="0" borderId="0" xfId="3" applyNumberFormat="1" applyFont="1" applyFill="1" applyBorder="1" applyAlignment="1">
      <alignment horizontal="center"/>
    </xf>
    <xf numFmtId="44" fontId="45" fillId="0" borderId="0" xfId="0" applyNumberFormat="1" applyFont="1" applyFill="1" applyBorder="1" applyAlignment="1">
      <alignment horizontal="center"/>
    </xf>
    <xf numFmtId="10" fontId="45" fillId="0" borderId="0" xfId="39" applyNumberFormat="1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/>
    </xf>
    <xf numFmtId="37" fontId="45" fillId="0" borderId="0" xfId="0" applyNumberFormat="1" applyFont="1" applyFill="1" applyBorder="1"/>
    <xf numFmtId="169" fontId="45" fillId="0" borderId="0" xfId="11" applyNumberFormat="1" applyFont="1" applyFill="1" applyBorder="1"/>
    <xf numFmtId="44" fontId="45" fillId="0" borderId="0" xfId="11" applyFont="1" applyFill="1" applyBorder="1"/>
    <xf numFmtId="44" fontId="45" fillId="0" borderId="0" xfId="0" applyNumberFormat="1" applyFont="1" applyFill="1" applyBorder="1"/>
    <xf numFmtId="43" fontId="45" fillId="0" borderId="0" xfId="3" applyFont="1" applyFill="1" applyBorder="1"/>
    <xf numFmtId="0" fontId="45" fillId="0" borderId="0" xfId="0" applyFont="1" applyFill="1" applyBorder="1" applyAlignment="1">
      <alignment horizontal="right"/>
    </xf>
    <xf numFmtId="169" fontId="45" fillId="0" borderId="0" xfId="3" applyNumberFormat="1" applyFont="1" applyFill="1" applyBorder="1"/>
    <xf numFmtId="44" fontId="45" fillId="0" borderId="0" xfId="11" applyFont="1" applyFill="1" applyAlignment="1"/>
    <xf numFmtId="43" fontId="45" fillId="0" borderId="0" xfId="3" applyFont="1" applyFill="1" applyAlignment="1"/>
    <xf numFmtId="43" fontId="45" fillId="0" borderId="0" xfId="3" applyFont="1" applyFill="1" applyBorder="1" applyAlignment="1">
      <alignment horizontal="center"/>
    </xf>
    <xf numFmtId="0" fontId="77" fillId="0" borderId="0" xfId="0" applyFont="1" applyFill="1" applyBorder="1"/>
    <xf numFmtId="43" fontId="45" fillId="0" borderId="0" xfId="3" applyFont="1" applyFill="1" applyAlignment="1">
      <alignment horizontal="left" indent="1"/>
    </xf>
    <xf numFmtId="10" fontId="45" fillId="0" borderId="0" xfId="39" applyNumberFormat="1" applyFont="1" applyFill="1" applyAlignment="1"/>
    <xf numFmtId="193" fontId="45" fillId="0" borderId="0" xfId="3" applyNumberFormat="1" applyFont="1" applyFill="1" applyAlignment="1"/>
    <xf numFmtId="43" fontId="45" fillId="0" borderId="0" xfId="0" applyNumberFormat="1" applyFont="1" applyFill="1" applyBorder="1"/>
    <xf numFmtId="197" fontId="61" fillId="0" borderId="0" xfId="0" applyNumberFormat="1" applyFont="1" applyFill="1" applyAlignment="1">
      <alignment horizontal="left"/>
    </xf>
    <xf numFmtId="197" fontId="45" fillId="0" borderId="0" xfId="0" applyNumberFormat="1" applyFont="1" applyFill="1"/>
    <xf numFmtId="197" fontId="45" fillId="0" borderId="0" xfId="0" applyNumberFormat="1" applyFont="1" applyFill="1" applyAlignment="1">
      <alignment horizontal="left"/>
    </xf>
    <xf numFmtId="197" fontId="61" fillId="0" borderId="0" xfId="0" applyNumberFormat="1" applyFont="1" applyFill="1" applyAlignment="1">
      <alignment horizontal="right"/>
    </xf>
    <xf numFmtId="180" fontId="61" fillId="0" borderId="0" xfId="0" applyNumberFormat="1" applyFont="1" applyFill="1" applyAlignment="1"/>
    <xf numFmtId="197" fontId="76" fillId="0" borderId="0" xfId="0" applyNumberFormat="1" applyFont="1" applyFill="1" applyAlignment="1">
      <alignment horizontal="left"/>
    </xf>
    <xf numFmtId="197" fontId="76" fillId="0" borderId="0" xfId="0" applyNumberFormat="1" applyFont="1" applyFill="1" applyAlignment="1">
      <alignment horizontal="center"/>
    </xf>
    <xf numFmtId="168" fontId="45" fillId="0" borderId="1" xfId="0" applyNumberFormat="1" applyFont="1" applyBorder="1"/>
    <xf numFmtId="43" fontId="45" fillId="0" borderId="1" xfId="0" applyNumberFormat="1" applyFont="1" applyBorder="1"/>
    <xf numFmtId="0" fontId="15" fillId="0" borderId="1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left" indent="1"/>
    </xf>
    <xf numFmtId="168" fontId="16" fillId="0" borderId="3" xfId="6" applyNumberFormat="1" applyFont="1" applyFill="1" applyBorder="1"/>
    <xf numFmtId="168" fontId="16" fillId="0" borderId="0" xfId="6" applyNumberFormat="1" applyFont="1" applyFill="1" applyBorder="1"/>
    <xf numFmtId="168" fontId="16" fillId="0" borderId="0" xfId="6" applyNumberFormat="1" applyFont="1" applyFill="1"/>
    <xf numFmtId="0" fontId="15" fillId="0" borderId="1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41" fontId="74" fillId="0" borderId="0" xfId="0" applyNumberFormat="1" applyFont="1" applyFill="1"/>
    <xf numFmtId="14" fontId="15" fillId="0" borderId="0" xfId="0" applyNumberFormat="1" applyFont="1"/>
    <xf numFmtId="1" fontId="16" fillId="0" borderId="0" xfId="0" applyNumberFormat="1" applyFont="1"/>
    <xf numFmtId="0" fontId="133" fillId="0" borderId="0" xfId="24" applyFont="1"/>
    <xf numFmtId="9" fontId="16" fillId="0" borderId="1" xfId="39" applyFont="1" applyFill="1" applyBorder="1" applyAlignment="1">
      <alignment horizontal="center"/>
    </xf>
    <xf numFmtId="194" fontId="133" fillId="0" borderId="0" xfId="24" applyNumberFormat="1" applyFont="1"/>
    <xf numFmtId="43" fontId="133" fillId="0" borderId="0" xfId="24" applyNumberFormat="1" applyFont="1"/>
    <xf numFmtId="37" fontId="134" fillId="0" borderId="0" xfId="24" applyNumberFormat="1" applyFont="1"/>
    <xf numFmtId="0" fontId="134" fillId="0" borderId="0" xfId="24" applyFont="1" applyFill="1"/>
    <xf numFmtId="0" fontId="134" fillId="0" borderId="0" xfId="24" applyFont="1"/>
    <xf numFmtId="43" fontId="61" fillId="0" borderId="0" xfId="3" applyFont="1" applyAlignment="1">
      <alignment horizontal="center"/>
    </xf>
    <xf numFmtId="185" fontId="61" fillId="0" borderId="0" xfId="0" applyNumberFormat="1" applyFont="1" applyAlignment="1">
      <alignment horizontal="center"/>
    </xf>
    <xf numFmtId="185" fontId="45" fillId="0" borderId="1" xfId="0" applyNumberFormat="1" applyFont="1" applyBorder="1"/>
    <xf numFmtId="185" fontId="77" fillId="0" borderId="0" xfId="0" applyNumberFormat="1" applyFont="1"/>
    <xf numFmtId="0" fontId="61" fillId="0" borderId="0" xfId="0" applyNumberFormat="1" applyFont="1" applyAlignment="1">
      <alignment horizontal="center"/>
    </xf>
    <xf numFmtId="185" fontId="78" fillId="0" borderId="0" xfId="0" applyNumberFormat="1" applyFont="1" applyFill="1" applyAlignment="1">
      <alignment horizontal="center"/>
    </xf>
    <xf numFmtId="166" fontId="78" fillId="0" borderId="0" xfId="0" applyNumberFormat="1" applyFont="1" applyFill="1" applyAlignment="1">
      <alignment horizontal="center"/>
    </xf>
    <xf numFmtId="168" fontId="78" fillId="0" borderId="0" xfId="3" applyNumberFormat="1" applyFont="1" applyFill="1" applyAlignment="1">
      <alignment horizontal="center"/>
    </xf>
    <xf numFmtId="9" fontId="78" fillId="0" borderId="0" xfId="39" applyFont="1" applyFill="1" applyAlignment="1">
      <alignment horizontal="center"/>
    </xf>
    <xf numFmtId="44" fontId="78" fillId="0" borderId="0" xfId="11" applyFont="1" applyFill="1" applyAlignment="1">
      <alignment horizontal="center"/>
    </xf>
    <xf numFmtId="43" fontId="78" fillId="0" borderId="0" xfId="3" applyFont="1" applyFill="1" applyAlignment="1">
      <alignment horizontal="center"/>
    </xf>
    <xf numFmtId="0" fontId="78" fillId="0" borderId="0" xfId="3" applyNumberFormat="1" applyFont="1" applyFill="1" applyAlignment="1">
      <alignment horizontal="center"/>
    </xf>
    <xf numFmtId="0" fontId="45" fillId="0" borderId="1" xfId="0" applyNumberFormat="1" applyFont="1" applyBorder="1" applyAlignment="1">
      <alignment horizontal="left"/>
    </xf>
    <xf numFmtId="0" fontId="45" fillId="0" borderId="0" xfId="0" applyNumberFormat="1" applyFont="1" applyBorder="1" applyAlignment="1">
      <alignment horizontal="left"/>
    </xf>
    <xf numFmtId="0" fontId="45" fillId="0" borderId="1" xfId="363" applyFont="1" applyBorder="1"/>
    <xf numFmtId="14" fontId="45" fillId="0" borderId="1" xfId="363" applyNumberFormat="1" applyFont="1" applyBorder="1"/>
    <xf numFmtId="0" fontId="61" fillId="0" borderId="0" xfId="363" applyFont="1" applyAlignment="1">
      <alignment horizontal="center"/>
    </xf>
    <xf numFmtId="41" fontId="61" fillId="0" borderId="0" xfId="363" applyNumberFormat="1" applyFont="1" applyAlignment="1">
      <alignment horizontal="center"/>
    </xf>
    <xf numFmtId="178" fontId="15" fillId="0" borderId="0" xfId="0" applyNumberFormat="1" applyFont="1" applyFill="1" applyAlignment="1"/>
    <xf numFmtId="0" fontId="0" fillId="0" borderId="0" xfId="0" applyFill="1" applyAlignment="1"/>
    <xf numFmtId="0" fontId="15" fillId="0" borderId="0" xfId="0" applyFont="1" applyFill="1" applyAlignment="1">
      <alignment horizontal="center"/>
    </xf>
    <xf numFmtId="178" fontId="15" fillId="0" borderId="0" xfId="0" applyNumberFormat="1" applyFont="1" applyFill="1" applyAlignment="1">
      <alignment horizontal="center"/>
    </xf>
    <xf numFmtId="38" fontId="15" fillId="0" borderId="0" xfId="0" applyNumberFormat="1" applyFont="1" applyFill="1" applyAlignment="1">
      <alignment horizontal="center"/>
    </xf>
    <xf numFmtId="185" fontId="72" fillId="0" borderId="1" xfId="41" applyFont="1" applyFill="1" applyBorder="1"/>
    <xf numFmtId="37" fontId="71" fillId="0" borderId="1" xfId="44" applyNumberFormat="1" applyFont="1" applyFill="1" applyBorder="1" applyAlignment="1">
      <alignment horizontal="center"/>
    </xf>
    <xf numFmtId="37" fontId="71" fillId="0" borderId="1" xfId="44" applyNumberFormat="1" applyFont="1" applyFill="1" applyBorder="1" applyAlignment="1">
      <alignment horizontal="center" wrapText="1"/>
    </xf>
    <xf numFmtId="42" fontId="71" fillId="0" borderId="1" xfId="43" applyNumberFormat="1" applyFont="1" applyFill="1" applyBorder="1" applyAlignment="1">
      <alignment horizontal="center"/>
    </xf>
    <xf numFmtId="185" fontId="71" fillId="0" borderId="1" xfId="43" applyFont="1" applyFill="1" applyBorder="1"/>
    <xf numFmtId="169" fontId="71" fillId="0" borderId="1" xfId="45" applyNumberFormat="1" applyFont="1" applyFill="1" applyBorder="1" applyAlignment="1"/>
    <xf numFmtId="168" fontId="71" fillId="0" borderId="1" xfId="46" applyNumberFormat="1" applyFont="1" applyFill="1" applyBorder="1" applyAlignment="1"/>
    <xf numFmtId="39" fontId="71" fillId="0" borderId="1" xfId="44" applyNumberFormat="1" applyFont="1" applyFill="1" applyBorder="1" applyAlignment="1"/>
    <xf numFmtId="185" fontId="73" fillId="0" borderId="0" xfId="41" applyFont="1" applyFill="1" applyAlignment="1">
      <alignment horizontal="center"/>
    </xf>
    <xf numFmtId="37" fontId="70" fillId="0" borderId="0" xfId="44" applyNumberFormat="1" applyFont="1" applyFill="1" applyAlignment="1">
      <alignment horizontal="center"/>
    </xf>
    <xf numFmtId="168" fontId="70" fillId="0" borderId="0" xfId="42" applyNumberFormat="1" applyFont="1" applyFill="1" applyAlignment="1">
      <alignment horizontal="center"/>
    </xf>
    <xf numFmtId="192" fontId="70" fillId="0" borderId="0" xfId="42" applyNumberFormat="1" applyFont="1" applyFill="1" applyAlignment="1">
      <alignment horizontal="center"/>
    </xf>
    <xf numFmtId="169" fontId="70" fillId="0" borderId="0" xfId="42" applyNumberFormat="1" applyFont="1" applyFill="1" applyAlignment="1">
      <alignment horizontal="center"/>
    </xf>
    <xf numFmtId="168" fontId="70" fillId="0" borderId="0" xfId="3" applyNumberFormat="1" applyFont="1" applyFill="1" applyAlignment="1">
      <alignment horizontal="center"/>
    </xf>
    <xf numFmtId="168" fontId="70" fillId="0" borderId="0" xfId="42" applyNumberFormat="1" applyFont="1" applyFill="1" applyBorder="1" applyAlignment="1">
      <alignment horizontal="center"/>
    </xf>
    <xf numFmtId="192" fontId="70" fillId="0" borderId="0" xfId="42" applyNumberFormat="1" applyFont="1" applyFill="1" applyBorder="1" applyAlignment="1">
      <alignment horizontal="center"/>
    </xf>
    <xf numFmtId="169" fontId="70" fillId="0" borderId="0" xfId="44" applyNumberFormat="1" applyFont="1" applyFill="1" applyAlignment="1">
      <alignment horizontal="center"/>
    </xf>
    <xf numFmtId="0" fontId="73" fillId="0" borderId="0" xfId="41" applyNumberFormat="1" applyFont="1" applyFill="1" applyAlignment="1">
      <alignment horizontal="center"/>
    </xf>
    <xf numFmtId="185" fontId="72" fillId="0" borderId="1" xfId="41" applyFont="1" applyFill="1" applyBorder="1" applyAlignment="1">
      <alignment horizontal="center"/>
    </xf>
    <xf numFmtId="37" fontId="45" fillId="0" borderId="1" xfId="0" applyNumberFormat="1" applyFont="1" applyBorder="1" applyAlignment="1">
      <alignment horizontal="center"/>
    </xf>
    <xf numFmtId="0" fontId="45" fillId="0" borderId="1" xfId="0" applyFont="1" applyBorder="1" applyAlignment="1">
      <alignment horizontal="center"/>
    </xf>
    <xf numFmtId="37" fontId="61" fillId="0" borderId="0" xfId="0" applyNumberFormat="1" applyFont="1" applyAlignment="1">
      <alignment horizontal="center"/>
    </xf>
    <xf numFmtId="0" fontId="45" fillId="0" borderId="1" xfId="0" applyFont="1" applyFill="1" applyBorder="1"/>
    <xf numFmtId="44" fontId="45" fillId="0" borderId="1" xfId="11" applyFont="1" applyFill="1" applyBorder="1" applyAlignment="1">
      <alignment horizontal="center"/>
    </xf>
    <xf numFmtId="168" fontId="45" fillId="0" borderId="1" xfId="3" applyNumberFormat="1" applyFont="1" applyFill="1" applyBorder="1" applyAlignment="1">
      <alignment horizontal="center"/>
    </xf>
    <xf numFmtId="44" fontId="45" fillId="0" borderId="1" xfId="0" applyNumberFormat="1" applyFont="1" applyFill="1" applyBorder="1" applyAlignment="1">
      <alignment horizontal="center"/>
    </xf>
    <xf numFmtId="10" fontId="45" fillId="0" borderId="1" xfId="39" applyNumberFormat="1" applyFont="1" applyFill="1" applyBorder="1" applyAlignment="1">
      <alignment horizontal="center"/>
    </xf>
    <xf numFmtId="0" fontId="45" fillId="0" borderId="1" xfId="0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44" fontId="61" fillId="0" borderId="0" xfId="0" applyNumberFormat="1" applyFont="1" applyFill="1" applyAlignment="1">
      <alignment horizontal="center"/>
    </xf>
    <xf numFmtId="10" fontId="61" fillId="0" borderId="0" xfId="39" applyNumberFormat="1" applyFont="1" applyFill="1" applyAlignment="1">
      <alignment horizontal="center"/>
    </xf>
    <xf numFmtId="168" fontId="61" fillId="0" borderId="0" xfId="3" applyNumberFormat="1" applyFont="1" applyAlignment="1">
      <alignment horizontal="center"/>
    </xf>
    <xf numFmtId="43" fontId="61" fillId="0" borderId="0" xfId="0" applyNumberFormat="1" applyFont="1" applyAlignment="1">
      <alignment horizontal="center"/>
    </xf>
    <xf numFmtId="43" fontId="76" fillId="0" borderId="0" xfId="3" applyFont="1" applyFill="1" applyAlignment="1"/>
    <xf numFmtId="197" fontId="61" fillId="0" borderId="0" xfId="0" applyNumberFormat="1" applyFont="1" applyFill="1" applyAlignment="1">
      <alignment horizontal="center"/>
    </xf>
    <xf numFmtId="0" fontId="16" fillId="0" borderId="1" xfId="0" applyFont="1" applyBorder="1"/>
    <xf numFmtId="166" fontId="15" fillId="0" borderId="0" xfId="0" applyNumberFormat="1" applyFont="1" applyAlignment="1">
      <alignment horizontal="center"/>
    </xf>
    <xf numFmtId="37" fontId="15" fillId="0" borderId="0" xfId="0" applyNumberFormat="1" applyFont="1" applyBorder="1" applyAlignment="1">
      <alignment horizontal="center"/>
    </xf>
    <xf numFmtId="37" fontId="45" fillId="0" borderId="0" xfId="0" applyNumberFormat="1" applyFont="1" applyAlignment="1" applyProtection="1">
      <alignment horizontal="left"/>
      <protection locked="0"/>
    </xf>
    <xf numFmtId="191" fontId="45" fillId="0" borderId="0" xfId="0" applyNumberFormat="1" applyFont="1" applyAlignment="1" applyProtection="1">
      <alignment horizontal="left"/>
      <protection locked="0"/>
    </xf>
    <xf numFmtId="0" fontId="45" fillId="0" borderId="0" xfId="0" applyFont="1" applyAlignment="1" applyProtection="1">
      <alignment horizontal="left"/>
      <protection locked="0"/>
    </xf>
    <xf numFmtId="37" fontId="15" fillId="0" borderId="0" xfId="37" applyNumberFormat="1" applyFont="1" applyFill="1" applyAlignment="1">
      <alignment horizontal="center"/>
    </xf>
    <xf numFmtId="0" fontId="15" fillId="0" borderId="0" xfId="16" applyFont="1" applyFill="1" applyAlignment="1">
      <alignment horizontal="center"/>
    </xf>
    <xf numFmtId="10" fontId="15" fillId="0" borderId="0" xfId="40" applyNumberFormat="1" applyFont="1" applyFill="1" applyAlignment="1">
      <alignment horizontal="center"/>
    </xf>
    <xf numFmtId="10" fontId="15" fillId="0" borderId="0" xfId="40" applyNumberFormat="1" applyFont="1" applyFill="1" applyBorder="1" applyAlignment="1">
      <alignment horizontal="center"/>
    </xf>
    <xf numFmtId="10" fontId="21" fillId="0" borderId="0" xfId="40" applyNumberFormat="1" applyFont="1" applyFill="1" applyBorder="1" applyAlignment="1">
      <alignment horizontal="center"/>
    </xf>
    <xf numFmtId="0" fontId="15" fillId="0" borderId="0" xfId="34" applyFont="1" applyFill="1" applyAlignment="1">
      <alignment horizontal="center"/>
    </xf>
    <xf numFmtId="37" fontId="61" fillId="0" borderId="1" xfId="37" applyNumberFormat="1" applyFont="1" applyFill="1" applyBorder="1" applyAlignment="1">
      <alignment horizontal="left"/>
    </xf>
    <xf numFmtId="0" fontId="61" fillId="0" borderId="1" xfId="0" applyFont="1" applyFill="1" applyBorder="1"/>
    <xf numFmtId="0" fontId="61" fillId="0" borderId="0" xfId="0" applyFont="1" applyFill="1" applyBorder="1"/>
    <xf numFmtId="0" fontId="61" fillId="0" borderId="0" xfId="38" quotePrefix="1" applyNumberFormat="1" applyFont="1" applyFill="1" applyAlignment="1">
      <alignment horizontal="center"/>
    </xf>
    <xf numFmtId="168" fontId="61" fillId="0" borderId="0" xfId="7" applyNumberFormat="1" applyFont="1" applyFill="1" applyBorder="1" applyAlignment="1">
      <alignment horizontal="center"/>
    </xf>
    <xf numFmtId="185" fontId="61" fillId="0" borderId="0" xfId="0" applyNumberFormat="1" applyFont="1" applyFill="1" applyAlignment="1">
      <alignment horizontal="center"/>
    </xf>
    <xf numFmtId="0" fontId="134" fillId="0" borderId="0" xfId="24" applyFont="1" applyAlignment="1">
      <alignment horizontal="center"/>
    </xf>
    <xf numFmtId="0" fontId="56" fillId="0" borderId="0" xfId="16" applyFont="1" applyFill="1" applyAlignment="1">
      <alignment vertical="center"/>
    </xf>
    <xf numFmtId="0" fontId="52" fillId="0" borderId="0" xfId="16" applyFont="1" applyFill="1" applyAlignment="1">
      <alignment vertical="center"/>
    </xf>
    <xf numFmtId="0" fontId="55" fillId="0" borderId="0" xfId="16" applyFont="1" applyFill="1" applyAlignment="1">
      <alignment horizontal="center" vertical="center"/>
    </xf>
    <xf numFmtId="10" fontId="52" fillId="0" borderId="0" xfId="40" applyNumberFormat="1" applyFont="1" applyFill="1" applyAlignment="1">
      <alignment vertical="center"/>
    </xf>
    <xf numFmtId="10" fontId="52" fillId="0" borderId="0" xfId="39" applyNumberFormat="1" applyFont="1" applyFill="1" applyAlignment="1">
      <alignment vertical="center"/>
    </xf>
    <xf numFmtId="10" fontId="52" fillId="7" borderId="0" xfId="40" applyNumberFormat="1" applyFont="1" applyFill="1" applyAlignment="1">
      <alignment vertical="center"/>
    </xf>
    <xf numFmtId="187" fontId="52" fillId="0" borderId="0" xfId="3" applyNumberFormat="1" applyFont="1" applyFill="1" applyAlignment="1">
      <alignment vertical="center"/>
    </xf>
    <xf numFmtId="169" fontId="45" fillId="0" borderId="0" xfId="11" applyNumberFormat="1" applyFont="1"/>
    <xf numFmtId="0" fontId="45" fillId="0" borderId="1" xfId="0" applyFont="1" applyBorder="1"/>
    <xf numFmtId="169" fontId="45" fillId="0" borderId="0" xfId="0" applyNumberFormat="1" applyFont="1"/>
    <xf numFmtId="9" fontId="45" fillId="0" borderId="1" xfId="39" applyFont="1" applyBorder="1"/>
    <xf numFmtId="168" fontId="45" fillId="0" borderId="1" xfId="3" applyNumberFormat="1" applyFont="1" applyBorder="1"/>
    <xf numFmtId="169" fontId="45" fillId="0" borderId="1" xfId="0" applyNumberFormat="1" applyFont="1" applyBorder="1"/>
    <xf numFmtId="169" fontId="45" fillId="0" borderId="3" xfId="0" applyNumberFormat="1" applyFont="1" applyBorder="1"/>
    <xf numFmtId="9" fontId="45" fillId="0" borderId="3" xfId="39" applyFont="1" applyBorder="1"/>
    <xf numFmtId="43" fontId="52" fillId="0" borderId="0" xfId="3" applyFont="1" applyFill="1" applyAlignment="1">
      <alignment vertical="center"/>
    </xf>
    <xf numFmtId="0" fontId="56" fillId="0" borderId="0" xfId="0" applyFont="1"/>
    <xf numFmtId="0" fontId="52" fillId="0" borderId="0" xfId="0" applyFont="1"/>
    <xf numFmtId="0" fontId="56" fillId="0" borderId="0" xfId="0" applyFont="1" applyAlignment="1">
      <alignment horizontal="right"/>
    </xf>
    <xf numFmtId="0" fontId="136" fillId="0" borderId="0" xfId="344" applyFont="1"/>
    <xf numFmtId="43" fontId="136" fillId="0" borderId="0" xfId="344" applyNumberFormat="1" applyFont="1"/>
    <xf numFmtId="0" fontId="137" fillId="0" borderId="0" xfId="365" applyFont="1"/>
    <xf numFmtId="43" fontId="52" fillId="0" borderId="0" xfId="366" applyFont="1"/>
    <xf numFmtId="0" fontId="138" fillId="0" borderId="0" xfId="365" applyFont="1"/>
    <xf numFmtId="197" fontId="138" fillId="0" borderId="0" xfId="366" applyNumberFormat="1" applyFont="1"/>
    <xf numFmtId="0" fontId="137" fillId="0" borderId="0" xfId="365" applyNumberFormat="1" applyFont="1"/>
    <xf numFmtId="4" fontId="137" fillId="0" borderId="0" xfId="365" applyNumberFormat="1" applyFont="1"/>
    <xf numFmtId="43" fontId="138" fillId="0" borderId="3" xfId="366" applyFont="1" applyBorder="1"/>
    <xf numFmtId="43" fontId="52" fillId="0" borderId="0" xfId="366" applyFont="1" applyFill="1"/>
    <xf numFmtId="0" fontId="137" fillId="0" borderId="0" xfId="365" applyFont="1" applyAlignment="1">
      <alignment horizontal="right"/>
    </xf>
    <xf numFmtId="0" fontId="138" fillId="0" borderId="0" xfId="365" applyFont="1" applyAlignment="1">
      <alignment horizontal="right"/>
    </xf>
    <xf numFmtId="0" fontId="137" fillId="0" borderId="33" xfId="365" applyFont="1" applyBorder="1" applyAlignment="1">
      <alignment horizontal="right"/>
    </xf>
    <xf numFmtId="43" fontId="137" fillId="0" borderId="8" xfId="365" applyNumberFormat="1" applyFont="1" applyBorder="1"/>
    <xf numFmtId="0" fontId="137" fillId="0" borderId="15" xfId="365" applyFont="1" applyBorder="1" applyAlignment="1">
      <alignment horizontal="right"/>
    </xf>
    <xf numFmtId="43" fontId="137" fillId="0" borderId="22" xfId="3" applyFont="1" applyBorder="1"/>
    <xf numFmtId="0" fontId="137" fillId="0" borderId="23" xfId="365" applyFont="1" applyBorder="1" applyAlignment="1">
      <alignment horizontal="right"/>
    </xf>
    <xf numFmtId="43" fontId="137" fillId="0" borderId="25" xfId="365" applyNumberFormat="1" applyFont="1" applyBorder="1"/>
    <xf numFmtId="180" fontId="27" fillId="0" borderId="0" xfId="277" applyNumberFormat="1" applyFont="1" applyFill="1" applyAlignment="1"/>
    <xf numFmtId="168" fontId="27" fillId="7" borderId="0" xfId="361" applyNumberFormat="1" applyFont="1" applyFill="1"/>
    <xf numFmtId="10" fontId="75" fillId="7" borderId="0" xfId="39" applyNumberFormat="1" applyFont="1" applyFill="1"/>
    <xf numFmtId="0" fontId="71" fillId="0" borderId="0" xfId="67" applyNumberFormat="1" applyFont="1" applyFill="1"/>
    <xf numFmtId="44" fontId="70" fillId="0" borderId="0" xfId="63" applyFont="1" applyFill="1" applyBorder="1" applyAlignment="1"/>
    <xf numFmtId="185" fontId="71" fillId="0" borderId="0" xfId="43" applyFont="1" applyFill="1" applyAlignment="1">
      <alignment horizontal="center" wrapText="1"/>
    </xf>
    <xf numFmtId="44" fontId="70" fillId="0" borderId="0" xfId="65" applyNumberFormat="1" applyFont="1" applyFill="1" applyBorder="1" applyAlignment="1"/>
    <xf numFmtId="37" fontId="45" fillId="0" borderId="0" xfId="0" applyNumberFormat="1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 wrapText="1"/>
    </xf>
    <xf numFmtId="37" fontId="61" fillId="0" borderId="0" xfId="0" applyNumberFormat="1" applyFont="1" applyBorder="1"/>
    <xf numFmtId="0" fontId="45" fillId="0" borderId="6" xfId="0" applyFont="1" applyFill="1" applyBorder="1" applyAlignment="1">
      <alignment horizontal="left"/>
    </xf>
    <xf numFmtId="0" fontId="61" fillId="0" borderId="3" xfId="0" applyFont="1" applyBorder="1"/>
    <xf numFmtId="37" fontId="61" fillId="0" borderId="3" xfId="0" applyNumberFormat="1" applyFont="1" applyBorder="1"/>
    <xf numFmtId="3" fontId="61" fillId="0" borderId="3" xfId="0" applyNumberFormat="1" applyFont="1" applyBorder="1"/>
    <xf numFmtId="168" fontId="52" fillId="0" borderId="0" xfId="3" applyNumberFormat="1" applyFont="1"/>
    <xf numFmtId="0" fontId="56" fillId="0" borderId="1" xfId="0" applyFont="1" applyBorder="1" applyAlignment="1">
      <alignment horizontal="center"/>
    </xf>
    <xf numFmtId="0" fontId="56" fillId="0" borderId="0" xfId="0" applyFont="1" applyAlignment="1">
      <alignment horizontal="center"/>
    </xf>
    <xf numFmtId="166" fontId="139" fillId="0" borderId="0" xfId="0" applyNumberFormat="1" applyFont="1" applyFill="1"/>
    <xf numFmtId="38" fontId="139" fillId="0" borderId="0" xfId="0" applyNumberFormat="1" applyFont="1" applyFill="1"/>
    <xf numFmtId="37" fontId="138" fillId="0" borderId="0" xfId="24" applyNumberFormat="1" applyFont="1"/>
    <xf numFmtId="0" fontId="138" fillId="0" borderId="0" xfId="24" applyFont="1" applyFill="1"/>
    <xf numFmtId="0" fontId="138" fillId="0" borderId="0" xfId="24" applyFont="1"/>
    <xf numFmtId="169" fontId="52" fillId="0" borderId="0" xfId="11" applyNumberFormat="1" applyFont="1"/>
    <xf numFmtId="169" fontId="52" fillId="0" borderId="3" xfId="11" applyNumberFormat="1" applyFont="1" applyBorder="1"/>
    <xf numFmtId="0" fontId="16" fillId="0" borderId="1" xfId="39" applyNumberFormat="1" applyFont="1" applyFill="1" applyBorder="1"/>
    <xf numFmtId="37" fontId="140" fillId="0" borderId="0" xfId="36" applyNumberFormat="1" applyFont="1" applyFill="1" applyBorder="1"/>
    <xf numFmtId="0" fontId="52" fillId="0" borderId="0" xfId="0" applyFont="1" applyAlignment="1">
      <alignment horizontal="left"/>
    </xf>
    <xf numFmtId="169" fontId="52" fillId="0" borderId="0" xfId="0" applyNumberFormat="1" applyFont="1"/>
    <xf numFmtId="169" fontId="52" fillId="0" borderId="0" xfId="11" applyNumberFormat="1" applyFont="1" applyAlignment="1">
      <alignment horizontal="center"/>
    </xf>
    <xf numFmtId="169" fontId="52" fillId="0" borderId="3" xfId="11" applyNumberFormat="1" applyFont="1" applyBorder="1" applyAlignment="1">
      <alignment horizontal="center"/>
    </xf>
    <xf numFmtId="43" fontId="52" fillId="0" borderId="0" xfId="3" applyFont="1"/>
    <xf numFmtId="43" fontId="52" fillId="0" borderId="0" xfId="3" applyFont="1" applyAlignment="1">
      <alignment horizontal="center"/>
    </xf>
    <xf numFmtId="0" fontId="139" fillId="0" borderId="0" xfId="0" applyFont="1"/>
    <xf numFmtId="0" fontId="141" fillId="0" borderId="0" xfId="0" applyFont="1"/>
    <xf numFmtId="43" fontId="141" fillId="0" borderId="0" xfId="3" applyFont="1" applyAlignment="1">
      <alignment horizontal="center"/>
    </xf>
    <xf numFmtId="43" fontId="141" fillId="0" borderId="1" xfId="3" applyFont="1" applyBorder="1" applyAlignment="1">
      <alignment horizontal="center"/>
    </xf>
    <xf numFmtId="0" fontId="80" fillId="0" borderId="0" xfId="0" applyFont="1"/>
    <xf numFmtId="183" fontId="56" fillId="0" borderId="1" xfId="359" applyNumberFormat="1" applyFont="1" applyFill="1" applyBorder="1" applyAlignment="1">
      <alignment horizontal="center" wrapText="1"/>
    </xf>
    <xf numFmtId="183" fontId="56" fillId="0" borderId="1" xfId="359" applyNumberFormat="1" applyFont="1" applyFill="1" applyBorder="1" applyAlignment="1">
      <alignment horizontal="center"/>
    </xf>
    <xf numFmtId="183" fontId="56" fillId="0" borderId="0" xfId="359" applyNumberFormat="1" applyFont="1" applyFill="1" applyBorder="1" applyAlignment="1">
      <alignment horizontal="center"/>
    </xf>
    <xf numFmtId="43" fontId="56" fillId="0" borderId="1" xfId="361" applyFont="1" applyFill="1" applyBorder="1" applyAlignment="1">
      <alignment horizontal="center" wrapText="1"/>
    </xf>
    <xf numFmtId="169" fontId="80" fillId="0" borderId="0" xfId="11" applyNumberFormat="1" applyFont="1"/>
    <xf numFmtId="169" fontId="80" fillId="0" borderId="3" xfId="11" applyNumberFormat="1" applyFont="1" applyBorder="1"/>
    <xf numFmtId="0" fontId="52" fillId="0" borderId="0" xfId="0" applyFont="1" applyBorder="1"/>
    <xf numFmtId="0" fontId="52" fillId="0" borderId="0" xfId="0" applyFont="1" applyAlignment="1">
      <alignment wrapText="1"/>
    </xf>
    <xf numFmtId="0" fontId="56" fillId="0" borderId="0" xfId="0" applyNumberFormat="1" applyFont="1" applyFill="1" applyBorder="1" applyAlignment="1" applyProtection="1">
      <alignment wrapText="1"/>
    </xf>
    <xf numFmtId="0" fontId="56" fillId="0" borderId="0" xfId="3" applyNumberFormat="1" applyFont="1" applyFill="1" applyBorder="1" applyAlignment="1" applyProtection="1">
      <alignment wrapText="1"/>
    </xf>
    <xf numFmtId="0" fontId="56" fillId="0" borderId="6" xfId="0" applyNumberFormat="1" applyFont="1" applyFill="1" applyBorder="1" applyAlignment="1" applyProtection="1">
      <alignment wrapText="1"/>
    </xf>
    <xf numFmtId="0" fontId="56" fillId="0" borderId="6" xfId="3" applyNumberFormat="1" applyFont="1" applyFill="1" applyBorder="1" applyAlignment="1" applyProtection="1">
      <alignment wrapText="1"/>
    </xf>
    <xf numFmtId="0" fontId="56" fillId="0" borderId="0" xfId="0" applyNumberFormat="1" applyFont="1" applyFill="1" applyBorder="1" applyAlignment="1" applyProtection="1"/>
    <xf numFmtId="0" fontId="56" fillId="0" borderId="0" xfId="3" applyNumberFormat="1" applyFont="1" applyFill="1" applyBorder="1" applyAlignment="1" applyProtection="1"/>
    <xf numFmtId="0" fontId="52" fillId="0" borderId="0" xfId="0" applyFont="1" applyAlignment="1"/>
    <xf numFmtId="49" fontId="52" fillId="0" borderId="0" xfId="0" applyNumberFormat="1" applyFont="1" applyFill="1" applyBorder="1" applyAlignment="1" applyProtection="1"/>
    <xf numFmtId="168" fontId="52" fillId="0" borderId="0" xfId="0" applyNumberFormat="1" applyFont="1"/>
    <xf numFmtId="168" fontId="52" fillId="0" borderId="0" xfId="3" applyNumberFormat="1" applyFont="1" applyBorder="1"/>
    <xf numFmtId="168" fontId="52" fillId="0" borderId="6" xfId="0" applyNumberFormat="1" applyFont="1" applyBorder="1"/>
    <xf numFmtId="168" fontId="52" fillId="0" borderId="0" xfId="0" applyNumberFormat="1" applyFont="1" applyBorder="1"/>
    <xf numFmtId="168" fontId="52" fillId="0" borderId="3" xfId="0" applyNumberFormat="1" applyFont="1" applyBorder="1"/>
    <xf numFmtId="0" fontId="141" fillId="0" borderId="0" xfId="0" applyFont="1" applyAlignment="1">
      <alignment wrapText="1"/>
    </xf>
    <xf numFmtId="0" fontId="141" fillId="0" borderId="0" xfId="0" applyFont="1" applyBorder="1" applyAlignment="1">
      <alignment wrapText="1"/>
    </xf>
    <xf numFmtId="0" fontId="141" fillId="0" borderId="6" xfId="0" applyFont="1" applyBorder="1" applyAlignment="1">
      <alignment wrapText="1"/>
    </xf>
    <xf numFmtId="0" fontId="141" fillId="0" borderId="0" xfId="0" applyFont="1" applyAlignment="1"/>
    <xf numFmtId="0" fontId="141" fillId="0" borderId="0" xfId="0" applyFont="1" applyBorder="1" applyAlignment="1"/>
    <xf numFmtId="2" fontId="52" fillId="0" borderId="0" xfId="359" applyNumberFormat="1" applyFont="1" applyFill="1" applyAlignment="1">
      <alignment horizontal="center"/>
    </xf>
    <xf numFmtId="1" fontId="52" fillId="0" borderId="0" xfId="359" applyNumberFormat="1" applyFont="1" applyFill="1" applyAlignment="1">
      <alignment horizontal="center"/>
    </xf>
    <xf numFmtId="9" fontId="142" fillId="0" borderId="0" xfId="39" applyFont="1"/>
    <xf numFmtId="49" fontId="141" fillId="0" borderId="0" xfId="0" applyNumberFormat="1" applyFont="1" applyFill="1" applyBorder="1" applyAlignment="1" applyProtection="1"/>
    <xf numFmtId="9" fontId="141" fillId="0" borderId="0" xfId="39" applyNumberFormat="1" applyFont="1"/>
    <xf numFmtId="9" fontId="141" fillId="0" borderId="0" xfId="39" applyFont="1"/>
    <xf numFmtId="168" fontId="141" fillId="0" borderId="6" xfId="3" applyNumberFormat="1" applyFont="1" applyBorder="1"/>
    <xf numFmtId="1" fontId="52" fillId="0" borderId="0" xfId="359" applyNumberFormat="1" applyFont="1" applyFill="1" applyBorder="1" applyAlignment="1">
      <alignment horizontal="center"/>
    </xf>
    <xf numFmtId="9" fontId="52" fillId="0" borderId="0" xfId="39" applyFont="1"/>
    <xf numFmtId="43" fontId="52" fillId="0" borderId="0" xfId="0" applyNumberFormat="1" applyFont="1"/>
    <xf numFmtId="0" fontId="141" fillId="0" borderId="33" xfId="0" applyFont="1" applyBorder="1" applyAlignment="1">
      <alignment wrapText="1"/>
    </xf>
    <xf numFmtId="0" fontId="141" fillId="0" borderId="7" xfId="0" applyFont="1" applyBorder="1" applyAlignment="1">
      <alignment wrapText="1"/>
    </xf>
    <xf numFmtId="0" fontId="141" fillId="0" borderId="8" xfId="0" applyFont="1" applyBorder="1" applyAlignment="1">
      <alignment wrapText="1"/>
    </xf>
    <xf numFmtId="0" fontId="141" fillId="0" borderId="0" xfId="0" applyFont="1" applyBorder="1" applyAlignment="1">
      <alignment horizontal="center"/>
    </xf>
    <xf numFmtId="0" fontId="141" fillId="0" borderId="0" xfId="0" applyFont="1" applyAlignment="1">
      <alignment horizontal="center"/>
    </xf>
    <xf numFmtId="192" fontId="71" fillId="63" borderId="0" xfId="42" applyNumberFormat="1" applyFont="1" applyFill="1" applyBorder="1" applyAlignment="1">
      <alignment horizontal="center" wrapText="1"/>
    </xf>
    <xf numFmtId="192" fontId="70" fillId="63" borderId="0" xfId="42" applyNumberFormat="1" applyFont="1" applyFill="1" applyAlignment="1"/>
    <xf numFmtId="192" fontId="71" fillId="63" borderId="0" xfId="42" applyNumberFormat="1" applyFont="1" applyFill="1" applyAlignment="1"/>
    <xf numFmtId="44" fontId="71" fillId="63" borderId="0" xfId="63" applyNumberFormat="1" applyFont="1" applyFill="1" applyAlignment="1"/>
    <xf numFmtId="44" fontId="71" fillId="0" borderId="0" xfId="42" applyNumberFormat="1" applyFont="1" applyFill="1" applyAlignment="1"/>
    <xf numFmtId="44" fontId="143" fillId="63" borderId="0" xfId="63" applyNumberFormat="1" applyFont="1" applyFill="1" applyAlignment="1"/>
    <xf numFmtId="192" fontId="72" fillId="63" borderId="0" xfId="41" applyNumberFormat="1" applyFont="1" applyFill="1"/>
    <xf numFmtId="185" fontId="144" fillId="0" borderId="0" xfId="44" applyNumberFormat="1" applyFont="1" applyFill="1" applyBorder="1" applyAlignment="1">
      <alignment horizontal="center"/>
    </xf>
    <xf numFmtId="192" fontId="71" fillId="63" borderId="0" xfId="42" applyNumberFormat="1" applyFont="1" applyFill="1" applyBorder="1" applyAlignment="1"/>
    <xf numFmtId="44" fontId="71" fillId="63" borderId="0" xfId="63" applyNumberFormat="1" applyFont="1" applyFill="1"/>
    <xf numFmtId="192" fontId="72" fillId="63" borderId="0" xfId="42" applyNumberFormat="1" applyFont="1" applyFill="1"/>
    <xf numFmtId="44" fontId="72" fillId="63" borderId="0" xfId="63" applyNumberFormat="1" applyFont="1" applyFill="1"/>
    <xf numFmtId="8" fontId="71" fillId="63" borderId="0" xfId="63" applyNumberFormat="1" applyFont="1" applyFill="1" applyAlignment="1"/>
    <xf numFmtId="8" fontId="71" fillId="63" borderId="0" xfId="5" applyNumberFormat="1" applyFont="1" applyFill="1" applyAlignment="1"/>
    <xf numFmtId="192" fontId="73" fillId="63" borderId="0" xfId="42" applyNumberFormat="1" applyFont="1" applyFill="1"/>
    <xf numFmtId="42" fontId="73" fillId="0" borderId="3" xfId="42" applyNumberFormat="1" applyFont="1" applyFill="1" applyBorder="1"/>
    <xf numFmtId="0" fontId="84" fillId="63" borderId="0" xfId="70" applyFill="1">
      <alignment vertical="top"/>
    </xf>
    <xf numFmtId="169" fontId="73" fillId="0" borderId="3" xfId="11" applyNumberFormat="1" applyFont="1" applyFill="1" applyBorder="1"/>
    <xf numFmtId="0" fontId="56" fillId="0" borderId="0" xfId="0" applyFont="1" applyAlignment="1">
      <alignment wrapText="1"/>
    </xf>
    <xf numFmtId="0" fontId="56" fillId="0" borderId="1" xfId="0" applyFont="1" applyBorder="1" applyAlignment="1">
      <alignment horizontal="center" wrapText="1"/>
    </xf>
    <xf numFmtId="166" fontId="15" fillId="0" borderId="1" xfId="0" applyNumberFormat="1" applyFont="1" applyBorder="1" applyAlignment="1">
      <alignment horizontal="center"/>
    </xf>
    <xf numFmtId="0" fontId="56" fillId="0" borderId="0" xfId="0" applyFont="1" applyBorder="1" applyAlignment="1">
      <alignment horizontal="center" wrapText="1"/>
    </xf>
    <xf numFmtId="37" fontId="16" fillId="0" borderId="0" xfId="36" applyNumberFormat="1" applyFont="1" applyBorder="1" applyAlignment="1">
      <alignment horizontal="center"/>
    </xf>
    <xf numFmtId="37" fontId="15" fillId="0" borderId="1" xfId="36" applyNumberFormat="1" applyFont="1" applyBorder="1" applyAlignment="1">
      <alignment horizontal="center"/>
    </xf>
    <xf numFmtId="37" fontId="15" fillId="0" borderId="0" xfId="0" applyNumberFormat="1" applyFont="1" applyAlignment="1">
      <alignment horizontal="center"/>
    </xf>
    <xf numFmtId="37" fontId="15" fillId="0" borderId="0" xfId="0" applyNumberFormat="1" applyFont="1" applyFill="1" applyAlignment="1">
      <alignment horizontal="center"/>
    </xf>
    <xf numFmtId="37" fontId="15" fillId="0" borderId="1" xfId="0" applyNumberFormat="1" applyFont="1" applyFill="1" applyBorder="1" applyAlignment="1">
      <alignment horizontal="center"/>
    </xf>
    <xf numFmtId="37" fontId="18" fillId="0" borderId="0" xfId="0" applyNumberFormat="1" applyFont="1" applyFill="1" applyAlignment="1">
      <alignment horizontal="center"/>
    </xf>
    <xf numFmtId="170" fontId="15" fillId="0" borderId="0" xfId="31" applyNumberFormat="1" applyFont="1" applyAlignment="1">
      <alignment horizontal="center"/>
    </xf>
    <xf numFmtId="9" fontId="15" fillId="0" borderId="1" xfId="39" applyNumberFormat="1" applyFont="1" applyBorder="1" applyAlignment="1">
      <alignment horizontal="center"/>
    </xf>
    <xf numFmtId="170" fontId="15" fillId="0" borderId="0" xfId="31" applyNumberFormat="1" applyFont="1"/>
    <xf numFmtId="170" fontId="15" fillId="0" borderId="0" xfId="31" applyNumberFormat="1" applyFont="1" applyFill="1"/>
    <xf numFmtId="0" fontId="15" fillId="0" borderId="0" xfId="31" applyFont="1" applyAlignment="1">
      <alignment horizontal="center"/>
    </xf>
    <xf numFmtId="170" fontId="15" fillId="0" borderId="0" xfId="31" applyNumberFormat="1" applyFont="1" applyAlignment="1" applyProtection="1">
      <alignment horizontal="center"/>
      <protection locked="0"/>
    </xf>
    <xf numFmtId="37" fontId="15" fillId="0" borderId="0" xfId="31" applyNumberFormat="1" applyFont="1" applyAlignment="1">
      <alignment horizontal="center"/>
    </xf>
    <xf numFmtId="10" fontId="15" fillId="0" borderId="0" xfId="31" applyNumberFormat="1" applyFont="1" applyFill="1" applyBorder="1" applyAlignment="1">
      <alignment horizontal="center"/>
    </xf>
    <xf numFmtId="0" fontId="141" fillId="0" borderId="1" xfId="0" applyFont="1" applyBorder="1"/>
    <xf numFmtId="0" fontId="145" fillId="0" borderId="0" xfId="0" applyFont="1" applyAlignment="1">
      <alignment horizontal="center" vertical="center"/>
    </xf>
    <xf numFmtId="1" fontId="52" fillId="0" borderId="0" xfId="0" applyNumberFormat="1" applyFont="1" applyFill="1" applyAlignment="1">
      <alignment horizontal="left"/>
    </xf>
    <xf numFmtId="168" fontId="52" fillId="0" borderId="0" xfId="3" applyNumberFormat="1" applyFont="1" applyFill="1" applyBorder="1" applyAlignment="1"/>
    <xf numFmtId="168" fontId="80" fillId="0" borderId="0" xfId="0" applyNumberFormat="1" applyFont="1"/>
    <xf numFmtId="175" fontId="56" fillId="0" borderId="1" xfId="0" applyNumberFormat="1" applyFont="1" applyFill="1" applyBorder="1" applyAlignment="1">
      <alignment horizontal="center" wrapText="1"/>
    </xf>
    <xf numFmtId="0" fontId="141" fillId="0" borderId="1" xfId="0" applyFont="1" applyBorder="1" applyAlignment="1">
      <alignment horizontal="center" wrapText="1"/>
    </xf>
    <xf numFmtId="0" fontId="56" fillId="0" borderId="0" xfId="0" applyFont="1" applyBorder="1" applyAlignment="1">
      <alignment horizontal="center"/>
    </xf>
    <xf numFmtId="0" fontId="80" fillId="0" borderId="0" xfId="0" applyFont="1" applyBorder="1"/>
    <xf numFmtId="0" fontId="80" fillId="0" borderId="0" xfId="0" applyFont="1" applyBorder="1" applyAlignment="1"/>
    <xf numFmtId="168" fontId="80" fillId="0" borderId="0" xfId="0" applyNumberFormat="1" applyFont="1" applyBorder="1"/>
    <xf numFmtId="168" fontId="141" fillId="0" borderId="0" xfId="0" applyNumberFormat="1" applyFont="1" applyBorder="1"/>
    <xf numFmtId="168" fontId="142" fillId="0" borderId="0" xfId="3" applyNumberFormat="1" applyFont="1"/>
    <xf numFmtId="168" fontId="52" fillId="0" borderId="15" xfId="3" applyNumberFormat="1" applyFont="1" applyBorder="1"/>
    <xf numFmtId="168" fontId="52" fillId="0" borderId="22" xfId="3" applyNumberFormat="1" applyFont="1" applyBorder="1"/>
    <xf numFmtId="168" fontId="52" fillId="0" borderId="15" xfId="0" applyNumberFormat="1" applyFont="1" applyBorder="1"/>
    <xf numFmtId="168" fontId="52" fillId="0" borderId="22" xfId="0" applyNumberFormat="1" applyFont="1" applyBorder="1"/>
    <xf numFmtId="168" fontId="52" fillId="0" borderId="59" xfId="0" applyNumberFormat="1" applyFont="1" applyBorder="1"/>
    <xf numFmtId="168" fontId="52" fillId="0" borderId="60" xfId="0" applyNumberFormat="1" applyFont="1" applyBorder="1"/>
    <xf numFmtId="0" fontId="141" fillId="0" borderId="0" xfId="0" applyFont="1" applyBorder="1"/>
    <xf numFmtId="0" fontId="135" fillId="0" borderId="0" xfId="0" applyFont="1" applyAlignment="1">
      <alignment horizontal="center"/>
    </xf>
    <xf numFmtId="44" fontId="52" fillId="0" borderId="0" xfId="11" applyFont="1"/>
    <xf numFmtId="169" fontId="52" fillId="0" borderId="0" xfId="11" applyNumberFormat="1" applyFont="1" applyFill="1" applyBorder="1" applyAlignment="1"/>
    <xf numFmtId="169" fontId="56" fillId="0" borderId="3" xfId="11" applyNumberFormat="1" applyFont="1" applyFill="1" applyBorder="1" applyAlignment="1"/>
    <xf numFmtId="168" fontId="80" fillId="0" borderId="0" xfId="3" applyNumberFormat="1" applyFont="1"/>
    <xf numFmtId="168" fontId="52" fillId="0" borderId="0" xfId="3" applyNumberFormat="1" applyFont="1" applyAlignment="1">
      <alignment horizontal="center"/>
    </xf>
    <xf numFmtId="169" fontId="52" fillId="0" borderId="6" xfId="11" applyNumberFormat="1" applyFont="1" applyBorder="1"/>
    <xf numFmtId="169" fontId="52" fillId="0" borderId="6" xfId="11" applyNumberFormat="1" applyFont="1" applyFill="1" applyBorder="1" applyAlignment="1">
      <alignment horizontal="center"/>
    </xf>
    <xf numFmtId="169" fontId="141" fillId="0" borderId="6" xfId="11" applyNumberFormat="1" applyFont="1" applyBorder="1"/>
    <xf numFmtId="169" fontId="52" fillId="0" borderId="0" xfId="11" applyNumberFormat="1" applyFont="1" applyFill="1" applyAlignment="1">
      <alignment horizontal="center"/>
    </xf>
    <xf numFmtId="0" fontId="15" fillId="0" borderId="1" xfId="0" applyFont="1" applyBorder="1" applyAlignment="1">
      <alignment horizontal="center" wrapText="1"/>
    </xf>
    <xf numFmtId="10" fontId="15" fillId="0" borderId="0" xfId="31" applyNumberFormat="1" applyFont="1" applyFill="1" applyAlignment="1">
      <alignment horizontal="center"/>
    </xf>
    <xf numFmtId="0" fontId="15" fillId="0" borderId="1" xfId="31" applyNumberFormat="1" applyFont="1" applyBorder="1" applyAlignment="1">
      <alignment horizontal="center"/>
    </xf>
    <xf numFmtId="37" fontId="15" fillId="0" borderId="1" xfId="31" applyNumberFormat="1" applyFont="1" applyBorder="1" applyAlignment="1">
      <alignment horizontal="center"/>
    </xf>
    <xf numFmtId="10" fontId="15" fillId="0" borderId="1" xfId="31" applyNumberFormat="1" applyFont="1" applyFill="1" applyBorder="1" applyAlignment="1">
      <alignment horizontal="center"/>
    </xf>
    <xf numFmtId="169" fontId="80" fillId="0" borderId="0" xfId="11" applyNumberFormat="1" applyFont="1" applyBorder="1"/>
    <xf numFmtId="169" fontId="141" fillId="0" borderId="0" xfId="11" applyNumberFormat="1" applyFont="1" applyBorder="1"/>
    <xf numFmtId="0" fontId="146" fillId="0" borderId="0" xfId="0" applyFont="1"/>
    <xf numFmtId="0" fontId="139" fillId="0" borderId="0" xfId="0" applyFont="1" applyAlignment="1">
      <alignment horizontal="center"/>
    </xf>
    <xf numFmtId="189" fontId="139" fillId="0" borderId="6" xfId="0" applyNumberFormat="1" applyFont="1" applyBorder="1" applyAlignment="1">
      <alignment horizontal="center"/>
    </xf>
    <xf numFmtId="0" fontId="146" fillId="0" borderId="6" xfId="0" applyFont="1" applyBorder="1"/>
    <xf numFmtId="43" fontId="146" fillId="0" borderId="6" xfId="3" applyFont="1" applyBorder="1" applyAlignment="1">
      <alignment horizontal="center"/>
    </xf>
    <xf numFmtId="189" fontId="139" fillId="0" borderId="0" xfId="0" applyNumberFormat="1" applyFont="1" applyBorder="1" applyAlignment="1">
      <alignment horizontal="center"/>
    </xf>
    <xf numFmtId="43" fontId="146" fillId="0" borderId="0" xfId="3" applyFont="1" applyAlignment="1">
      <alignment horizontal="center"/>
    </xf>
    <xf numFmtId="43" fontId="146" fillId="0" borderId="3" xfId="3" applyFont="1" applyBorder="1" applyAlignment="1">
      <alignment horizontal="center"/>
    </xf>
    <xf numFmtId="0" fontId="1" fillId="0" borderId="0" xfId="367"/>
    <xf numFmtId="200" fontId="56" fillId="0" borderId="0" xfId="368" applyNumberFormat="1" applyFont="1" applyFill="1" applyAlignment="1" applyProtection="1">
      <alignment horizontal="left"/>
    </xf>
    <xf numFmtId="200" fontId="52" fillId="0" borderId="0" xfId="368" applyFont="1" applyFill="1"/>
    <xf numFmtId="200" fontId="52" fillId="0" borderId="0" xfId="368" applyFont="1" applyFill="1" applyAlignment="1">
      <alignment horizontal="centerContinuous"/>
    </xf>
    <xf numFmtId="200" fontId="52" fillId="0" borderId="0" xfId="368" applyNumberFormat="1" applyFont="1" applyFill="1" applyAlignment="1" applyProtection="1">
      <alignment horizontal="centerContinuous"/>
    </xf>
    <xf numFmtId="200" fontId="52" fillId="0" borderId="0" xfId="368" applyFont="1" applyFill="1" applyAlignment="1"/>
    <xf numFmtId="200" fontId="56" fillId="0" borderId="0" xfId="368" applyNumberFormat="1" applyFont="1" applyFill="1" applyAlignment="1" applyProtection="1">
      <alignment horizontal="right"/>
    </xf>
    <xf numFmtId="200" fontId="52" fillId="0" borderId="0" xfId="368" applyFont="1" applyFill="1" applyAlignment="1">
      <alignment horizontal="center"/>
    </xf>
    <xf numFmtId="201" fontId="52" fillId="0" borderId="0" xfId="368" applyNumberFormat="1" applyFont="1" applyFill="1" applyAlignment="1" applyProtection="1">
      <alignment horizontal="right"/>
    </xf>
    <xf numFmtId="200" fontId="56" fillId="0" borderId="0" xfId="368" quotePrefix="1" applyNumberFormat="1" applyFont="1" applyFill="1" applyAlignment="1" applyProtection="1">
      <alignment horizontal="left"/>
    </xf>
    <xf numFmtId="202" fontId="56" fillId="0" borderId="0" xfId="369" applyNumberFormat="1" applyFont="1" applyFill="1" applyAlignment="1"/>
    <xf numFmtId="200" fontId="52" fillId="0" borderId="0" xfId="368" quotePrefix="1" applyNumberFormat="1" applyFont="1" applyFill="1" applyAlignment="1" applyProtection="1">
      <alignment horizontal="centerContinuous"/>
    </xf>
    <xf numFmtId="202" fontId="56" fillId="0" borderId="0" xfId="369" applyNumberFormat="1" applyFont="1" applyFill="1" applyAlignment="1">
      <alignment horizontal="left"/>
    </xf>
    <xf numFmtId="202" fontId="56" fillId="0" borderId="0" xfId="369" applyNumberFormat="1" applyFont="1" applyFill="1" applyAlignment="1">
      <alignment horizontal="center"/>
    </xf>
    <xf numFmtId="200" fontId="147" fillId="0" borderId="1" xfId="368" applyNumberFormat="1" applyFont="1" applyFill="1" applyBorder="1" applyAlignment="1" applyProtection="1">
      <alignment horizontal="left"/>
      <protection locked="0"/>
    </xf>
    <xf numFmtId="200" fontId="52" fillId="0" borderId="1" xfId="368" applyFont="1" applyFill="1" applyBorder="1"/>
    <xf numFmtId="203" fontId="52" fillId="0" borderId="14" xfId="368" applyNumberFormat="1" applyFont="1" applyFill="1" applyBorder="1" applyAlignment="1" applyProtection="1">
      <alignment horizontal="center"/>
    </xf>
    <xf numFmtId="200" fontId="52" fillId="0" borderId="16" xfId="368" applyFont="1" applyFill="1" applyBorder="1"/>
    <xf numFmtId="200" fontId="52" fillId="0" borderId="32" xfId="368" applyFont="1" applyFill="1" applyBorder="1"/>
    <xf numFmtId="203" fontId="52" fillId="0" borderId="32" xfId="368" applyNumberFormat="1" applyFont="1" applyFill="1" applyBorder="1" applyAlignment="1" applyProtection="1">
      <alignment horizontal="center"/>
    </xf>
    <xf numFmtId="200" fontId="148" fillId="0" borderId="0" xfId="368" applyNumberFormat="1" applyFont="1" applyFill="1" applyAlignment="1" applyProtection="1">
      <alignment horizontal="centerContinuous"/>
    </xf>
    <xf numFmtId="200" fontId="52" fillId="0" borderId="32" xfId="368" applyFont="1" applyFill="1" applyBorder="1" applyAlignment="1">
      <alignment horizontal="centerContinuous"/>
    </xf>
    <xf numFmtId="200" fontId="52" fillId="0" borderId="32" xfId="368" applyNumberFormat="1" applyFont="1" applyFill="1" applyBorder="1" applyAlignment="1" applyProtection="1">
      <alignment horizontal="right"/>
    </xf>
    <xf numFmtId="200" fontId="52" fillId="0" borderId="0" xfId="368" applyNumberFormat="1" applyFont="1" applyFill="1" applyAlignment="1" applyProtection="1">
      <alignment horizontal="center"/>
    </xf>
    <xf numFmtId="203" fontId="52" fillId="0" borderId="35" xfId="368" applyNumberFormat="1" applyFont="1" applyFill="1" applyBorder="1" applyAlignment="1" applyProtection="1">
      <alignment horizontal="center"/>
    </xf>
    <xf numFmtId="200" fontId="52" fillId="0" borderId="29" xfId="368" applyNumberFormat="1" applyFont="1" applyFill="1" applyBorder="1" applyAlignment="1" applyProtection="1">
      <alignment horizontal="centerContinuous"/>
    </xf>
    <xf numFmtId="200" fontId="52" fillId="0" borderId="27" xfId="368" applyFont="1" applyFill="1" applyBorder="1"/>
    <xf numFmtId="203" fontId="52" fillId="0" borderId="27" xfId="368" applyNumberFormat="1" applyFont="1" applyFill="1" applyBorder="1" applyAlignment="1" applyProtection="1">
      <alignment horizontal="center"/>
    </xf>
    <xf numFmtId="203" fontId="52" fillId="0" borderId="1" xfId="368" applyNumberFormat="1" applyFont="1" applyFill="1" applyBorder="1" applyAlignment="1" applyProtection="1">
      <alignment horizontal="center"/>
    </xf>
    <xf numFmtId="200" fontId="52" fillId="0" borderId="29" xfId="368" applyNumberFormat="1" applyFont="1" applyFill="1" applyBorder="1" applyAlignment="1" applyProtection="1">
      <alignment horizontal="center"/>
    </xf>
    <xf numFmtId="200" fontId="52" fillId="0" borderId="27" xfId="368" applyNumberFormat="1" applyFont="1" applyFill="1" applyBorder="1" applyAlignment="1" applyProtection="1">
      <alignment horizontal="center"/>
    </xf>
    <xf numFmtId="200" fontId="52" fillId="0" borderId="1" xfId="368" applyNumberFormat="1" applyFont="1" applyFill="1" applyBorder="1" applyAlignment="1" applyProtection="1">
      <alignment horizontal="center"/>
    </xf>
    <xf numFmtId="203" fontId="52" fillId="0" borderId="32" xfId="368" applyNumberFormat="1" applyFont="1" applyFill="1" applyBorder="1" applyProtection="1"/>
    <xf numFmtId="200" fontId="56" fillId="0" borderId="0" xfId="368" applyFont="1" applyFill="1" applyAlignment="1">
      <alignment horizontal="center"/>
    </xf>
    <xf numFmtId="200" fontId="52" fillId="0" borderId="16" xfId="368" applyNumberFormat="1" applyFont="1" applyFill="1" applyBorder="1" applyAlignment="1" applyProtection="1">
      <alignment horizontal="left"/>
    </xf>
    <xf numFmtId="200" fontId="52" fillId="0" borderId="16" xfId="368" applyNumberFormat="1" applyFont="1" applyFill="1" applyBorder="1" applyAlignment="1" applyProtection="1">
      <alignment horizontal="center"/>
    </xf>
    <xf numFmtId="203" fontId="147" fillId="0" borderId="32" xfId="368" applyNumberFormat="1" applyFont="1" applyFill="1" applyBorder="1" applyProtection="1">
      <protection locked="0"/>
    </xf>
    <xf numFmtId="203" fontId="52" fillId="0" borderId="0" xfId="368" applyNumberFormat="1" applyFont="1" applyFill="1" applyAlignment="1" applyProtection="1">
      <alignment horizontal="center"/>
    </xf>
    <xf numFmtId="200" fontId="52" fillId="0" borderId="0" xfId="368" applyNumberFormat="1" applyFont="1" applyFill="1" applyAlignment="1" applyProtection="1">
      <alignment horizontal="left"/>
    </xf>
    <xf numFmtId="2" fontId="52" fillId="0" borderId="0" xfId="368" applyNumberFormat="1" applyFont="1" applyFill="1" applyAlignment="1">
      <alignment horizontal="center"/>
    </xf>
    <xf numFmtId="203" fontId="147" fillId="0" borderId="27" xfId="368" applyNumberFormat="1" applyFont="1" applyFill="1" applyBorder="1" applyProtection="1">
      <protection locked="0"/>
    </xf>
    <xf numFmtId="3" fontId="147" fillId="0" borderId="27" xfId="368" applyNumberFormat="1" applyFont="1" applyFill="1" applyBorder="1" applyProtection="1">
      <protection locked="0"/>
    </xf>
    <xf numFmtId="37" fontId="147" fillId="0" borderId="27" xfId="368" applyNumberFormat="1" applyFont="1" applyFill="1" applyBorder="1" applyProtection="1">
      <protection locked="0"/>
    </xf>
    <xf numFmtId="37" fontId="149" fillId="0" borderId="27" xfId="368" applyNumberFormat="1" applyFont="1" applyFill="1" applyBorder="1" applyProtection="1"/>
    <xf numFmtId="203" fontId="150" fillId="0" borderId="0" xfId="368" applyNumberFormat="1" applyFont="1" applyFill="1" applyProtection="1">
      <protection locked="0"/>
    </xf>
    <xf numFmtId="37" fontId="150" fillId="0" borderId="0" xfId="368" applyNumberFormat="1" applyFont="1" applyFill="1" applyProtection="1">
      <protection locked="0"/>
    </xf>
    <xf numFmtId="37" fontId="52" fillId="0" borderId="0" xfId="368" applyNumberFormat="1" applyFont="1" applyFill="1" applyProtection="1"/>
    <xf numFmtId="203" fontId="52" fillId="0" borderId="0" xfId="368" applyNumberFormat="1" applyFont="1" applyFill="1" applyProtection="1"/>
    <xf numFmtId="200" fontId="52" fillId="0" borderId="0" xfId="368" quotePrefix="1" applyNumberFormat="1" applyFont="1" applyFill="1" applyAlignment="1" applyProtection="1">
      <alignment horizontal="left"/>
    </xf>
    <xf numFmtId="168" fontId="52" fillId="0" borderId="0" xfId="370" applyNumberFormat="1" applyFont="1" applyFill="1"/>
    <xf numFmtId="203" fontId="52" fillId="0" borderId="0" xfId="368" applyNumberFormat="1" applyFont="1" applyFill="1" applyAlignment="1" applyProtection="1">
      <alignment horizontal="left"/>
    </xf>
    <xf numFmtId="200" fontId="52" fillId="0" borderId="0" xfId="368" applyFont="1" applyFill="1" applyProtection="1">
      <protection locked="0"/>
    </xf>
    <xf numFmtId="200" fontId="142" fillId="0" borderId="0" xfId="368" applyFont="1" applyFill="1"/>
    <xf numFmtId="204" fontId="52" fillId="0" borderId="0" xfId="368" applyNumberFormat="1" applyFont="1" applyFill="1" applyProtection="1"/>
    <xf numFmtId="204" fontId="147" fillId="0" borderId="0" xfId="368" applyNumberFormat="1" applyFont="1" applyFill="1" applyProtection="1">
      <protection locked="0"/>
    </xf>
    <xf numFmtId="37" fontId="147" fillId="0" borderId="0" xfId="368" applyNumberFormat="1" applyFont="1" applyFill="1" applyProtection="1">
      <protection locked="0"/>
    </xf>
    <xf numFmtId="205" fontId="52" fillId="0" borderId="0" xfId="368" applyNumberFormat="1" applyFont="1" applyFill="1"/>
    <xf numFmtId="43" fontId="137" fillId="0" borderId="0" xfId="371" applyFont="1" applyFill="1"/>
    <xf numFmtId="206" fontId="52" fillId="0" borderId="0" xfId="368" applyNumberFormat="1" applyFont="1" applyFill="1"/>
    <xf numFmtId="200" fontId="150" fillId="0" borderId="0" xfId="368" applyNumberFormat="1" applyFont="1" applyFill="1" applyProtection="1">
      <protection locked="0"/>
    </xf>
    <xf numFmtId="168" fontId="52" fillId="0" borderId="0" xfId="371" applyNumberFormat="1" applyFont="1" applyFill="1"/>
    <xf numFmtId="10" fontId="52" fillId="0" borderId="0" xfId="372" applyNumberFormat="1" applyFont="1" applyFill="1"/>
    <xf numFmtId="201" fontId="52" fillId="0" borderId="0" xfId="368" applyNumberFormat="1" applyFont="1" applyFill="1" applyProtection="1"/>
    <xf numFmtId="168" fontId="52" fillId="0" borderId="1" xfId="371" applyNumberFormat="1" applyFont="1" applyFill="1" applyBorder="1"/>
    <xf numFmtId="10" fontId="52" fillId="0" borderId="1" xfId="372" applyNumberFormat="1" applyFont="1" applyFill="1" applyBorder="1"/>
    <xf numFmtId="168" fontId="52" fillId="0" borderId="3" xfId="371" applyNumberFormat="1" applyFont="1" applyFill="1" applyBorder="1" applyProtection="1"/>
    <xf numFmtId="10" fontId="52" fillId="0" borderId="3" xfId="372" applyNumberFormat="1" applyFont="1" applyFill="1" applyBorder="1" applyProtection="1"/>
    <xf numFmtId="204" fontId="150" fillId="0" borderId="0" xfId="368" applyNumberFormat="1" applyFont="1" applyFill="1" applyProtection="1">
      <protection locked="0"/>
    </xf>
    <xf numFmtId="206" fontId="52" fillId="0" borderId="0" xfId="368" applyNumberFormat="1" applyFont="1" applyFill="1" applyProtection="1"/>
    <xf numFmtId="200" fontId="151" fillId="0" borderId="0" xfId="368" applyNumberFormat="1" applyFont="1" applyFill="1" applyAlignment="1" applyProtection="1"/>
    <xf numFmtId="200" fontId="52" fillId="0" borderId="0" xfId="368" quotePrefix="1" applyNumberFormat="1" applyFont="1" applyFill="1" applyAlignment="1" applyProtection="1">
      <alignment horizontal="center"/>
    </xf>
    <xf numFmtId="200" fontId="150" fillId="0" borderId="0" xfId="368" applyNumberFormat="1" applyFont="1" applyFill="1" applyAlignment="1" applyProtection="1">
      <protection locked="0"/>
    </xf>
    <xf numFmtId="200" fontId="56" fillId="0" borderId="0" xfId="368" applyNumberFormat="1" applyFont="1" applyFill="1" applyAlignment="1" applyProtection="1">
      <alignment horizontal="center"/>
      <protection locked="0"/>
    </xf>
    <xf numFmtId="200" fontId="56" fillId="0" borderId="0" xfId="368" quotePrefix="1" applyNumberFormat="1" applyFont="1" applyFill="1" applyAlignment="1" applyProtection="1">
      <alignment horizontal="center"/>
    </xf>
    <xf numFmtId="200" fontId="149" fillId="0" borderId="0" xfId="368" applyNumberFormat="1" applyFont="1" applyFill="1" applyAlignment="1" applyProtection="1"/>
    <xf numFmtId="200" fontId="150" fillId="0" borderId="1" xfId="368" applyNumberFormat="1" applyFont="1" applyFill="1" applyBorder="1" applyProtection="1">
      <protection locked="0"/>
    </xf>
    <xf numFmtId="37" fontId="52" fillId="0" borderId="0" xfId="368" applyNumberFormat="1" applyFont="1" applyFill="1" applyAlignment="1" applyProtection="1">
      <alignment horizontal="left"/>
    </xf>
    <xf numFmtId="200" fontId="52" fillId="0" borderId="1" xfId="368" quotePrefix="1" applyNumberFormat="1" applyFont="1" applyFill="1" applyBorder="1" applyAlignment="1" applyProtection="1">
      <alignment horizontal="left"/>
    </xf>
    <xf numFmtId="200" fontId="52" fillId="0" borderId="61" xfId="368" applyFont="1" applyFill="1" applyBorder="1"/>
    <xf numFmtId="203" fontId="52" fillId="0" borderId="0" xfId="368" applyNumberFormat="1" applyFont="1" applyFill="1" applyBorder="1" applyAlignment="1" applyProtection="1">
      <alignment horizontal="left"/>
    </xf>
    <xf numFmtId="203" fontId="52" fillId="0" borderId="0" xfId="368" applyNumberFormat="1" applyFont="1" applyFill="1" applyBorder="1" applyAlignment="1" applyProtection="1">
      <alignment horizontal="center"/>
    </xf>
    <xf numFmtId="37" fontId="52" fillId="0" borderId="35" xfId="368" applyNumberFormat="1" applyFont="1" applyFill="1" applyBorder="1" applyProtection="1"/>
    <xf numFmtId="37" fontId="52" fillId="0" borderId="0" xfId="368" applyNumberFormat="1" applyFont="1" applyFill="1" applyAlignment="1" applyProtection="1">
      <alignment horizontal="center"/>
    </xf>
    <xf numFmtId="200" fontId="52" fillId="0" borderId="1" xfId="368" applyNumberFormat="1" applyFont="1" applyFill="1" applyBorder="1" applyAlignment="1" applyProtection="1">
      <alignment horizontal="left"/>
    </xf>
    <xf numFmtId="37" fontId="149" fillId="0" borderId="0" xfId="368" applyNumberFormat="1" applyFont="1" applyFill="1" applyProtection="1">
      <protection locked="0"/>
    </xf>
    <xf numFmtId="10" fontId="52" fillId="0" borderId="0" xfId="368" applyNumberFormat="1" applyFont="1" applyFill="1"/>
    <xf numFmtId="10" fontId="52" fillId="0" borderId="0" xfId="368" applyNumberFormat="1" applyFont="1" applyFill="1" applyProtection="1"/>
    <xf numFmtId="9" fontId="52" fillId="0" borderId="0" xfId="372" applyFont="1" applyFill="1"/>
    <xf numFmtId="200" fontId="52" fillId="0" borderId="1" xfId="368" applyFont="1" applyFill="1" applyBorder="1" applyAlignment="1">
      <alignment horizontal="center"/>
    </xf>
    <xf numFmtId="200" fontId="52" fillId="0" borderId="0" xfId="368" quotePrefix="1" applyFont="1" applyFill="1"/>
    <xf numFmtId="203" fontId="52" fillId="0" borderId="0" xfId="368" applyNumberFormat="1" applyFont="1" applyFill="1" applyAlignment="1">
      <alignment horizontal="right"/>
    </xf>
    <xf numFmtId="3" fontId="52" fillId="0" borderId="0" xfId="368" applyNumberFormat="1" applyFont="1" applyFill="1"/>
    <xf numFmtId="207" fontId="52" fillId="0" borderId="0" xfId="368" applyNumberFormat="1" applyFont="1" applyFill="1"/>
    <xf numFmtId="200" fontId="52" fillId="0" borderId="0" xfId="368" applyNumberFormat="1" applyFont="1" applyFill="1" applyProtection="1"/>
    <xf numFmtId="200" fontId="52" fillId="0" borderId="14" xfId="368" applyNumberFormat="1" applyFont="1" applyFill="1" applyBorder="1" applyAlignment="1" applyProtection="1">
      <alignment horizontal="center"/>
    </xf>
    <xf numFmtId="200" fontId="52" fillId="0" borderId="14" xfId="368" applyFont="1" applyFill="1" applyBorder="1"/>
    <xf numFmtId="200" fontId="52" fillId="0" borderId="31" xfId="368" applyFont="1" applyFill="1" applyBorder="1"/>
    <xf numFmtId="200" fontId="52" fillId="0" borderId="61" xfId="368" applyNumberFormat="1" applyFont="1" applyFill="1" applyBorder="1" applyAlignment="1" applyProtection="1">
      <alignment horizontal="center"/>
    </xf>
    <xf numFmtId="200" fontId="52" fillId="0" borderId="27" xfId="368" applyNumberFormat="1" applyFont="1" applyFill="1" applyBorder="1" applyAlignment="1" applyProtection="1">
      <alignment horizontal="centerContinuous"/>
    </xf>
    <xf numFmtId="200" fontId="52" fillId="0" borderId="1" xfId="368" applyFont="1" applyFill="1" applyBorder="1" applyAlignment="1">
      <alignment horizontal="centerContinuous"/>
    </xf>
    <xf numFmtId="200" fontId="52" fillId="0" borderId="27" xfId="368" applyFont="1" applyFill="1" applyBorder="1" applyAlignment="1">
      <alignment horizontal="centerContinuous"/>
    </xf>
    <xf numFmtId="200" fontId="52" fillId="0" borderId="35" xfId="368" applyNumberFormat="1" applyFont="1" applyFill="1" applyBorder="1" applyAlignment="1" applyProtection="1">
      <alignment horizontal="center"/>
    </xf>
    <xf numFmtId="200" fontId="52" fillId="0" borderId="35" xfId="368" applyFont="1" applyFill="1" applyBorder="1"/>
    <xf numFmtId="200" fontId="52" fillId="0" borderId="27" xfId="368" applyFont="1" applyFill="1" applyBorder="1" applyAlignment="1">
      <alignment horizontal="center"/>
    </xf>
    <xf numFmtId="200" fontId="52" fillId="0" borderId="0" xfId="368" applyNumberFormat="1" applyFont="1" applyFill="1" applyAlignment="1" applyProtection="1"/>
    <xf numFmtId="37" fontId="52" fillId="0" borderId="32" xfId="368" applyNumberFormat="1" applyFont="1" applyFill="1" applyBorder="1" applyProtection="1"/>
    <xf numFmtId="200" fontId="52" fillId="0" borderId="32" xfId="368" quotePrefix="1" applyFont="1" applyFill="1" applyBorder="1" applyAlignment="1">
      <alignment horizontal="center"/>
    </xf>
    <xf numFmtId="200" fontId="52" fillId="0" borderId="32" xfId="368" applyFont="1" applyFill="1" applyBorder="1" applyAlignment="1">
      <alignment horizontal="center"/>
    </xf>
    <xf numFmtId="168" fontId="52" fillId="0" borderId="32" xfId="370" applyNumberFormat="1" applyFont="1" applyFill="1" applyBorder="1" applyProtection="1"/>
    <xf numFmtId="37" fontId="52" fillId="0" borderId="61" xfId="368" applyNumberFormat="1" applyFont="1" applyFill="1" applyBorder="1" applyProtection="1"/>
    <xf numFmtId="208" fontId="52" fillId="0" borderId="0" xfId="368" applyNumberFormat="1" applyFont="1" applyFill="1" applyProtection="1"/>
    <xf numFmtId="200" fontId="52" fillId="0" borderId="27" xfId="368" quotePrefix="1" applyFont="1" applyFill="1" applyBorder="1" applyAlignment="1">
      <alignment horizontal="center"/>
    </xf>
    <xf numFmtId="200" fontId="52" fillId="0" borderId="0" xfId="368" quotePrefix="1" applyFont="1" applyFill="1" applyAlignment="1">
      <alignment horizontal="center"/>
    </xf>
    <xf numFmtId="200" fontId="52" fillId="0" borderId="33" xfId="368" applyFont="1" applyFill="1" applyBorder="1" applyAlignment="1">
      <alignment horizontal="right"/>
    </xf>
    <xf numFmtId="200" fontId="52" fillId="0" borderId="7" xfId="368" applyFont="1" applyFill="1" applyBorder="1" applyAlignment="1"/>
    <xf numFmtId="9" fontId="52" fillId="0" borderId="8" xfId="373" applyFont="1" applyFill="1" applyBorder="1"/>
    <xf numFmtId="200" fontId="52" fillId="0" borderId="15" xfId="368" applyFont="1" applyFill="1" applyBorder="1"/>
    <xf numFmtId="200" fontId="52" fillId="0" borderId="0" xfId="368" applyFont="1" applyFill="1" applyBorder="1"/>
    <xf numFmtId="9" fontId="52" fillId="0" borderId="22" xfId="373" applyFont="1" applyFill="1" applyBorder="1"/>
    <xf numFmtId="200" fontId="52" fillId="0" borderId="23" xfId="368" applyFont="1" applyFill="1" applyBorder="1"/>
    <xf numFmtId="200" fontId="52" fillId="0" borderId="24" xfId="368" applyFont="1" applyFill="1" applyBorder="1"/>
    <xf numFmtId="9" fontId="52" fillId="0" borderId="25" xfId="373" applyFont="1" applyFill="1" applyBorder="1"/>
    <xf numFmtId="167" fontId="52" fillId="0" borderId="0" xfId="368" applyNumberFormat="1" applyFont="1" applyFill="1" applyProtection="1"/>
    <xf numFmtId="37" fontId="52" fillId="0" borderId="61" xfId="368" applyNumberFormat="1" applyFont="1" applyFill="1" applyBorder="1" applyAlignment="1" applyProtection="1">
      <alignment horizontal="center"/>
    </xf>
    <xf numFmtId="200" fontId="52" fillId="0" borderId="1" xfId="368" applyNumberFormat="1" applyFont="1" applyFill="1" applyBorder="1" applyAlignment="1" applyProtection="1">
      <alignment horizontal="centerContinuous"/>
    </xf>
    <xf numFmtId="37" fontId="52" fillId="0" borderId="35" xfId="368" applyNumberFormat="1" applyFont="1" applyFill="1" applyBorder="1" applyAlignment="1" applyProtection="1">
      <alignment horizontal="center"/>
    </xf>
    <xf numFmtId="200" fontId="52" fillId="0" borderId="32" xfId="368" quotePrefix="1" applyFont="1" applyFill="1" applyBorder="1" applyAlignment="1" applyProtection="1">
      <alignment horizontal="center"/>
    </xf>
    <xf numFmtId="200" fontId="52" fillId="0" borderId="0" xfId="368" applyFont="1" applyFill="1" applyProtection="1"/>
    <xf numFmtId="200" fontId="52" fillId="0" borderId="32" xfId="368" applyFont="1" applyFill="1" applyBorder="1" applyAlignment="1" applyProtection="1">
      <alignment horizontal="center"/>
    </xf>
    <xf numFmtId="200" fontId="52" fillId="0" borderId="27" xfId="368" applyFont="1" applyFill="1" applyBorder="1" applyAlignment="1" applyProtection="1">
      <alignment horizontal="center"/>
    </xf>
    <xf numFmtId="209" fontId="52" fillId="0" borderId="0" xfId="368" applyNumberFormat="1" applyFont="1" applyFill="1" applyProtection="1"/>
    <xf numFmtId="37" fontId="56" fillId="0" borderId="0" xfId="368" applyNumberFormat="1" applyFont="1" applyFill="1" applyAlignment="1" applyProtection="1">
      <alignment horizontal="center"/>
    </xf>
    <xf numFmtId="200" fontId="52" fillId="0" borderId="1" xfId="368" applyNumberFormat="1" applyFont="1" applyFill="1" applyBorder="1" applyProtection="1"/>
    <xf numFmtId="200" fontId="52" fillId="0" borderId="4" xfId="368" applyNumberFormat="1" applyFont="1" applyFill="1" applyBorder="1" applyAlignment="1" applyProtection="1">
      <alignment horizontal="center"/>
    </xf>
    <xf numFmtId="200" fontId="52" fillId="0" borderId="1" xfId="368" applyNumberFormat="1" applyFont="1" applyFill="1" applyBorder="1" applyAlignment="1" applyProtection="1">
      <alignment horizontal="right"/>
    </xf>
    <xf numFmtId="200" fontId="52" fillId="0" borderId="16" xfId="368" quotePrefix="1" applyNumberFormat="1" applyFont="1" applyFill="1" applyBorder="1" applyAlignment="1" applyProtection="1">
      <alignment horizontal="center"/>
    </xf>
    <xf numFmtId="208" fontId="52" fillId="0" borderId="16" xfId="368" applyNumberFormat="1" applyFont="1" applyFill="1" applyBorder="1" applyProtection="1"/>
    <xf numFmtId="37" fontId="52" fillId="0" borderId="16" xfId="368" applyNumberFormat="1" applyFont="1" applyFill="1" applyBorder="1" applyProtection="1"/>
    <xf numFmtId="200" fontId="52" fillId="0" borderId="29" xfId="368" quotePrefix="1" applyNumberFormat="1" applyFont="1" applyFill="1" applyBorder="1" applyAlignment="1" applyProtection="1">
      <alignment horizontal="center"/>
    </xf>
    <xf numFmtId="208" fontId="52" fillId="0" borderId="29" xfId="368" applyNumberFormat="1" applyFont="1" applyFill="1" applyBorder="1" applyProtection="1"/>
    <xf numFmtId="37" fontId="52" fillId="0" borderId="29" xfId="368" applyNumberFormat="1" applyFont="1" applyFill="1" applyBorder="1" applyProtection="1"/>
    <xf numFmtId="200" fontId="150" fillId="0" borderId="0" xfId="368" applyNumberFormat="1" applyFont="1" applyFill="1" applyProtection="1"/>
    <xf numFmtId="200" fontId="147" fillId="0" borderId="0" xfId="368" applyNumberFormat="1" applyFont="1" applyFill="1" applyBorder="1" applyAlignment="1" applyProtection="1">
      <alignment horizontal="left"/>
      <protection locked="0"/>
    </xf>
    <xf numFmtId="0" fontId="137" fillId="0" borderId="0" xfId="367" applyFont="1" applyFill="1" applyBorder="1" applyAlignment="1">
      <alignment horizontal="center" vertical="top"/>
    </xf>
    <xf numFmtId="0" fontId="137" fillId="0" borderId="0" xfId="367" applyFont="1" applyFill="1" applyBorder="1" applyAlignment="1">
      <alignment vertical="top"/>
    </xf>
    <xf numFmtId="0" fontId="137" fillId="0" borderId="0" xfId="367" applyFont="1" applyFill="1" applyBorder="1" applyAlignment="1">
      <alignment horizontal="left" vertical="top" wrapText="1"/>
    </xf>
    <xf numFmtId="0" fontId="137" fillId="0" borderId="0" xfId="367" applyFont="1" applyFill="1" applyAlignment="1">
      <alignment horizontal="center" vertical="top"/>
    </xf>
    <xf numFmtId="0" fontId="137" fillId="0" borderId="0" xfId="367" applyFont="1" applyFill="1" applyAlignment="1">
      <alignment vertical="top"/>
    </xf>
    <xf numFmtId="0" fontId="137" fillId="0" borderId="0" xfId="367" applyFont="1" applyFill="1" applyAlignment="1">
      <alignment horizontal="left" vertical="top" wrapText="1"/>
    </xf>
    <xf numFmtId="0" fontId="138" fillId="0" borderId="0" xfId="367" applyFont="1" applyFill="1"/>
    <xf numFmtId="0" fontId="137" fillId="0" borderId="0" xfId="367" applyFont="1" applyFill="1"/>
    <xf numFmtId="0" fontId="1" fillId="0" borderId="0" xfId="377"/>
    <xf numFmtId="0" fontId="87" fillId="0" borderId="0" xfId="377" applyFont="1"/>
    <xf numFmtId="0" fontId="152" fillId="0" borderId="0" xfId="377" applyFont="1"/>
    <xf numFmtId="14" fontId="87" fillId="0" borderId="0" xfId="377" quotePrefix="1" applyNumberFormat="1" applyFont="1"/>
    <xf numFmtId="0" fontId="1" fillId="0" borderId="0" xfId="377" applyFont="1"/>
    <xf numFmtId="0" fontId="153" fillId="0" borderId="0" xfId="377" applyFont="1"/>
    <xf numFmtId="44" fontId="1" fillId="62" borderId="4" xfId="378" applyFont="1" applyFill="1" applyBorder="1"/>
    <xf numFmtId="0" fontId="0" fillId="0" borderId="0" xfId="377" applyFont="1"/>
    <xf numFmtId="44" fontId="1" fillId="0" borderId="4" xfId="378" applyFont="1" applyBorder="1"/>
    <xf numFmtId="44" fontId="1" fillId="0" borderId="0" xfId="378" applyFont="1"/>
    <xf numFmtId="44" fontId="1" fillId="0" borderId="0" xfId="378" applyFont="1" applyBorder="1"/>
    <xf numFmtId="44" fontId="1" fillId="0" borderId="35" xfId="378" applyFont="1" applyBorder="1"/>
    <xf numFmtId="43" fontId="0" fillId="0" borderId="0" xfId="379" applyFont="1"/>
    <xf numFmtId="43" fontId="1" fillId="0" borderId="0" xfId="377" applyNumberFormat="1"/>
    <xf numFmtId="166" fontId="56" fillId="0" borderId="0" xfId="380" applyNumberFormat="1" applyFont="1" applyFill="1"/>
    <xf numFmtId="166" fontId="52" fillId="0" borderId="0" xfId="380" applyNumberFormat="1" applyFont="1" applyFill="1"/>
    <xf numFmtId="168" fontId="56" fillId="0" borderId="0" xfId="381" applyNumberFormat="1" applyFont="1" applyFill="1" applyAlignment="1">
      <alignment horizontal="right"/>
    </xf>
    <xf numFmtId="197" fontId="52" fillId="0" borderId="0" xfId="380" applyFont="1" applyFill="1"/>
    <xf numFmtId="168" fontId="52" fillId="0" borderId="0" xfId="381" applyNumberFormat="1" applyFont="1" applyFill="1"/>
    <xf numFmtId="180" fontId="56" fillId="0" borderId="0" xfId="380" applyNumberFormat="1" applyFont="1" applyFill="1" applyAlignment="1">
      <alignment horizontal="left"/>
    </xf>
    <xf numFmtId="166" fontId="52" fillId="0" borderId="0" xfId="380" applyNumberFormat="1" applyFont="1" applyFill="1" applyAlignment="1">
      <alignment horizontal="center"/>
    </xf>
    <xf numFmtId="168" fontId="52" fillId="0" borderId="0" xfId="381" applyNumberFormat="1" applyFont="1" applyFill="1" applyAlignment="1">
      <alignment horizontal="center"/>
    </xf>
    <xf numFmtId="197" fontId="52" fillId="0" borderId="14" xfId="380" applyFont="1" applyFill="1" applyBorder="1" applyAlignment="1">
      <alignment horizontal="center"/>
    </xf>
    <xf numFmtId="197" fontId="52" fillId="0" borderId="1" xfId="380" applyFont="1" applyFill="1" applyBorder="1" applyAlignment="1">
      <alignment horizontal="center"/>
    </xf>
    <xf numFmtId="168" fontId="52" fillId="0" borderId="1" xfId="381" applyNumberFormat="1" applyFont="1" applyFill="1" applyBorder="1" applyAlignment="1">
      <alignment horizontal="center"/>
    </xf>
    <xf numFmtId="197" fontId="52" fillId="0" borderId="29" xfId="380" applyFont="1" applyFill="1" applyBorder="1" applyAlignment="1">
      <alignment horizontal="center"/>
    </xf>
    <xf numFmtId="197" fontId="52" fillId="0" borderId="27" xfId="380" applyFont="1" applyFill="1" applyBorder="1" applyAlignment="1">
      <alignment horizontal="center"/>
    </xf>
    <xf numFmtId="197" fontId="52" fillId="0" borderId="35" xfId="380" applyFont="1" applyFill="1" applyBorder="1" applyAlignment="1">
      <alignment horizontal="center"/>
    </xf>
    <xf numFmtId="0" fontId="56" fillId="0" borderId="0" xfId="380" applyNumberFormat="1" applyFont="1" applyFill="1" applyAlignment="1">
      <alignment horizontal="center"/>
    </xf>
    <xf numFmtId="166" fontId="52" fillId="0" borderId="1" xfId="380" applyNumberFormat="1" applyFont="1" applyFill="1" applyBorder="1"/>
    <xf numFmtId="197" fontId="52" fillId="0" borderId="16" xfId="380" applyFont="1" applyFill="1" applyBorder="1"/>
    <xf numFmtId="197" fontId="52" fillId="0" borderId="0" xfId="380" applyFont="1" applyFill="1" applyBorder="1"/>
    <xf numFmtId="197" fontId="52" fillId="0" borderId="32" xfId="380" applyFont="1" applyFill="1" applyBorder="1"/>
    <xf numFmtId="168" fontId="52" fillId="0" borderId="16" xfId="381" applyNumberFormat="1" applyFont="1" applyFill="1" applyBorder="1"/>
    <xf numFmtId="168" fontId="52" fillId="0" borderId="0" xfId="381" applyNumberFormat="1" applyFont="1" applyFill="1" applyBorder="1"/>
    <xf numFmtId="168" fontId="52" fillId="0" borderId="32" xfId="381" applyNumberFormat="1" applyFont="1" applyFill="1" applyBorder="1"/>
    <xf numFmtId="197" fontId="154" fillId="0" borderId="0" xfId="380" applyFont="1" applyFill="1" applyAlignment="1">
      <alignment horizontal="right"/>
    </xf>
    <xf numFmtId="168" fontId="155" fillId="0" borderId="2" xfId="381" applyNumberFormat="1" applyFont="1" applyFill="1" applyBorder="1"/>
    <xf numFmtId="168" fontId="52" fillId="0" borderId="6" xfId="381" applyNumberFormat="1" applyFont="1" applyFill="1" applyBorder="1"/>
    <xf numFmtId="168" fontId="52" fillId="0" borderId="1" xfId="381" applyNumberFormat="1" applyFont="1" applyFill="1" applyBorder="1"/>
    <xf numFmtId="166" fontId="52" fillId="0" borderId="0" xfId="380" applyNumberFormat="1" applyFont="1" applyFill="1" applyBorder="1"/>
    <xf numFmtId="9" fontId="52" fillId="0" borderId="0" xfId="40" applyFont="1" applyFill="1"/>
    <xf numFmtId="168" fontId="52" fillId="0" borderId="0" xfId="381" applyNumberFormat="1" applyFont="1" applyFill="1" applyAlignment="1">
      <alignment horizontal="fill"/>
    </xf>
    <xf numFmtId="168" fontId="52" fillId="7" borderId="0" xfId="381" applyNumberFormat="1" applyFont="1" applyFill="1" applyBorder="1"/>
    <xf numFmtId="168" fontId="52" fillId="0" borderId="29" xfId="381" applyNumberFormat="1" applyFont="1" applyFill="1" applyBorder="1"/>
    <xf numFmtId="168" fontId="52" fillId="0" borderId="27" xfId="381" applyNumberFormat="1" applyFont="1" applyFill="1" applyBorder="1"/>
    <xf numFmtId="166" fontId="52" fillId="0" borderId="0" xfId="380" applyNumberFormat="1" applyFont="1" applyFill="1" applyAlignment="1">
      <alignment horizontal="right"/>
    </xf>
    <xf numFmtId="5" fontId="52" fillId="0" borderId="5" xfId="381" applyNumberFormat="1" applyFont="1" applyFill="1" applyBorder="1"/>
    <xf numFmtId="5" fontId="155" fillId="0" borderId="2" xfId="381" applyNumberFormat="1" applyFont="1" applyFill="1" applyBorder="1"/>
    <xf numFmtId="197" fontId="52" fillId="0" borderId="0" xfId="380" applyFont="1" applyFill="1" applyAlignment="1">
      <alignment vertical="top" wrapText="1"/>
    </xf>
    <xf numFmtId="166" fontId="52" fillId="0" borderId="0" xfId="380" applyNumberFormat="1" applyFont="1" applyFill="1" applyAlignment="1">
      <alignment vertical="top" wrapText="1"/>
    </xf>
    <xf numFmtId="168" fontId="52" fillId="0" borderId="0" xfId="381" applyNumberFormat="1" applyFont="1" applyFill="1" applyAlignment="1">
      <alignment vertical="top" wrapText="1"/>
    </xf>
    <xf numFmtId="166" fontId="42" fillId="0" borderId="0" xfId="380" applyNumberFormat="1" applyFont="1" applyFill="1"/>
    <xf numFmtId="4" fontId="31" fillId="0" borderId="0" xfId="380" applyNumberFormat="1" applyFont="1"/>
    <xf numFmtId="166" fontId="31" fillId="0" borderId="0" xfId="380" applyNumberFormat="1" applyFont="1" applyFill="1"/>
    <xf numFmtId="0" fontId="31" fillId="0" borderId="0" xfId="380" applyNumberFormat="1" applyFont="1"/>
    <xf numFmtId="4" fontId="31" fillId="0" borderId="1" xfId="382" applyNumberFormat="1" applyFont="1" applyFill="1" applyBorder="1" applyAlignment="1"/>
    <xf numFmtId="4" fontId="31" fillId="0" borderId="0" xfId="380" applyNumberFormat="1" applyFont="1" applyAlignment="1">
      <alignment horizontal="center"/>
    </xf>
    <xf numFmtId="4" fontId="31" fillId="0" borderId="0" xfId="383" applyNumberFormat="1" applyFont="1" applyFill="1" applyBorder="1" applyAlignment="1">
      <alignment horizontal="center"/>
    </xf>
    <xf numFmtId="4" fontId="31" fillId="0" borderId="1" xfId="383" applyNumberFormat="1" applyFont="1" applyFill="1" applyBorder="1" applyAlignment="1">
      <alignment horizontal="center" vertical="center" wrapText="1"/>
    </xf>
    <xf numFmtId="0" fontId="156" fillId="0" borderId="0" xfId="382" applyNumberFormat="1" applyFont="1" applyFill="1" applyAlignment="1">
      <alignment horizontal="center"/>
    </xf>
    <xf numFmtId="4" fontId="156" fillId="0" borderId="0" xfId="382" applyNumberFormat="1" applyFont="1" applyFill="1" applyAlignment="1">
      <alignment horizontal="center"/>
    </xf>
    <xf numFmtId="4" fontId="31" fillId="0" borderId="0" xfId="380" applyNumberFormat="1" applyFont="1" applyBorder="1"/>
    <xf numFmtId="0" fontId="31" fillId="0" borderId="0" xfId="382" applyNumberFormat="1" applyFont="1" applyFill="1" applyAlignment="1">
      <alignment horizontal="left"/>
    </xf>
    <xf numFmtId="4" fontId="31" fillId="0" borderId="0" xfId="382" applyNumberFormat="1" applyFont="1" applyFill="1"/>
    <xf numFmtId="43" fontId="31" fillId="0" borderId="0" xfId="370" applyNumberFormat="1" applyFont="1" applyFill="1" applyBorder="1" applyAlignment="1"/>
    <xf numFmtId="4" fontId="31" fillId="62" borderId="0" xfId="380" applyNumberFormat="1" applyFont="1" applyFill="1"/>
    <xf numFmtId="4" fontId="31" fillId="7" borderId="0" xfId="380" applyNumberFormat="1" applyFont="1" applyFill="1"/>
    <xf numFmtId="4" fontId="31" fillId="0" borderId="0" xfId="382" applyNumberFormat="1" applyFont="1"/>
    <xf numFmtId="4" fontId="31" fillId="0" borderId="0" xfId="381" applyNumberFormat="1" applyFont="1" applyFill="1" applyBorder="1" applyAlignment="1"/>
    <xf numFmtId="4" fontId="31" fillId="0" borderId="12" xfId="381" applyNumberFormat="1" applyFont="1" applyFill="1" applyBorder="1" applyAlignment="1"/>
    <xf numFmtId="0" fontId="31" fillId="0" borderId="0" xfId="382" quotePrefix="1" applyNumberFormat="1" applyFont="1" applyFill="1" applyAlignment="1">
      <alignment horizontal="left"/>
    </xf>
    <xf numFmtId="4" fontId="31" fillId="0" borderId="12" xfId="380" applyNumberFormat="1" applyFont="1" applyBorder="1"/>
    <xf numFmtId="4" fontId="31" fillId="0" borderId="3" xfId="381" applyNumberFormat="1" applyFont="1" applyFill="1" applyBorder="1" applyAlignment="1"/>
    <xf numFmtId="4" fontId="31" fillId="0" borderId="3" xfId="380" applyNumberFormat="1" applyFont="1" applyBorder="1"/>
    <xf numFmtId="0" fontId="52" fillId="0" borderId="0" xfId="0" applyFont="1" applyAlignment="1">
      <alignment horizontal="center"/>
    </xf>
    <xf numFmtId="0" fontId="157" fillId="0" borderId="0" xfId="0" applyNumberFormat="1" applyFont="1"/>
    <xf numFmtId="0" fontId="158" fillId="0" borderId="0" xfId="0" applyNumberFormat="1" applyFont="1"/>
    <xf numFmtId="0" fontId="141" fillId="0" borderId="1" xfId="0" applyFont="1" applyBorder="1" applyAlignment="1">
      <alignment horizontal="center"/>
    </xf>
    <xf numFmtId="0" fontId="141" fillId="0" borderId="1" xfId="0" applyFont="1" applyBorder="1" applyAlignment="1">
      <alignment horizontal="center"/>
    </xf>
    <xf numFmtId="17" fontId="141" fillId="0" borderId="0" xfId="0" applyNumberFormat="1" applyFont="1" applyAlignment="1">
      <alignment horizontal="center"/>
    </xf>
    <xf numFmtId="1" fontId="80" fillId="0" borderId="6" xfId="0" applyNumberFormat="1" applyFont="1" applyBorder="1"/>
    <xf numFmtId="169" fontId="80" fillId="0" borderId="0" xfId="0" applyNumberFormat="1" applyFont="1"/>
    <xf numFmtId="169" fontId="80" fillId="0" borderId="6" xfId="11" applyNumberFormat="1" applyFont="1" applyBorder="1"/>
    <xf numFmtId="0" fontId="56" fillId="0" borderId="33" xfId="3" applyNumberFormat="1" applyFont="1" applyFill="1" applyBorder="1" applyAlignment="1" applyProtection="1">
      <alignment wrapText="1"/>
    </xf>
    <xf numFmtId="0" fontId="56" fillId="0" borderId="8" xfId="3" applyNumberFormat="1" applyFont="1" applyFill="1" applyBorder="1" applyAlignment="1" applyProtection="1">
      <alignment wrapText="1"/>
    </xf>
    <xf numFmtId="169" fontId="52" fillId="0" borderId="15" xfId="11" applyNumberFormat="1" applyFont="1" applyBorder="1"/>
    <xf numFmtId="169" fontId="52" fillId="0" borderId="22" xfId="11" applyNumberFormat="1" applyFont="1" applyBorder="1"/>
    <xf numFmtId="169" fontId="52" fillId="0" borderId="59" xfId="11" applyNumberFormat="1" applyFont="1" applyBorder="1"/>
    <xf numFmtId="169" fontId="52" fillId="0" borderId="60" xfId="11" applyNumberFormat="1" applyFont="1" applyBorder="1"/>
    <xf numFmtId="0" fontId="52" fillId="0" borderId="23" xfId="0" applyFont="1" applyBorder="1"/>
    <xf numFmtId="0" fontId="52" fillId="0" borderId="25" xfId="0" applyFont="1" applyBorder="1"/>
    <xf numFmtId="43" fontId="56" fillId="0" borderId="1" xfId="3" applyFont="1" applyFill="1" applyBorder="1" applyAlignment="1">
      <alignment horizontal="center"/>
    </xf>
    <xf numFmtId="43" fontId="56" fillId="0" borderId="1" xfId="3" applyFont="1" applyFill="1" applyBorder="1" applyAlignment="1">
      <alignment horizontal="center" wrapText="1"/>
    </xf>
    <xf numFmtId="0" fontId="52" fillId="0" borderId="0" xfId="29" applyFont="1" applyFill="1" applyBorder="1"/>
    <xf numFmtId="0" fontId="56" fillId="0" borderId="1" xfId="29" applyFont="1" applyFill="1" applyBorder="1" applyAlignment="1">
      <alignment horizontal="center" wrapText="1"/>
    </xf>
    <xf numFmtId="169" fontId="52" fillId="0" borderId="0" xfId="11" applyNumberFormat="1" applyFont="1" applyFill="1" applyBorder="1"/>
    <xf numFmtId="169" fontId="80" fillId="0" borderId="0" xfId="11" applyNumberFormat="1" applyFont="1" applyFill="1" applyBorder="1"/>
    <xf numFmtId="169" fontId="52" fillId="0" borderId="3" xfId="11" applyNumberFormat="1" applyFont="1" applyFill="1" applyBorder="1"/>
    <xf numFmtId="0" fontId="141" fillId="0" borderId="1" xfId="0" applyFont="1" applyBorder="1" applyAlignment="1">
      <alignment horizontal="centerContinuous"/>
    </xf>
    <xf numFmtId="166" fontId="80" fillId="0" borderId="0" xfId="0" applyNumberFormat="1" applyFont="1" applyFill="1"/>
    <xf numFmtId="168" fontId="80" fillId="0" borderId="0" xfId="3" applyNumberFormat="1" applyFont="1" applyFill="1"/>
    <xf numFmtId="0" fontId="80" fillId="0" borderId="0" xfId="0" applyFont="1" applyFill="1"/>
    <xf numFmtId="168" fontId="141" fillId="0" borderId="6" xfId="384" applyNumberFormat="1" applyFont="1" applyFill="1" applyBorder="1"/>
    <xf numFmtId="166" fontId="141" fillId="0" borderId="6" xfId="384" applyNumberFormat="1" applyFont="1" applyFill="1" applyBorder="1"/>
    <xf numFmtId="0" fontId="141" fillId="0" borderId="6" xfId="384" applyFont="1" applyBorder="1"/>
    <xf numFmtId="0" fontId="159" fillId="0" borderId="0" xfId="0" applyFont="1"/>
    <xf numFmtId="0" fontId="160" fillId="0" borderId="0" xfId="0" applyFont="1" applyAlignment="1">
      <alignment horizontal="center"/>
    </xf>
    <xf numFmtId="37" fontId="52" fillId="0" borderId="0" xfId="3" applyNumberFormat="1" applyFont="1" applyAlignment="1">
      <alignment horizontal="center"/>
    </xf>
    <xf numFmtId="37" fontId="52" fillId="0" borderId="3" xfId="3" applyNumberFormat="1" applyFont="1" applyBorder="1" applyAlignment="1">
      <alignment horizontal="center"/>
    </xf>
    <xf numFmtId="4" fontId="147" fillId="0" borderId="32" xfId="368" applyNumberFormat="1" applyFont="1" applyFill="1" applyBorder="1" applyProtection="1">
      <protection locked="0"/>
    </xf>
    <xf numFmtId="3" fontId="52" fillId="0" borderId="0" xfId="0" applyNumberFormat="1" applyFont="1" applyAlignment="1">
      <alignment horizontal="left"/>
    </xf>
    <xf numFmtId="192" fontId="71" fillId="63" borderId="1" xfId="42" applyNumberFormat="1" applyFont="1" applyFill="1" applyBorder="1" applyAlignment="1">
      <alignment horizontal="center" wrapText="1"/>
    </xf>
    <xf numFmtId="42" fontId="73" fillId="0" borderId="0" xfId="42" applyNumberFormat="1" applyFont="1" applyFill="1"/>
    <xf numFmtId="0" fontId="70" fillId="0" borderId="0" xfId="44" applyNumberFormat="1" applyFont="1" applyFill="1" applyAlignment="1">
      <alignment horizontal="center"/>
    </xf>
    <xf numFmtId="0" fontId="71" fillId="0" borderId="0" xfId="44" applyNumberFormat="1" applyFont="1" applyFill="1" applyBorder="1" applyAlignment="1">
      <alignment horizontal="center" wrapText="1"/>
    </xf>
    <xf numFmtId="0" fontId="70" fillId="0" borderId="0" xfId="43" applyNumberFormat="1" applyFont="1" applyFill="1" applyAlignment="1">
      <alignment horizontal="center"/>
    </xf>
    <xf numFmtId="0" fontId="71" fillId="0" borderId="0" xfId="43" applyNumberFormat="1" applyFont="1" applyFill="1" applyAlignment="1">
      <alignment horizontal="center"/>
    </xf>
    <xf numFmtId="0" fontId="72" fillId="0" borderId="0" xfId="41" applyNumberFormat="1" applyFont="1" applyFill="1" applyAlignment="1">
      <alignment horizontal="center"/>
    </xf>
    <xf numFmtId="0" fontId="71" fillId="0" borderId="0" xfId="46" applyNumberFormat="1" applyFont="1" applyFill="1" applyAlignment="1">
      <alignment horizontal="center"/>
    </xf>
    <xf numFmtId="0" fontId="71" fillId="0" borderId="0" xfId="65" applyNumberFormat="1" applyFont="1" applyFill="1" applyAlignment="1">
      <alignment horizontal="center"/>
    </xf>
    <xf numFmtId="0" fontId="70" fillId="0" borderId="0" xfId="42" applyNumberFormat="1" applyFont="1" applyFill="1" applyBorder="1" applyAlignment="1">
      <alignment horizontal="center"/>
    </xf>
    <xf numFmtId="0" fontId="71" fillId="0" borderId="0" xfId="44" applyNumberFormat="1" applyFont="1" applyFill="1" applyAlignment="1">
      <alignment horizontal="center"/>
    </xf>
    <xf numFmtId="0" fontId="70" fillId="0" borderId="0" xfId="65" applyNumberFormat="1" applyFont="1" applyFill="1" applyBorder="1" applyAlignment="1">
      <alignment horizontal="center"/>
    </xf>
    <xf numFmtId="0" fontId="71" fillId="0" borderId="0" xfId="5" applyNumberFormat="1" applyFont="1" applyFill="1" applyBorder="1" applyAlignment="1">
      <alignment horizontal="center"/>
    </xf>
    <xf numFmtId="0" fontId="70" fillId="0" borderId="0" xfId="63" applyNumberFormat="1" applyFont="1" applyFill="1" applyBorder="1" applyAlignment="1">
      <alignment horizontal="center"/>
    </xf>
    <xf numFmtId="0" fontId="70" fillId="0" borderId="0" xfId="42" quotePrefix="1" applyNumberFormat="1" applyFont="1" applyFill="1" applyBorder="1" applyAlignment="1">
      <alignment horizontal="center"/>
    </xf>
    <xf numFmtId="0" fontId="71" fillId="0" borderId="0" xfId="46" applyNumberFormat="1" applyFont="1" applyFill="1" applyBorder="1" applyAlignment="1">
      <alignment horizontal="center"/>
    </xf>
    <xf numFmtId="0" fontId="73" fillId="0" borderId="0" xfId="42" applyNumberFormat="1" applyFont="1" applyFill="1" applyBorder="1" applyAlignment="1">
      <alignment horizontal="center"/>
    </xf>
    <xf numFmtId="0" fontId="84" fillId="0" borderId="0" xfId="70" applyNumberFormat="1" applyFill="1" applyAlignment="1">
      <alignment horizontal="center" vertical="top"/>
    </xf>
    <xf numFmtId="37" fontId="56" fillId="0" borderId="0" xfId="36" applyNumberFormat="1" applyFont="1" applyBorder="1"/>
    <xf numFmtId="1" fontId="80" fillId="0" borderId="0" xfId="0" applyNumberFormat="1" applyFont="1"/>
    <xf numFmtId="41" fontId="80" fillId="0" borderId="0" xfId="0" applyNumberFormat="1" applyFont="1"/>
    <xf numFmtId="10" fontId="80" fillId="0" borderId="0" xfId="39" applyNumberFormat="1" applyFont="1"/>
    <xf numFmtId="41" fontId="80" fillId="0" borderId="0" xfId="39" applyNumberFormat="1" applyFont="1"/>
    <xf numFmtId="41" fontId="141" fillId="0" borderId="0" xfId="0" applyNumberFormat="1" applyFont="1"/>
    <xf numFmtId="41" fontId="141" fillId="0" borderId="0" xfId="39" applyNumberFormat="1" applyFont="1" applyBorder="1"/>
    <xf numFmtId="0" fontId="80" fillId="0" borderId="0" xfId="0" applyFont="1" applyFill="1" applyBorder="1"/>
    <xf numFmtId="41" fontId="80" fillId="0" borderId="0" xfId="0" applyNumberFormat="1" applyFont="1" applyBorder="1"/>
    <xf numFmtId="41" fontId="141" fillId="0" borderId="0" xfId="0" applyNumberFormat="1" applyFont="1" applyBorder="1"/>
    <xf numFmtId="0" fontId="141" fillId="0" borderId="0" xfId="0" applyFont="1" applyFill="1" applyBorder="1"/>
    <xf numFmtId="41" fontId="141" fillId="0" borderId="3" xfId="0" applyNumberFormat="1" applyFont="1" applyBorder="1"/>
    <xf numFmtId="1" fontId="141" fillId="0" borderId="1" xfId="0" applyNumberFormat="1" applyFont="1" applyBorder="1" applyAlignment="1">
      <alignment horizontal="center" wrapText="1"/>
    </xf>
    <xf numFmtId="0" fontId="141" fillId="0" borderId="1" xfId="0" applyFont="1" applyFill="1" applyBorder="1"/>
    <xf numFmtId="41" fontId="141" fillId="0" borderId="1" xfId="0" applyNumberFormat="1" applyFont="1" applyBorder="1" applyAlignment="1">
      <alignment horizontal="center" wrapText="1"/>
    </xf>
    <xf numFmtId="10" fontId="141" fillId="0" borderId="1" xfId="39" applyNumberFormat="1" applyFont="1" applyBorder="1" applyAlignment="1">
      <alignment horizontal="center" wrapText="1"/>
    </xf>
    <xf numFmtId="1" fontId="80" fillId="0" borderId="0" xfId="0" applyNumberFormat="1" applyFont="1" applyAlignment="1">
      <alignment horizontal="center"/>
    </xf>
    <xf numFmtId="1" fontId="80" fillId="0" borderId="0" xfId="0" applyNumberFormat="1" applyFont="1" applyFill="1" applyAlignment="1">
      <alignment horizontal="center"/>
    </xf>
    <xf numFmtId="0" fontId="161" fillId="0" borderId="0" xfId="0" applyFont="1"/>
    <xf numFmtId="0" fontId="162" fillId="0" borderId="0" xfId="0" applyFont="1" applyFill="1"/>
    <xf numFmtId="0" fontId="161" fillId="0" borderId="0" xfId="0" applyFont="1" applyAlignment="1">
      <alignment horizontal="center"/>
    </xf>
    <xf numFmtId="10" fontId="80" fillId="0" borderId="0" xfId="39" applyNumberFormat="1" applyFont="1" applyAlignment="1">
      <alignment horizontal="center"/>
    </xf>
    <xf numFmtId="10" fontId="80" fillId="0" borderId="0" xfId="0" applyNumberFormat="1" applyFont="1" applyAlignment="1">
      <alignment horizontal="center"/>
    </xf>
    <xf numFmtId="10" fontId="141" fillId="0" borderId="0" xfId="39" applyNumberFormat="1" applyFont="1" applyBorder="1" applyAlignment="1">
      <alignment horizontal="center"/>
    </xf>
    <xf numFmtId="41" fontId="141" fillId="0" borderId="0" xfId="39" applyNumberFormat="1" applyFont="1"/>
    <xf numFmtId="0" fontId="56" fillId="0" borderId="1" xfId="0" applyFont="1" applyBorder="1" applyAlignment="1">
      <alignment horizontal="center"/>
    </xf>
    <xf numFmtId="0" fontId="52" fillId="0" borderId="16" xfId="0" applyFont="1" applyBorder="1" applyAlignment="1">
      <alignment horizontal="center"/>
    </xf>
    <xf numFmtId="204" fontId="52" fillId="0" borderId="0" xfId="368" applyNumberFormat="1" applyFont="1" applyFill="1" applyAlignment="1" applyProtection="1">
      <alignment horizontal="center"/>
    </xf>
    <xf numFmtId="0" fontId="52" fillId="0" borderId="0" xfId="0" applyFont="1" applyFill="1" applyAlignment="1">
      <alignment horizontal="center"/>
    </xf>
    <xf numFmtId="203" fontId="147" fillId="0" borderId="0" xfId="368" applyNumberFormat="1" applyFont="1" applyFill="1" applyProtection="1">
      <protection locked="0"/>
    </xf>
    <xf numFmtId="0" fontId="163" fillId="0" borderId="0" xfId="0" applyFont="1"/>
    <xf numFmtId="0" fontId="56" fillId="0" borderId="1" xfId="0" applyFont="1" applyBorder="1" applyAlignment="1"/>
    <xf numFmtId="0" fontId="52" fillId="0" borderId="0" xfId="380" applyNumberFormat="1" applyFont="1" applyFill="1"/>
    <xf numFmtId="37" fontId="52" fillId="0" borderId="0" xfId="3" quotePrefix="1" applyNumberFormat="1" applyFont="1" applyAlignment="1">
      <alignment horizontal="center"/>
    </xf>
    <xf numFmtId="168" fontId="52" fillId="0" borderId="0" xfId="3" applyNumberFormat="1" applyFont="1" applyFill="1" applyAlignment="1" applyProtection="1">
      <alignment horizontal="center"/>
    </xf>
    <xf numFmtId="168" fontId="52" fillId="0" borderId="0" xfId="3" applyNumberFormat="1" applyFont="1" applyFill="1" applyProtection="1"/>
    <xf numFmtId="168" fontId="147" fillId="0" borderId="32" xfId="3" applyNumberFormat="1" applyFont="1" applyFill="1" applyBorder="1" applyProtection="1">
      <protection locked="0"/>
    </xf>
    <xf numFmtId="168" fontId="149" fillId="0" borderId="32" xfId="3" applyNumberFormat="1" applyFont="1" applyFill="1" applyBorder="1" applyProtection="1"/>
    <xf numFmtId="168" fontId="147" fillId="0" borderId="0" xfId="3" applyNumberFormat="1" applyFont="1" applyFill="1" applyProtection="1">
      <protection locked="0"/>
    </xf>
    <xf numFmtId="168" fontId="147" fillId="0" borderId="0" xfId="3" applyNumberFormat="1" applyFont="1" applyFill="1" applyBorder="1" applyProtection="1">
      <protection locked="0"/>
    </xf>
    <xf numFmtId="43" fontId="147" fillId="0" borderId="32" xfId="3" applyNumberFormat="1" applyFont="1" applyFill="1" applyBorder="1" applyProtection="1">
      <protection locked="0"/>
    </xf>
    <xf numFmtId="168" fontId="52" fillId="0" borderId="0" xfId="3" applyNumberFormat="1" applyFont="1" applyFill="1"/>
    <xf numFmtId="10" fontId="52" fillId="0" borderId="0" xfId="39" applyNumberFormat="1" applyFont="1" applyFill="1"/>
    <xf numFmtId="168" fontId="52" fillId="0" borderId="35" xfId="3" applyNumberFormat="1" applyFont="1" applyFill="1" applyBorder="1" applyProtection="1"/>
    <xf numFmtId="168" fontId="52" fillId="0" borderId="27" xfId="3" applyNumberFormat="1" applyFont="1" applyFill="1" applyBorder="1" applyProtection="1"/>
    <xf numFmtId="169" fontId="52" fillId="0" borderId="35" xfId="11" applyNumberFormat="1" applyFont="1" applyFill="1" applyBorder="1" applyProtection="1"/>
    <xf numFmtId="169" fontId="52" fillId="0" borderId="27" xfId="11" applyNumberFormat="1" applyFont="1" applyFill="1" applyBorder="1" applyProtection="1"/>
    <xf numFmtId="169" fontId="147" fillId="0" borderId="0" xfId="11" applyNumberFormat="1" applyFont="1" applyFill="1" applyProtection="1">
      <protection locked="0"/>
    </xf>
    <xf numFmtId="169" fontId="52" fillId="0" borderId="0" xfId="11" applyNumberFormat="1" applyFont="1" applyFill="1"/>
    <xf numFmtId="169" fontId="52" fillId="0" borderId="0" xfId="11" applyNumberFormat="1" applyFont="1" applyFill="1" applyProtection="1"/>
    <xf numFmtId="169" fontId="149" fillId="0" borderId="0" xfId="11" applyNumberFormat="1" applyFont="1" applyFill="1" applyProtection="1"/>
    <xf numFmtId="168" fontId="147" fillId="0" borderId="61" xfId="3" applyNumberFormat="1" applyFont="1" applyFill="1" applyBorder="1" applyProtection="1">
      <protection locked="0"/>
    </xf>
    <xf numFmtId="168" fontId="52" fillId="0" borderId="32" xfId="3" applyNumberFormat="1" applyFont="1" applyFill="1" applyBorder="1" applyProtection="1"/>
    <xf numFmtId="168" fontId="52" fillId="0" borderId="32" xfId="3" applyNumberFormat="1" applyFont="1" applyFill="1" applyBorder="1"/>
    <xf numFmtId="168" fontId="147" fillId="0" borderId="61" xfId="3" applyNumberFormat="1" applyFont="1" applyFill="1" applyBorder="1" applyProtection="1"/>
    <xf numFmtId="168" fontId="149" fillId="0" borderId="61" xfId="3" applyNumberFormat="1" applyFont="1" applyFill="1" applyBorder="1" applyProtection="1"/>
    <xf numFmtId="168" fontId="147" fillId="0" borderId="2" xfId="3" applyNumberFormat="1" applyFont="1" applyFill="1" applyBorder="1" applyProtection="1">
      <protection locked="0"/>
    </xf>
    <xf numFmtId="168" fontId="52" fillId="0" borderId="61" xfId="3" applyNumberFormat="1" applyFont="1" applyFill="1" applyBorder="1" applyProtection="1"/>
    <xf numFmtId="168" fontId="142" fillId="0" borderId="0" xfId="3" applyNumberFormat="1" applyFont="1" applyFill="1" applyProtection="1">
      <protection locked="0"/>
    </xf>
    <xf numFmtId="168" fontId="142" fillId="0" borderId="0" xfId="3" applyNumberFormat="1" applyFont="1" applyFill="1" applyProtection="1"/>
    <xf numFmtId="168" fontId="52" fillId="0" borderId="0" xfId="3" applyNumberFormat="1" applyFont="1" applyFill="1" applyBorder="1"/>
    <xf numFmtId="169" fontId="52" fillId="0" borderId="3" xfId="0" applyNumberFormat="1" applyFont="1" applyBorder="1"/>
    <xf numFmtId="44" fontId="52" fillId="0" borderId="0" xfId="0" applyNumberFormat="1" applyFont="1"/>
    <xf numFmtId="203" fontId="52" fillId="0" borderId="35" xfId="368" applyNumberFormat="1" applyFont="1" applyFill="1" applyBorder="1" applyProtection="1"/>
    <xf numFmtId="210" fontId="147" fillId="0" borderId="0" xfId="3" applyNumberFormat="1" applyFont="1" applyFill="1" applyProtection="1">
      <protection locked="0"/>
    </xf>
    <xf numFmtId="0" fontId="61" fillId="0" borderId="0" xfId="0" applyFont="1" applyAlignment="1">
      <alignment horizontal="right"/>
    </xf>
    <xf numFmtId="192" fontId="71" fillId="63" borderId="0" xfId="41" applyNumberFormat="1" applyFont="1" applyFill="1"/>
    <xf numFmtId="192" fontId="71" fillId="63" borderId="0" xfId="42" applyNumberFormat="1" applyFont="1" applyFill="1"/>
    <xf numFmtId="192" fontId="70" fillId="63" borderId="0" xfId="42" applyNumberFormat="1" applyFont="1" applyFill="1"/>
    <xf numFmtId="0" fontId="31" fillId="63" borderId="0" xfId="70" applyFont="1" applyFill="1">
      <alignment vertical="top"/>
    </xf>
    <xf numFmtId="0" fontId="164" fillId="0" borderId="0" xfId="0" applyFont="1"/>
    <xf numFmtId="0" fontId="15" fillId="0" borderId="0" xfId="16" applyFont="1"/>
    <xf numFmtId="0" fontId="87" fillId="0" borderId="0" xfId="377" applyFont="1" applyAlignment="1">
      <alignment horizontal="right"/>
    </xf>
    <xf numFmtId="210" fontId="73" fillId="0" borderId="3" xfId="42" applyNumberFormat="1" applyFont="1" applyFill="1" applyBorder="1"/>
    <xf numFmtId="204" fontId="52" fillId="0" borderId="0" xfId="368" applyNumberFormat="1" applyFont="1" applyFill="1"/>
    <xf numFmtId="211" fontId="71" fillId="0" borderId="0" xfId="63" applyNumberFormat="1" applyFont="1" applyFill="1" applyBorder="1" applyAlignment="1"/>
    <xf numFmtId="202" fontId="56" fillId="0" borderId="0" xfId="369" applyNumberFormat="1" applyFont="1" applyFill="1" applyAlignment="1">
      <alignment horizontal="left"/>
    </xf>
    <xf numFmtId="197" fontId="52" fillId="0" borderId="30" xfId="380" applyFont="1" applyFill="1" applyBorder="1" applyAlignment="1">
      <alignment horizontal="center"/>
    </xf>
    <xf numFmtId="197" fontId="52" fillId="0" borderId="31" xfId="380" applyFont="1" applyFill="1" applyBorder="1" applyAlignment="1">
      <alignment horizontal="center"/>
    </xf>
    <xf numFmtId="197" fontId="52" fillId="0" borderId="6" xfId="380" applyFont="1" applyFill="1" applyBorder="1" applyAlignment="1">
      <alignment horizontal="center"/>
    </xf>
    <xf numFmtId="166" fontId="52" fillId="0" borderId="0" xfId="380" applyNumberFormat="1" applyFont="1" applyFill="1" applyAlignment="1">
      <alignment horizontal="left" vertical="top" wrapText="1"/>
    </xf>
    <xf numFmtId="180" fontId="56" fillId="0" borderId="0" xfId="380" applyNumberFormat="1" applyFont="1" applyFill="1" applyAlignment="1">
      <alignment horizontal="left"/>
    </xf>
    <xf numFmtId="166" fontId="52" fillId="0" borderId="0" xfId="375" applyNumberFormat="1" applyFont="1" applyFill="1" applyAlignment="1">
      <alignment horizontal="left" vertical="top" wrapText="1"/>
    </xf>
    <xf numFmtId="180" fontId="42" fillId="0" borderId="0" xfId="380" applyNumberFormat="1" applyFont="1" applyFill="1" applyAlignment="1">
      <alignment horizontal="left"/>
    </xf>
    <xf numFmtId="185" fontId="58" fillId="0" borderId="0" xfId="0" applyNumberFormat="1" applyFont="1" applyFill="1" applyBorder="1" applyAlignment="1">
      <alignment horizontal="left"/>
    </xf>
    <xf numFmtId="185" fontId="57" fillId="0" borderId="0" xfId="0" applyNumberFormat="1" applyFont="1" applyFill="1" applyAlignment="1">
      <alignment horizontal="left"/>
    </xf>
    <xf numFmtId="186" fontId="57" fillId="0" borderId="0" xfId="0" applyNumberFormat="1" applyFont="1" applyFill="1" applyAlignment="1">
      <alignment horizontal="left"/>
    </xf>
    <xf numFmtId="49" fontId="27" fillId="0" borderId="1" xfId="0" applyNumberFormat="1" applyFont="1" applyFill="1" applyBorder="1" applyAlignment="1">
      <alignment horizontal="center"/>
    </xf>
    <xf numFmtId="49" fontId="58" fillId="0" borderId="0" xfId="0" applyNumberFormat="1" applyFont="1" applyFill="1" applyAlignment="1">
      <alignment horizontal="center"/>
    </xf>
    <xf numFmtId="185" fontId="58" fillId="0" borderId="0" xfId="0" applyNumberFormat="1" applyFont="1" applyFill="1" applyAlignment="1">
      <alignment horizontal="left"/>
    </xf>
    <xf numFmtId="166" fontId="61" fillId="0" borderId="0" xfId="0" applyNumberFormat="1" applyFont="1" applyAlignment="1">
      <alignment horizontal="center"/>
    </xf>
    <xf numFmtId="166" fontId="61" fillId="0" borderId="0" xfId="0" applyNumberFormat="1" applyFont="1" applyFill="1" applyAlignment="1">
      <alignment horizontal="center"/>
    </xf>
    <xf numFmtId="176" fontId="61" fillId="0" borderId="0" xfId="0" applyNumberFormat="1" applyFont="1" applyAlignment="1">
      <alignment horizontal="center"/>
    </xf>
    <xf numFmtId="38" fontId="16" fillId="0" borderId="0" xfId="0" applyNumberFormat="1" applyFont="1" applyFill="1" applyAlignment="1">
      <alignment horizontal="left"/>
    </xf>
    <xf numFmtId="185" fontId="71" fillId="0" borderId="1" xfId="43" applyFont="1" applyFill="1" applyBorder="1" applyAlignment="1">
      <alignment horizontal="center"/>
    </xf>
    <xf numFmtId="185" fontId="72" fillId="0" borderId="24" xfId="41" applyFont="1" applyFill="1" applyBorder="1" applyAlignment="1">
      <alignment horizontal="center"/>
    </xf>
    <xf numFmtId="185" fontId="71" fillId="0" borderId="24" xfId="43" applyFont="1" applyFill="1" applyBorder="1" applyAlignment="1">
      <alignment horizontal="center"/>
    </xf>
    <xf numFmtId="0" fontId="139" fillId="0" borderId="0" xfId="0" applyFont="1" applyAlignment="1">
      <alignment horizontal="center"/>
    </xf>
    <xf numFmtId="170" fontId="15" fillId="0" borderId="0" xfId="31" applyNumberFormat="1" applyFont="1" applyAlignment="1">
      <alignment horizontal="center"/>
    </xf>
    <xf numFmtId="0" fontId="141" fillId="0" borderId="1" xfId="0" applyFont="1" applyBorder="1" applyAlignment="1">
      <alignment horizontal="center"/>
    </xf>
    <xf numFmtId="197" fontId="76" fillId="0" borderId="0" xfId="0" applyNumberFormat="1" applyFont="1" applyFill="1" applyAlignment="1">
      <alignment horizontal="left"/>
    </xf>
    <xf numFmtId="180" fontId="27" fillId="0" borderId="0" xfId="277" applyNumberFormat="1" applyFont="1" applyFill="1" applyAlignment="1">
      <alignment horizontal="left"/>
    </xf>
    <xf numFmtId="0" fontId="27" fillId="0" borderId="0" xfId="277" applyFont="1" applyFill="1" applyAlignment="1">
      <alignment horizontal="left"/>
    </xf>
    <xf numFmtId="0" fontId="27" fillId="0" borderId="0" xfId="277" applyFont="1" applyFill="1"/>
    <xf numFmtId="0" fontId="57" fillId="0" borderId="0" xfId="16" applyFont="1" applyFill="1" applyBorder="1" applyAlignment="1">
      <alignment horizontal="left"/>
    </xf>
    <xf numFmtId="0" fontId="27" fillId="0" borderId="0" xfId="16" applyFont="1" applyFill="1" applyBorder="1" applyAlignment="1">
      <alignment horizontal="left"/>
    </xf>
    <xf numFmtId="180" fontId="27" fillId="0" borderId="0" xfId="16" applyNumberFormat="1" applyFont="1" applyFill="1" applyAlignment="1">
      <alignment horizontal="left"/>
    </xf>
    <xf numFmtId="0" fontId="27" fillId="0" borderId="0" xfId="16" applyFont="1" applyFill="1" applyAlignment="1"/>
    <xf numFmtId="0" fontId="57" fillId="0" borderId="0" xfId="16" applyFont="1" applyBorder="1" applyAlignment="1">
      <alignment horizontal="left"/>
    </xf>
    <xf numFmtId="0" fontId="27" fillId="0" borderId="0" xfId="16" applyFont="1" applyBorder="1" applyAlignment="1">
      <alignment horizontal="left"/>
    </xf>
    <xf numFmtId="0" fontId="130" fillId="0" borderId="57" xfId="362" applyNumberFormat="1" applyFont="1" applyBorder="1" applyAlignment="1">
      <alignment horizontal="center"/>
    </xf>
    <xf numFmtId="0" fontId="130" fillId="0" borderId="12" xfId="362" applyNumberFormat="1" applyFont="1" applyBorder="1" applyAlignment="1">
      <alignment horizontal="center"/>
    </xf>
    <xf numFmtId="0" fontId="130" fillId="0" borderId="58" xfId="362" applyNumberFormat="1" applyFont="1" applyBorder="1" applyAlignment="1">
      <alignment horizontal="center"/>
    </xf>
    <xf numFmtId="180" fontId="33" fillId="0" borderId="0" xfId="0" applyNumberFormat="1" applyFont="1" applyAlignment="1">
      <alignment horizontal="left"/>
    </xf>
    <xf numFmtId="0" fontId="37" fillId="4" borderId="36" xfId="0" applyFont="1" applyFill="1" applyBorder="1" applyAlignment="1">
      <alignment horizontal="left" vertical="top" wrapText="1"/>
    </xf>
    <xf numFmtId="0" fontId="37" fillId="4" borderId="37" xfId="0" applyFont="1" applyFill="1" applyBorder="1" applyAlignment="1">
      <alignment horizontal="left" vertical="top" wrapText="1"/>
    </xf>
  </cellXfs>
  <cellStyles count="385">
    <cellStyle name="########" xfId="1"/>
    <cellStyle name="######## 2" xfId="68"/>
    <cellStyle name="20% - Accent1 2" xfId="77"/>
    <cellStyle name="20% - Accent1 2 2" xfId="78"/>
    <cellStyle name="20% - Accent1 3" xfId="79"/>
    <cellStyle name="20% - Accent1 3 2" xfId="80"/>
    <cellStyle name="20% - Accent1 4" xfId="81"/>
    <cellStyle name="20% - Accent2 2" xfId="82"/>
    <cellStyle name="20% - Accent2 2 2" xfId="83"/>
    <cellStyle name="20% - Accent2 3" xfId="84"/>
    <cellStyle name="20% - Accent2 3 2" xfId="85"/>
    <cellStyle name="20% - Accent2 4" xfId="86"/>
    <cellStyle name="20% - Accent3 2" xfId="87"/>
    <cellStyle name="20% - Accent3 2 2" xfId="88"/>
    <cellStyle name="20% - Accent3 3" xfId="89"/>
    <cellStyle name="20% - Accent3 3 2" xfId="90"/>
    <cellStyle name="20% - Accent3 4" xfId="91"/>
    <cellStyle name="20% - Accent4 2" xfId="92"/>
    <cellStyle name="20% - Accent4 2 2" xfId="93"/>
    <cellStyle name="20% - Accent4 3" xfId="94"/>
    <cellStyle name="20% - Accent4 3 2" xfId="95"/>
    <cellStyle name="20% - Accent4 4" xfId="96"/>
    <cellStyle name="20% - Accent5 2" xfId="97"/>
    <cellStyle name="20% - Accent5 2 2" xfId="98"/>
    <cellStyle name="20% - Accent5 3" xfId="99"/>
    <cellStyle name="20% - Accent5 3 2" xfId="100"/>
    <cellStyle name="20% - Accent5 4" xfId="101"/>
    <cellStyle name="20% - Accent6 2" xfId="102"/>
    <cellStyle name="20% - Accent6 2 2" xfId="103"/>
    <cellStyle name="20% - Accent6 3" xfId="104"/>
    <cellStyle name="20% - Accent6 3 2" xfId="105"/>
    <cellStyle name="20% - Accent6 4" xfId="106"/>
    <cellStyle name="40% - Accent1 2" xfId="107"/>
    <cellStyle name="40% - Accent1 2 2" xfId="108"/>
    <cellStyle name="40% - Accent1 3" xfId="109"/>
    <cellStyle name="40% - Accent1 3 2" xfId="110"/>
    <cellStyle name="40% - Accent1 4" xfId="111"/>
    <cellStyle name="40% - Accent2 2" xfId="112"/>
    <cellStyle name="40% - Accent2 2 2" xfId="113"/>
    <cellStyle name="40% - Accent2 3" xfId="114"/>
    <cellStyle name="40% - Accent2 3 2" xfId="115"/>
    <cellStyle name="40% - Accent2 4" xfId="116"/>
    <cellStyle name="40% - Accent3 2" xfId="117"/>
    <cellStyle name="40% - Accent3 2 2" xfId="118"/>
    <cellStyle name="40% - Accent3 3" xfId="119"/>
    <cellStyle name="40% - Accent3 3 2" xfId="120"/>
    <cellStyle name="40% - Accent3 4" xfId="121"/>
    <cellStyle name="40% - Accent4 2" xfId="122"/>
    <cellStyle name="40% - Accent4 2 2" xfId="123"/>
    <cellStyle name="40% - Accent4 3" xfId="124"/>
    <cellStyle name="40% - Accent4 3 2" xfId="125"/>
    <cellStyle name="40% - Accent4 4" xfId="126"/>
    <cellStyle name="40% - Accent5 2" xfId="127"/>
    <cellStyle name="40% - Accent5 2 2" xfId="128"/>
    <cellStyle name="40% - Accent5 3" xfId="129"/>
    <cellStyle name="40% - Accent5 3 2" xfId="130"/>
    <cellStyle name="40% - Accent5 4" xfId="131"/>
    <cellStyle name="40% - Accent6 2" xfId="132"/>
    <cellStyle name="40% - Accent6 2 2" xfId="133"/>
    <cellStyle name="40% - Accent6 3" xfId="134"/>
    <cellStyle name="40% - Accent6 3 2" xfId="135"/>
    <cellStyle name="40% - Accent6 4" xfId="136"/>
    <cellStyle name="60% - Accent1 2" xfId="137"/>
    <cellStyle name="60% - Accent1 2 2" xfId="138"/>
    <cellStyle name="60% - Accent1 3" xfId="139"/>
    <cellStyle name="60% - Accent1 3 2" xfId="140"/>
    <cellStyle name="60% - Accent1 4" xfId="141"/>
    <cellStyle name="60% - Accent2 2" xfId="142"/>
    <cellStyle name="60% - Accent2 2 2" xfId="143"/>
    <cellStyle name="60% - Accent2 3" xfId="144"/>
    <cellStyle name="60% - Accent2 3 2" xfId="145"/>
    <cellStyle name="60% - Accent2 4" xfId="146"/>
    <cellStyle name="60% - Accent3 2" xfId="147"/>
    <cellStyle name="60% - Accent3 2 2" xfId="148"/>
    <cellStyle name="60% - Accent3 3" xfId="149"/>
    <cellStyle name="60% - Accent3 3 2" xfId="150"/>
    <cellStyle name="60% - Accent3 4" xfId="151"/>
    <cellStyle name="60% - Accent4 2" xfId="152"/>
    <cellStyle name="60% - Accent4 2 2" xfId="153"/>
    <cellStyle name="60% - Accent4 3" xfId="154"/>
    <cellStyle name="60% - Accent4 3 2" xfId="155"/>
    <cellStyle name="60% - Accent4 4" xfId="156"/>
    <cellStyle name="60% - Accent5 2" xfId="157"/>
    <cellStyle name="60% - Accent5 2 2" xfId="158"/>
    <cellStyle name="60% - Accent5 3" xfId="159"/>
    <cellStyle name="60% - Accent5 3 2" xfId="160"/>
    <cellStyle name="60% - Accent5 4" xfId="161"/>
    <cellStyle name="60% - Accent6 2" xfId="162"/>
    <cellStyle name="60% - Accent6 2 2" xfId="163"/>
    <cellStyle name="60% - Accent6 3" xfId="164"/>
    <cellStyle name="60% - Accent6 3 2" xfId="165"/>
    <cellStyle name="60% - Accent6 4" xfId="166"/>
    <cellStyle name="Accent1 2" xfId="167"/>
    <cellStyle name="Accent1 2 2" xfId="168"/>
    <cellStyle name="Accent1 3" xfId="169"/>
    <cellStyle name="Accent1 3 2" xfId="170"/>
    <cellStyle name="Accent1 4" xfId="171"/>
    <cellStyle name="Accent2 2" xfId="172"/>
    <cellStyle name="Accent2 2 2" xfId="173"/>
    <cellStyle name="Accent2 3" xfId="174"/>
    <cellStyle name="Accent2 3 2" xfId="175"/>
    <cellStyle name="Accent2 4" xfId="176"/>
    <cellStyle name="Accent3 2" xfId="177"/>
    <cellStyle name="Accent3 2 2" xfId="178"/>
    <cellStyle name="Accent3 3" xfId="179"/>
    <cellStyle name="Accent3 3 2" xfId="180"/>
    <cellStyle name="Accent3 4" xfId="181"/>
    <cellStyle name="Accent4 2" xfId="182"/>
    <cellStyle name="Accent4 2 2" xfId="183"/>
    <cellStyle name="Accent4 3" xfId="184"/>
    <cellStyle name="Accent4 3 2" xfId="185"/>
    <cellStyle name="Accent4 4" xfId="186"/>
    <cellStyle name="Accent5 2" xfId="187"/>
    <cellStyle name="Accent5 2 2" xfId="188"/>
    <cellStyle name="Accent5 3" xfId="189"/>
    <cellStyle name="Accent5 3 2" xfId="190"/>
    <cellStyle name="Accent5 4" xfId="191"/>
    <cellStyle name="Accent6 2" xfId="192"/>
    <cellStyle name="Accent6 2 2" xfId="193"/>
    <cellStyle name="Accent6 3" xfId="194"/>
    <cellStyle name="Accent6 3 2" xfId="195"/>
    <cellStyle name="Accent6 4" xfId="196"/>
    <cellStyle name="Bad 2" xfId="197"/>
    <cellStyle name="Bad 2 2" xfId="198"/>
    <cellStyle name="Bad 3" xfId="199"/>
    <cellStyle name="Bad 3 2" xfId="200"/>
    <cellStyle name="Bad 4" xfId="201"/>
    <cellStyle name="Calculation 2" xfId="202"/>
    <cellStyle name="Calculation 2 2" xfId="203"/>
    <cellStyle name="Calculation 3" xfId="204"/>
    <cellStyle name="Calculation 3 2" xfId="205"/>
    <cellStyle name="Calculation 4" xfId="206"/>
    <cellStyle name="Check Cell 2" xfId="207"/>
    <cellStyle name="Check Cell 2 2" xfId="208"/>
    <cellStyle name="Check Cell 3" xfId="209"/>
    <cellStyle name="Check Cell 3 2" xfId="210"/>
    <cellStyle name="Check Cell 4" xfId="211"/>
    <cellStyle name="Co #" xfId="2"/>
    <cellStyle name="Comma" xfId="3" builtinId="3"/>
    <cellStyle name="Comma 10" xfId="212"/>
    <cellStyle name="Comma 11" xfId="213"/>
    <cellStyle name="Comma 12" xfId="214"/>
    <cellStyle name="Comma 13" xfId="4"/>
    <cellStyle name="Comma 13 2" xfId="69"/>
    <cellStyle name="Comma 13 3 2" xfId="53"/>
    <cellStyle name="Comma 14" xfId="215"/>
    <cellStyle name="Comma 15" xfId="216"/>
    <cellStyle name="Comma 16" xfId="217"/>
    <cellStyle name="Comma 17" xfId="364"/>
    <cellStyle name="Comma 18" xfId="366"/>
    <cellStyle name="Comma 19" xfId="370"/>
    <cellStyle name="Comma 2" xfId="5"/>
    <cellStyle name="Comma 2 2" xfId="6"/>
    <cellStyle name="Comma 2 2 2" xfId="218"/>
    <cellStyle name="Comma 2 2 3" xfId="379"/>
    <cellStyle name="Comma 2 3" xfId="7"/>
    <cellStyle name="Comma 2 5" xfId="51"/>
    <cellStyle name="Comma 3" xfId="8"/>
    <cellStyle name="Comma 3 2" xfId="219"/>
    <cellStyle name="Comma 3 8" xfId="381"/>
    <cellStyle name="Comma 34" xfId="220"/>
    <cellStyle name="Comma 37" xfId="371"/>
    <cellStyle name="Comma 4" xfId="42"/>
    <cellStyle name="Comma 4 2" xfId="46"/>
    <cellStyle name="Comma 4 3" xfId="221"/>
    <cellStyle name="Comma 4 4" xfId="222"/>
    <cellStyle name="Comma 5" xfId="62"/>
    <cellStyle name="Comma 6" xfId="223"/>
    <cellStyle name="Comma 7" xfId="224"/>
    <cellStyle name="Comma 8" xfId="225"/>
    <cellStyle name="Comma 8 2" xfId="9"/>
    <cellStyle name="Comma 8 2 2" xfId="10"/>
    <cellStyle name="Comma 8 2 3" xfId="361"/>
    <cellStyle name="Comma 9" xfId="226"/>
    <cellStyle name="Currency" xfId="11" builtinId="4"/>
    <cellStyle name="Currency 11" xfId="378"/>
    <cellStyle name="Currency 2" xfId="45"/>
    <cellStyle name="Currency 2 2" xfId="63"/>
    <cellStyle name="Currency 2 3" xfId="61"/>
    <cellStyle name="Currency 3" xfId="47"/>
    <cellStyle name="Currency 3 2" xfId="65"/>
    <cellStyle name="Currency 3 3" xfId="60"/>
    <cellStyle name="Currency 4" xfId="227"/>
    <cellStyle name="Currency 5" xfId="12"/>
    <cellStyle name="Currency 5 2" xfId="71"/>
    <cellStyle name="Currency 6" xfId="228"/>
    <cellStyle name="Currency 7" xfId="376"/>
    <cellStyle name="Date" xfId="13"/>
    <cellStyle name="Date-Regulatory" xfId="14"/>
    <cellStyle name="Euro" xfId="15"/>
    <cellStyle name="Explanatory Text 2" xfId="229"/>
    <cellStyle name="Explanatory Text 2 2" xfId="230"/>
    <cellStyle name="Explanatory Text 3" xfId="231"/>
    <cellStyle name="Explanatory Text 3 2" xfId="232"/>
    <cellStyle name="Explanatory Text 4" xfId="233"/>
    <cellStyle name="Footnote" xfId="234"/>
    <cellStyle name="Good 2" xfId="235"/>
    <cellStyle name="Good 2 2" xfId="236"/>
    <cellStyle name="Good 3" xfId="237"/>
    <cellStyle name="Good 3 2" xfId="238"/>
    <cellStyle name="Good 4" xfId="239"/>
    <cellStyle name="Heading 1 2" xfId="240"/>
    <cellStyle name="Heading 1 2 2" xfId="241"/>
    <cellStyle name="Heading 1 3" xfId="242"/>
    <cellStyle name="Heading 1 3 2" xfId="243"/>
    <cellStyle name="Heading 1 4" xfId="244"/>
    <cellStyle name="Heading 2 2" xfId="245"/>
    <cellStyle name="Heading 2 2 2" xfId="246"/>
    <cellStyle name="Heading 2 3" xfId="247"/>
    <cellStyle name="Heading 2 3 2" xfId="248"/>
    <cellStyle name="Heading 2 4" xfId="249"/>
    <cellStyle name="Heading 3 2" xfId="250"/>
    <cellStyle name="Heading 3 2 2" xfId="251"/>
    <cellStyle name="Heading 3 3" xfId="252"/>
    <cellStyle name="Heading 3 3 2" xfId="253"/>
    <cellStyle name="Heading 3 4" xfId="254"/>
    <cellStyle name="Heading 4 2" xfId="255"/>
    <cellStyle name="Heading 4 2 2" xfId="256"/>
    <cellStyle name="Heading 4 3" xfId="257"/>
    <cellStyle name="Heading 4 3 2" xfId="258"/>
    <cellStyle name="Heading 4 4" xfId="259"/>
    <cellStyle name="Input 2" xfId="260"/>
    <cellStyle name="Input 2 2" xfId="261"/>
    <cellStyle name="Input 3" xfId="262"/>
    <cellStyle name="Input 3 2" xfId="263"/>
    <cellStyle name="Input 4" xfId="264"/>
    <cellStyle name="Line Number" xfId="265"/>
    <cellStyle name="Linked Cell 2" xfId="266"/>
    <cellStyle name="Linked Cell 2 2" xfId="267"/>
    <cellStyle name="Linked Cell 3" xfId="268"/>
    <cellStyle name="Linked Cell 3 2" xfId="269"/>
    <cellStyle name="Linked Cell 4" xfId="270"/>
    <cellStyle name="Neutral 2" xfId="271"/>
    <cellStyle name="Neutral 2 2" xfId="272"/>
    <cellStyle name="Neutral 3" xfId="273"/>
    <cellStyle name="Neutral 3 2" xfId="274"/>
    <cellStyle name="Neutral 4" xfId="275"/>
    <cellStyle name="Normal" xfId="0" builtinId="0"/>
    <cellStyle name="Normal 10" xfId="76"/>
    <cellStyle name="Normal 10 2" xfId="276"/>
    <cellStyle name="Normal 10 2 2" xfId="375"/>
    <cellStyle name="Normal 10 3" xfId="369"/>
    <cellStyle name="Normal 10 7" xfId="374"/>
    <cellStyle name="Normal 11" xfId="277"/>
    <cellStyle name="Normal 11 2" xfId="278"/>
    <cellStyle name="Normal 12" xfId="279"/>
    <cellStyle name="Normal 12 2" xfId="280"/>
    <cellStyle name="Normal 13" xfId="281"/>
    <cellStyle name="Normal 13 2" xfId="282"/>
    <cellStyle name="Normal 14" xfId="283"/>
    <cellStyle name="Normal 14 2" xfId="284"/>
    <cellStyle name="Normal 15" xfId="285"/>
    <cellStyle name="Normal 15 2" xfId="286"/>
    <cellStyle name="Normal 16" xfId="287"/>
    <cellStyle name="Normal 16 2" xfId="288"/>
    <cellStyle name="Normal 17" xfId="289"/>
    <cellStyle name="Normal 17 2" xfId="290"/>
    <cellStyle name="Normal 18" xfId="291"/>
    <cellStyle name="Normal 18 2" xfId="292"/>
    <cellStyle name="Normal 19" xfId="293"/>
    <cellStyle name="Normal 19 2" xfId="294"/>
    <cellStyle name="Normal 2" xfId="16"/>
    <cellStyle name="Normal 2 2" xfId="17"/>
    <cellStyle name="Normal 2 2 2" xfId="48"/>
    <cellStyle name="Normal 2 2 2 2" xfId="67"/>
    <cellStyle name="Normal 2 2 2 3" xfId="58"/>
    <cellStyle name="Normal 2 28" xfId="377"/>
    <cellStyle name="Normal 2 3" xfId="18"/>
    <cellStyle name="Normal 2 4" xfId="57"/>
    <cellStyle name="Normal 2 4 2" xfId="19"/>
    <cellStyle name="Normal 2_Adjustment to Insurance Expense WSC KY 2008" xfId="20"/>
    <cellStyle name="Normal 20" xfId="295"/>
    <cellStyle name="Normal 20 2" xfId="21"/>
    <cellStyle name="Normal 20 2 2" xfId="22"/>
    <cellStyle name="Normal 20 2 3" xfId="359"/>
    <cellStyle name="Normal 21" xfId="23"/>
    <cellStyle name="Normal 21 2" xfId="360"/>
    <cellStyle name="Normal 22" xfId="296"/>
    <cellStyle name="Normal 23" xfId="297"/>
    <cellStyle name="Normal 24" xfId="24"/>
    <cellStyle name="Normal 24 2" xfId="72"/>
    <cellStyle name="Normal 25" xfId="298"/>
    <cellStyle name="Normal 26" xfId="299"/>
    <cellStyle name="Normal 27" xfId="300"/>
    <cellStyle name="Normal 27 2" xfId="25"/>
    <cellStyle name="Normal 27 2 3" xfId="54"/>
    <cellStyle name="Normal 27 3" xfId="55"/>
    <cellStyle name="Normal 28" xfId="301"/>
    <cellStyle name="Normal 29" xfId="302"/>
    <cellStyle name="Normal 3" xfId="26"/>
    <cellStyle name="Normal 3 2" xfId="73"/>
    <cellStyle name="Normal 3 3" xfId="303"/>
    <cellStyle name="Normal 3 3 2" xfId="304"/>
    <cellStyle name="Normal 3 9" xfId="380"/>
    <cellStyle name="Normal 30" xfId="305"/>
    <cellStyle name="Normal 31" xfId="306"/>
    <cellStyle name="Normal 32" xfId="307"/>
    <cellStyle name="Normal 33" xfId="308"/>
    <cellStyle name="Normal 33 2" xfId="309"/>
    <cellStyle name="Normal 34" xfId="362"/>
    <cellStyle name="Normal 35" xfId="363"/>
    <cellStyle name="Normal 36" xfId="365"/>
    <cellStyle name="Normal 37" xfId="367"/>
    <cellStyle name="Normal 4" xfId="27"/>
    <cellStyle name="Normal 4 2" xfId="74"/>
    <cellStyle name="Normal 4 2 2" xfId="310"/>
    <cellStyle name="Normal 49 2" xfId="52"/>
    <cellStyle name="Normal 5" xfId="41"/>
    <cellStyle name="Normal 5 2" xfId="43"/>
    <cellStyle name="Normal 5 2 2" xfId="311"/>
    <cellStyle name="Normal 57" xfId="312"/>
    <cellStyle name="Normal 58 2" xfId="382"/>
    <cellStyle name="Normal 59" xfId="313"/>
    <cellStyle name="Normal 59 2" xfId="368"/>
    <cellStyle name="Normal 59 2 2" xfId="383"/>
    <cellStyle name="Normal 6" xfId="50"/>
    <cellStyle name="Normal 6 2" xfId="75"/>
    <cellStyle name="Normal 6 2 2" xfId="314"/>
    <cellStyle name="Normal 6 2 2 2" xfId="315"/>
    <cellStyle name="Normal 6 2 3" xfId="316"/>
    <cellStyle name="Normal 6 3" xfId="317"/>
    <cellStyle name="Normal 7" xfId="56"/>
    <cellStyle name="Normal 7 2" xfId="318"/>
    <cellStyle name="Normal 7 2 2" xfId="319"/>
    <cellStyle name="Normal 8" xfId="64"/>
    <cellStyle name="Normal 8 2" xfId="320"/>
    <cellStyle name="Normal 9" xfId="70"/>
    <cellStyle name="Normal 9 2" xfId="321"/>
    <cellStyle name="Normal_036-file-6.30.00 " xfId="28"/>
    <cellStyle name="Normal_075-Consumption-tye-12/00 2" xfId="44"/>
    <cellStyle name="Normal_160 - UPIS restatement.xls" xfId="29"/>
    <cellStyle name="Normal_BAL SHT" xfId="30"/>
    <cellStyle name="Normal_Cap Structure" xfId="31"/>
    <cellStyle name="Normal_monthly.bill.wp" xfId="32"/>
    <cellStyle name="Normal_PF.PLANT.wp" xfId="33"/>
    <cellStyle name="Normal_salary.wp" xfId="34"/>
    <cellStyle name="Normal_salary.wp 2" xfId="35"/>
    <cellStyle name="Normal_TOI.wp" xfId="36"/>
    <cellStyle name="Normal_TRANS.RC.94.W/P.SAL" xfId="37"/>
    <cellStyle name="Normal_TRANS.RC.94.W/P.SAL 2" xfId="38"/>
    <cellStyle name="Note 2" xfId="322"/>
    <cellStyle name="Note 2 2" xfId="323"/>
    <cellStyle name="Note 3" xfId="324"/>
    <cellStyle name="Note 3 2" xfId="325"/>
    <cellStyle name="Note 4" xfId="326"/>
    <cellStyle name="Note 4 2" xfId="327"/>
    <cellStyle name="Note 5" xfId="328"/>
    <cellStyle name="Note 5 2" xfId="329"/>
    <cellStyle name="Note 6" xfId="330"/>
    <cellStyle name="Note 6 2" xfId="331"/>
    <cellStyle name="Output 2" xfId="332"/>
    <cellStyle name="Output 2 2" xfId="333"/>
    <cellStyle name="Output 3" xfId="334"/>
    <cellStyle name="Output 3 2" xfId="335"/>
    <cellStyle name="Output 4" xfId="336"/>
    <cellStyle name="Percent" xfId="39" builtinId="5"/>
    <cellStyle name="Percent 12" xfId="337"/>
    <cellStyle name="Percent 15" xfId="372"/>
    <cellStyle name="Percent 2" xfId="40"/>
    <cellStyle name="Percent 2 2" xfId="59"/>
    <cellStyle name="Percent 3" xfId="49"/>
    <cellStyle name="Percent 3 2" xfId="338"/>
    <cellStyle name="Percent 3 2 2" xfId="339"/>
    <cellStyle name="Percent 3 3" xfId="340"/>
    <cellStyle name="Percent 4" xfId="66"/>
    <cellStyle name="Percent 5" xfId="341"/>
    <cellStyle name="Percent 6" xfId="342"/>
    <cellStyle name="Percent 7" xfId="373"/>
    <cellStyle name="Percent 8" xfId="343"/>
    <cellStyle name="Title 2" xfId="344"/>
    <cellStyle name="Title 2 2" xfId="345"/>
    <cellStyle name="Title 3" xfId="346"/>
    <cellStyle name="Title 3 2" xfId="347"/>
    <cellStyle name="Title 4" xfId="348"/>
    <cellStyle name="Total" xfId="384" builtinId="25"/>
    <cellStyle name="Total 2" xfId="349"/>
    <cellStyle name="Total 2 2" xfId="350"/>
    <cellStyle name="Total 3" xfId="351"/>
    <cellStyle name="Total 3 2" xfId="352"/>
    <cellStyle name="Total 4" xfId="353"/>
    <cellStyle name="Warning Text 2" xfId="354"/>
    <cellStyle name="Warning Text 2 2" xfId="355"/>
    <cellStyle name="Warning Text 3" xfId="356"/>
    <cellStyle name="Warning Text 3 2" xfId="357"/>
    <cellStyle name="Warning Text 4" xfId="358"/>
  </cellStyles>
  <dxfs count="11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%20Case\Illinois\%232014%20IL%20Consolidated%20Rate%20Case\Templates\IL%20Template%20V18%20(2015%20BGT,%20Repressio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 Schedule"/>
      <sheetName val="Filing&gt;&gt;"/>
      <sheetName val="Sch.A-B.S"/>
      <sheetName val="Sch.B-I.S"/>
      <sheetName val="Sch.C-R.B"/>
      <sheetName val="Sch.D - Rev 2015"/>
      <sheetName val="Sch.E - Proposed Rates"/>
      <sheetName val="Sch.F - Average Bills"/>
      <sheetName val="Bad Debt&gt;&gt;"/>
      <sheetName val="wp.a"/>
      <sheetName val="RC Expense&gt;&gt;"/>
      <sheetName val="wp-d-rc.exp"/>
      <sheetName val="TOTI&gt;&gt;"/>
      <sheetName val="wp-e"/>
      <sheetName val="Income Taxes&gt;&gt;"/>
      <sheetName val="wp-g"/>
      <sheetName val="Cap Structure&gt;&gt;"/>
      <sheetName val="wp.h"/>
      <sheetName val="Working Capital&gt;&gt;"/>
      <sheetName val="wp-i-wc"/>
      <sheetName val="Vehicles&gt;&gt;"/>
      <sheetName val="wp-p2 Allocation of Vehicles"/>
      <sheetName val="Vehicle Inputs"/>
      <sheetName val="Computers&gt;&gt;"/>
      <sheetName val="wp-p3-alloc of State computers"/>
      <sheetName val="wp-p4 alloc of WSC computers"/>
      <sheetName val="Depreciation&gt;&gt;"/>
      <sheetName val="wp - r7 w"/>
      <sheetName val="wp - r7 s"/>
      <sheetName val="wp - r7 w support"/>
      <sheetName val="wp - r7 s support"/>
      <sheetName val="HomeServe&gt;&gt;"/>
      <sheetName val="wp - s HS Adj"/>
      <sheetName val="COSS&gt;&gt;"/>
      <sheetName val="wp - t-1 COSS"/>
      <sheetName val="wp - t-2 COSS"/>
      <sheetName val="wp - t-3 COSS"/>
      <sheetName val="wp - t-4 COSS"/>
      <sheetName val="wp - t-5 COSS"/>
      <sheetName val="wp - t-6 COSS Codes"/>
      <sheetName val="wp - t-7 Sewer Rate Design"/>
      <sheetName val="IL Consol"/>
      <sheetName val="Pro Forma Proposed"/>
      <sheetName val="Plant in Service (W) COSS"/>
      <sheetName val="Def Maint&gt;&gt;"/>
      <sheetName val="wp - u Def Charges Summary"/>
      <sheetName val="Prepaids&gt;&gt;"/>
      <sheetName val="wp- v Prepaids"/>
      <sheetName val="ADIT&gt;&gt;"/>
      <sheetName val="SE3 2014"/>
      <sheetName val="SE3 2015"/>
      <sheetName val="TAX.DEPR.SUM"/>
      <sheetName val="Post 2007 Tax Dep"/>
      <sheetName val="Pro Forma Present"/>
      <sheetName val="Plant in Service (WW) COSS"/>
      <sheetName val="TB&gt;&gt;"/>
      <sheetName val="Linked TTM 0614"/>
      <sheetName val="TTM 0614"/>
      <sheetName val="Linked 1214 TB"/>
      <sheetName val="1214 TB"/>
      <sheetName val="Linked 2015 TB"/>
      <sheetName val="0614 TB"/>
      <sheetName val="Forecast&gt;&gt;"/>
      <sheetName val="2014 O&amp;M-TOTI ROY FCST"/>
      <sheetName val="2015 O&amp;M-TOTI BGT"/>
      <sheetName val="Pro Forma Capital"/>
      <sheetName val="Revenue&gt;&gt;"/>
      <sheetName val="Sch.D - Rev 06.2014"/>
      <sheetName val="Sch.D - Rev 2014"/>
      <sheetName val="Report 17"/>
      <sheetName val="Report 16"/>
      <sheetName val="Report 16 2014"/>
      <sheetName val="Rates"/>
      <sheetName val="Variances-Delete New"/>
      <sheetName val="Monthly Consumption"/>
      <sheetName val="AUX&gt;&gt;"/>
      <sheetName val="ERC 2014"/>
      <sheetName val="NARUC ACCs "/>
      <sheetName val="JDE CO"/>
    </sheetNames>
    <sheetDataSet>
      <sheetData sheetId="0"/>
      <sheetData sheetId="1">
        <row r="4">
          <cell r="C4" t="str">
            <v>Utility Services of Illinois, Inc.</v>
          </cell>
        </row>
        <row r="8">
          <cell r="C8">
            <v>41820</v>
          </cell>
        </row>
        <row r="10">
          <cell r="C10">
            <v>42369</v>
          </cell>
        </row>
        <row r="13">
          <cell r="C13">
            <v>15393.300000000001</v>
          </cell>
          <cell r="D13">
            <v>0.80953457796476469</v>
          </cell>
        </row>
        <row r="14">
          <cell r="C14">
            <v>3621.7000000000003</v>
          </cell>
          <cell r="D14">
            <v>0.19046542203523537</v>
          </cell>
        </row>
        <row r="15">
          <cell r="C15">
            <v>19015</v>
          </cell>
        </row>
      </sheetData>
      <sheetData sheetId="2"/>
      <sheetData sheetId="3"/>
      <sheetData sheetId="4">
        <row r="74">
          <cell r="U74">
            <v>7752123.3597784936</v>
          </cell>
        </row>
      </sheetData>
      <sheetData sheetId="5"/>
      <sheetData sheetId="6">
        <row r="11">
          <cell r="J11">
            <v>433850436.86144823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8">
          <cell r="P8">
            <v>0.2</v>
          </cell>
        </row>
        <row r="9">
          <cell r="P9">
            <v>0.33333333333333331</v>
          </cell>
        </row>
        <row r="10">
          <cell r="P10">
            <v>0.125</v>
          </cell>
        </row>
        <row r="11">
          <cell r="P11">
            <v>0.33333333333333331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0">
          <cell r="F10">
            <v>115926.06699073759</v>
          </cell>
        </row>
      </sheetData>
      <sheetData sheetId="55">
        <row r="69">
          <cell r="E69">
            <v>164595.12000000002</v>
          </cell>
        </row>
      </sheetData>
      <sheetData sheetId="56"/>
      <sheetData sheetId="57"/>
      <sheetData sheetId="58"/>
      <sheetData sheetId="59"/>
      <sheetData sheetId="60"/>
      <sheetData sheetId="61">
        <row r="9">
          <cell r="C9">
            <v>1020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Rate%20Case\Kentucky\2013%20Rate%20Case\Salary\Salary%20Allocations%202-5-1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liskoff" refreshedDate="41376.592616898146" createdVersion="3" refreshedVersion="3" minRefreshableVersion="3" recordCount="8703">
  <cacheSource type="worksheet">
    <worksheetSource ref="A3:E8706" sheet="R5506116C_UTIL0001_241643_PDF(1" r:id="rId2"/>
  </cacheSource>
  <cacheFields count="5">
    <cacheField name="Address Number" numFmtId="0">
      <sharedItems containsSemiMixedTypes="0" containsString="0" containsNumber="1" containsInteger="1" minValue="1000293" maxValue="1099972"/>
    </cacheField>
    <cacheField name="Name" numFmtId="0">
      <sharedItems containsBlank="1" count="423">
        <s v="Burkhalter, Vincent L."/>
        <m/>
        <s v="Williams, Susan L."/>
        <s v="Szczepkowski, Stephen A."/>
        <s v="Franklin, Phillip"/>
        <s v="Smiley, Donald E."/>
        <s v="Cooke, Jeffrey J."/>
        <s v="Cook, Gregory"/>
        <s v="Allen, Howard W."/>
        <s v="Murphy, Phillip K."/>
        <s v="Peacock II, Gary M."/>
        <s v="Phillips, Christopher"/>
        <s v="Gongre, Bryan K."/>
        <s v="Gentilucci, Domenic V."/>
        <s v="Leary, Donald W."/>
        <s v="Henry, Larry D."/>
        <s v="Cloud, Dennis S."/>
        <s v="Haggerty, Randy"/>
        <s v="English, Alan R."/>
        <s v="Stegall, Donna L."/>
        <s v="Davis, Miguel B."/>
        <s v="Van Meter, Nathan Z."/>
        <s v="Lanier, Clayton W."/>
        <s v="Friedman, Avelina"/>
        <s v="Dotson, Margaret E."/>
        <s v="Sudol, Corey"/>
        <s v="Young, Richard D."/>
        <s v="Underwood, Gerald L."/>
        <s v="Habery, Stephen J."/>
        <s v="Zeise, Michael"/>
        <s v="Shue, Mickey A."/>
        <s v="Cooper, Robert K."/>
        <s v="Ebert, Harold"/>
        <s v="Hughes, David M."/>
        <s v="Becker, Jeffrey S."/>
        <s v="Scarboro, Donald J."/>
        <s v="Luppino, Nancy L."/>
        <s v="Bennett, Kimberly J."/>
        <s v="Arnoux, Diane L."/>
        <s v="Baldwin, Eddie R."/>
        <s v="Bishop, Robert D."/>
        <s v="Brandt, Michael J."/>
        <s v="Brant, Tim J."/>
        <s v="Bodie Sr, John L."/>
        <s v="Ellinger, Bright A."/>
        <s v="Stanis, Veronica M."/>
        <s v="Haws, Scotty L."/>
        <s v="Flynn, Patrick C."/>
        <s v="Cocran, Jeffery A."/>
        <s v="Christie, Charles E."/>
        <s v="Conard, William C."/>
        <s v="Cook, Ralph H."/>
        <s v="Corn, Douglas M."/>
        <s v="Davis, Earl"/>
        <s v="Fulcher III, Robert F."/>
        <s v="Hinson, Richard F."/>
        <s v="Johansen, John E."/>
        <s v="Kennedy, Alvin W."/>
        <s v="Lashua, Martin J."/>
        <s v="McFalls, Edwin L."/>
        <s v="Medling, David G."/>
        <s v="Wilson, Randi R."/>
        <s v="Palmiter, Matthew"/>
        <s v="Plummer, George R."/>
        <s v="Sharp, Tony L."/>
        <s v="Williams Jr, Delos R."/>
        <s v="Woody Jr, Rex"/>
        <s v="Woody, Rex R."/>
        <s v="Goldsmith, Mary A."/>
        <s v="Trovinger, Ferrellyn L."/>
        <s v="Berry, Jeremy A."/>
        <s v="Hollister, Jimmie H."/>
        <s v="Abbott, Loretta E."/>
        <s v="Thomas, Nettie M."/>
        <s v="Chandler, Matthew R."/>
        <s v="Raponi, Ann M."/>
        <s v="Lewis Jr., Richard A."/>
        <s v="James, Robert A."/>
        <s v="Overton, Michael A."/>
        <s v="Umphrey, Daniel L."/>
        <s v="Alexander, Charles L."/>
        <s v="Scott, Robert C."/>
        <s v="Windholz, Mark"/>
        <s v="Schoenhard, Jon H."/>
        <s v="Buono, Robert A."/>
        <s v="Gordon, Dewis W."/>
        <s v="Belcastro, Joseph C."/>
        <s v="Driggers, Marvin H."/>
        <s v="Johnson, Harvey H."/>
        <s v="Onkst, James H."/>
        <s v="Bolt, Gregory C."/>
        <s v="Mills, Wendell G."/>
        <s v="Turner, John R."/>
        <s v="Moore, Shane C"/>
        <s v="Lewis, Darrin R."/>
        <s v="Luppino, Phyllis A."/>
        <s v="Self, Rose D."/>
        <s v="McConnell, Walter G."/>
        <s v="Christian, Elise S."/>
        <s v="Paule, Nancy P."/>
        <s v="June, Stuart L."/>
        <s v="Green, Horace"/>
        <s v="Sampson, Keith F."/>
        <s v="Shoffstall, David E."/>
        <s v="Moncrief, David E."/>
        <s v="Partin, Michael W."/>
        <s v="Harrell, Stephen B."/>
        <s v="Robinson, Shona N."/>
        <s v="Schwades, Charles G."/>
        <s v="Alexander, Richard W."/>
        <s v="Gladstone, Garrett W."/>
        <s v="Callahan, Robert L."/>
        <s v="Godwin, Patrick L."/>
        <s v="Gunter III, Charlie P."/>
        <s v="Sillitoe, Kathy A."/>
        <s v="Ceballos, Isabel"/>
        <s v="Sillitoe, Jacqueline M."/>
        <s v="Kirklin, Charles G."/>
        <s v="Whorley, Davie M."/>
        <s v="Keys, Thomas E."/>
        <s v="Remigio, Roberto V."/>
        <s v="Dozier, Matthew C."/>
        <s v="Silva, Lisa M."/>
        <s v="Ryniak, David"/>
        <s v="Morrell, Matthew J."/>
        <s v="Hogue, Raymond H."/>
        <s v="Tomlinson, Tom C."/>
        <s v="Puffenbarger Jr., James B."/>
        <s v="Radcliff, Max L."/>
        <s v="Forrest, David L."/>
        <s v="Neal, William L."/>
        <s v="Pritchard, Charles R."/>
        <s v="Brant, Nathan A."/>
        <s v="Brazell, Derrick W."/>
        <s v="Kyzer, Ray S."/>
        <s v="Norris, Joel F."/>
        <s v="De La Torriente, Maurice A."/>
        <s v="Pritchard, Scott A."/>
        <s v="Finch, Allan"/>
        <s v="McIntosh, Grady E."/>
        <s v="Puckett, Michael S."/>
        <s v="Knopf, Kenneth W."/>
        <s v="Richardson, James F."/>
        <s v="Johnson, Michael C."/>
        <s v="Meister, Jack B."/>
        <s v="White, David A."/>
        <s v="Steele, Frank W."/>
        <s v="Miranda, Margarita"/>
        <s v="Reiners, Barry T."/>
        <s v="De La Torriente, Martha N."/>
        <s v="Ebert, Shawn M."/>
        <s v="Cornett, Shaun M."/>
        <s v="Rohus, Marc A."/>
        <s v="Cooks, Barner Lee"/>
        <s v="Graham, Vivian E."/>
        <s v="Daniel, Carl"/>
        <s v="Eskew, James F."/>
        <s v="Thornton, Corey W."/>
        <s v="Reece, Ronnie N."/>
        <s v="Schulte, Jeffrey C."/>
        <s v="Grosvenor, Loren G."/>
        <s v="Parrish, Raymond A."/>
        <s v="Bruce, Glenn Robert"/>
        <s v="Nunez, Jose G."/>
        <s v="Friel, Steven M."/>
        <s v="Robinson, Vanessa F."/>
        <s v="Allred, Ryan N."/>
        <s v="Winans, Nicole D."/>
        <s v="Pannos, Nicholas J."/>
        <s v="Mitchell, Dennis A."/>
        <s v="Lightle, Richard D."/>
        <s v="Austin, Arthur C."/>
        <s v="Luna, William T."/>
        <s v="Wright, Thomas L."/>
        <s v="Cardinal, Anthony A."/>
        <s v="Hamilton, Don L."/>
        <s v="Tapella, Thomas A."/>
        <s v="Woolard, Jeffrey S."/>
        <s v="Gavin, Malcolm E."/>
        <s v="Estes, Christopher L."/>
        <s v="DiPasquale, Susan M."/>
        <s v="Stovall, Glenn A."/>
        <s v="Watkins, Cedric"/>
        <s v="Medders, Billy R."/>
        <s v="Lecroy, Gregg R."/>
        <s v="Ogle, Brian J."/>
        <s v="Ormiston, Jason A."/>
        <s v="Whitaker III, Harold K."/>
        <s v="Loper, Robert W."/>
        <s v="Sandefur, Bryan K."/>
        <s v="Patel, Harshna"/>
        <s v="Mosely, Melvin D."/>
        <s v="Brown, Donna R."/>
        <s v="Carberry-Bowen, Rella Cindy"/>
        <s v="Sides, Jason L."/>
        <s v="Borda, Roger A."/>
        <s v="Grainger Jr, Leroy"/>
        <s v="Powell, Trevor B."/>
        <s v="Valrie, LaWanda N."/>
        <s v="Collie, Linda F."/>
        <s v="Dave, Hardik"/>
        <s v="Winter, Steven"/>
        <s v="Welborn, Leigh A."/>
        <s v="Baker, Glenn E."/>
        <s v="Bailey, Annette L."/>
        <s v="Chard, Ronald"/>
        <s v="Shultz, John R."/>
        <s v="Rees, Kim L."/>
        <s v="Raines, Craig A."/>
        <s v="Bishop, Ryan D."/>
        <s v="Bailey, Alan R."/>
        <s v="Pierce, Robert T."/>
        <s v="Daffer, Amber"/>
        <s v="Hanks, Peggy J."/>
        <s v="Worrell, David R."/>
        <s v="Plancher, Smith"/>
        <s v="Thompson, Krisopher L."/>
        <s v="Schwenzer, George"/>
        <s v="Nixon, Danny L."/>
        <s v="Sverida, Agnes"/>
        <s v="Boersma, David A."/>
        <s v="Mayeski, Lorie L."/>
        <s v="Baker, Mark T."/>
        <s v="Zavilla, Annette"/>
        <s v="Turner, Jason M."/>
        <s v="Jenkins, Ingrid E."/>
        <s v="Rumfelt, Dorothy M."/>
        <s v="Hagwood, Jimmie L."/>
        <s v="Phillips, Andrew R."/>
        <s v="Jones, Jack D."/>
        <s v="Richardson, James P."/>
        <s v="Goff, Stacy A."/>
        <s v="Jacober, Daniel C."/>
        <s v="Johnson, Marc A."/>
        <s v="Radjavitch, Justin M."/>
        <s v="Vaughn, Stephen R."/>
        <s v="Gillmore, Judith E."/>
        <s v="Surrett, William M."/>
        <s v="Straight, James L."/>
        <s v="Tackett, Samantha R."/>
        <s v="Hasty, Donald L."/>
        <s v="Rogers, Brian M."/>
        <s v="Hermano, Rodel R."/>
        <s v="Gray, Kenneth A."/>
        <s v="Davis, Gentry E."/>
        <s v="Capps, Thomas C."/>
        <s v="Davis, Kenneth A."/>
        <s v="Medford, James S."/>
        <s v="Lucia, Anthony M."/>
        <s v="Molloy, Vincent P."/>
        <s v="Jenkins, James A."/>
        <s v="Sallese, Scott A."/>
        <s v="Shuford, Jody A"/>
        <s v="Iwinski, Cammy A."/>
        <s v="Allen, Christopher S."/>
        <s v="Jones, Linda S."/>
        <s v="Alberigi, David J."/>
        <s v="O'Dell, Shayne R."/>
        <s v="Presley, Joshua H."/>
        <s v="Foster, David M."/>
        <s v="Cook, Kenneth J."/>
        <s v="Rettew, Andrew L."/>
        <s v="Lybarger, Andrea"/>
        <s v="Cross, Joseph J."/>
        <s v="Banister, Gerald D."/>
        <s v="Chittim, Eric S."/>
        <s v="Jones, Lori L."/>
        <s v="McAfee, Steven P."/>
        <s v="Wells, Donald R"/>
        <s v="Orengo, Linette C"/>
        <s v="Volz, Deborah E."/>
        <s v="Anderson, Tricia D."/>
        <s v="Thimmes, Karyn L"/>
        <s v="Finigan, Mike A"/>
        <s v="Kilgore, Jame A"/>
        <s v="Collado, Madelin"/>
        <s v="Adcock, James S"/>
        <s v="Barnas, Matthew H"/>
        <s v="Ussery, Jonathan N"/>
        <s v="Godfrey, Christopher L"/>
        <s v="Ferguson, Dale"/>
        <s v="Ferguson, Christopher G"/>
        <s v="Feathergill, Adam K"/>
        <s v="Fields, Debra S."/>
        <s v="Grindstaff, Jason"/>
        <s v="Locklair, Johnathan"/>
        <s v="Chitwood, Larry A."/>
        <s v="Cunningham, Alexander"/>
        <s v="Malecki, Krzysztof"/>
        <s v="Schwades, Jennifer"/>
        <s v="Johnston, Joseph A"/>
        <s v="Shaffer, Steven A"/>
        <s v="Woolard, Crystal R"/>
        <s v="Lubertozzi, Steven M."/>
        <s v="Byrd, Larry L"/>
        <s v="Watler, Sylvia A"/>
        <s v="Rollins, Ernest B"/>
        <s v="Dunn, Constance"/>
        <s v="Stevens, William H"/>
        <s v="Thompson, Glenda"/>
        <s v="Schnaufer, Linda D"/>
        <s v="Stonebreaker, Amanda E"/>
        <s v="Sparrow, Lisa A."/>
        <s v="Gilroy, Robert H."/>
        <s v="Howington, Tod A"/>
        <s v="Sasic, Karen L."/>
        <s v="Markwell, Kirsten E."/>
        <s v="Sills, Joseph H"/>
        <s v="Leonard, James R."/>
        <s v="Taylor, Steven M"/>
        <s v="Konsul, Anthony J."/>
        <s v="Haver, Mark R."/>
        <s v="Oakley, William S"/>
        <s v="Marinelli, John A."/>
        <s v="Mitchell, Malcolm A."/>
        <s v="Krugler, Adrienne R."/>
        <s v="Chambless, James A."/>
        <s v="Haas, Bruce T."/>
        <s v="Delmundo, Anca"/>
        <s v="LeBard, Antone C"/>
        <s v="Kinkade, William R"/>
        <s v="Benton, Alice M."/>
        <s v="Maszczak, Eugene R"/>
        <s v="Sossamon, William N"/>
        <s v="Van Dyke, Albert R."/>
        <s v="Milford, Steven L"/>
        <s v="Harris, Kenneth P"/>
        <s v="Coates, Bill H."/>
        <s v="Rowland, Deloris P"/>
        <s v="Madison, Charles P."/>
        <s v="Richardson, Dona J"/>
        <s v="Moran, Joshua D"/>
        <s v="Gray, Robert"/>
        <s v="Osika, Steven B"/>
        <s v="Neyzelman, Dimitry"/>
        <s v="Polk, Ryan"/>
        <s v="Folena-Domann, Francis"/>
        <s v="Miller, Dean R"/>
        <s v="Legere, Karen D"/>
        <s v="Coates, Margaret M"/>
        <s v="Johnson, Kenneth R"/>
        <s v="Georgiev, Lena"/>
        <s v="Sudduth, Donald E."/>
        <s v="Hoy, John P."/>
        <s v="Durham, Rick J."/>
        <s v="Aquilino, Erin P."/>
        <s v="Barnett, Wendy S."/>
        <s v="Rollins, Mary F."/>
        <s v="Yap Jr., Lowell M."/>
        <s v="Carver, Nathaniel  Q."/>
        <s v="Wilson, Michael A."/>
        <s v="Bonagura, John F."/>
        <s v="Barrett, Jason O."/>
        <s v="Scanlon, Martin L."/>
        <s v="Lassiter, Danny W."/>
        <s v="Federico, Antoinette"/>
        <s v="Kim, Christine"/>
        <s v="Stover, John R."/>
        <s v="Williams III, John D."/>
        <s v="Strickler, Jill M."/>
        <s v="Kwil, Pam"/>
        <s v="Rose, Kendra E."/>
        <s v="Smutny, Thomas A."/>
        <s v="Sowell, George W."/>
        <s v="Gosnell, Scotty G."/>
        <s v="Ostler, Tom G."/>
        <s v="Anderson, Angelica M."/>
        <s v="Pietras, Victoria M."/>
        <s v="Kersey, Justin P."/>
        <s v="Japczyk, James F."/>
        <s v="Shimkus, Matthew D."/>
        <s v="Stenzel, John R."/>
        <s v="Devine, James P."/>
        <s v="Andrejko, James"/>
        <s v="Lupton, Helen C."/>
        <s v="Plumb, Debra A"/>
        <s v="Meyers, Nathan K"/>
        <s v="Oakley, Thomas G"/>
        <s v="Kulov, Michael B"/>
        <s v="Guttormsen, Robert A"/>
        <s v="Ring, Deborah L"/>
        <s v="McVicker, Carolyn S"/>
        <s v="Linck, Danielle N."/>
        <s v="Longyear, Kathy"/>
        <s v="Pitts, Darrien"/>
        <s v="Peedin, Ryan"/>
        <s v="Baldwin, Brandon"/>
        <s v="Rushing, Ronald"/>
        <s v="Andronis, Mark"/>
        <s v="Matteson, Seyd"/>
        <s v="Reincke, Sean"/>
        <s v="Schmidt, Michael"/>
        <s v="Wiggins, Kevin"/>
        <s v="Hinchcliffe, Karon"/>
        <s v="Nelson, Destiny"/>
        <s v="Wiorek, Sharon"/>
        <s v="Rajendran, Saravanan"/>
        <s v="Wojnicka, Patrycja"/>
        <s v="Mearidy, Tarquin"/>
        <s v="Eiswirth, Michael"/>
        <s v="Lawson, Christopher"/>
        <s v="Sides, Jennifer"/>
        <s v="Grant, Michael"/>
        <s v="Schwades, Michael"/>
        <s v="Fowler, Steven"/>
        <s v="Fewell, Dustin"/>
        <s v="Richardson, Marlin"/>
        <s v="Thomas, Travis"/>
        <s v="Gray, Patrick"/>
        <s v="Goff, Christian"/>
        <s v="Anderson, Moreland"/>
        <s v="Halloran, Brian"/>
        <s v="Volz, Robert"/>
        <s v="Jensen, Jacob"/>
        <s v="Green, Justin"/>
        <s v="Storm, Bonnie"/>
        <s v="Scheidt, Timothy"/>
        <s v="Johnson, Micah"/>
        <s v="Adams, Diane"/>
        <s v="Kilgore Jr, James"/>
        <s v="Liskoff, David"/>
        <s v="Norwoods, Regence"/>
        <s v="Hanson, Michael"/>
      </sharedItems>
    </cacheField>
    <cacheField name="Business Unit" numFmtId="0">
      <sharedItems containsString="0" containsBlank="1" containsNumber="1" containsInteger="1" minValue="850100" maxValue="866100" count="15">
        <n v="861100"/>
        <m/>
        <n v="855100"/>
        <n v="864100"/>
        <n v="859100"/>
        <n v="853100"/>
        <n v="850100"/>
        <n v="856100"/>
        <n v="863100"/>
        <n v="858100"/>
        <n v="865100"/>
        <n v="857100"/>
        <n v="851100"/>
        <n v="866100"/>
        <n v="860100"/>
      </sharedItems>
    </cacheField>
    <cacheField name="Home Business Unit" numFmtId="0">
      <sharedItems containsString="0" containsBlank="1" containsNumber="1" containsInteger="1" minValue="102101" maxValue="806100" count="461">
        <n v="357102"/>
        <n v="357101"/>
        <m/>
        <n v="250100"/>
        <n v="241100"/>
        <n v="403118"/>
        <n v="403102"/>
        <n v="403103"/>
        <n v="403104"/>
        <n v="403116"/>
        <n v="403107"/>
        <n v="403109"/>
        <n v="403110"/>
        <n v="403101"/>
        <n v="403113"/>
        <n v="403112"/>
        <n v="333101"/>
        <n v="333100"/>
        <n v="183114"/>
        <n v="182213"/>
        <n v="183119"/>
        <n v="183122"/>
        <n v="182243"/>
        <n v="182242"/>
        <n v="356125"/>
        <n v="356109"/>
        <n v="356122"/>
        <n v="356114"/>
        <n v="357104"/>
        <n v="356117"/>
        <n v="356106"/>
        <n v="356102"/>
        <n v="356118"/>
        <n v="357105"/>
        <n v="356112"/>
        <n v="356120"/>
        <n v="356115"/>
        <n v="356103"/>
        <n v="356127"/>
        <n v="356111"/>
        <n v="356124"/>
        <n v="356105"/>
        <n v="356108"/>
        <n v="356121"/>
        <n v="182149"/>
        <n v="182148"/>
        <n v="183109"/>
        <n v="183101"/>
        <n v="183102"/>
        <n v="183112"/>
        <n v="182238"/>
        <n v="183108"/>
        <n v="182203"/>
        <n v="220100"/>
        <n v="182113"/>
        <n v="251100"/>
        <n v="252110"/>
        <n v="251102"/>
        <n v="252113"/>
        <n v="252129"/>
        <n v="252121"/>
        <n v="246100"/>
        <n v="252116"/>
        <n v="252114"/>
        <n v="260100"/>
        <n v="252124"/>
        <n v="252123"/>
        <n v="251104"/>
        <n v="252122"/>
        <n v="251106"/>
        <n v="252115"/>
        <n v="252118"/>
        <n v="254101"/>
        <n v="251101"/>
        <n v="252117"/>
        <n v="252119"/>
        <n v="252137"/>
        <n v="255101"/>
        <n v="255100"/>
        <n v="252111"/>
        <n v="251103"/>
        <n v="260101"/>
        <n v="255102"/>
        <n v="252130"/>
        <n v="252136"/>
        <n v="182115"/>
        <n v="183104"/>
        <n v="191101"/>
        <n v="182195"/>
        <n v="182189"/>
        <n v="182182"/>
        <n v="182163"/>
        <n v="182153"/>
        <n v="191100"/>
        <n v="182207"/>
        <n v="182178"/>
        <n v="182212"/>
        <n v="182190"/>
        <n v="182216"/>
        <n v="182152"/>
        <n v="182114"/>
        <n v="113100"/>
        <n v="121100"/>
        <n v="111101"/>
        <n v="111100"/>
        <n v="118100"/>
        <n v="118101"/>
        <n v="114100"/>
        <n v="288100"/>
        <n v="288101"/>
        <n v="182146"/>
        <n v="182171"/>
        <n v="182144"/>
        <n v="182145"/>
        <n v="182142"/>
        <n v="182180"/>
        <n v="182147"/>
        <n v="181100"/>
        <n v="182122"/>
        <n v="182106"/>
        <n v="182107"/>
        <n v="181101"/>
        <n v="182123"/>
        <n v="801100"/>
        <n v="401169"/>
        <n v="401168"/>
        <n v="401167"/>
        <n v="401166"/>
        <n v="401165"/>
        <n v="401164"/>
        <n v="401111"/>
        <n v="401163"/>
        <n v="401162"/>
        <n v="401161"/>
        <n v="401160"/>
        <n v="401159"/>
        <n v="401158"/>
        <n v="401157"/>
        <n v="401156"/>
        <n v="401110"/>
        <n v="401109"/>
        <n v="401154"/>
        <n v="401153"/>
        <n v="401151"/>
        <n v="401150"/>
        <n v="401149"/>
        <n v="401148"/>
        <n v="401147"/>
        <n v="401146"/>
        <n v="401145"/>
        <n v="401143"/>
        <n v="401142"/>
        <n v="401140"/>
        <n v="401139"/>
        <n v="401171"/>
        <n v="400128"/>
        <n v="400127"/>
        <n v="406101"/>
        <n v="406100"/>
        <n v="401175"/>
        <n v="401174"/>
        <n v="401173"/>
        <n v="401172"/>
        <n v="401170"/>
        <n v="385103"/>
        <n v="385101"/>
        <n v="385100"/>
        <n v="102101"/>
        <n v="386125"/>
        <n v="386121"/>
        <n v="386115"/>
        <n v="386110"/>
        <n v="386105"/>
        <n v="386127"/>
        <n v="386119"/>
        <n v="386114"/>
        <n v="386109"/>
        <n v="386103"/>
        <n v="386129"/>
        <n v="386124"/>
        <n v="386118"/>
        <n v="386113"/>
        <n v="386108"/>
        <n v="386102"/>
        <n v="386106"/>
        <n v="386126"/>
        <n v="386122"/>
        <n v="386116"/>
        <n v="386111"/>
        <n v="386101"/>
        <n v="386107"/>
        <n v="386112"/>
        <n v="386117"/>
        <n v="386123"/>
        <n v="386132"/>
        <n v="386128"/>
        <n v="183105"/>
        <n v="183106"/>
        <n v="182241"/>
        <n v="252106"/>
        <n v="252128"/>
        <n v="252107"/>
        <n v="252125"/>
        <n v="252126"/>
        <n v="401125"/>
        <n v="401124"/>
        <n v="401123"/>
        <n v="401122"/>
        <n v="401121"/>
        <n v="401119"/>
        <n v="401118"/>
        <n v="401117"/>
        <n v="401116"/>
        <n v="401115"/>
        <n v="401114"/>
        <n v="401113"/>
        <n v="401112"/>
        <n v="400113"/>
        <n v="400111"/>
        <n v="400110"/>
        <n v="400104"/>
        <n v="400103"/>
        <n v="401107"/>
        <n v="401106"/>
        <n v="401105"/>
        <n v="401104"/>
        <n v="400145"/>
        <n v="400144"/>
        <n v="400143"/>
        <n v="400141"/>
        <n v="400140"/>
        <n v="400139"/>
        <n v="400138"/>
        <n v="400137"/>
        <n v="400136"/>
        <n v="400134"/>
        <n v="400133"/>
        <n v="400131"/>
        <n v="400130"/>
        <n v="400126"/>
        <n v="400125"/>
        <n v="400124"/>
        <n v="400122"/>
        <n v="400121"/>
        <n v="400120"/>
        <n v="400119"/>
        <n v="400116"/>
        <n v="400115"/>
        <n v="400114"/>
        <n v="401131"/>
        <n v="401120"/>
        <n v="400149"/>
        <n v="400142"/>
        <n v="402101"/>
        <n v="402100"/>
        <n v="401138"/>
        <n v="401137"/>
        <n v="401136"/>
        <n v="401135"/>
        <n v="401134"/>
        <n v="401133"/>
        <n v="401132"/>
        <n v="401130"/>
        <n v="401129"/>
        <n v="401128"/>
        <n v="401126"/>
        <n v="182233"/>
        <n v="182240"/>
        <n v="182176"/>
        <n v="182105"/>
        <n v="183124"/>
        <n v="182175"/>
        <n v="316100"/>
        <n v="182132"/>
        <n v="187100"/>
        <n v="187101"/>
        <n v="102106"/>
        <n v="102103"/>
        <n v="182209"/>
        <n v="182102"/>
        <n v="182119"/>
        <n v="182231"/>
        <n v="182218"/>
        <n v="182217"/>
        <n v="182173"/>
        <n v="182120"/>
        <n v="182117"/>
        <n v="132100"/>
        <n v="122100"/>
        <n v="130100"/>
        <n v="110100"/>
        <n v="125100"/>
        <n v="123101"/>
        <n v="119100"/>
        <n v="119101"/>
        <n v="131101"/>
        <n v="131100"/>
        <n v="123100"/>
        <n v="134100"/>
        <n v="102111"/>
        <n v="102110"/>
        <n v="805100"/>
        <n v="804100"/>
        <n v="188101"/>
        <n v="182112"/>
        <n v="188100"/>
        <n v="182143"/>
        <n v="182141"/>
        <n v="182157"/>
        <n v="182137"/>
        <n v="182140"/>
        <n v="182214"/>
        <n v="182138"/>
        <n v="400123"/>
        <n v="400108"/>
        <n v="400109"/>
        <n v="401127"/>
        <n v="400105"/>
        <n v="400106"/>
        <n v="317101"/>
        <n v="300101"/>
        <n v="286100"/>
        <n v="317100"/>
        <n v="315100"/>
        <n v="332100"/>
        <n v="287100"/>
        <n v="286101"/>
        <n v="300100"/>
        <n v="182130"/>
        <n v="182129"/>
        <n v="425100"/>
        <n v="401187"/>
        <n v="401186"/>
        <n v="401185"/>
        <n v="401184"/>
        <n v="401180"/>
        <n v="401179"/>
        <n v="401178"/>
        <n v="401177"/>
        <n v="401176"/>
        <n v="401108"/>
        <n v="400118"/>
        <n v="403115"/>
        <n v="403114"/>
        <n v="403108"/>
        <n v="401192"/>
        <n v="401191"/>
        <n v="401190"/>
        <n v="401189"/>
        <n v="401188"/>
        <n v="401183"/>
        <n v="401182"/>
        <n v="401181"/>
        <n v="102105"/>
        <n v="182236"/>
        <n v="182235"/>
        <n v="182208"/>
        <n v="182205"/>
        <n v="182199"/>
        <n v="182197"/>
        <n v="182196"/>
        <n v="182185"/>
        <n v="182184"/>
        <n v="182183"/>
        <n v="182181"/>
        <n v="182167"/>
        <n v="182166"/>
        <n v="182165"/>
        <n v="182164"/>
        <n v="182160"/>
        <n v="182159"/>
        <n v="182158"/>
        <n v="182155"/>
        <n v="182154"/>
        <n v="182151"/>
        <n v="182110"/>
        <n v="182109"/>
        <n v="182104"/>
        <n v="151101"/>
        <n v="150101"/>
        <n v="151100"/>
        <n v="152100"/>
        <n v="150100"/>
        <n v="453104"/>
        <n v="453100"/>
        <n v="453101"/>
        <n v="453103"/>
        <n v="248100"/>
        <n v="259100"/>
        <n v="248101"/>
        <n v="259101"/>
        <n v="345102"/>
        <n v="345103"/>
        <n v="345101"/>
        <n v="452100"/>
        <n v="450100"/>
        <n v="102108"/>
        <n v="183117"/>
        <n v="182211"/>
        <n v="182133"/>
        <n v="183125"/>
        <n v="183118"/>
        <n v="183113"/>
        <n v="182134"/>
        <n v="183121"/>
        <n v="183116"/>
        <n v="182206"/>
        <n v="180100"/>
        <n v="183126"/>
        <n v="182215"/>
        <n v="182136"/>
        <n v="182125"/>
        <n v="180101"/>
        <n v="183120"/>
        <n v="183115"/>
        <n v="182219"/>
        <n v="182204"/>
        <n v="182126"/>
        <n v="256100"/>
        <n v="249101"/>
        <n v="249100"/>
        <n v="451100"/>
        <n v="451101"/>
        <n v="255103"/>
        <n v="242101"/>
        <n v="242100"/>
        <n v="400147"/>
        <n v="102104"/>
        <n v="128100"/>
        <n v="127100"/>
        <n v="126100"/>
        <n v="124100"/>
        <n v="120100"/>
        <n v="117100"/>
        <n v="129100"/>
        <n v="112100"/>
        <n v="133101"/>
        <n v="133100"/>
        <n v="252134"/>
        <n v="252132"/>
        <n v="182227"/>
        <n v="182101"/>
        <n v="182170"/>
        <n v="182179"/>
        <n v="182162"/>
        <n v="182128"/>
        <n v="806100"/>
        <n v="357100"/>
        <n v="182187"/>
        <n v="356100"/>
        <n v="102107"/>
        <n v="800100"/>
        <n v="102102"/>
        <n v="183111"/>
        <n v="102109"/>
        <n v="102112"/>
        <n v="386104"/>
        <n v="386131"/>
        <n v="386130"/>
        <n v="386120"/>
        <n v="451102"/>
      </sharedItems>
    </cacheField>
    <cacheField name="Percentage" numFmtId="0">
      <sharedItems containsSemiMixedTypes="0" containsString="0" containsNumber="1" minValue="0" maxValue="100" count="837">
        <n v="47.99"/>
        <n v="52.01"/>
        <n v="100"/>
        <n v="0"/>
        <n v="0.13"/>
        <n v="2.54"/>
        <n v="6.17"/>
        <n v="6.41"/>
        <n v="9.77"/>
        <n v="16.87"/>
        <n v="9.92"/>
        <n v="3.27"/>
        <n v="23.2"/>
        <n v="21.72"/>
        <n v="49.84"/>
        <n v="50.16"/>
        <n v="11.89"/>
        <n v="5.95"/>
        <n v="19.16"/>
        <n v="7.5"/>
        <n v="27.75"/>
        <n v="0.7"/>
        <n v="20.92"/>
        <n v="2.89"/>
        <n v="0.19"/>
        <n v="22.67"/>
        <n v="1.75"/>
        <n v="6.14"/>
        <n v="2.4900000000000002"/>
        <n v="9.0500000000000007"/>
        <n v="2.23"/>
        <n v="2.37"/>
        <n v="5.27"/>
        <n v="2.92"/>
        <n v="0.24"/>
        <n v="1.64"/>
        <n v="2.17"/>
        <n v="0.5"/>
        <n v="2.91"/>
        <n v="0.71"/>
        <n v="9.1"/>
        <n v="2.93"/>
        <n v="0.21"/>
        <n v="17.100000000000001"/>
        <n v="82.9"/>
        <n v="8.31"/>
        <n v="41.2"/>
        <n v="15.37"/>
        <n v="2.34"/>
        <n v="2.3199999999999998"/>
        <n v="19.14"/>
        <n v="0.65"/>
        <n v="9.36"/>
        <n v="1.31"/>
        <n v="0.39"/>
        <n v="5.14"/>
        <n v="19.27"/>
        <n v="1.3"/>
        <n v="3.12"/>
        <n v="1.29"/>
        <n v="9.85"/>
        <n v="0.47"/>
        <n v="0.35"/>
        <n v="8.64"/>
        <n v="0.26"/>
        <n v="1.54"/>
        <n v="1.59"/>
        <n v="1.47"/>
        <n v="37.06"/>
        <n v="0.57999999999999996"/>
        <n v="1.98"/>
        <n v="4.43"/>
        <n v="1.03"/>
        <n v="7.57"/>
        <n v="1.23"/>
        <n v="14.55"/>
        <n v="2.02"/>
        <n v="0.14000000000000001"/>
        <n v="0.23"/>
        <n v="0.18"/>
        <n v="0.55000000000000004"/>
        <n v="3.87"/>
        <n v="0.15"/>
        <n v="0.09"/>
        <n v="0.6"/>
        <n v="0.62"/>
        <n v="21.06"/>
        <n v="27"/>
        <n v="0.1"/>
        <n v="0.61"/>
        <n v="0.78"/>
        <n v="0.41"/>
        <n v="0.51"/>
        <n v="2.0099999999999998"/>
        <n v="7.44"/>
        <n v="2.81"/>
        <n v="3.39"/>
        <n v="0.22"/>
        <n v="0.17"/>
        <n v="1.57"/>
        <n v="4.38"/>
        <n v="19.02"/>
        <n v="18.7"/>
        <n v="36.590000000000003"/>
        <n v="3.08"/>
        <n v="0.43"/>
        <n v="7.08"/>
        <n v="8.52"/>
        <n v="46.91"/>
        <n v="53.09"/>
        <n v="16.96"/>
        <n v="1.26"/>
        <n v="14.4"/>
        <n v="1.55"/>
        <n v="0.74"/>
        <n v="13.18"/>
        <n v="10.85"/>
        <n v="0.38"/>
        <n v="7.74"/>
        <n v="0.75"/>
        <n v="16.93"/>
        <n v="1.81"/>
        <n v="10.79"/>
        <n v="2.66"/>
        <n v="6.81"/>
        <n v="53.99"/>
        <n v="5.63"/>
        <n v="9.9600000000000009"/>
        <n v="9.91"/>
        <n v="8.07"/>
        <n v="50.97"/>
        <n v="49.03"/>
        <n v="4.78"/>
        <n v="4.59"/>
        <n v="2.73"/>
        <n v="0.96"/>
        <n v="1.84"/>
        <n v="5.23"/>
        <n v="5.44"/>
        <n v="8.98"/>
        <n v="31.6"/>
        <n v="26.83"/>
        <n v="2.19"/>
        <n v="4.08"/>
        <n v="0.2"/>
        <n v="0.54"/>
        <n v="0.4"/>
        <n v="0.53"/>
        <n v="0.48"/>
        <n v="0.32"/>
        <n v="1.44"/>
        <n v="0.34"/>
        <n v="1.02"/>
        <n v="0.3"/>
        <n v="0.12"/>
        <n v="1.65"/>
        <n v="0.28999999999999998"/>
        <n v="27.06"/>
        <n v="31.21"/>
        <n v="12.95"/>
        <n v="13.15"/>
        <n v="0.11"/>
        <n v="0.33"/>
        <n v="0.31"/>
        <n v="0.27"/>
        <n v="6.33"/>
        <n v="46.16"/>
        <n v="47.51"/>
        <n v="0.46"/>
        <n v="38.36"/>
        <n v="0.08"/>
        <n v="1.25"/>
        <n v="1.1100000000000001"/>
        <n v="0.89"/>
        <n v="39.479999999999997"/>
        <n v="1.27"/>
        <n v="0.16"/>
        <n v="5.26"/>
        <n v="0.04"/>
        <n v="0.28000000000000003"/>
        <n v="2.11"/>
        <n v="1.24"/>
        <n v="0.44"/>
        <n v="55.93"/>
        <n v="43.62"/>
        <n v="0.45"/>
        <n v="77.87"/>
        <n v="6.34"/>
        <n v="15.79"/>
        <n v="47.59"/>
        <n v="46.55"/>
        <n v="5.86"/>
        <n v="37.78"/>
        <n v="9.49"/>
        <n v="3.52"/>
        <n v="22.38"/>
        <n v="1"/>
        <n v="0.37"/>
        <n v="7.0000000000000007E-2"/>
        <n v="1.28"/>
        <n v="0.87"/>
        <n v="0.85"/>
        <n v="0.59"/>
        <n v="1.35"/>
        <n v="0.67"/>
        <n v="1.39"/>
        <n v="1.46"/>
        <n v="1.33"/>
        <n v="22.26"/>
        <n v="7.2"/>
        <n v="1.41"/>
        <n v="1.04"/>
        <n v="1.0900000000000001"/>
        <n v="1.21"/>
        <n v="0.88"/>
        <n v="14.84"/>
        <n v="14.98"/>
        <n v="0.42"/>
        <n v="1.08"/>
        <n v="0.72"/>
        <n v="0.49"/>
        <n v="0.36"/>
        <n v="1.17"/>
        <n v="1.76"/>
        <n v="0.69"/>
        <n v="0.94"/>
        <n v="0.91"/>
        <n v="3.24"/>
        <n v="3.26"/>
        <n v="0.81"/>
        <n v="0.93"/>
        <n v="0.98"/>
        <n v="0.99"/>
        <n v="0.83"/>
        <n v="6.24"/>
        <n v="43.57"/>
        <n v="33.979999999999997"/>
        <n v="99.21"/>
        <n v="0.79"/>
        <n v="27.6"/>
        <n v="5.3"/>
        <n v="46.42"/>
        <n v="12.31"/>
        <n v="8.3699999999999992"/>
        <n v="6.59"/>
        <n v="47.36"/>
        <n v="46.05"/>
        <n v="2.7"/>
        <n v="5.89"/>
        <n v="21.96"/>
        <n v="6.69"/>
        <n v="4.53"/>
        <n v="2.97"/>
        <n v="8.85"/>
        <n v="1.6"/>
        <n v="3.63"/>
        <n v="21.48"/>
        <n v="3.83"/>
        <n v="1.01"/>
        <n v="5.49"/>
        <n v="71.64"/>
        <n v="22.87"/>
        <n v="40.71"/>
        <n v="4.66"/>
        <n v="5.32"/>
        <n v="43.45"/>
        <n v="34.93"/>
        <n v="2.38"/>
        <n v="29.54"/>
        <n v="10.65"/>
        <n v="6.48"/>
        <n v="6.6"/>
        <n v="4.6500000000000004"/>
        <n v="50.72"/>
        <n v="49.28"/>
        <n v="8.9499999999999993"/>
        <n v="26.51"/>
        <n v="18.690000000000001"/>
        <n v="26.04"/>
        <n v="10.220000000000001"/>
        <n v="9.59"/>
        <n v="36.51"/>
        <n v="7.33"/>
        <n v="56.16"/>
        <n v="5.64"/>
        <n v="84.9"/>
        <n v="9.4600000000000009"/>
        <n v="21.78"/>
        <n v="58.37"/>
        <n v="3.31"/>
        <n v="13.26"/>
        <n v="3.28"/>
        <n v="41.7"/>
        <n v="6.42"/>
        <n v="7.7"/>
        <n v="5.22"/>
        <n v="6.4"/>
        <n v="27.12"/>
        <n v="28.25"/>
        <n v="65.069999999999993"/>
        <n v="4.45"/>
        <n v="27.19"/>
        <n v="28.72"/>
        <n v="44.09"/>
        <n v="21.15"/>
        <n v="1.51"/>
        <n v="24.97"/>
        <n v="31.98"/>
        <n v="7.89"/>
        <n v="12.5"/>
        <n v="16.3"/>
        <n v="13.17"/>
        <n v="8.94"/>
        <n v="6.02"/>
        <n v="16.21"/>
        <n v="1.34"/>
        <n v="4.74"/>
        <n v="8.9600000000000009"/>
        <n v="4.34"/>
        <n v="6.26"/>
        <n v="8.25"/>
        <n v="4.07"/>
        <n v="4.72"/>
        <n v="7.78"/>
        <n v="27.39"/>
        <n v="1.89"/>
        <n v="3.54"/>
        <n v="23.25"/>
        <n v="12.1"/>
        <n v="4.1500000000000004"/>
        <n v="3.98"/>
        <n v="2.36"/>
        <n v="46.64"/>
        <n v="4.97"/>
        <n v="27.18"/>
        <n v="21.21"/>
        <n v="8.51"/>
        <n v="36.49"/>
        <n v="1.56"/>
        <n v="1.52"/>
        <n v="4.37"/>
        <n v="9.69"/>
        <n v="1.95"/>
        <n v="5.0599999999999996"/>
        <n v="0.56999999999999995"/>
        <n v="18.97"/>
        <n v="0.06"/>
        <n v="0.25"/>
        <n v="0.05"/>
        <n v="0.68"/>
        <n v="1.18"/>
        <n v="0.03"/>
        <n v="0.95"/>
        <n v="0.63"/>
        <n v="10.51"/>
        <n v="3.4"/>
        <n v="7.01"/>
        <n v="7.07"/>
        <n v="11.11"/>
        <n v="12.81"/>
        <n v="5.29"/>
        <n v="5.4"/>
        <n v="0.56000000000000005"/>
        <n v="0.64"/>
        <n v="0.92"/>
        <n v="24.83"/>
        <n v="75.17"/>
        <n v="4.62"/>
        <n v="1.97"/>
        <n v="5.53"/>
        <n v="3.86"/>
        <n v="3.34"/>
        <n v="3.36"/>
        <n v="2.83"/>
        <n v="5.19"/>
        <n v="1.5"/>
        <n v="1.2"/>
        <n v="1.87"/>
        <n v="4.13"/>
        <n v="4.16"/>
        <n v="3.21"/>
        <n v="3"/>
        <n v="36.96"/>
        <n v="2.56"/>
        <n v="9.58"/>
        <n v="9.42"/>
        <n v="4.29"/>
        <n v="0.77"/>
        <n v="18.43"/>
        <n v="3.58"/>
        <n v="4.9000000000000004"/>
        <n v="34.200000000000003"/>
        <n v="0.73"/>
        <n v="49.95"/>
        <n v="50.05"/>
        <n v="2.42"/>
        <n v="36.68"/>
        <n v="2.1800000000000002"/>
        <n v="21.68"/>
        <n v="37.04"/>
        <n v="13.91"/>
        <n v="3.3"/>
        <n v="7.62"/>
        <n v="7.14"/>
        <n v="3.62"/>
        <n v="5.54"/>
        <n v="2.0299999999999998"/>
        <n v="1.07"/>
        <n v="3.85"/>
        <n v="2.74"/>
        <n v="3.78"/>
        <n v="4.21"/>
        <n v="2.5"/>
        <n v="2.78"/>
        <n v="3.06"/>
        <n v="2.82"/>
        <n v="5.59"/>
        <n v="53.35"/>
        <n v="33.020000000000003"/>
        <n v="8.0399999999999991"/>
        <n v="14.17"/>
        <n v="39.33"/>
        <n v="46.5"/>
        <n v="32.06"/>
        <n v="19.41"/>
        <n v="29.46"/>
        <n v="19.07"/>
        <n v="47.58"/>
        <n v="52.42"/>
        <n v="14.7"/>
        <n v="85.3"/>
        <n v="8.81"/>
        <n v="91.19"/>
        <n v="48.78"/>
        <n v="48.52"/>
        <n v="7.51"/>
        <n v="6.72"/>
        <n v="4.54"/>
        <n v="1.88"/>
        <n v="9.33"/>
        <n v="5.38"/>
        <n v="1.19"/>
        <n v="1.58"/>
        <n v="6.27"/>
        <n v="1.73"/>
        <n v="7.6"/>
        <n v="12.79"/>
        <n v="2.77"/>
        <n v="7.9"/>
        <n v="4.0199999999999996"/>
        <n v="3.15"/>
        <n v="10.97"/>
        <n v="14.54"/>
        <n v="12.42"/>
        <n v="2.08"/>
        <n v="0.9"/>
        <n v="0.84"/>
        <n v="0.52"/>
        <n v="14.94"/>
        <n v="1.72"/>
        <n v="2.62"/>
        <n v="14.8"/>
        <n v="20.12"/>
        <n v="21.52"/>
        <n v="27.7"/>
        <n v="27.86"/>
        <n v="2.8"/>
        <n v="5.41"/>
        <n v="1.94"/>
        <n v="45.24"/>
        <n v="23.12"/>
        <n v="23.52"/>
        <n v="1.1499999999999999"/>
        <n v="9.09"/>
        <n v="1.06"/>
        <n v="1.83"/>
        <n v="1.68"/>
        <n v="7.41"/>
        <n v="12.46"/>
        <n v="2.84"/>
        <n v="2.69"/>
        <n v="7.31"/>
        <n v="6.11"/>
        <n v="6.54"/>
        <n v="2.6"/>
        <n v="5.24"/>
        <n v="14.02"/>
        <n v="21.42"/>
        <n v="32.83"/>
        <n v="2.44"/>
        <n v="25.75"/>
        <n v="36.33"/>
        <n v="63.67"/>
        <n v="13.81"/>
        <n v="4.88"/>
        <n v="8.61"/>
        <n v="11.52"/>
        <n v="19.45"/>
        <n v="13.31"/>
        <n v="8.77"/>
        <n v="14.48"/>
        <n v="9.26"/>
        <n v="90.74"/>
        <n v="32.57"/>
        <n v="31.25"/>
        <n v="18.57"/>
        <n v="5.13"/>
        <n v="12.48"/>
        <n v="85.52"/>
        <n v="13.1"/>
        <n v="86.9"/>
        <n v="96.33"/>
        <n v="3.67"/>
        <n v="7.26"/>
        <n v="11.39"/>
        <n v="22.45"/>
        <n v="0.01"/>
        <n v="1.48"/>
        <n v="23.74"/>
        <n v="14.97"/>
        <n v="1.67"/>
        <n v="3.23"/>
        <n v="19.89"/>
        <n v="19.559999999999999"/>
        <n v="8.91"/>
        <n v="38.26"/>
        <n v="39.89"/>
        <n v="3.14"/>
        <n v="22.76"/>
        <n v="3.11"/>
        <n v="31.1"/>
        <n v="19.11"/>
        <n v="30.88"/>
        <n v="42.12"/>
        <n v="3.19"/>
        <n v="0.02"/>
        <n v="6.05"/>
        <n v="0.76"/>
        <n v="4.18"/>
        <n v="2.2400000000000002"/>
        <n v="3.37"/>
        <n v="7.75"/>
        <n v="1.1200000000000001"/>
        <n v="0.66"/>
        <n v="1.1299999999999999"/>
        <n v="2.72"/>
        <n v="3.1"/>
        <n v="1.05"/>
        <n v="1.49"/>
        <n v="0.97"/>
        <n v="2.14"/>
        <n v="4.1100000000000003"/>
        <n v="0.82"/>
        <n v="5.61"/>
        <n v="83.28"/>
        <n v="8.39"/>
        <n v="8.33"/>
        <n v="5.46"/>
        <n v="7.84"/>
        <n v="8.66"/>
        <n v="1.45"/>
        <n v="1.93"/>
        <n v="11.76"/>
        <n v="1.9"/>
        <n v="10.23"/>
        <n v="11.88"/>
        <n v="6.96"/>
        <n v="1.36"/>
        <n v="1.74"/>
        <n v="1.53"/>
        <n v="2.94"/>
        <n v="11.02"/>
        <n v="5.73"/>
        <n v="2.76"/>
        <n v="1.32"/>
        <n v="2.57"/>
        <n v="2.15"/>
        <n v="15.95"/>
        <n v="20.45"/>
        <n v="2.09"/>
        <n v="9.67"/>
        <n v="15.06"/>
        <n v="37.24"/>
        <n v="38.03"/>
        <n v="7.34"/>
        <n v="5.08"/>
        <n v="5.71"/>
        <n v="7.27"/>
        <n v="6.71"/>
        <n v="55.22"/>
        <n v="1.61"/>
        <n v="33.75"/>
        <n v="38.520000000000003"/>
        <n v="6.09"/>
        <n v="15.9"/>
        <n v="4.25"/>
        <n v="3.04"/>
        <n v="3.71"/>
        <n v="4.2"/>
        <n v="4.95"/>
        <n v="4.79"/>
        <n v="4.05"/>
        <n v="3.64"/>
        <n v="7.82"/>
        <n v="4.7699999999999996"/>
        <n v="4.0599999999999996"/>
        <n v="94.94"/>
        <n v="47.82"/>
        <n v="2.0499999999999998"/>
        <n v="24.45"/>
        <n v="24.87"/>
        <n v="3.56"/>
        <n v="2.46"/>
        <n v="1.99"/>
        <n v="4.57"/>
        <n v="0.8"/>
        <n v="6.65"/>
        <n v="1.1000000000000001"/>
        <n v="3.59"/>
        <n v="2.31"/>
        <n v="8.1199999999999992"/>
        <n v="7.86"/>
        <n v="3.07"/>
        <n v="5.01"/>
        <n v="1.4"/>
        <n v="5.96"/>
        <n v="12.84"/>
        <n v="49.44"/>
        <n v="50.56"/>
        <n v="5.92"/>
        <n v="3.35"/>
        <n v="9.48"/>
        <n v="13.34"/>
        <n v="9.1300000000000008"/>
        <n v="9.94"/>
        <n v="12.52"/>
        <n v="9.76"/>
        <n v="2.2999999999999998"/>
        <n v="43.79"/>
        <n v="4.71"/>
        <n v="51.5"/>
        <n v="23.3"/>
        <n v="27.4"/>
        <n v="27.1"/>
        <n v="22.2"/>
        <n v="40.200000000000003"/>
        <n v="19.52"/>
        <n v="40.28"/>
        <n v="17.77"/>
        <n v="30.94"/>
        <n v="23.47"/>
        <n v="22.58"/>
        <n v="14.29"/>
        <n v="26.21"/>
        <n v="5.47"/>
        <n v="19.5"/>
        <n v="27.95"/>
        <n v="6.58"/>
        <n v="11.18"/>
        <n v="2.2200000000000002"/>
        <n v="12.32"/>
        <n v="25.83"/>
        <n v="18.760000000000002"/>
        <n v="9.27"/>
        <n v="82.31"/>
        <n v="8.42"/>
        <n v="29.91"/>
        <n v="24.94"/>
        <n v="20.29"/>
        <n v="24.86"/>
        <n v="4.5"/>
        <n v="9.5399999999999991"/>
        <n v="47.27"/>
        <n v="38.69"/>
        <n v="3.45"/>
        <n v="44.73"/>
        <n v="47.97"/>
        <n v="10.26"/>
        <n v="89.74"/>
        <n v="4"/>
        <n v="7.83"/>
        <n v="80.52"/>
        <n v="7.65"/>
        <n v="46.96"/>
        <n v="41.49"/>
        <n v="3.65"/>
        <n v="21.91"/>
        <n v="3.43"/>
        <n v="2.4300000000000002"/>
        <n v="1.79"/>
        <n v="24.8"/>
        <n v="6.3"/>
        <n v="3.03"/>
        <n v="2.16"/>
        <n v="2.06"/>
        <n v="8.0299999999999994"/>
        <n v="48.83"/>
        <n v="25.39"/>
        <n v="24.96"/>
        <n v="1.96"/>
        <n v="7.03"/>
        <n v="21.75"/>
        <n v="14.64"/>
        <n v="14.51"/>
        <n v="1.62"/>
        <n v="1.38"/>
        <n v="0.86"/>
        <n v="1.1399999999999999"/>
        <n v="1.43"/>
        <n v="9.01"/>
        <n v="14.19"/>
        <n v="14.15"/>
        <n v="11.01"/>
        <n v="9.06"/>
        <n v="12.03"/>
        <n v="6.47"/>
        <n v="5.55"/>
        <n v="2.61"/>
        <n v="2.2799999999999998"/>
        <n v="10.28"/>
        <n v="10.44"/>
        <n v="1.78"/>
        <n v="2.1"/>
        <n v="24.78"/>
        <n v="33.21"/>
        <n v="9.5"/>
        <n v="6.12"/>
        <n v="33.950000000000003"/>
        <n v="8.36"/>
        <n v="8.86"/>
        <n v="21.9"/>
        <n v="3.29"/>
        <n v="32.26"/>
        <n v="21.94"/>
        <n v="10.64"/>
        <n v="9.9700000000000006"/>
        <n v="40.270000000000003"/>
        <n v="9.6999999999999993"/>
        <n v="40.21"/>
        <n v="9.82"/>
        <n v="1.7"/>
        <n v="1.92"/>
        <n v="2.75"/>
        <n v="2.52"/>
        <n v="6.23"/>
        <n v="1.42"/>
        <n v="2.5099999999999998"/>
        <n v="2.12"/>
        <n v="2.58"/>
        <n v="4.42"/>
        <n v="6.04"/>
        <n v="10.73"/>
        <n v="1.91"/>
        <n v="2.63"/>
        <n v="6.21"/>
        <n v="5.16"/>
        <n v="3.82"/>
        <n v="6.15"/>
        <n v="4.5599999999999996"/>
        <n v="2.2599999999999998"/>
        <n v="4.67"/>
        <n v="8.23"/>
        <n v="7.38"/>
        <n v="1.66"/>
        <n v="3.32"/>
        <n v="3.5"/>
        <n v="2.87"/>
        <n v="2.88"/>
        <n v="5.88"/>
        <n v="4.5199999999999996"/>
        <n v="24.66"/>
        <n v="3.69"/>
        <n v="6.5"/>
        <n v="6.53"/>
        <n v="7.87"/>
        <n v="35.4"/>
        <n v="4.47"/>
        <n v="38.17"/>
        <n v="53.22"/>
        <n v="60.36"/>
        <n v="39.64"/>
        <n v="42.59"/>
        <n v="48.2"/>
        <n v="11.95"/>
        <n v="2.21"/>
        <n v="11.96"/>
        <n v="4.6900000000000004"/>
        <n v="12"/>
        <n v="1.8"/>
        <n v="5.35"/>
        <n v="10.16"/>
        <n v="11.92"/>
        <n v="13.77"/>
        <n v="5.05"/>
        <n v="9.07"/>
        <n v="8.92"/>
        <n v="14.99"/>
        <n v="22.35"/>
        <n v="15.04"/>
        <n v="7.23"/>
        <n v="1.22"/>
        <n v="1.77"/>
        <n v="14.9"/>
        <n v="4.51"/>
        <n v="43.61"/>
        <n v="4.6399999999999997"/>
        <n v="47.24"/>
        <n v="7.55"/>
        <n v="8.43"/>
        <n v="7.47"/>
        <n v="7.58"/>
        <n v="16.61"/>
        <n v="12.9"/>
        <n v="17.73"/>
        <n v="7.67"/>
        <n v="2.27"/>
        <n v="37.049999999999997"/>
        <n v="44.55"/>
        <n v="16.13"/>
        <n v="20.8"/>
        <n v="73.209999999999994"/>
        <n v="26.78"/>
        <n v="2.33"/>
        <n v="8.67"/>
        <n v="3.7"/>
        <n v="23.66"/>
        <n v="5.66"/>
        <n v="2.04"/>
        <n v="2.25"/>
        <n v="6.99"/>
        <n v="3.57"/>
        <n v="5.2"/>
        <n v="5.34"/>
        <n v="12.97"/>
        <n v="1.86"/>
        <n v="10.11"/>
        <n v="1.6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03">
  <r>
    <n v="1000293"/>
    <x v="0"/>
    <x v="0"/>
    <x v="0"/>
    <x v="0"/>
  </r>
  <r>
    <n v="1000293"/>
    <x v="0"/>
    <x v="0"/>
    <x v="1"/>
    <x v="1"/>
  </r>
  <r>
    <n v="1000293"/>
    <x v="1"/>
    <x v="1"/>
    <x v="2"/>
    <x v="2"/>
  </r>
  <r>
    <n v="1000294"/>
    <x v="2"/>
    <x v="0"/>
    <x v="0"/>
    <x v="0"/>
  </r>
  <r>
    <n v="1000294"/>
    <x v="2"/>
    <x v="0"/>
    <x v="1"/>
    <x v="1"/>
  </r>
  <r>
    <n v="1000294"/>
    <x v="1"/>
    <x v="1"/>
    <x v="2"/>
    <x v="2"/>
  </r>
  <r>
    <n v="1000360"/>
    <x v="3"/>
    <x v="2"/>
    <x v="3"/>
    <x v="2"/>
  </r>
  <r>
    <n v="1000360"/>
    <x v="3"/>
    <x v="2"/>
    <x v="4"/>
    <x v="3"/>
  </r>
  <r>
    <n v="1000360"/>
    <x v="1"/>
    <x v="1"/>
    <x v="2"/>
    <x v="2"/>
  </r>
  <r>
    <n v="1000362"/>
    <x v="4"/>
    <x v="3"/>
    <x v="5"/>
    <x v="4"/>
  </r>
  <r>
    <n v="1000362"/>
    <x v="4"/>
    <x v="3"/>
    <x v="6"/>
    <x v="5"/>
  </r>
  <r>
    <n v="1000362"/>
    <x v="4"/>
    <x v="3"/>
    <x v="7"/>
    <x v="6"/>
  </r>
  <r>
    <n v="1000362"/>
    <x v="4"/>
    <x v="3"/>
    <x v="8"/>
    <x v="7"/>
  </r>
  <r>
    <n v="1000362"/>
    <x v="4"/>
    <x v="3"/>
    <x v="9"/>
    <x v="8"/>
  </r>
  <r>
    <n v="1000362"/>
    <x v="4"/>
    <x v="3"/>
    <x v="10"/>
    <x v="9"/>
  </r>
  <r>
    <n v="1000362"/>
    <x v="4"/>
    <x v="3"/>
    <x v="11"/>
    <x v="10"/>
  </r>
  <r>
    <n v="1000362"/>
    <x v="4"/>
    <x v="3"/>
    <x v="12"/>
    <x v="3"/>
  </r>
  <r>
    <n v="1000362"/>
    <x v="4"/>
    <x v="3"/>
    <x v="13"/>
    <x v="11"/>
  </r>
  <r>
    <n v="1000362"/>
    <x v="4"/>
    <x v="3"/>
    <x v="14"/>
    <x v="12"/>
  </r>
  <r>
    <n v="1000362"/>
    <x v="4"/>
    <x v="3"/>
    <x v="15"/>
    <x v="13"/>
  </r>
  <r>
    <n v="1000362"/>
    <x v="1"/>
    <x v="1"/>
    <x v="2"/>
    <x v="2"/>
  </r>
  <r>
    <n v="1000369"/>
    <x v="5"/>
    <x v="4"/>
    <x v="16"/>
    <x v="14"/>
  </r>
  <r>
    <n v="1000369"/>
    <x v="5"/>
    <x v="4"/>
    <x v="17"/>
    <x v="15"/>
  </r>
  <r>
    <n v="1000369"/>
    <x v="1"/>
    <x v="1"/>
    <x v="2"/>
    <x v="2"/>
  </r>
  <r>
    <n v="1000385"/>
    <x v="6"/>
    <x v="5"/>
    <x v="18"/>
    <x v="16"/>
  </r>
  <r>
    <n v="1000385"/>
    <x v="6"/>
    <x v="5"/>
    <x v="19"/>
    <x v="17"/>
  </r>
  <r>
    <n v="1000385"/>
    <x v="6"/>
    <x v="5"/>
    <x v="20"/>
    <x v="18"/>
  </r>
  <r>
    <n v="1000385"/>
    <x v="6"/>
    <x v="5"/>
    <x v="21"/>
    <x v="19"/>
  </r>
  <r>
    <n v="1000385"/>
    <x v="6"/>
    <x v="5"/>
    <x v="22"/>
    <x v="20"/>
  </r>
  <r>
    <n v="1000385"/>
    <x v="6"/>
    <x v="5"/>
    <x v="23"/>
    <x v="20"/>
  </r>
  <r>
    <n v="1000385"/>
    <x v="1"/>
    <x v="1"/>
    <x v="2"/>
    <x v="2"/>
  </r>
  <r>
    <n v="1000446"/>
    <x v="7"/>
    <x v="0"/>
    <x v="24"/>
    <x v="21"/>
  </r>
  <r>
    <n v="1000446"/>
    <x v="7"/>
    <x v="0"/>
    <x v="0"/>
    <x v="22"/>
  </r>
  <r>
    <n v="1000446"/>
    <x v="7"/>
    <x v="0"/>
    <x v="25"/>
    <x v="23"/>
  </r>
  <r>
    <n v="1000446"/>
    <x v="7"/>
    <x v="0"/>
    <x v="26"/>
    <x v="24"/>
  </r>
  <r>
    <n v="1000446"/>
    <x v="7"/>
    <x v="0"/>
    <x v="1"/>
    <x v="25"/>
  </r>
  <r>
    <n v="1000446"/>
    <x v="7"/>
    <x v="0"/>
    <x v="27"/>
    <x v="26"/>
  </r>
  <r>
    <n v="1000446"/>
    <x v="7"/>
    <x v="0"/>
    <x v="28"/>
    <x v="27"/>
  </r>
  <r>
    <n v="1000446"/>
    <x v="7"/>
    <x v="0"/>
    <x v="29"/>
    <x v="28"/>
  </r>
  <r>
    <n v="1000446"/>
    <x v="7"/>
    <x v="0"/>
    <x v="30"/>
    <x v="29"/>
  </r>
  <r>
    <n v="1000446"/>
    <x v="7"/>
    <x v="0"/>
    <x v="31"/>
    <x v="30"/>
  </r>
  <r>
    <n v="1000446"/>
    <x v="7"/>
    <x v="0"/>
    <x v="32"/>
    <x v="31"/>
  </r>
  <r>
    <n v="1000446"/>
    <x v="7"/>
    <x v="0"/>
    <x v="33"/>
    <x v="32"/>
  </r>
  <r>
    <n v="1000446"/>
    <x v="7"/>
    <x v="0"/>
    <x v="34"/>
    <x v="33"/>
  </r>
  <r>
    <n v="1000446"/>
    <x v="7"/>
    <x v="0"/>
    <x v="35"/>
    <x v="34"/>
  </r>
  <r>
    <n v="1000446"/>
    <x v="7"/>
    <x v="0"/>
    <x v="36"/>
    <x v="35"/>
  </r>
  <r>
    <n v="1000446"/>
    <x v="7"/>
    <x v="0"/>
    <x v="37"/>
    <x v="36"/>
  </r>
  <r>
    <n v="1000446"/>
    <x v="7"/>
    <x v="0"/>
    <x v="38"/>
    <x v="37"/>
  </r>
  <r>
    <n v="1000446"/>
    <x v="7"/>
    <x v="0"/>
    <x v="39"/>
    <x v="38"/>
  </r>
  <r>
    <n v="1000446"/>
    <x v="7"/>
    <x v="0"/>
    <x v="40"/>
    <x v="39"/>
  </r>
  <r>
    <n v="1000446"/>
    <x v="7"/>
    <x v="0"/>
    <x v="41"/>
    <x v="40"/>
  </r>
  <r>
    <n v="1000446"/>
    <x v="7"/>
    <x v="0"/>
    <x v="42"/>
    <x v="41"/>
  </r>
  <r>
    <n v="1000446"/>
    <x v="7"/>
    <x v="0"/>
    <x v="43"/>
    <x v="42"/>
  </r>
  <r>
    <n v="1000446"/>
    <x v="1"/>
    <x v="1"/>
    <x v="2"/>
    <x v="2"/>
  </r>
  <r>
    <n v="1000464"/>
    <x v="8"/>
    <x v="5"/>
    <x v="44"/>
    <x v="43"/>
  </r>
  <r>
    <n v="1000464"/>
    <x v="8"/>
    <x v="5"/>
    <x v="45"/>
    <x v="44"/>
  </r>
  <r>
    <n v="1000464"/>
    <x v="1"/>
    <x v="1"/>
    <x v="2"/>
    <x v="2"/>
  </r>
  <r>
    <n v="1000465"/>
    <x v="9"/>
    <x v="5"/>
    <x v="45"/>
    <x v="44"/>
  </r>
  <r>
    <n v="1000465"/>
    <x v="9"/>
    <x v="5"/>
    <x v="44"/>
    <x v="43"/>
  </r>
  <r>
    <n v="1000465"/>
    <x v="1"/>
    <x v="1"/>
    <x v="2"/>
    <x v="2"/>
  </r>
  <r>
    <n v="1000470"/>
    <x v="10"/>
    <x v="5"/>
    <x v="46"/>
    <x v="45"/>
  </r>
  <r>
    <n v="1000470"/>
    <x v="10"/>
    <x v="5"/>
    <x v="47"/>
    <x v="46"/>
  </r>
  <r>
    <n v="1000470"/>
    <x v="10"/>
    <x v="5"/>
    <x v="48"/>
    <x v="47"/>
  </r>
  <r>
    <n v="1000470"/>
    <x v="10"/>
    <x v="5"/>
    <x v="49"/>
    <x v="48"/>
  </r>
  <r>
    <n v="1000470"/>
    <x v="10"/>
    <x v="5"/>
    <x v="50"/>
    <x v="49"/>
  </r>
  <r>
    <n v="1000470"/>
    <x v="10"/>
    <x v="5"/>
    <x v="51"/>
    <x v="50"/>
  </r>
  <r>
    <n v="1000470"/>
    <x v="10"/>
    <x v="5"/>
    <x v="52"/>
    <x v="51"/>
  </r>
  <r>
    <n v="1000470"/>
    <x v="10"/>
    <x v="5"/>
    <x v="53"/>
    <x v="52"/>
  </r>
  <r>
    <n v="1000470"/>
    <x v="10"/>
    <x v="5"/>
    <x v="54"/>
    <x v="53"/>
  </r>
  <r>
    <n v="1000470"/>
    <x v="1"/>
    <x v="1"/>
    <x v="2"/>
    <x v="2"/>
  </r>
  <r>
    <n v="1000483"/>
    <x v="11"/>
    <x v="2"/>
    <x v="55"/>
    <x v="54"/>
  </r>
  <r>
    <n v="1000483"/>
    <x v="11"/>
    <x v="2"/>
    <x v="56"/>
    <x v="55"/>
  </r>
  <r>
    <n v="1000483"/>
    <x v="11"/>
    <x v="2"/>
    <x v="57"/>
    <x v="56"/>
  </r>
  <r>
    <n v="1000483"/>
    <x v="11"/>
    <x v="2"/>
    <x v="58"/>
    <x v="57"/>
  </r>
  <r>
    <n v="1000483"/>
    <x v="11"/>
    <x v="2"/>
    <x v="59"/>
    <x v="58"/>
  </r>
  <r>
    <n v="1000483"/>
    <x v="11"/>
    <x v="2"/>
    <x v="60"/>
    <x v="59"/>
  </r>
  <r>
    <n v="1000483"/>
    <x v="11"/>
    <x v="2"/>
    <x v="61"/>
    <x v="60"/>
  </r>
  <r>
    <n v="1000483"/>
    <x v="11"/>
    <x v="2"/>
    <x v="62"/>
    <x v="61"/>
  </r>
  <r>
    <n v="1000483"/>
    <x v="11"/>
    <x v="2"/>
    <x v="63"/>
    <x v="62"/>
  </r>
  <r>
    <n v="1000483"/>
    <x v="11"/>
    <x v="2"/>
    <x v="64"/>
    <x v="63"/>
  </r>
  <r>
    <n v="1000483"/>
    <x v="11"/>
    <x v="2"/>
    <x v="65"/>
    <x v="64"/>
  </r>
  <r>
    <n v="1000483"/>
    <x v="11"/>
    <x v="2"/>
    <x v="66"/>
    <x v="65"/>
  </r>
  <r>
    <n v="1000483"/>
    <x v="11"/>
    <x v="2"/>
    <x v="67"/>
    <x v="66"/>
  </r>
  <r>
    <n v="1000483"/>
    <x v="11"/>
    <x v="2"/>
    <x v="68"/>
    <x v="67"/>
  </r>
  <r>
    <n v="1000483"/>
    <x v="11"/>
    <x v="2"/>
    <x v="69"/>
    <x v="68"/>
  </r>
  <r>
    <n v="1000483"/>
    <x v="11"/>
    <x v="2"/>
    <x v="70"/>
    <x v="69"/>
  </r>
  <r>
    <n v="1000483"/>
    <x v="11"/>
    <x v="2"/>
    <x v="71"/>
    <x v="70"/>
  </r>
  <r>
    <n v="1000483"/>
    <x v="11"/>
    <x v="2"/>
    <x v="72"/>
    <x v="71"/>
  </r>
  <r>
    <n v="1000483"/>
    <x v="11"/>
    <x v="2"/>
    <x v="73"/>
    <x v="34"/>
  </r>
  <r>
    <n v="1000483"/>
    <x v="11"/>
    <x v="2"/>
    <x v="74"/>
    <x v="72"/>
  </r>
  <r>
    <n v="1000483"/>
    <x v="1"/>
    <x v="1"/>
    <x v="2"/>
    <x v="2"/>
  </r>
  <r>
    <n v="1000523"/>
    <x v="12"/>
    <x v="2"/>
    <x v="57"/>
    <x v="73"/>
  </r>
  <r>
    <n v="1000523"/>
    <x v="12"/>
    <x v="2"/>
    <x v="59"/>
    <x v="74"/>
  </r>
  <r>
    <n v="1000523"/>
    <x v="12"/>
    <x v="2"/>
    <x v="69"/>
    <x v="75"/>
  </r>
  <r>
    <n v="1000523"/>
    <x v="12"/>
    <x v="2"/>
    <x v="56"/>
    <x v="76"/>
  </r>
  <r>
    <n v="1000523"/>
    <x v="12"/>
    <x v="2"/>
    <x v="63"/>
    <x v="77"/>
  </r>
  <r>
    <n v="1000523"/>
    <x v="12"/>
    <x v="2"/>
    <x v="70"/>
    <x v="78"/>
  </r>
  <r>
    <n v="1000523"/>
    <x v="12"/>
    <x v="2"/>
    <x v="62"/>
    <x v="79"/>
  </r>
  <r>
    <n v="1000523"/>
    <x v="12"/>
    <x v="2"/>
    <x v="75"/>
    <x v="80"/>
  </r>
  <r>
    <n v="1000523"/>
    <x v="12"/>
    <x v="2"/>
    <x v="60"/>
    <x v="37"/>
  </r>
  <r>
    <n v="1000523"/>
    <x v="12"/>
    <x v="2"/>
    <x v="68"/>
    <x v="69"/>
  </r>
  <r>
    <n v="1000523"/>
    <x v="12"/>
    <x v="2"/>
    <x v="61"/>
    <x v="81"/>
  </r>
  <r>
    <n v="1000523"/>
    <x v="12"/>
    <x v="2"/>
    <x v="55"/>
    <x v="82"/>
  </r>
  <r>
    <n v="1000523"/>
    <x v="12"/>
    <x v="2"/>
    <x v="73"/>
    <x v="83"/>
  </r>
  <r>
    <n v="1000523"/>
    <x v="12"/>
    <x v="2"/>
    <x v="76"/>
    <x v="84"/>
  </r>
  <r>
    <n v="1000523"/>
    <x v="12"/>
    <x v="2"/>
    <x v="67"/>
    <x v="85"/>
  </r>
  <r>
    <n v="1000523"/>
    <x v="12"/>
    <x v="2"/>
    <x v="77"/>
    <x v="86"/>
  </r>
  <r>
    <n v="1000523"/>
    <x v="12"/>
    <x v="2"/>
    <x v="78"/>
    <x v="87"/>
  </r>
  <r>
    <n v="1000523"/>
    <x v="12"/>
    <x v="2"/>
    <x v="65"/>
    <x v="88"/>
  </r>
  <r>
    <n v="1000523"/>
    <x v="12"/>
    <x v="2"/>
    <x v="66"/>
    <x v="89"/>
  </r>
  <r>
    <n v="1000523"/>
    <x v="12"/>
    <x v="2"/>
    <x v="71"/>
    <x v="90"/>
  </r>
  <r>
    <n v="1000523"/>
    <x v="12"/>
    <x v="2"/>
    <x v="74"/>
    <x v="91"/>
  </r>
  <r>
    <n v="1000523"/>
    <x v="12"/>
    <x v="2"/>
    <x v="58"/>
    <x v="92"/>
  </r>
  <r>
    <n v="1000523"/>
    <x v="12"/>
    <x v="2"/>
    <x v="79"/>
    <x v="93"/>
  </r>
  <r>
    <n v="1000523"/>
    <x v="12"/>
    <x v="2"/>
    <x v="80"/>
    <x v="94"/>
  </r>
  <r>
    <n v="1000523"/>
    <x v="12"/>
    <x v="2"/>
    <x v="81"/>
    <x v="95"/>
  </r>
  <r>
    <n v="1000523"/>
    <x v="12"/>
    <x v="2"/>
    <x v="64"/>
    <x v="96"/>
  </r>
  <r>
    <n v="1000523"/>
    <x v="12"/>
    <x v="2"/>
    <x v="82"/>
    <x v="97"/>
  </r>
  <r>
    <n v="1000523"/>
    <x v="12"/>
    <x v="2"/>
    <x v="83"/>
    <x v="98"/>
  </r>
  <r>
    <n v="1000523"/>
    <x v="12"/>
    <x v="2"/>
    <x v="84"/>
    <x v="89"/>
  </r>
  <r>
    <n v="1000523"/>
    <x v="1"/>
    <x v="1"/>
    <x v="2"/>
    <x v="2"/>
  </r>
  <r>
    <n v="1000524"/>
    <x v="13"/>
    <x v="2"/>
    <x v="67"/>
    <x v="99"/>
  </r>
  <r>
    <n v="1000524"/>
    <x v="13"/>
    <x v="2"/>
    <x v="55"/>
    <x v="54"/>
  </r>
  <r>
    <n v="1000524"/>
    <x v="13"/>
    <x v="2"/>
    <x v="72"/>
    <x v="100"/>
  </r>
  <r>
    <n v="1000524"/>
    <x v="13"/>
    <x v="2"/>
    <x v="73"/>
    <x v="34"/>
  </r>
  <r>
    <n v="1000524"/>
    <x v="13"/>
    <x v="2"/>
    <x v="57"/>
    <x v="101"/>
  </r>
  <r>
    <n v="1000524"/>
    <x v="13"/>
    <x v="2"/>
    <x v="80"/>
    <x v="102"/>
  </r>
  <r>
    <n v="1000524"/>
    <x v="13"/>
    <x v="2"/>
    <x v="69"/>
    <x v="103"/>
  </r>
  <r>
    <n v="1000524"/>
    <x v="13"/>
    <x v="2"/>
    <x v="59"/>
    <x v="104"/>
  </r>
  <r>
    <n v="1000524"/>
    <x v="13"/>
    <x v="2"/>
    <x v="83"/>
    <x v="105"/>
  </r>
  <r>
    <n v="1000524"/>
    <x v="13"/>
    <x v="2"/>
    <x v="81"/>
    <x v="106"/>
  </r>
  <r>
    <n v="1000524"/>
    <x v="13"/>
    <x v="2"/>
    <x v="64"/>
    <x v="107"/>
  </r>
  <r>
    <n v="1000524"/>
    <x v="1"/>
    <x v="1"/>
    <x v="2"/>
    <x v="2"/>
  </r>
  <r>
    <n v="1000527"/>
    <x v="14"/>
    <x v="5"/>
    <x v="85"/>
    <x v="108"/>
  </r>
  <r>
    <n v="1000527"/>
    <x v="14"/>
    <x v="5"/>
    <x v="86"/>
    <x v="109"/>
  </r>
  <r>
    <n v="1000527"/>
    <x v="1"/>
    <x v="1"/>
    <x v="2"/>
    <x v="2"/>
  </r>
  <r>
    <n v="1000537"/>
    <x v="15"/>
    <x v="5"/>
    <x v="87"/>
    <x v="110"/>
  </r>
  <r>
    <n v="1000537"/>
    <x v="15"/>
    <x v="5"/>
    <x v="88"/>
    <x v="111"/>
  </r>
  <r>
    <n v="1000537"/>
    <x v="15"/>
    <x v="5"/>
    <x v="89"/>
    <x v="112"/>
  </r>
  <r>
    <n v="1000537"/>
    <x v="15"/>
    <x v="5"/>
    <x v="90"/>
    <x v="113"/>
  </r>
  <r>
    <n v="1000537"/>
    <x v="15"/>
    <x v="5"/>
    <x v="91"/>
    <x v="114"/>
  </r>
  <r>
    <n v="1000537"/>
    <x v="15"/>
    <x v="5"/>
    <x v="92"/>
    <x v="115"/>
  </r>
  <r>
    <n v="1000537"/>
    <x v="15"/>
    <x v="5"/>
    <x v="93"/>
    <x v="116"/>
  </r>
  <r>
    <n v="1000537"/>
    <x v="15"/>
    <x v="5"/>
    <x v="94"/>
    <x v="117"/>
  </r>
  <r>
    <n v="1000537"/>
    <x v="15"/>
    <x v="5"/>
    <x v="95"/>
    <x v="118"/>
  </r>
  <r>
    <n v="1000537"/>
    <x v="15"/>
    <x v="5"/>
    <x v="96"/>
    <x v="119"/>
  </r>
  <r>
    <n v="1000537"/>
    <x v="15"/>
    <x v="5"/>
    <x v="97"/>
    <x v="120"/>
  </r>
  <r>
    <n v="1000537"/>
    <x v="15"/>
    <x v="5"/>
    <x v="98"/>
    <x v="121"/>
  </r>
  <r>
    <n v="1000537"/>
    <x v="15"/>
    <x v="5"/>
    <x v="99"/>
    <x v="122"/>
  </r>
  <r>
    <n v="1000537"/>
    <x v="15"/>
    <x v="5"/>
    <x v="100"/>
    <x v="123"/>
  </r>
  <r>
    <n v="1000537"/>
    <x v="1"/>
    <x v="1"/>
    <x v="2"/>
    <x v="2"/>
  </r>
  <r>
    <n v="1000553"/>
    <x v="16"/>
    <x v="6"/>
    <x v="101"/>
    <x v="124"/>
  </r>
  <r>
    <n v="1000553"/>
    <x v="16"/>
    <x v="6"/>
    <x v="102"/>
    <x v="125"/>
  </r>
  <r>
    <n v="1000553"/>
    <x v="16"/>
    <x v="6"/>
    <x v="103"/>
    <x v="126"/>
  </r>
  <r>
    <n v="1000553"/>
    <x v="16"/>
    <x v="6"/>
    <x v="104"/>
    <x v="126"/>
  </r>
  <r>
    <n v="1000553"/>
    <x v="16"/>
    <x v="6"/>
    <x v="105"/>
    <x v="127"/>
  </r>
  <r>
    <n v="1000553"/>
    <x v="16"/>
    <x v="6"/>
    <x v="106"/>
    <x v="128"/>
  </r>
  <r>
    <n v="1000553"/>
    <x v="16"/>
    <x v="6"/>
    <x v="107"/>
    <x v="129"/>
  </r>
  <r>
    <n v="1000553"/>
    <x v="1"/>
    <x v="1"/>
    <x v="2"/>
    <x v="2"/>
  </r>
  <r>
    <n v="1000566"/>
    <x v="17"/>
    <x v="7"/>
    <x v="108"/>
    <x v="130"/>
  </r>
  <r>
    <n v="1000566"/>
    <x v="17"/>
    <x v="7"/>
    <x v="109"/>
    <x v="131"/>
  </r>
  <r>
    <n v="1000566"/>
    <x v="1"/>
    <x v="1"/>
    <x v="2"/>
    <x v="2"/>
  </r>
  <r>
    <n v="1000570"/>
    <x v="18"/>
    <x v="5"/>
    <x v="110"/>
    <x v="132"/>
  </r>
  <r>
    <n v="1000570"/>
    <x v="18"/>
    <x v="5"/>
    <x v="111"/>
    <x v="133"/>
  </r>
  <r>
    <n v="1000570"/>
    <x v="18"/>
    <x v="5"/>
    <x v="112"/>
    <x v="134"/>
  </r>
  <r>
    <n v="1000570"/>
    <x v="18"/>
    <x v="5"/>
    <x v="113"/>
    <x v="135"/>
  </r>
  <r>
    <n v="1000570"/>
    <x v="18"/>
    <x v="5"/>
    <x v="114"/>
    <x v="119"/>
  </r>
  <r>
    <n v="1000570"/>
    <x v="18"/>
    <x v="5"/>
    <x v="115"/>
    <x v="136"/>
  </r>
  <r>
    <n v="1000570"/>
    <x v="18"/>
    <x v="5"/>
    <x v="116"/>
    <x v="137"/>
  </r>
  <r>
    <n v="1000570"/>
    <x v="18"/>
    <x v="5"/>
    <x v="117"/>
    <x v="138"/>
  </r>
  <r>
    <n v="1000570"/>
    <x v="18"/>
    <x v="5"/>
    <x v="118"/>
    <x v="139"/>
  </r>
  <r>
    <n v="1000570"/>
    <x v="18"/>
    <x v="5"/>
    <x v="119"/>
    <x v="140"/>
  </r>
  <r>
    <n v="1000570"/>
    <x v="18"/>
    <x v="5"/>
    <x v="120"/>
    <x v="141"/>
  </r>
  <r>
    <n v="1000570"/>
    <x v="18"/>
    <x v="5"/>
    <x v="121"/>
    <x v="142"/>
  </r>
  <r>
    <n v="1000570"/>
    <x v="18"/>
    <x v="5"/>
    <x v="122"/>
    <x v="143"/>
  </r>
  <r>
    <n v="1000570"/>
    <x v="1"/>
    <x v="1"/>
    <x v="2"/>
    <x v="2"/>
  </r>
  <r>
    <n v="1000595"/>
    <x v="19"/>
    <x v="5"/>
    <x v="123"/>
    <x v="2"/>
  </r>
  <r>
    <n v="1000595"/>
    <x v="1"/>
    <x v="1"/>
    <x v="2"/>
    <x v="2"/>
  </r>
  <r>
    <n v="1000601"/>
    <x v="20"/>
    <x v="3"/>
    <x v="124"/>
    <x v="62"/>
  </r>
  <r>
    <n v="1000601"/>
    <x v="20"/>
    <x v="3"/>
    <x v="125"/>
    <x v="144"/>
  </r>
  <r>
    <n v="1000601"/>
    <x v="20"/>
    <x v="3"/>
    <x v="126"/>
    <x v="82"/>
  </r>
  <r>
    <n v="1000601"/>
    <x v="20"/>
    <x v="3"/>
    <x v="127"/>
    <x v="97"/>
  </r>
  <r>
    <n v="1000601"/>
    <x v="20"/>
    <x v="3"/>
    <x v="128"/>
    <x v="92"/>
  </r>
  <r>
    <n v="1000601"/>
    <x v="20"/>
    <x v="3"/>
    <x v="129"/>
    <x v="42"/>
  </r>
  <r>
    <n v="1000601"/>
    <x v="20"/>
    <x v="3"/>
    <x v="130"/>
    <x v="145"/>
  </r>
  <r>
    <n v="1000601"/>
    <x v="20"/>
    <x v="3"/>
    <x v="131"/>
    <x v="34"/>
  </r>
  <r>
    <n v="1000601"/>
    <x v="20"/>
    <x v="3"/>
    <x v="132"/>
    <x v="146"/>
  </r>
  <r>
    <n v="1000601"/>
    <x v="20"/>
    <x v="3"/>
    <x v="133"/>
    <x v="147"/>
  </r>
  <r>
    <n v="1000601"/>
    <x v="20"/>
    <x v="3"/>
    <x v="134"/>
    <x v="148"/>
  </r>
  <r>
    <n v="1000601"/>
    <x v="20"/>
    <x v="3"/>
    <x v="135"/>
    <x v="64"/>
  </r>
  <r>
    <n v="1000601"/>
    <x v="20"/>
    <x v="3"/>
    <x v="136"/>
    <x v="82"/>
  </r>
  <r>
    <n v="1000601"/>
    <x v="20"/>
    <x v="3"/>
    <x v="137"/>
    <x v="79"/>
  </r>
  <r>
    <n v="1000601"/>
    <x v="20"/>
    <x v="3"/>
    <x v="138"/>
    <x v="149"/>
  </r>
  <r>
    <n v="1000601"/>
    <x v="20"/>
    <x v="3"/>
    <x v="139"/>
    <x v="37"/>
  </r>
  <r>
    <n v="1000601"/>
    <x v="20"/>
    <x v="3"/>
    <x v="140"/>
    <x v="150"/>
  </r>
  <r>
    <n v="1000601"/>
    <x v="20"/>
    <x v="3"/>
    <x v="141"/>
    <x v="151"/>
  </r>
  <r>
    <n v="1000601"/>
    <x v="20"/>
    <x v="3"/>
    <x v="142"/>
    <x v="152"/>
  </r>
  <r>
    <n v="1000601"/>
    <x v="20"/>
    <x v="3"/>
    <x v="143"/>
    <x v="91"/>
  </r>
  <r>
    <n v="1000601"/>
    <x v="20"/>
    <x v="3"/>
    <x v="144"/>
    <x v="84"/>
  </r>
  <r>
    <n v="1000601"/>
    <x v="20"/>
    <x v="3"/>
    <x v="145"/>
    <x v="153"/>
  </r>
  <r>
    <n v="1000601"/>
    <x v="20"/>
    <x v="3"/>
    <x v="146"/>
    <x v="78"/>
  </r>
  <r>
    <n v="1000601"/>
    <x v="20"/>
    <x v="3"/>
    <x v="147"/>
    <x v="24"/>
  </r>
  <r>
    <n v="1000601"/>
    <x v="20"/>
    <x v="3"/>
    <x v="148"/>
    <x v="144"/>
  </r>
  <r>
    <n v="1000601"/>
    <x v="20"/>
    <x v="3"/>
    <x v="149"/>
    <x v="154"/>
  </r>
  <r>
    <n v="1000601"/>
    <x v="20"/>
    <x v="3"/>
    <x v="150"/>
    <x v="155"/>
  </r>
  <r>
    <n v="1000601"/>
    <x v="20"/>
    <x v="3"/>
    <x v="151"/>
    <x v="35"/>
  </r>
  <r>
    <n v="1000601"/>
    <x v="20"/>
    <x v="3"/>
    <x v="152"/>
    <x v="156"/>
  </r>
  <r>
    <n v="1000601"/>
    <x v="20"/>
    <x v="3"/>
    <x v="153"/>
    <x v="147"/>
  </r>
  <r>
    <n v="1000601"/>
    <x v="20"/>
    <x v="3"/>
    <x v="154"/>
    <x v="149"/>
  </r>
  <r>
    <n v="1000601"/>
    <x v="20"/>
    <x v="3"/>
    <x v="155"/>
    <x v="157"/>
  </r>
  <r>
    <n v="1000601"/>
    <x v="20"/>
    <x v="3"/>
    <x v="156"/>
    <x v="158"/>
  </r>
  <r>
    <n v="1000601"/>
    <x v="20"/>
    <x v="3"/>
    <x v="157"/>
    <x v="159"/>
  </r>
  <r>
    <n v="1000601"/>
    <x v="20"/>
    <x v="3"/>
    <x v="158"/>
    <x v="160"/>
  </r>
  <r>
    <n v="1000601"/>
    <x v="20"/>
    <x v="3"/>
    <x v="159"/>
    <x v="161"/>
  </r>
  <r>
    <n v="1000601"/>
    <x v="20"/>
    <x v="3"/>
    <x v="160"/>
    <x v="162"/>
  </r>
  <r>
    <n v="1000601"/>
    <x v="20"/>
    <x v="3"/>
    <x v="161"/>
    <x v="163"/>
  </r>
  <r>
    <n v="1000601"/>
    <x v="20"/>
    <x v="3"/>
    <x v="162"/>
    <x v="164"/>
  </r>
  <r>
    <n v="1000601"/>
    <x v="20"/>
    <x v="3"/>
    <x v="163"/>
    <x v="83"/>
  </r>
  <r>
    <n v="1000601"/>
    <x v="1"/>
    <x v="1"/>
    <x v="2"/>
    <x v="2"/>
  </r>
  <r>
    <n v="1000613"/>
    <x v="21"/>
    <x v="2"/>
    <x v="61"/>
    <x v="2"/>
  </r>
  <r>
    <n v="1000613"/>
    <x v="1"/>
    <x v="1"/>
    <x v="2"/>
    <x v="2"/>
  </r>
  <r>
    <n v="1000622"/>
    <x v="22"/>
    <x v="8"/>
    <x v="164"/>
    <x v="165"/>
  </r>
  <r>
    <n v="1000622"/>
    <x v="22"/>
    <x v="8"/>
    <x v="165"/>
    <x v="166"/>
  </r>
  <r>
    <n v="1000622"/>
    <x v="22"/>
    <x v="8"/>
    <x v="166"/>
    <x v="167"/>
  </r>
  <r>
    <n v="1000622"/>
    <x v="1"/>
    <x v="1"/>
    <x v="2"/>
    <x v="2"/>
  </r>
  <r>
    <n v="1000625"/>
    <x v="23"/>
    <x v="6"/>
    <x v="167"/>
    <x v="2"/>
  </r>
  <r>
    <n v="1000625"/>
    <x v="1"/>
    <x v="1"/>
    <x v="2"/>
    <x v="2"/>
  </r>
  <r>
    <n v="1000634"/>
    <x v="24"/>
    <x v="8"/>
    <x v="168"/>
    <x v="64"/>
  </r>
  <r>
    <n v="1000634"/>
    <x v="24"/>
    <x v="8"/>
    <x v="169"/>
    <x v="162"/>
  </r>
  <r>
    <n v="1000634"/>
    <x v="24"/>
    <x v="8"/>
    <x v="170"/>
    <x v="168"/>
  </r>
  <r>
    <n v="1000634"/>
    <x v="24"/>
    <x v="8"/>
    <x v="171"/>
    <x v="146"/>
  </r>
  <r>
    <n v="1000634"/>
    <x v="24"/>
    <x v="8"/>
    <x v="172"/>
    <x v="65"/>
  </r>
  <r>
    <n v="1000634"/>
    <x v="24"/>
    <x v="8"/>
    <x v="165"/>
    <x v="169"/>
  </r>
  <r>
    <n v="1000634"/>
    <x v="24"/>
    <x v="8"/>
    <x v="173"/>
    <x v="170"/>
  </r>
  <r>
    <n v="1000634"/>
    <x v="24"/>
    <x v="8"/>
    <x v="174"/>
    <x v="171"/>
  </r>
  <r>
    <n v="1000634"/>
    <x v="24"/>
    <x v="8"/>
    <x v="175"/>
    <x v="98"/>
  </r>
  <r>
    <n v="1000634"/>
    <x v="24"/>
    <x v="8"/>
    <x v="176"/>
    <x v="172"/>
  </r>
  <r>
    <n v="1000634"/>
    <x v="24"/>
    <x v="8"/>
    <x v="177"/>
    <x v="173"/>
  </r>
  <r>
    <n v="1000634"/>
    <x v="24"/>
    <x v="8"/>
    <x v="166"/>
    <x v="174"/>
  </r>
  <r>
    <n v="1000634"/>
    <x v="24"/>
    <x v="8"/>
    <x v="178"/>
    <x v="4"/>
  </r>
  <r>
    <n v="1000634"/>
    <x v="24"/>
    <x v="8"/>
    <x v="179"/>
    <x v="82"/>
  </r>
  <r>
    <n v="1000634"/>
    <x v="24"/>
    <x v="8"/>
    <x v="180"/>
    <x v="175"/>
  </r>
  <r>
    <n v="1000634"/>
    <x v="24"/>
    <x v="8"/>
    <x v="181"/>
    <x v="57"/>
  </r>
  <r>
    <n v="1000634"/>
    <x v="24"/>
    <x v="8"/>
    <x v="182"/>
    <x v="88"/>
  </r>
  <r>
    <n v="1000634"/>
    <x v="24"/>
    <x v="8"/>
    <x v="183"/>
    <x v="144"/>
  </r>
  <r>
    <n v="1000634"/>
    <x v="24"/>
    <x v="8"/>
    <x v="184"/>
    <x v="176"/>
  </r>
  <r>
    <n v="1000634"/>
    <x v="24"/>
    <x v="8"/>
    <x v="164"/>
    <x v="177"/>
  </r>
  <r>
    <n v="1000634"/>
    <x v="24"/>
    <x v="8"/>
    <x v="185"/>
    <x v="178"/>
  </r>
  <r>
    <n v="1000634"/>
    <x v="24"/>
    <x v="8"/>
    <x v="186"/>
    <x v="179"/>
  </r>
  <r>
    <n v="1000634"/>
    <x v="24"/>
    <x v="8"/>
    <x v="187"/>
    <x v="180"/>
  </r>
  <r>
    <n v="1000634"/>
    <x v="24"/>
    <x v="8"/>
    <x v="188"/>
    <x v="181"/>
  </r>
  <r>
    <n v="1000634"/>
    <x v="24"/>
    <x v="8"/>
    <x v="189"/>
    <x v="182"/>
  </r>
  <r>
    <n v="1000634"/>
    <x v="24"/>
    <x v="8"/>
    <x v="190"/>
    <x v="119"/>
  </r>
  <r>
    <n v="1000634"/>
    <x v="24"/>
    <x v="8"/>
    <x v="191"/>
    <x v="148"/>
  </r>
  <r>
    <n v="1000634"/>
    <x v="24"/>
    <x v="8"/>
    <x v="192"/>
    <x v="64"/>
  </r>
  <r>
    <n v="1000634"/>
    <x v="24"/>
    <x v="8"/>
    <x v="193"/>
    <x v="72"/>
  </r>
  <r>
    <n v="1000634"/>
    <x v="24"/>
    <x v="8"/>
    <x v="194"/>
    <x v="176"/>
  </r>
  <r>
    <n v="1000634"/>
    <x v="24"/>
    <x v="8"/>
    <x v="195"/>
    <x v="163"/>
  </r>
  <r>
    <n v="1000634"/>
    <x v="1"/>
    <x v="1"/>
    <x v="2"/>
    <x v="2"/>
  </r>
  <r>
    <n v="1000652"/>
    <x v="25"/>
    <x v="2"/>
    <x v="78"/>
    <x v="183"/>
  </r>
  <r>
    <n v="1000652"/>
    <x v="25"/>
    <x v="2"/>
    <x v="77"/>
    <x v="184"/>
  </r>
  <r>
    <n v="1000652"/>
    <x v="25"/>
    <x v="2"/>
    <x v="82"/>
    <x v="185"/>
  </r>
  <r>
    <n v="1000652"/>
    <x v="1"/>
    <x v="1"/>
    <x v="2"/>
    <x v="2"/>
  </r>
  <r>
    <n v="1000657"/>
    <x v="26"/>
    <x v="5"/>
    <x v="120"/>
    <x v="186"/>
  </r>
  <r>
    <n v="1000657"/>
    <x v="26"/>
    <x v="5"/>
    <x v="121"/>
    <x v="187"/>
  </r>
  <r>
    <n v="1000657"/>
    <x v="26"/>
    <x v="5"/>
    <x v="117"/>
    <x v="188"/>
  </r>
  <r>
    <n v="1000657"/>
    <x v="1"/>
    <x v="1"/>
    <x v="2"/>
    <x v="2"/>
  </r>
  <r>
    <n v="1000674"/>
    <x v="27"/>
    <x v="5"/>
    <x v="196"/>
    <x v="189"/>
  </r>
  <r>
    <n v="1000674"/>
    <x v="27"/>
    <x v="5"/>
    <x v="197"/>
    <x v="190"/>
  </r>
  <r>
    <n v="1000674"/>
    <x v="27"/>
    <x v="5"/>
    <x v="198"/>
    <x v="191"/>
  </r>
  <r>
    <n v="1000674"/>
    <x v="1"/>
    <x v="1"/>
    <x v="2"/>
    <x v="2"/>
  </r>
  <r>
    <n v="1000680"/>
    <x v="28"/>
    <x v="2"/>
    <x v="199"/>
    <x v="192"/>
  </r>
  <r>
    <n v="1000680"/>
    <x v="28"/>
    <x v="2"/>
    <x v="200"/>
    <x v="193"/>
  </r>
  <r>
    <n v="1000680"/>
    <x v="28"/>
    <x v="2"/>
    <x v="201"/>
    <x v="194"/>
  </r>
  <r>
    <n v="1000680"/>
    <x v="28"/>
    <x v="2"/>
    <x v="202"/>
    <x v="141"/>
  </r>
  <r>
    <n v="1000680"/>
    <x v="28"/>
    <x v="2"/>
    <x v="203"/>
    <x v="195"/>
  </r>
  <r>
    <n v="1000680"/>
    <x v="1"/>
    <x v="1"/>
    <x v="2"/>
    <x v="2"/>
  </r>
  <r>
    <n v="1000697"/>
    <x v="29"/>
    <x v="3"/>
    <x v="204"/>
    <x v="97"/>
  </r>
  <r>
    <n v="1000697"/>
    <x v="29"/>
    <x v="3"/>
    <x v="205"/>
    <x v="77"/>
  </r>
  <r>
    <n v="1000697"/>
    <x v="29"/>
    <x v="3"/>
    <x v="206"/>
    <x v="144"/>
  </r>
  <r>
    <n v="1000697"/>
    <x v="29"/>
    <x v="3"/>
    <x v="207"/>
    <x v="196"/>
  </r>
  <r>
    <n v="1000697"/>
    <x v="29"/>
    <x v="3"/>
    <x v="208"/>
    <x v="197"/>
  </r>
  <r>
    <n v="1000697"/>
    <x v="29"/>
    <x v="3"/>
    <x v="209"/>
    <x v="198"/>
  </r>
  <r>
    <n v="1000697"/>
    <x v="29"/>
    <x v="3"/>
    <x v="210"/>
    <x v="147"/>
  </r>
  <r>
    <n v="1000697"/>
    <x v="29"/>
    <x v="3"/>
    <x v="211"/>
    <x v="153"/>
  </r>
  <r>
    <n v="1000697"/>
    <x v="29"/>
    <x v="3"/>
    <x v="212"/>
    <x v="199"/>
  </r>
  <r>
    <n v="1000697"/>
    <x v="29"/>
    <x v="3"/>
    <x v="213"/>
    <x v="200"/>
  </r>
  <r>
    <n v="1000697"/>
    <x v="29"/>
    <x v="3"/>
    <x v="214"/>
    <x v="77"/>
  </r>
  <r>
    <n v="1000697"/>
    <x v="29"/>
    <x v="3"/>
    <x v="215"/>
    <x v="77"/>
  </r>
  <r>
    <n v="1000697"/>
    <x v="29"/>
    <x v="3"/>
    <x v="216"/>
    <x v="114"/>
  </r>
  <r>
    <n v="1000697"/>
    <x v="29"/>
    <x v="3"/>
    <x v="217"/>
    <x v="201"/>
  </r>
  <r>
    <n v="1000697"/>
    <x v="29"/>
    <x v="3"/>
    <x v="218"/>
    <x v="202"/>
  </r>
  <r>
    <n v="1000697"/>
    <x v="29"/>
    <x v="3"/>
    <x v="219"/>
    <x v="203"/>
  </r>
  <r>
    <n v="1000697"/>
    <x v="29"/>
    <x v="3"/>
    <x v="220"/>
    <x v="105"/>
  </r>
  <r>
    <n v="1000697"/>
    <x v="29"/>
    <x v="3"/>
    <x v="221"/>
    <x v="204"/>
  </r>
  <r>
    <n v="1000697"/>
    <x v="29"/>
    <x v="3"/>
    <x v="222"/>
    <x v="205"/>
  </r>
  <r>
    <n v="1000697"/>
    <x v="29"/>
    <x v="3"/>
    <x v="223"/>
    <x v="3"/>
  </r>
  <r>
    <n v="1000697"/>
    <x v="29"/>
    <x v="3"/>
    <x v="224"/>
    <x v="93"/>
  </r>
  <r>
    <n v="1000697"/>
    <x v="29"/>
    <x v="3"/>
    <x v="225"/>
    <x v="59"/>
  </r>
  <r>
    <n v="1000697"/>
    <x v="29"/>
    <x v="3"/>
    <x v="226"/>
    <x v="206"/>
  </r>
  <r>
    <n v="1000697"/>
    <x v="29"/>
    <x v="3"/>
    <x v="227"/>
    <x v="207"/>
  </r>
  <r>
    <n v="1000697"/>
    <x v="29"/>
    <x v="3"/>
    <x v="228"/>
    <x v="208"/>
  </r>
  <r>
    <n v="1000697"/>
    <x v="29"/>
    <x v="3"/>
    <x v="229"/>
    <x v="209"/>
  </r>
  <r>
    <n v="1000697"/>
    <x v="29"/>
    <x v="3"/>
    <x v="230"/>
    <x v="210"/>
  </r>
  <r>
    <n v="1000697"/>
    <x v="29"/>
    <x v="3"/>
    <x v="231"/>
    <x v="211"/>
  </r>
  <r>
    <n v="1000697"/>
    <x v="29"/>
    <x v="3"/>
    <x v="232"/>
    <x v="212"/>
  </r>
  <r>
    <n v="1000697"/>
    <x v="29"/>
    <x v="3"/>
    <x v="233"/>
    <x v="213"/>
  </r>
  <r>
    <n v="1000697"/>
    <x v="29"/>
    <x v="3"/>
    <x v="234"/>
    <x v="175"/>
  </r>
  <r>
    <n v="1000697"/>
    <x v="29"/>
    <x v="3"/>
    <x v="235"/>
    <x v="214"/>
  </r>
  <r>
    <n v="1000697"/>
    <x v="29"/>
    <x v="3"/>
    <x v="236"/>
    <x v="173"/>
  </r>
  <r>
    <n v="1000697"/>
    <x v="29"/>
    <x v="3"/>
    <x v="237"/>
    <x v="215"/>
  </r>
  <r>
    <n v="1000697"/>
    <x v="29"/>
    <x v="3"/>
    <x v="238"/>
    <x v="216"/>
  </r>
  <r>
    <n v="1000697"/>
    <x v="29"/>
    <x v="3"/>
    <x v="239"/>
    <x v="119"/>
  </r>
  <r>
    <n v="1000697"/>
    <x v="29"/>
    <x v="3"/>
    <x v="240"/>
    <x v="82"/>
  </r>
  <r>
    <n v="1000697"/>
    <x v="29"/>
    <x v="3"/>
    <x v="241"/>
    <x v="217"/>
  </r>
  <r>
    <n v="1000697"/>
    <x v="29"/>
    <x v="3"/>
    <x v="242"/>
    <x v="85"/>
  </r>
  <r>
    <n v="1000697"/>
    <x v="29"/>
    <x v="3"/>
    <x v="243"/>
    <x v="163"/>
  </r>
  <r>
    <n v="1000697"/>
    <x v="29"/>
    <x v="3"/>
    <x v="244"/>
    <x v="213"/>
  </r>
  <r>
    <n v="1000697"/>
    <x v="29"/>
    <x v="3"/>
    <x v="245"/>
    <x v="218"/>
  </r>
  <r>
    <n v="1000697"/>
    <x v="29"/>
    <x v="3"/>
    <x v="246"/>
    <x v="219"/>
  </r>
  <r>
    <n v="1000697"/>
    <x v="29"/>
    <x v="3"/>
    <x v="247"/>
    <x v="119"/>
  </r>
  <r>
    <n v="1000697"/>
    <x v="29"/>
    <x v="3"/>
    <x v="248"/>
    <x v="161"/>
  </r>
  <r>
    <n v="1000697"/>
    <x v="29"/>
    <x v="3"/>
    <x v="249"/>
    <x v="220"/>
  </r>
  <r>
    <n v="1000697"/>
    <x v="29"/>
    <x v="3"/>
    <x v="250"/>
    <x v="34"/>
  </r>
  <r>
    <n v="1000697"/>
    <x v="29"/>
    <x v="3"/>
    <x v="251"/>
    <x v="176"/>
  </r>
  <r>
    <n v="1000697"/>
    <x v="29"/>
    <x v="3"/>
    <x v="252"/>
    <x v="97"/>
  </r>
  <r>
    <n v="1000697"/>
    <x v="29"/>
    <x v="3"/>
    <x v="253"/>
    <x v="119"/>
  </r>
  <r>
    <n v="1000697"/>
    <x v="29"/>
    <x v="3"/>
    <x v="254"/>
    <x v="221"/>
  </r>
  <r>
    <n v="1000697"/>
    <x v="29"/>
    <x v="3"/>
    <x v="255"/>
    <x v="222"/>
  </r>
  <r>
    <n v="1000697"/>
    <x v="29"/>
    <x v="3"/>
    <x v="256"/>
    <x v="223"/>
  </r>
  <r>
    <n v="1000697"/>
    <x v="29"/>
    <x v="3"/>
    <x v="257"/>
    <x v="224"/>
  </r>
  <r>
    <n v="1000697"/>
    <x v="29"/>
    <x v="3"/>
    <x v="258"/>
    <x v="77"/>
  </r>
  <r>
    <n v="1000697"/>
    <x v="29"/>
    <x v="3"/>
    <x v="259"/>
    <x v="197"/>
  </r>
  <r>
    <n v="1000697"/>
    <x v="29"/>
    <x v="3"/>
    <x v="260"/>
    <x v="225"/>
  </r>
  <r>
    <n v="1000697"/>
    <x v="29"/>
    <x v="3"/>
    <x v="261"/>
    <x v="92"/>
  </r>
  <r>
    <n v="1000697"/>
    <x v="29"/>
    <x v="3"/>
    <x v="262"/>
    <x v="164"/>
  </r>
  <r>
    <n v="1000697"/>
    <x v="29"/>
    <x v="3"/>
    <x v="263"/>
    <x v="226"/>
  </r>
  <r>
    <n v="1000697"/>
    <x v="29"/>
    <x v="3"/>
    <x v="264"/>
    <x v="153"/>
  </r>
  <r>
    <n v="1000697"/>
    <x v="29"/>
    <x v="3"/>
    <x v="265"/>
    <x v="176"/>
  </r>
  <r>
    <n v="1000697"/>
    <x v="1"/>
    <x v="1"/>
    <x v="2"/>
    <x v="2"/>
  </r>
  <r>
    <n v="1000710"/>
    <x v="30"/>
    <x v="2"/>
    <x v="79"/>
    <x v="227"/>
  </r>
  <r>
    <n v="1000710"/>
    <x v="30"/>
    <x v="2"/>
    <x v="56"/>
    <x v="228"/>
  </r>
  <r>
    <n v="1000710"/>
    <x v="30"/>
    <x v="2"/>
    <x v="60"/>
    <x v="229"/>
  </r>
  <r>
    <n v="1000710"/>
    <x v="30"/>
    <x v="2"/>
    <x v="68"/>
    <x v="230"/>
  </r>
  <r>
    <n v="1000710"/>
    <x v="30"/>
    <x v="2"/>
    <x v="66"/>
    <x v="231"/>
  </r>
  <r>
    <n v="1000710"/>
    <x v="30"/>
    <x v="2"/>
    <x v="65"/>
    <x v="98"/>
  </r>
  <r>
    <n v="1000710"/>
    <x v="30"/>
    <x v="2"/>
    <x v="84"/>
    <x v="232"/>
  </r>
  <r>
    <n v="1000710"/>
    <x v="30"/>
    <x v="2"/>
    <x v="58"/>
    <x v="233"/>
  </r>
  <r>
    <n v="1000710"/>
    <x v="30"/>
    <x v="2"/>
    <x v="70"/>
    <x v="197"/>
  </r>
  <r>
    <n v="1000710"/>
    <x v="30"/>
    <x v="2"/>
    <x v="62"/>
    <x v="153"/>
  </r>
  <r>
    <n v="1000710"/>
    <x v="30"/>
    <x v="2"/>
    <x v="74"/>
    <x v="51"/>
  </r>
  <r>
    <n v="1000710"/>
    <x v="30"/>
    <x v="2"/>
    <x v="61"/>
    <x v="234"/>
  </r>
  <r>
    <n v="1000710"/>
    <x v="30"/>
    <x v="2"/>
    <x v="71"/>
    <x v="111"/>
  </r>
  <r>
    <n v="1000710"/>
    <x v="30"/>
    <x v="2"/>
    <x v="75"/>
    <x v="173"/>
  </r>
  <r>
    <n v="1000710"/>
    <x v="30"/>
    <x v="2"/>
    <x v="78"/>
    <x v="235"/>
  </r>
  <r>
    <n v="1000710"/>
    <x v="30"/>
    <x v="2"/>
    <x v="77"/>
    <x v="236"/>
  </r>
  <r>
    <n v="1000710"/>
    <x v="30"/>
    <x v="2"/>
    <x v="82"/>
    <x v="162"/>
  </r>
  <r>
    <n v="1000710"/>
    <x v="30"/>
    <x v="2"/>
    <x v="76"/>
    <x v="231"/>
  </r>
  <r>
    <n v="1000710"/>
    <x v="30"/>
    <x v="2"/>
    <x v="63"/>
    <x v="97"/>
  </r>
  <r>
    <n v="1000710"/>
    <x v="1"/>
    <x v="1"/>
    <x v="2"/>
    <x v="2"/>
  </r>
  <r>
    <n v="1000714"/>
    <x v="31"/>
    <x v="2"/>
    <x v="76"/>
    <x v="231"/>
  </r>
  <r>
    <n v="1000714"/>
    <x v="31"/>
    <x v="2"/>
    <x v="58"/>
    <x v="233"/>
  </r>
  <r>
    <n v="1000714"/>
    <x v="31"/>
    <x v="2"/>
    <x v="63"/>
    <x v="97"/>
  </r>
  <r>
    <n v="1000714"/>
    <x v="31"/>
    <x v="2"/>
    <x v="74"/>
    <x v="51"/>
  </r>
  <r>
    <n v="1000714"/>
    <x v="31"/>
    <x v="2"/>
    <x v="60"/>
    <x v="229"/>
  </r>
  <r>
    <n v="1000714"/>
    <x v="31"/>
    <x v="2"/>
    <x v="66"/>
    <x v="231"/>
  </r>
  <r>
    <n v="1000714"/>
    <x v="31"/>
    <x v="2"/>
    <x v="77"/>
    <x v="236"/>
  </r>
  <r>
    <n v="1000714"/>
    <x v="31"/>
    <x v="2"/>
    <x v="68"/>
    <x v="230"/>
  </r>
  <r>
    <n v="1000714"/>
    <x v="31"/>
    <x v="2"/>
    <x v="56"/>
    <x v="228"/>
  </r>
  <r>
    <n v="1000714"/>
    <x v="31"/>
    <x v="2"/>
    <x v="65"/>
    <x v="98"/>
  </r>
  <r>
    <n v="1000714"/>
    <x v="31"/>
    <x v="2"/>
    <x v="75"/>
    <x v="173"/>
  </r>
  <r>
    <n v="1000714"/>
    <x v="31"/>
    <x v="2"/>
    <x v="62"/>
    <x v="153"/>
  </r>
  <r>
    <n v="1000714"/>
    <x v="31"/>
    <x v="2"/>
    <x v="70"/>
    <x v="197"/>
  </r>
  <r>
    <n v="1000714"/>
    <x v="31"/>
    <x v="2"/>
    <x v="79"/>
    <x v="227"/>
  </r>
  <r>
    <n v="1000714"/>
    <x v="31"/>
    <x v="2"/>
    <x v="82"/>
    <x v="162"/>
  </r>
  <r>
    <n v="1000714"/>
    <x v="31"/>
    <x v="2"/>
    <x v="78"/>
    <x v="235"/>
  </r>
  <r>
    <n v="1000714"/>
    <x v="31"/>
    <x v="2"/>
    <x v="84"/>
    <x v="232"/>
  </r>
  <r>
    <n v="1000714"/>
    <x v="31"/>
    <x v="2"/>
    <x v="61"/>
    <x v="234"/>
  </r>
  <r>
    <n v="1000714"/>
    <x v="31"/>
    <x v="2"/>
    <x v="71"/>
    <x v="111"/>
  </r>
  <r>
    <n v="1000714"/>
    <x v="1"/>
    <x v="1"/>
    <x v="2"/>
    <x v="2"/>
  </r>
  <r>
    <n v="1000717"/>
    <x v="32"/>
    <x v="2"/>
    <x v="78"/>
    <x v="237"/>
  </r>
  <r>
    <n v="1000717"/>
    <x v="32"/>
    <x v="2"/>
    <x v="82"/>
    <x v="238"/>
  </r>
  <r>
    <n v="1000717"/>
    <x v="1"/>
    <x v="1"/>
    <x v="2"/>
    <x v="2"/>
  </r>
  <r>
    <n v="1000733"/>
    <x v="33"/>
    <x v="5"/>
    <x v="266"/>
    <x v="239"/>
  </r>
  <r>
    <n v="1000733"/>
    <x v="33"/>
    <x v="5"/>
    <x v="267"/>
    <x v="3"/>
  </r>
  <r>
    <n v="1000733"/>
    <x v="33"/>
    <x v="5"/>
    <x v="268"/>
    <x v="240"/>
  </r>
  <r>
    <n v="1000733"/>
    <x v="33"/>
    <x v="5"/>
    <x v="269"/>
    <x v="241"/>
  </r>
  <r>
    <n v="1000733"/>
    <x v="33"/>
    <x v="5"/>
    <x v="270"/>
    <x v="242"/>
  </r>
  <r>
    <n v="1000733"/>
    <x v="33"/>
    <x v="5"/>
    <x v="271"/>
    <x v="243"/>
  </r>
  <r>
    <n v="1000733"/>
    <x v="1"/>
    <x v="1"/>
    <x v="2"/>
    <x v="2"/>
  </r>
  <r>
    <n v="1000746"/>
    <x v="34"/>
    <x v="9"/>
    <x v="272"/>
    <x v="2"/>
  </r>
  <r>
    <n v="1000746"/>
    <x v="1"/>
    <x v="1"/>
    <x v="2"/>
    <x v="2"/>
  </r>
  <r>
    <n v="1000755"/>
    <x v="35"/>
    <x v="5"/>
    <x v="273"/>
    <x v="244"/>
  </r>
  <r>
    <n v="1000755"/>
    <x v="35"/>
    <x v="5"/>
    <x v="274"/>
    <x v="245"/>
  </r>
  <r>
    <n v="1000755"/>
    <x v="35"/>
    <x v="5"/>
    <x v="275"/>
    <x v="246"/>
  </r>
  <r>
    <n v="1000755"/>
    <x v="1"/>
    <x v="1"/>
    <x v="2"/>
    <x v="2"/>
  </r>
  <r>
    <n v="1000760"/>
    <x v="36"/>
    <x v="6"/>
    <x v="167"/>
    <x v="2"/>
  </r>
  <r>
    <n v="1000760"/>
    <x v="1"/>
    <x v="1"/>
    <x v="2"/>
    <x v="2"/>
  </r>
  <r>
    <n v="1000766"/>
    <x v="37"/>
    <x v="2"/>
    <x v="276"/>
    <x v="2"/>
  </r>
  <r>
    <n v="1000766"/>
    <x v="1"/>
    <x v="1"/>
    <x v="2"/>
    <x v="2"/>
  </r>
  <r>
    <n v="1001608"/>
    <x v="38"/>
    <x v="6"/>
    <x v="277"/>
    <x v="2"/>
  </r>
  <r>
    <n v="1001608"/>
    <x v="1"/>
    <x v="1"/>
    <x v="2"/>
    <x v="2"/>
  </r>
  <r>
    <n v="1002021"/>
    <x v="39"/>
    <x v="5"/>
    <x v="267"/>
    <x v="3"/>
  </r>
  <r>
    <n v="1002021"/>
    <x v="39"/>
    <x v="5"/>
    <x v="198"/>
    <x v="247"/>
  </r>
  <r>
    <n v="1002021"/>
    <x v="39"/>
    <x v="5"/>
    <x v="278"/>
    <x v="248"/>
  </r>
  <r>
    <n v="1002021"/>
    <x v="39"/>
    <x v="5"/>
    <x v="196"/>
    <x v="249"/>
  </r>
  <r>
    <n v="1002021"/>
    <x v="39"/>
    <x v="5"/>
    <x v="279"/>
    <x v="234"/>
  </r>
  <r>
    <n v="1002021"/>
    <x v="39"/>
    <x v="5"/>
    <x v="280"/>
    <x v="145"/>
  </r>
  <r>
    <n v="1002021"/>
    <x v="39"/>
    <x v="5"/>
    <x v="281"/>
    <x v="250"/>
  </r>
  <r>
    <n v="1002021"/>
    <x v="39"/>
    <x v="5"/>
    <x v="282"/>
    <x v="251"/>
  </r>
  <r>
    <n v="1002021"/>
    <x v="39"/>
    <x v="5"/>
    <x v="283"/>
    <x v="252"/>
  </r>
  <r>
    <n v="1002021"/>
    <x v="39"/>
    <x v="5"/>
    <x v="269"/>
    <x v="253"/>
  </r>
  <r>
    <n v="1002021"/>
    <x v="39"/>
    <x v="5"/>
    <x v="271"/>
    <x v="254"/>
  </r>
  <r>
    <n v="1002021"/>
    <x v="39"/>
    <x v="5"/>
    <x v="270"/>
    <x v="48"/>
  </r>
  <r>
    <n v="1002021"/>
    <x v="39"/>
    <x v="5"/>
    <x v="284"/>
    <x v="255"/>
  </r>
  <r>
    <n v="1002021"/>
    <x v="39"/>
    <x v="5"/>
    <x v="197"/>
    <x v="256"/>
  </r>
  <r>
    <n v="1002021"/>
    <x v="39"/>
    <x v="5"/>
    <x v="285"/>
    <x v="148"/>
  </r>
  <r>
    <n v="1002021"/>
    <x v="39"/>
    <x v="5"/>
    <x v="286"/>
    <x v="257"/>
  </r>
  <r>
    <n v="1002021"/>
    <x v="39"/>
    <x v="5"/>
    <x v="266"/>
    <x v="177"/>
  </r>
  <r>
    <n v="1002021"/>
    <x v="39"/>
    <x v="5"/>
    <x v="268"/>
    <x v="258"/>
  </r>
  <r>
    <n v="1002021"/>
    <x v="1"/>
    <x v="1"/>
    <x v="2"/>
    <x v="2"/>
  </r>
  <r>
    <n v="1002859"/>
    <x v="40"/>
    <x v="6"/>
    <x v="287"/>
    <x v="259"/>
  </r>
  <r>
    <n v="1002859"/>
    <x v="40"/>
    <x v="6"/>
    <x v="288"/>
    <x v="260"/>
  </r>
  <r>
    <n v="1002859"/>
    <x v="40"/>
    <x v="6"/>
    <x v="289"/>
    <x v="261"/>
  </r>
  <r>
    <n v="1002859"/>
    <x v="1"/>
    <x v="1"/>
    <x v="2"/>
    <x v="2"/>
  </r>
  <r>
    <n v="1005427"/>
    <x v="41"/>
    <x v="0"/>
    <x v="36"/>
    <x v="262"/>
  </r>
  <r>
    <n v="1005427"/>
    <x v="41"/>
    <x v="0"/>
    <x v="26"/>
    <x v="263"/>
  </r>
  <r>
    <n v="1005427"/>
    <x v="41"/>
    <x v="0"/>
    <x v="35"/>
    <x v="191"/>
  </r>
  <r>
    <n v="1005427"/>
    <x v="41"/>
    <x v="0"/>
    <x v="43"/>
    <x v="264"/>
  </r>
  <r>
    <n v="1005427"/>
    <x v="41"/>
    <x v="0"/>
    <x v="27"/>
    <x v="265"/>
  </r>
  <r>
    <n v="1005427"/>
    <x v="1"/>
    <x v="1"/>
    <x v="2"/>
    <x v="2"/>
  </r>
  <r>
    <n v="1005434"/>
    <x v="42"/>
    <x v="6"/>
    <x v="290"/>
    <x v="266"/>
  </r>
  <r>
    <n v="1005434"/>
    <x v="42"/>
    <x v="6"/>
    <x v="291"/>
    <x v="5"/>
  </r>
  <r>
    <n v="1005434"/>
    <x v="42"/>
    <x v="6"/>
    <x v="292"/>
    <x v="267"/>
  </r>
  <r>
    <n v="1005434"/>
    <x v="42"/>
    <x v="6"/>
    <x v="293"/>
    <x v="268"/>
  </r>
  <r>
    <n v="1005434"/>
    <x v="42"/>
    <x v="6"/>
    <x v="294"/>
    <x v="269"/>
  </r>
  <r>
    <n v="1005434"/>
    <x v="42"/>
    <x v="6"/>
    <x v="295"/>
    <x v="270"/>
  </r>
  <r>
    <n v="1005434"/>
    <x v="42"/>
    <x v="6"/>
    <x v="296"/>
    <x v="271"/>
  </r>
  <r>
    <n v="1005434"/>
    <x v="42"/>
    <x v="6"/>
    <x v="297"/>
    <x v="30"/>
  </r>
  <r>
    <n v="1005434"/>
    <x v="42"/>
    <x v="6"/>
    <x v="298"/>
    <x v="272"/>
  </r>
  <r>
    <n v="1005434"/>
    <x v="1"/>
    <x v="1"/>
    <x v="2"/>
    <x v="2"/>
  </r>
  <r>
    <n v="1010014"/>
    <x v="43"/>
    <x v="3"/>
    <x v="244"/>
    <x v="213"/>
  </r>
  <r>
    <n v="1010014"/>
    <x v="43"/>
    <x v="3"/>
    <x v="243"/>
    <x v="163"/>
  </r>
  <r>
    <n v="1010014"/>
    <x v="43"/>
    <x v="3"/>
    <x v="248"/>
    <x v="161"/>
  </r>
  <r>
    <n v="1010014"/>
    <x v="43"/>
    <x v="3"/>
    <x v="217"/>
    <x v="201"/>
  </r>
  <r>
    <n v="1010014"/>
    <x v="43"/>
    <x v="3"/>
    <x v="218"/>
    <x v="202"/>
  </r>
  <r>
    <n v="1010014"/>
    <x v="43"/>
    <x v="3"/>
    <x v="220"/>
    <x v="105"/>
  </r>
  <r>
    <n v="1010014"/>
    <x v="43"/>
    <x v="3"/>
    <x v="247"/>
    <x v="119"/>
  </r>
  <r>
    <n v="1010014"/>
    <x v="43"/>
    <x v="3"/>
    <x v="219"/>
    <x v="203"/>
  </r>
  <r>
    <n v="1010014"/>
    <x v="43"/>
    <x v="3"/>
    <x v="221"/>
    <x v="204"/>
  </r>
  <r>
    <n v="1010014"/>
    <x v="43"/>
    <x v="3"/>
    <x v="251"/>
    <x v="176"/>
  </r>
  <r>
    <n v="1010014"/>
    <x v="43"/>
    <x v="3"/>
    <x v="253"/>
    <x v="119"/>
  </r>
  <r>
    <n v="1010014"/>
    <x v="43"/>
    <x v="3"/>
    <x v="255"/>
    <x v="222"/>
  </r>
  <r>
    <n v="1010014"/>
    <x v="43"/>
    <x v="3"/>
    <x v="256"/>
    <x v="223"/>
  </r>
  <r>
    <n v="1010014"/>
    <x v="43"/>
    <x v="3"/>
    <x v="257"/>
    <x v="224"/>
  </r>
  <r>
    <n v="1010014"/>
    <x v="43"/>
    <x v="3"/>
    <x v="258"/>
    <x v="77"/>
  </r>
  <r>
    <n v="1010014"/>
    <x v="43"/>
    <x v="3"/>
    <x v="259"/>
    <x v="197"/>
  </r>
  <r>
    <n v="1010014"/>
    <x v="43"/>
    <x v="3"/>
    <x v="260"/>
    <x v="225"/>
  </r>
  <r>
    <n v="1010014"/>
    <x v="43"/>
    <x v="3"/>
    <x v="261"/>
    <x v="92"/>
  </r>
  <r>
    <n v="1010014"/>
    <x v="43"/>
    <x v="3"/>
    <x v="262"/>
    <x v="164"/>
  </r>
  <r>
    <n v="1010014"/>
    <x v="43"/>
    <x v="3"/>
    <x v="263"/>
    <x v="226"/>
  </r>
  <r>
    <n v="1010014"/>
    <x v="43"/>
    <x v="3"/>
    <x v="264"/>
    <x v="153"/>
  </r>
  <r>
    <n v="1010014"/>
    <x v="43"/>
    <x v="3"/>
    <x v="265"/>
    <x v="176"/>
  </r>
  <r>
    <n v="1010014"/>
    <x v="43"/>
    <x v="3"/>
    <x v="204"/>
    <x v="97"/>
  </r>
  <r>
    <n v="1010014"/>
    <x v="43"/>
    <x v="3"/>
    <x v="205"/>
    <x v="77"/>
  </r>
  <r>
    <n v="1010014"/>
    <x v="43"/>
    <x v="3"/>
    <x v="206"/>
    <x v="144"/>
  </r>
  <r>
    <n v="1010014"/>
    <x v="43"/>
    <x v="3"/>
    <x v="207"/>
    <x v="196"/>
  </r>
  <r>
    <n v="1010014"/>
    <x v="43"/>
    <x v="3"/>
    <x v="208"/>
    <x v="197"/>
  </r>
  <r>
    <n v="1010014"/>
    <x v="43"/>
    <x v="3"/>
    <x v="250"/>
    <x v="34"/>
  </r>
  <r>
    <n v="1010014"/>
    <x v="43"/>
    <x v="3"/>
    <x v="209"/>
    <x v="198"/>
  </r>
  <r>
    <n v="1010014"/>
    <x v="43"/>
    <x v="3"/>
    <x v="210"/>
    <x v="147"/>
  </r>
  <r>
    <n v="1010014"/>
    <x v="43"/>
    <x v="3"/>
    <x v="211"/>
    <x v="153"/>
  </r>
  <r>
    <n v="1010014"/>
    <x v="43"/>
    <x v="3"/>
    <x v="212"/>
    <x v="199"/>
  </r>
  <r>
    <n v="1010014"/>
    <x v="43"/>
    <x v="3"/>
    <x v="213"/>
    <x v="200"/>
  </r>
  <r>
    <n v="1010014"/>
    <x v="43"/>
    <x v="3"/>
    <x v="214"/>
    <x v="77"/>
  </r>
  <r>
    <n v="1010014"/>
    <x v="43"/>
    <x v="3"/>
    <x v="215"/>
    <x v="77"/>
  </r>
  <r>
    <n v="1010014"/>
    <x v="43"/>
    <x v="3"/>
    <x v="216"/>
    <x v="114"/>
  </r>
  <r>
    <n v="1010014"/>
    <x v="43"/>
    <x v="3"/>
    <x v="222"/>
    <x v="205"/>
  </r>
  <r>
    <n v="1010014"/>
    <x v="43"/>
    <x v="3"/>
    <x v="223"/>
    <x v="3"/>
  </r>
  <r>
    <n v="1010014"/>
    <x v="43"/>
    <x v="3"/>
    <x v="224"/>
    <x v="93"/>
  </r>
  <r>
    <n v="1010014"/>
    <x v="43"/>
    <x v="3"/>
    <x v="225"/>
    <x v="59"/>
  </r>
  <r>
    <n v="1010014"/>
    <x v="43"/>
    <x v="3"/>
    <x v="226"/>
    <x v="206"/>
  </r>
  <r>
    <n v="1010014"/>
    <x v="43"/>
    <x v="3"/>
    <x v="227"/>
    <x v="207"/>
  </r>
  <r>
    <n v="1010014"/>
    <x v="43"/>
    <x v="3"/>
    <x v="228"/>
    <x v="208"/>
  </r>
  <r>
    <n v="1010014"/>
    <x v="43"/>
    <x v="3"/>
    <x v="229"/>
    <x v="209"/>
  </r>
  <r>
    <n v="1010014"/>
    <x v="43"/>
    <x v="3"/>
    <x v="230"/>
    <x v="210"/>
  </r>
  <r>
    <n v="1010014"/>
    <x v="43"/>
    <x v="3"/>
    <x v="231"/>
    <x v="211"/>
  </r>
  <r>
    <n v="1010014"/>
    <x v="43"/>
    <x v="3"/>
    <x v="232"/>
    <x v="212"/>
  </r>
  <r>
    <n v="1010014"/>
    <x v="43"/>
    <x v="3"/>
    <x v="254"/>
    <x v="221"/>
  </r>
  <r>
    <n v="1010014"/>
    <x v="43"/>
    <x v="3"/>
    <x v="249"/>
    <x v="220"/>
  </r>
  <r>
    <n v="1010014"/>
    <x v="43"/>
    <x v="3"/>
    <x v="252"/>
    <x v="97"/>
  </r>
  <r>
    <n v="1010014"/>
    <x v="43"/>
    <x v="3"/>
    <x v="233"/>
    <x v="213"/>
  </r>
  <r>
    <n v="1010014"/>
    <x v="43"/>
    <x v="3"/>
    <x v="234"/>
    <x v="175"/>
  </r>
  <r>
    <n v="1010014"/>
    <x v="43"/>
    <x v="3"/>
    <x v="235"/>
    <x v="214"/>
  </r>
  <r>
    <n v="1010014"/>
    <x v="43"/>
    <x v="3"/>
    <x v="236"/>
    <x v="173"/>
  </r>
  <r>
    <n v="1010014"/>
    <x v="43"/>
    <x v="3"/>
    <x v="237"/>
    <x v="215"/>
  </r>
  <r>
    <n v="1010014"/>
    <x v="43"/>
    <x v="3"/>
    <x v="238"/>
    <x v="216"/>
  </r>
  <r>
    <n v="1010014"/>
    <x v="43"/>
    <x v="3"/>
    <x v="239"/>
    <x v="119"/>
  </r>
  <r>
    <n v="1010014"/>
    <x v="43"/>
    <x v="3"/>
    <x v="240"/>
    <x v="82"/>
  </r>
  <r>
    <n v="1010014"/>
    <x v="43"/>
    <x v="3"/>
    <x v="245"/>
    <x v="218"/>
  </r>
  <r>
    <n v="1010014"/>
    <x v="43"/>
    <x v="3"/>
    <x v="241"/>
    <x v="217"/>
  </r>
  <r>
    <n v="1010014"/>
    <x v="43"/>
    <x v="3"/>
    <x v="242"/>
    <x v="85"/>
  </r>
  <r>
    <n v="1010014"/>
    <x v="43"/>
    <x v="3"/>
    <x v="246"/>
    <x v="219"/>
  </r>
  <r>
    <n v="1010014"/>
    <x v="1"/>
    <x v="1"/>
    <x v="2"/>
    <x v="2"/>
  </r>
  <r>
    <n v="1010015"/>
    <x v="44"/>
    <x v="3"/>
    <x v="236"/>
    <x v="173"/>
  </r>
  <r>
    <n v="1010015"/>
    <x v="44"/>
    <x v="3"/>
    <x v="222"/>
    <x v="205"/>
  </r>
  <r>
    <n v="1010015"/>
    <x v="44"/>
    <x v="3"/>
    <x v="223"/>
    <x v="3"/>
  </r>
  <r>
    <n v="1010015"/>
    <x v="44"/>
    <x v="3"/>
    <x v="224"/>
    <x v="93"/>
  </r>
  <r>
    <n v="1010015"/>
    <x v="44"/>
    <x v="3"/>
    <x v="240"/>
    <x v="82"/>
  </r>
  <r>
    <n v="1010015"/>
    <x v="44"/>
    <x v="3"/>
    <x v="245"/>
    <x v="218"/>
  </r>
  <r>
    <n v="1010015"/>
    <x v="44"/>
    <x v="3"/>
    <x v="251"/>
    <x v="176"/>
  </r>
  <r>
    <n v="1010015"/>
    <x v="44"/>
    <x v="3"/>
    <x v="253"/>
    <x v="119"/>
  </r>
  <r>
    <n v="1010015"/>
    <x v="44"/>
    <x v="3"/>
    <x v="255"/>
    <x v="222"/>
  </r>
  <r>
    <n v="1010015"/>
    <x v="44"/>
    <x v="3"/>
    <x v="259"/>
    <x v="197"/>
  </r>
  <r>
    <n v="1010015"/>
    <x v="44"/>
    <x v="3"/>
    <x v="249"/>
    <x v="220"/>
  </r>
  <r>
    <n v="1010015"/>
    <x v="44"/>
    <x v="3"/>
    <x v="262"/>
    <x v="164"/>
  </r>
  <r>
    <n v="1010015"/>
    <x v="44"/>
    <x v="3"/>
    <x v="264"/>
    <x v="153"/>
  </r>
  <r>
    <n v="1010015"/>
    <x v="44"/>
    <x v="3"/>
    <x v="206"/>
    <x v="144"/>
  </r>
  <r>
    <n v="1010015"/>
    <x v="44"/>
    <x v="3"/>
    <x v="250"/>
    <x v="34"/>
  </r>
  <r>
    <n v="1010015"/>
    <x v="44"/>
    <x v="3"/>
    <x v="209"/>
    <x v="198"/>
  </r>
  <r>
    <n v="1010015"/>
    <x v="44"/>
    <x v="3"/>
    <x v="211"/>
    <x v="153"/>
  </r>
  <r>
    <n v="1010015"/>
    <x v="44"/>
    <x v="3"/>
    <x v="215"/>
    <x v="77"/>
  </r>
  <r>
    <n v="1010015"/>
    <x v="44"/>
    <x v="3"/>
    <x v="254"/>
    <x v="221"/>
  </r>
  <r>
    <n v="1010015"/>
    <x v="44"/>
    <x v="3"/>
    <x v="256"/>
    <x v="223"/>
  </r>
  <r>
    <n v="1010015"/>
    <x v="44"/>
    <x v="3"/>
    <x v="257"/>
    <x v="224"/>
  </r>
  <r>
    <n v="1010015"/>
    <x v="44"/>
    <x v="3"/>
    <x v="258"/>
    <x v="77"/>
  </r>
  <r>
    <n v="1010015"/>
    <x v="44"/>
    <x v="3"/>
    <x v="260"/>
    <x v="225"/>
  </r>
  <r>
    <n v="1010015"/>
    <x v="44"/>
    <x v="3"/>
    <x v="261"/>
    <x v="92"/>
  </r>
  <r>
    <n v="1010015"/>
    <x v="44"/>
    <x v="3"/>
    <x v="263"/>
    <x v="226"/>
  </r>
  <r>
    <n v="1010015"/>
    <x v="44"/>
    <x v="3"/>
    <x v="265"/>
    <x v="176"/>
  </r>
  <r>
    <n v="1010015"/>
    <x v="44"/>
    <x v="3"/>
    <x v="204"/>
    <x v="97"/>
  </r>
  <r>
    <n v="1010015"/>
    <x v="44"/>
    <x v="3"/>
    <x v="205"/>
    <x v="77"/>
  </r>
  <r>
    <n v="1010015"/>
    <x v="44"/>
    <x v="3"/>
    <x v="207"/>
    <x v="196"/>
  </r>
  <r>
    <n v="1010015"/>
    <x v="44"/>
    <x v="3"/>
    <x v="208"/>
    <x v="197"/>
  </r>
  <r>
    <n v="1010015"/>
    <x v="44"/>
    <x v="3"/>
    <x v="210"/>
    <x v="147"/>
  </r>
  <r>
    <n v="1010015"/>
    <x v="44"/>
    <x v="3"/>
    <x v="212"/>
    <x v="199"/>
  </r>
  <r>
    <n v="1010015"/>
    <x v="44"/>
    <x v="3"/>
    <x v="213"/>
    <x v="200"/>
  </r>
  <r>
    <n v="1010015"/>
    <x v="44"/>
    <x v="3"/>
    <x v="214"/>
    <x v="77"/>
  </r>
  <r>
    <n v="1010015"/>
    <x v="44"/>
    <x v="3"/>
    <x v="216"/>
    <x v="114"/>
  </r>
  <r>
    <n v="1010015"/>
    <x v="44"/>
    <x v="3"/>
    <x v="252"/>
    <x v="97"/>
  </r>
  <r>
    <n v="1010015"/>
    <x v="44"/>
    <x v="3"/>
    <x v="239"/>
    <x v="119"/>
  </r>
  <r>
    <n v="1010015"/>
    <x v="44"/>
    <x v="3"/>
    <x v="246"/>
    <x v="219"/>
  </r>
  <r>
    <n v="1010015"/>
    <x v="44"/>
    <x v="3"/>
    <x v="247"/>
    <x v="119"/>
  </r>
  <r>
    <n v="1010015"/>
    <x v="44"/>
    <x v="3"/>
    <x v="248"/>
    <x v="161"/>
  </r>
  <r>
    <n v="1010015"/>
    <x v="44"/>
    <x v="3"/>
    <x v="217"/>
    <x v="201"/>
  </r>
  <r>
    <n v="1010015"/>
    <x v="44"/>
    <x v="3"/>
    <x v="218"/>
    <x v="202"/>
  </r>
  <r>
    <n v="1010015"/>
    <x v="44"/>
    <x v="3"/>
    <x v="241"/>
    <x v="217"/>
  </r>
  <r>
    <n v="1010015"/>
    <x v="44"/>
    <x v="3"/>
    <x v="242"/>
    <x v="85"/>
  </r>
  <r>
    <n v="1010015"/>
    <x v="44"/>
    <x v="3"/>
    <x v="243"/>
    <x v="163"/>
  </r>
  <r>
    <n v="1010015"/>
    <x v="44"/>
    <x v="3"/>
    <x v="219"/>
    <x v="203"/>
  </r>
  <r>
    <n v="1010015"/>
    <x v="44"/>
    <x v="3"/>
    <x v="244"/>
    <x v="213"/>
  </r>
  <r>
    <n v="1010015"/>
    <x v="44"/>
    <x v="3"/>
    <x v="220"/>
    <x v="105"/>
  </r>
  <r>
    <n v="1010015"/>
    <x v="44"/>
    <x v="3"/>
    <x v="221"/>
    <x v="204"/>
  </r>
  <r>
    <n v="1010015"/>
    <x v="44"/>
    <x v="3"/>
    <x v="225"/>
    <x v="59"/>
  </r>
  <r>
    <n v="1010015"/>
    <x v="44"/>
    <x v="3"/>
    <x v="226"/>
    <x v="206"/>
  </r>
  <r>
    <n v="1010015"/>
    <x v="44"/>
    <x v="3"/>
    <x v="227"/>
    <x v="207"/>
  </r>
  <r>
    <n v="1010015"/>
    <x v="44"/>
    <x v="3"/>
    <x v="228"/>
    <x v="208"/>
  </r>
  <r>
    <n v="1010015"/>
    <x v="44"/>
    <x v="3"/>
    <x v="237"/>
    <x v="215"/>
  </r>
  <r>
    <n v="1010015"/>
    <x v="44"/>
    <x v="3"/>
    <x v="229"/>
    <x v="209"/>
  </r>
  <r>
    <n v="1010015"/>
    <x v="44"/>
    <x v="3"/>
    <x v="230"/>
    <x v="210"/>
  </r>
  <r>
    <n v="1010015"/>
    <x v="44"/>
    <x v="3"/>
    <x v="231"/>
    <x v="211"/>
  </r>
  <r>
    <n v="1010015"/>
    <x v="44"/>
    <x v="3"/>
    <x v="232"/>
    <x v="212"/>
  </r>
  <r>
    <n v="1010015"/>
    <x v="44"/>
    <x v="3"/>
    <x v="233"/>
    <x v="213"/>
  </r>
  <r>
    <n v="1010015"/>
    <x v="44"/>
    <x v="3"/>
    <x v="238"/>
    <x v="216"/>
  </r>
  <r>
    <n v="1010015"/>
    <x v="44"/>
    <x v="3"/>
    <x v="234"/>
    <x v="175"/>
  </r>
  <r>
    <n v="1010015"/>
    <x v="44"/>
    <x v="3"/>
    <x v="235"/>
    <x v="214"/>
  </r>
  <r>
    <n v="1010015"/>
    <x v="1"/>
    <x v="1"/>
    <x v="2"/>
    <x v="2"/>
  </r>
  <r>
    <n v="1010054"/>
    <x v="45"/>
    <x v="5"/>
    <x v="299"/>
    <x v="2"/>
  </r>
  <r>
    <n v="1010054"/>
    <x v="1"/>
    <x v="1"/>
    <x v="2"/>
    <x v="2"/>
  </r>
  <r>
    <n v="1010056"/>
    <x v="46"/>
    <x v="2"/>
    <x v="300"/>
    <x v="2"/>
  </r>
  <r>
    <n v="1010056"/>
    <x v="1"/>
    <x v="1"/>
    <x v="2"/>
    <x v="2"/>
  </r>
  <r>
    <n v="1010060"/>
    <x v="47"/>
    <x v="2"/>
    <x v="301"/>
    <x v="2"/>
  </r>
  <r>
    <n v="1010060"/>
    <x v="1"/>
    <x v="1"/>
    <x v="2"/>
    <x v="2"/>
  </r>
  <r>
    <n v="1010061"/>
    <x v="48"/>
    <x v="0"/>
    <x v="302"/>
    <x v="2"/>
  </r>
  <r>
    <n v="1010061"/>
    <x v="1"/>
    <x v="1"/>
    <x v="2"/>
    <x v="2"/>
  </r>
  <r>
    <n v="1012246"/>
    <x v="49"/>
    <x v="8"/>
    <x v="166"/>
    <x v="273"/>
  </r>
  <r>
    <n v="1012246"/>
    <x v="49"/>
    <x v="8"/>
    <x v="165"/>
    <x v="274"/>
  </r>
  <r>
    <n v="1012246"/>
    <x v="1"/>
    <x v="1"/>
    <x v="2"/>
    <x v="2"/>
  </r>
  <r>
    <n v="1013236"/>
    <x v="50"/>
    <x v="6"/>
    <x v="297"/>
    <x v="275"/>
  </r>
  <r>
    <n v="1013236"/>
    <x v="50"/>
    <x v="6"/>
    <x v="296"/>
    <x v="276"/>
  </r>
  <r>
    <n v="1013236"/>
    <x v="50"/>
    <x v="6"/>
    <x v="298"/>
    <x v="277"/>
  </r>
  <r>
    <n v="1013236"/>
    <x v="50"/>
    <x v="6"/>
    <x v="295"/>
    <x v="278"/>
  </r>
  <r>
    <n v="1013236"/>
    <x v="50"/>
    <x v="6"/>
    <x v="291"/>
    <x v="279"/>
  </r>
  <r>
    <n v="1013236"/>
    <x v="50"/>
    <x v="6"/>
    <x v="292"/>
    <x v="280"/>
  </r>
  <r>
    <n v="1013236"/>
    <x v="1"/>
    <x v="1"/>
    <x v="2"/>
    <x v="2"/>
  </r>
  <r>
    <n v="1013513"/>
    <x v="51"/>
    <x v="3"/>
    <x v="253"/>
    <x v="119"/>
  </r>
  <r>
    <n v="1013513"/>
    <x v="51"/>
    <x v="3"/>
    <x v="220"/>
    <x v="105"/>
  </r>
  <r>
    <n v="1013513"/>
    <x v="51"/>
    <x v="3"/>
    <x v="255"/>
    <x v="222"/>
  </r>
  <r>
    <n v="1013513"/>
    <x v="51"/>
    <x v="3"/>
    <x v="257"/>
    <x v="224"/>
  </r>
  <r>
    <n v="1013513"/>
    <x v="51"/>
    <x v="3"/>
    <x v="258"/>
    <x v="77"/>
  </r>
  <r>
    <n v="1013513"/>
    <x v="51"/>
    <x v="3"/>
    <x v="259"/>
    <x v="197"/>
  </r>
  <r>
    <n v="1013513"/>
    <x v="51"/>
    <x v="3"/>
    <x v="260"/>
    <x v="225"/>
  </r>
  <r>
    <n v="1013513"/>
    <x v="51"/>
    <x v="3"/>
    <x v="261"/>
    <x v="92"/>
  </r>
  <r>
    <n v="1013513"/>
    <x v="51"/>
    <x v="3"/>
    <x v="251"/>
    <x v="176"/>
  </r>
  <r>
    <n v="1013513"/>
    <x v="51"/>
    <x v="3"/>
    <x v="252"/>
    <x v="97"/>
  </r>
  <r>
    <n v="1013513"/>
    <x v="51"/>
    <x v="3"/>
    <x v="221"/>
    <x v="204"/>
  </r>
  <r>
    <n v="1013513"/>
    <x v="51"/>
    <x v="3"/>
    <x v="249"/>
    <x v="220"/>
  </r>
  <r>
    <n v="1013513"/>
    <x v="51"/>
    <x v="3"/>
    <x v="263"/>
    <x v="226"/>
  </r>
  <r>
    <n v="1013513"/>
    <x v="51"/>
    <x v="3"/>
    <x v="264"/>
    <x v="153"/>
  </r>
  <r>
    <n v="1013513"/>
    <x v="51"/>
    <x v="3"/>
    <x v="265"/>
    <x v="176"/>
  </r>
  <r>
    <n v="1013513"/>
    <x v="51"/>
    <x v="3"/>
    <x v="204"/>
    <x v="97"/>
  </r>
  <r>
    <n v="1013513"/>
    <x v="51"/>
    <x v="3"/>
    <x v="205"/>
    <x v="77"/>
  </r>
  <r>
    <n v="1013513"/>
    <x v="51"/>
    <x v="3"/>
    <x v="206"/>
    <x v="144"/>
  </r>
  <r>
    <n v="1013513"/>
    <x v="51"/>
    <x v="3"/>
    <x v="208"/>
    <x v="197"/>
  </r>
  <r>
    <n v="1013513"/>
    <x v="51"/>
    <x v="3"/>
    <x v="250"/>
    <x v="34"/>
  </r>
  <r>
    <n v="1013513"/>
    <x v="51"/>
    <x v="3"/>
    <x v="209"/>
    <x v="198"/>
  </r>
  <r>
    <n v="1013513"/>
    <x v="51"/>
    <x v="3"/>
    <x v="210"/>
    <x v="147"/>
  </r>
  <r>
    <n v="1013513"/>
    <x v="51"/>
    <x v="3"/>
    <x v="211"/>
    <x v="153"/>
  </r>
  <r>
    <n v="1013513"/>
    <x v="51"/>
    <x v="3"/>
    <x v="212"/>
    <x v="199"/>
  </r>
  <r>
    <n v="1013513"/>
    <x v="51"/>
    <x v="3"/>
    <x v="214"/>
    <x v="77"/>
  </r>
  <r>
    <n v="1013513"/>
    <x v="51"/>
    <x v="3"/>
    <x v="215"/>
    <x v="77"/>
  </r>
  <r>
    <n v="1013513"/>
    <x v="51"/>
    <x v="3"/>
    <x v="216"/>
    <x v="114"/>
  </r>
  <r>
    <n v="1013513"/>
    <x v="51"/>
    <x v="3"/>
    <x v="222"/>
    <x v="205"/>
  </r>
  <r>
    <n v="1013513"/>
    <x v="51"/>
    <x v="3"/>
    <x v="223"/>
    <x v="3"/>
  </r>
  <r>
    <n v="1013513"/>
    <x v="51"/>
    <x v="3"/>
    <x v="224"/>
    <x v="93"/>
  </r>
  <r>
    <n v="1013513"/>
    <x v="51"/>
    <x v="3"/>
    <x v="226"/>
    <x v="206"/>
  </r>
  <r>
    <n v="1013513"/>
    <x v="51"/>
    <x v="3"/>
    <x v="227"/>
    <x v="207"/>
  </r>
  <r>
    <n v="1013513"/>
    <x v="51"/>
    <x v="3"/>
    <x v="228"/>
    <x v="208"/>
  </r>
  <r>
    <n v="1013513"/>
    <x v="51"/>
    <x v="3"/>
    <x v="229"/>
    <x v="209"/>
  </r>
  <r>
    <n v="1013513"/>
    <x v="51"/>
    <x v="3"/>
    <x v="230"/>
    <x v="210"/>
  </r>
  <r>
    <n v="1013513"/>
    <x v="51"/>
    <x v="3"/>
    <x v="232"/>
    <x v="212"/>
  </r>
  <r>
    <n v="1013513"/>
    <x v="51"/>
    <x v="3"/>
    <x v="233"/>
    <x v="213"/>
  </r>
  <r>
    <n v="1013513"/>
    <x v="51"/>
    <x v="3"/>
    <x v="234"/>
    <x v="175"/>
  </r>
  <r>
    <n v="1013513"/>
    <x v="51"/>
    <x v="3"/>
    <x v="235"/>
    <x v="214"/>
  </r>
  <r>
    <n v="1013513"/>
    <x v="51"/>
    <x v="3"/>
    <x v="236"/>
    <x v="173"/>
  </r>
  <r>
    <n v="1013513"/>
    <x v="51"/>
    <x v="3"/>
    <x v="237"/>
    <x v="215"/>
  </r>
  <r>
    <n v="1013513"/>
    <x v="51"/>
    <x v="3"/>
    <x v="239"/>
    <x v="119"/>
  </r>
  <r>
    <n v="1013513"/>
    <x v="51"/>
    <x v="3"/>
    <x v="240"/>
    <x v="82"/>
  </r>
  <r>
    <n v="1013513"/>
    <x v="51"/>
    <x v="3"/>
    <x v="241"/>
    <x v="217"/>
  </r>
  <r>
    <n v="1013513"/>
    <x v="51"/>
    <x v="3"/>
    <x v="242"/>
    <x v="85"/>
  </r>
  <r>
    <n v="1013513"/>
    <x v="51"/>
    <x v="3"/>
    <x v="243"/>
    <x v="163"/>
  </r>
  <r>
    <n v="1013513"/>
    <x v="51"/>
    <x v="3"/>
    <x v="244"/>
    <x v="213"/>
  </r>
  <r>
    <n v="1013513"/>
    <x v="51"/>
    <x v="3"/>
    <x v="246"/>
    <x v="219"/>
  </r>
  <r>
    <n v="1013513"/>
    <x v="51"/>
    <x v="3"/>
    <x v="247"/>
    <x v="119"/>
  </r>
  <r>
    <n v="1013513"/>
    <x v="51"/>
    <x v="3"/>
    <x v="248"/>
    <x v="161"/>
  </r>
  <r>
    <n v="1013513"/>
    <x v="51"/>
    <x v="3"/>
    <x v="217"/>
    <x v="201"/>
  </r>
  <r>
    <n v="1013513"/>
    <x v="51"/>
    <x v="3"/>
    <x v="218"/>
    <x v="202"/>
  </r>
  <r>
    <n v="1013513"/>
    <x v="51"/>
    <x v="3"/>
    <x v="219"/>
    <x v="203"/>
  </r>
  <r>
    <n v="1013513"/>
    <x v="51"/>
    <x v="3"/>
    <x v="256"/>
    <x v="223"/>
  </r>
  <r>
    <n v="1013513"/>
    <x v="51"/>
    <x v="3"/>
    <x v="262"/>
    <x v="164"/>
  </r>
  <r>
    <n v="1013513"/>
    <x v="51"/>
    <x v="3"/>
    <x v="207"/>
    <x v="196"/>
  </r>
  <r>
    <n v="1013513"/>
    <x v="51"/>
    <x v="3"/>
    <x v="213"/>
    <x v="200"/>
  </r>
  <r>
    <n v="1013513"/>
    <x v="51"/>
    <x v="3"/>
    <x v="225"/>
    <x v="59"/>
  </r>
  <r>
    <n v="1013513"/>
    <x v="51"/>
    <x v="3"/>
    <x v="231"/>
    <x v="211"/>
  </r>
  <r>
    <n v="1013513"/>
    <x v="51"/>
    <x v="3"/>
    <x v="238"/>
    <x v="216"/>
  </r>
  <r>
    <n v="1013513"/>
    <x v="51"/>
    <x v="3"/>
    <x v="245"/>
    <x v="218"/>
  </r>
  <r>
    <n v="1013513"/>
    <x v="51"/>
    <x v="3"/>
    <x v="254"/>
    <x v="221"/>
  </r>
  <r>
    <n v="1013513"/>
    <x v="1"/>
    <x v="1"/>
    <x v="2"/>
    <x v="2"/>
  </r>
  <r>
    <n v="1013635"/>
    <x v="52"/>
    <x v="5"/>
    <x v="303"/>
    <x v="281"/>
  </r>
  <r>
    <n v="1013635"/>
    <x v="52"/>
    <x v="5"/>
    <x v="304"/>
    <x v="282"/>
  </r>
  <r>
    <n v="1013635"/>
    <x v="52"/>
    <x v="5"/>
    <x v="305"/>
    <x v="283"/>
  </r>
  <r>
    <n v="1013635"/>
    <x v="1"/>
    <x v="1"/>
    <x v="2"/>
    <x v="2"/>
  </r>
  <r>
    <n v="1016157"/>
    <x v="53"/>
    <x v="3"/>
    <x v="245"/>
    <x v="2"/>
  </r>
  <r>
    <n v="1016157"/>
    <x v="1"/>
    <x v="1"/>
    <x v="2"/>
    <x v="2"/>
  </r>
  <r>
    <n v="1030304"/>
    <x v="54"/>
    <x v="8"/>
    <x v="165"/>
    <x v="274"/>
  </r>
  <r>
    <n v="1030304"/>
    <x v="54"/>
    <x v="8"/>
    <x v="166"/>
    <x v="273"/>
  </r>
  <r>
    <n v="1030304"/>
    <x v="1"/>
    <x v="1"/>
    <x v="2"/>
    <x v="2"/>
  </r>
  <r>
    <n v="1038956"/>
    <x v="55"/>
    <x v="3"/>
    <x v="158"/>
    <x v="160"/>
  </r>
  <r>
    <n v="1038956"/>
    <x v="55"/>
    <x v="3"/>
    <x v="159"/>
    <x v="161"/>
  </r>
  <r>
    <n v="1038956"/>
    <x v="55"/>
    <x v="3"/>
    <x v="160"/>
    <x v="162"/>
  </r>
  <r>
    <n v="1038956"/>
    <x v="55"/>
    <x v="3"/>
    <x v="161"/>
    <x v="163"/>
  </r>
  <r>
    <n v="1038956"/>
    <x v="55"/>
    <x v="3"/>
    <x v="162"/>
    <x v="164"/>
  </r>
  <r>
    <n v="1038956"/>
    <x v="55"/>
    <x v="3"/>
    <x v="154"/>
    <x v="149"/>
  </r>
  <r>
    <n v="1038956"/>
    <x v="55"/>
    <x v="3"/>
    <x v="163"/>
    <x v="83"/>
  </r>
  <r>
    <n v="1038956"/>
    <x v="55"/>
    <x v="3"/>
    <x v="124"/>
    <x v="62"/>
  </r>
  <r>
    <n v="1038956"/>
    <x v="55"/>
    <x v="3"/>
    <x v="125"/>
    <x v="144"/>
  </r>
  <r>
    <n v="1038956"/>
    <x v="55"/>
    <x v="3"/>
    <x v="126"/>
    <x v="82"/>
  </r>
  <r>
    <n v="1038956"/>
    <x v="55"/>
    <x v="3"/>
    <x v="127"/>
    <x v="97"/>
  </r>
  <r>
    <n v="1038956"/>
    <x v="55"/>
    <x v="3"/>
    <x v="128"/>
    <x v="92"/>
  </r>
  <r>
    <n v="1038956"/>
    <x v="55"/>
    <x v="3"/>
    <x v="129"/>
    <x v="42"/>
  </r>
  <r>
    <n v="1038956"/>
    <x v="55"/>
    <x v="3"/>
    <x v="131"/>
    <x v="34"/>
  </r>
  <r>
    <n v="1038956"/>
    <x v="55"/>
    <x v="3"/>
    <x v="132"/>
    <x v="146"/>
  </r>
  <r>
    <n v="1038956"/>
    <x v="55"/>
    <x v="3"/>
    <x v="133"/>
    <x v="147"/>
  </r>
  <r>
    <n v="1038956"/>
    <x v="55"/>
    <x v="3"/>
    <x v="134"/>
    <x v="148"/>
  </r>
  <r>
    <n v="1038956"/>
    <x v="55"/>
    <x v="3"/>
    <x v="135"/>
    <x v="64"/>
  </r>
  <r>
    <n v="1038956"/>
    <x v="55"/>
    <x v="3"/>
    <x v="136"/>
    <x v="82"/>
  </r>
  <r>
    <n v="1038956"/>
    <x v="55"/>
    <x v="3"/>
    <x v="137"/>
    <x v="79"/>
  </r>
  <r>
    <n v="1038956"/>
    <x v="55"/>
    <x v="3"/>
    <x v="138"/>
    <x v="149"/>
  </r>
  <r>
    <n v="1038956"/>
    <x v="55"/>
    <x v="3"/>
    <x v="141"/>
    <x v="151"/>
  </r>
  <r>
    <n v="1038956"/>
    <x v="55"/>
    <x v="3"/>
    <x v="142"/>
    <x v="152"/>
  </r>
  <r>
    <n v="1038956"/>
    <x v="55"/>
    <x v="3"/>
    <x v="143"/>
    <x v="91"/>
  </r>
  <r>
    <n v="1038956"/>
    <x v="55"/>
    <x v="3"/>
    <x v="144"/>
    <x v="84"/>
  </r>
  <r>
    <n v="1038956"/>
    <x v="55"/>
    <x v="3"/>
    <x v="145"/>
    <x v="153"/>
  </r>
  <r>
    <n v="1038956"/>
    <x v="55"/>
    <x v="3"/>
    <x v="146"/>
    <x v="78"/>
  </r>
  <r>
    <n v="1038956"/>
    <x v="55"/>
    <x v="3"/>
    <x v="147"/>
    <x v="24"/>
  </r>
  <r>
    <n v="1038956"/>
    <x v="55"/>
    <x v="3"/>
    <x v="148"/>
    <x v="144"/>
  </r>
  <r>
    <n v="1038956"/>
    <x v="55"/>
    <x v="3"/>
    <x v="149"/>
    <x v="154"/>
  </r>
  <r>
    <n v="1038956"/>
    <x v="55"/>
    <x v="3"/>
    <x v="150"/>
    <x v="155"/>
  </r>
  <r>
    <n v="1038956"/>
    <x v="55"/>
    <x v="3"/>
    <x v="151"/>
    <x v="35"/>
  </r>
  <r>
    <n v="1038956"/>
    <x v="55"/>
    <x v="3"/>
    <x v="152"/>
    <x v="156"/>
  </r>
  <r>
    <n v="1038956"/>
    <x v="55"/>
    <x v="3"/>
    <x v="153"/>
    <x v="147"/>
  </r>
  <r>
    <n v="1038956"/>
    <x v="55"/>
    <x v="3"/>
    <x v="130"/>
    <x v="145"/>
  </r>
  <r>
    <n v="1038956"/>
    <x v="55"/>
    <x v="3"/>
    <x v="139"/>
    <x v="37"/>
  </r>
  <r>
    <n v="1038956"/>
    <x v="55"/>
    <x v="3"/>
    <x v="140"/>
    <x v="150"/>
  </r>
  <r>
    <n v="1038956"/>
    <x v="55"/>
    <x v="3"/>
    <x v="157"/>
    <x v="159"/>
  </r>
  <r>
    <n v="1038956"/>
    <x v="55"/>
    <x v="3"/>
    <x v="155"/>
    <x v="157"/>
  </r>
  <r>
    <n v="1038956"/>
    <x v="55"/>
    <x v="3"/>
    <x v="156"/>
    <x v="158"/>
  </r>
  <r>
    <n v="1038956"/>
    <x v="1"/>
    <x v="1"/>
    <x v="2"/>
    <x v="2"/>
  </r>
  <r>
    <n v="1042425"/>
    <x v="56"/>
    <x v="5"/>
    <x v="306"/>
    <x v="284"/>
  </r>
  <r>
    <n v="1042425"/>
    <x v="56"/>
    <x v="5"/>
    <x v="307"/>
    <x v="285"/>
  </r>
  <r>
    <n v="1042425"/>
    <x v="56"/>
    <x v="5"/>
    <x v="308"/>
    <x v="286"/>
  </r>
  <r>
    <n v="1042425"/>
    <x v="1"/>
    <x v="1"/>
    <x v="2"/>
    <x v="2"/>
  </r>
  <r>
    <n v="1048789"/>
    <x v="57"/>
    <x v="0"/>
    <x v="302"/>
    <x v="2"/>
  </r>
  <r>
    <n v="1048789"/>
    <x v="1"/>
    <x v="1"/>
    <x v="2"/>
    <x v="2"/>
  </r>
  <r>
    <n v="1049109"/>
    <x v="58"/>
    <x v="5"/>
    <x v="123"/>
    <x v="2"/>
  </r>
  <r>
    <n v="1049109"/>
    <x v="1"/>
    <x v="1"/>
    <x v="2"/>
    <x v="2"/>
  </r>
  <r>
    <n v="1056686"/>
    <x v="59"/>
    <x v="5"/>
    <x v="48"/>
    <x v="287"/>
  </r>
  <r>
    <n v="1056686"/>
    <x v="59"/>
    <x v="5"/>
    <x v="47"/>
    <x v="288"/>
  </r>
  <r>
    <n v="1056686"/>
    <x v="59"/>
    <x v="5"/>
    <x v="49"/>
    <x v="289"/>
  </r>
  <r>
    <n v="1056686"/>
    <x v="59"/>
    <x v="5"/>
    <x v="53"/>
    <x v="290"/>
  </r>
  <r>
    <n v="1056686"/>
    <x v="59"/>
    <x v="5"/>
    <x v="50"/>
    <x v="291"/>
  </r>
  <r>
    <n v="1056686"/>
    <x v="1"/>
    <x v="1"/>
    <x v="2"/>
    <x v="2"/>
  </r>
  <r>
    <n v="1058686"/>
    <x v="60"/>
    <x v="5"/>
    <x v="305"/>
    <x v="292"/>
  </r>
  <r>
    <n v="1058686"/>
    <x v="60"/>
    <x v="5"/>
    <x v="309"/>
    <x v="293"/>
  </r>
  <r>
    <n v="1058686"/>
    <x v="60"/>
    <x v="5"/>
    <x v="310"/>
    <x v="294"/>
  </r>
  <r>
    <n v="1058686"/>
    <x v="60"/>
    <x v="5"/>
    <x v="311"/>
    <x v="295"/>
  </r>
  <r>
    <n v="1058686"/>
    <x v="60"/>
    <x v="5"/>
    <x v="312"/>
    <x v="296"/>
  </r>
  <r>
    <n v="1058686"/>
    <x v="60"/>
    <x v="5"/>
    <x v="304"/>
    <x v="138"/>
  </r>
  <r>
    <n v="1058686"/>
    <x v="60"/>
    <x v="5"/>
    <x v="303"/>
    <x v="297"/>
  </r>
  <r>
    <n v="1058686"/>
    <x v="1"/>
    <x v="1"/>
    <x v="2"/>
    <x v="2"/>
  </r>
  <r>
    <n v="1061028"/>
    <x v="61"/>
    <x v="5"/>
    <x v="46"/>
    <x v="298"/>
  </r>
  <r>
    <n v="1061028"/>
    <x v="61"/>
    <x v="5"/>
    <x v="51"/>
    <x v="299"/>
  </r>
  <r>
    <n v="1061028"/>
    <x v="61"/>
    <x v="5"/>
    <x v="52"/>
    <x v="30"/>
  </r>
  <r>
    <n v="1061028"/>
    <x v="61"/>
    <x v="5"/>
    <x v="54"/>
    <x v="300"/>
  </r>
  <r>
    <n v="1061028"/>
    <x v="1"/>
    <x v="1"/>
    <x v="2"/>
    <x v="2"/>
  </r>
  <r>
    <n v="1065873"/>
    <x v="62"/>
    <x v="5"/>
    <x v="284"/>
    <x v="301"/>
  </r>
  <r>
    <n v="1065873"/>
    <x v="62"/>
    <x v="5"/>
    <x v="286"/>
    <x v="302"/>
  </r>
  <r>
    <n v="1065873"/>
    <x v="62"/>
    <x v="5"/>
    <x v="278"/>
    <x v="303"/>
  </r>
  <r>
    <n v="1065873"/>
    <x v="1"/>
    <x v="1"/>
    <x v="2"/>
    <x v="2"/>
  </r>
  <r>
    <n v="1068605"/>
    <x v="63"/>
    <x v="3"/>
    <x v="313"/>
    <x v="304"/>
  </r>
  <r>
    <n v="1068605"/>
    <x v="63"/>
    <x v="3"/>
    <x v="314"/>
    <x v="305"/>
  </r>
  <r>
    <n v="1068605"/>
    <x v="63"/>
    <x v="3"/>
    <x v="315"/>
    <x v="306"/>
  </r>
  <r>
    <n v="1068605"/>
    <x v="63"/>
    <x v="3"/>
    <x v="316"/>
    <x v="307"/>
  </r>
  <r>
    <n v="1068605"/>
    <x v="63"/>
    <x v="3"/>
    <x v="317"/>
    <x v="308"/>
  </r>
  <r>
    <n v="1068605"/>
    <x v="63"/>
    <x v="3"/>
    <x v="318"/>
    <x v="309"/>
  </r>
  <r>
    <n v="1068605"/>
    <x v="1"/>
    <x v="1"/>
    <x v="2"/>
    <x v="2"/>
  </r>
  <r>
    <n v="1077860"/>
    <x v="64"/>
    <x v="7"/>
    <x v="17"/>
    <x v="310"/>
  </r>
  <r>
    <n v="1077860"/>
    <x v="64"/>
    <x v="7"/>
    <x v="272"/>
    <x v="311"/>
  </r>
  <r>
    <n v="1077860"/>
    <x v="64"/>
    <x v="7"/>
    <x v="319"/>
    <x v="312"/>
  </r>
  <r>
    <n v="1077860"/>
    <x v="64"/>
    <x v="7"/>
    <x v="109"/>
    <x v="313"/>
  </r>
  <r>
    <n v="1077860"/>
    <x v="64"/>
    <x v="7"/>
    <x v="16"/>
    <x v="314"/>
  </r>
  <r>
    <n v="1077860"/>
    <x v="64"/>
    <x v="7"/>
    <x v="320"/>
    <x v="315"/>
  </r>
  <r>
    <n v="1077860"/>
    <x v="64"/>
    <x v="7"/>
    <x v="321"/>
    <x v="316"/>
  </r>
  <r>
    <n v="1077860"/>
    <x v="64"/>
    <x v="7"/>
    <x v="322"/>
    <x v="317"/>
  </r>
  <r>
    <n v="1077860"/>
    <x v="64"/>
    <x v="7"/>
    <x v="323"/>
    <x v="318"/>
  </r>
  <r>
    <n v="1077860"/>
    <x v="64"/>
    <x v="7"/>
    <x v="108"/>
    <x v="319"/>
  </r>
  <r>
    <n v="1077860"/>
    <x v="64"/>
    <x v="7"/>
    <x v="324"/>
    <x v="225"/>
  </r>
  <r>
    <n v="1077860"/>
    <x v="64"/>
    <x v="7"/>
    <x v="325"/>
    <x v="320"/>
  </r>
  <r>
    <n v="1077860"/>
    <x v="64"/>
    <x v="7"/>
    <x v="326"/>
    <x v="168"/>
  </r>
  <r>
    <n v="1077860"/>
    <x v="64"/>
    <x v="7"/>
    <x v="327"/>
    <x v="321"/>
  </r>
  <r>
    <n v="1077860"/>
    <x v="1"/>
    <x v="1"/>
    <x v="2"/>
    <x v="2"/>
  </r>
  <r>
    <n v="1096892"/>
    <x v="65"/>
    <x v="0"/>
    <x v="302"/>
    <x v="2"/>
  </r>
  <r>
    <n v="1096892"/>
    <x v="1"/>
    <x v="1"/>
    <x v="2"/>
    <x v="2"/>
  </r>
  <r>
    <n v="1097120"/>
    <x v="66"/>
    <x v="5"/>
    <x v="115"/>
    <x v="254"/>
  </r>
  <r>
    <n v="1097120"/>
    <x v="66"/>
    <x v="5"/>
    <x v="114"/>
    <x v="51"/>
  </r>
  <r>
    <n v="1097120"/>
    <x v="66"/>
    <x v="5"/>
    <x v="117"/>
    <x v="322"/>
  </r>
  <r>
    <n v="1097120"/>
    <x v="66"/>
    <x v="5"/>
    <x v="118"/>
    <x v="323"/>
  </r>
  <r>
    <n v="1097120"/>
    <x v="66"/>
    <x v="5"/>
    <x v="119"/>
    <x v="324"/>
  </r>
  <r>
    <n v="1097120"/>
    <x v="66"/>
    <x v="5"/>
    <x v="328"/>
    <x v="74"/>
  </r>
  <r>
    <n v="1097120"/>
    <x v="66"/>
    <x v="5"/>
    <x v="121"/>
    <x v="325"/>
  </r>
  <r>
    <n v="1097120"/>
    <x v="66"/>
    <x v="5"/>
    <x v="122"/>
    <x v="326"/>
  </r>
  <r>
    <n v="1097120"/>
    <x v="66"/>
    <x v="5"/>
    <x v="120"/>
    <x v="327"/>
  </r>
  <r>
    <n v="1097120"/>
    <x v="66"/>
    <x v="5"/>
    <x v="329"/>
    <x v="328"/>
  </r>
  <r>
    <n v="1097120"/>
    <x v="66"/>
    <x v="5"/>
    <x v="110"/>
    <x v="329"/>
  </r>
  <r>
    <n v="1097120"/>
    <x v="66"/>
    <x v="5"/>
    <x v="111"/>
    <x v="330"/>
  </r>
  <r>
    <n v="1097120"/>
    <x v="66"/>
    <x v="5"/>
    <x v="112"/>
    <x v="331"/>
  </r>
  <r>
    <n v="1097120"/>
    <x v="66"/>
    <x v="5"/>
    <x v="113"/>
    <x v="233"/>
  </r>
  <r>
    <n v="1097120"/>
    <x v="66"/>
    <x v="5"/>
    <x v="116"/>
    <x v="251"/>
  </r>
  <r>
    <n v="1097120"/>
    <x v="1"/>
    <x v="1"/>
    <x v="2"/>
    <x v="2"/>
  </r>
  <r>
    <n v="1098625"/>
    <x v="67"/>
    <x v="5"/>
    <x v="118"/>
    <x v="332"/>
  </r>
  <r>
    <n v="1098625"/>
    <x v="67"/>
    <x v="5"/>
    <x v="113"/>
    <x v="333"/>
  </r>
  <r>
    <n v="1098625"/>
    <x v="67"/>
    <x v="5"/>
    <x v="116"/>
    <x v="334"/>
  </r>
  <r>
    <n v="1098625"/>
    <x v="67"/>
    <x v="5"/>
    <x v="122"/>
    <x v="335"/>
  </r>
  <r>
    <n v="1098625"/>
    <x v="1"/>
    <x v="1"/>
    <x v="2"/>
    <x v="2"/>
  </r>
  <r>
    <n v="1098639"/>
    <x v="68"/>
    <x v="10"/>
    <x v="330"/>
    <x v="2"/>
  </r>
  <r>
    <n v="1098639"/>
    <x v="1"/>
    <x v="1"/>
    <x v="2"/>
    <x v="2"/>
  </r>
  <r>
    <n v="1098648"/>
    <x v="69"/>
    <x v="2"/>
    <x v="276"/>
    <x v="2"/>
  </r>
  <r>
    <n v="1098648"/>
    <x v="1"/>
    <x v="1"/>
    <x v="2"/>
    <x v="2"/>
  </r>
  <r>
    <n v="1098654"/>
    <x v="70"/>
    <x v="4"/>
    <x v="16"/>
    <x v="14"/>
  </r>
  <r>
    <n v="1098654"/>
    <x v="70"/>
    <x v="4"/>
    <x v="17"/>
    <x v="15"/>
  </r>
  <r>
    <n v="1098654"/>
    <x v="1"/>
    <x v="1"/>
    <x v="2"/>
    <x v="2"/>
  </r>
  <r>
    <n v="1098668"/>
    <x v="71"/>
    <x v="2"/>
    <x v="64"/>
    <x v="336"/>
  </r>
  <r>
    <n v="1098668"/>
    <x v="71"/>
    <x v="2"/>
    <x v="73"/>
    <x v="34"/>
  </r>
  <r>
    <n v="1098668"/>
    <x v="71"/>
    <x v="2"/>
    <x v="74"/>
    <x v="152"/>
  </r>
  <r>
    <n v="1098668"/>
    <x v="71"/>
    <x v="2"/>
    <x v="69"/>
    <x v="337"/>
  </r>
  <r>
    <n v="1098668"/>
    <x v="71"/>
    <x v="2"/>
    <x v="63"/>
    <x v="151"/>
  </r>
  <r>
    <n v="1098668"/>
    <x v="71"/>
    <x v="2"/>
    <x v="55"/>
    <x v="117"/>
  </r>
  <r>
    <n v="1098668"/>
    <x v="71"/>
    <x v="2"/>
    <x v="58"/>
    <x v="199"/>
  </r>
  <r>
    <n v="1098668"/>
    <x v="71"/>
    <x v="2"/>
    <x v="59"/>
    <x v="104"/>
  </r>
  <r>
    <n v="1098668"/>
    <x v="71"/>
    <x v="2"/>
    <x v="67"/>
    <x v="338"/>
  </r>
  <r>
    <n v="1098668"/>
    <x v="71"/>
    <x v="2"/>
    <x v="66"/>
    <x v="339"/>
  </r>
  <r>
    <n v="1098668"/>
    <x v="71"/>
    <x v="2"/>
    <x v="72"/>
    <x v="340"/>
  </r>
  <r>
    <n v="1098668"/>
    <x v="71"/>
    <x v="2"/>
    <x v="61"/>
    <x v="341"/>
  </r>
  <r>
    <n v="1098668"/>
    <x v="71"/>
    <x v="2"/>
    <x v="71"/>
    <x v="342"/>
  </r>
  <r>
    <n v="1098668"/>
    <x v="71"/>
    <x v="2"/>
    <x v="65"/>
    <x v="64"/>
  </r>
  <r>
    <n v="1098668"/>
    <x v="71"/>
    <x v="2"/>
    <x v="56"/>
    <x v="343"/>
  </r>
  <r>
    <n v="1098668"/>
    <x v="71"/>
    <x v="2"/>
    <x v="70"/>
    <x v="344"/>
  </r>
  <r>
    <n v="1098668"/>
    <x v="71"/>
    <x v="2"/>
    <x v="84"/>
    <x v="65"/>
  </r>
  <r>
    <n v="1098668"/>
    <x v="71"/>
    <x v="2"/>
    <x v="57"/>
    <x v="345"/>
  </r>
  <r>
    <n v="1098668"/>
    <x v="71"/>
    <x v="2"/>
    <x v="68"/>
    <x v="150"/>
  </r>
  <r>
    <n v="1098668"/>
    <x v="71"/>
    <x v="2"/>
    <x v="60"/>
    <x v="175"/>
  </r>
  <r>
    <n v="1098668"/>
    <x v="71"/>
    <x v="2"/>
    <x v="62"/>
    <x v="168"/>
  </r>
  <r>
    <n v="1098668"/>
    <x v="1"/>
    <x v="1"/>
    <x v="2"/>
    <x v="2"/>
  </r>
  <r>
    <n v="1098669"/>
    <x v="72"/>
    <x v="2"/>
    <x v="276"/>
    <x v="2"/>
  </r>
  <r>
    <n v="1098669"/>
    <x v="1"/>
    <x v="1"/>
    <x v="2"/>
    <x v="2"/>
  </r>
  <r>
    <n v="1098711"/>
    <x v="73"/>
    <x v="3"/>
    <x v="331"/>
    <x v="79"/>
  </r>
  <r>
    <n v="1098711"/>
    <x v="73"/>
    <x v="3"/>
    <x v="332"/>
    <x v="156"/>
  </r>
  <r>
    <n v="1098711"/>
    <x v="73"/>
    <x v="3"/>
    <x v="333"/>
    <x v="42"/>
  </r>
  <r>
    <n v="1098711"/>
    <x v="73"/>
    <x v="3"/>
    <x v="334"/>
    <x v="162"/>
  </r>
  <r>
    <n v="1098711"/>
    <x v="73"/>
    <x v="3"/>
    <x v="335"/>
    <x v="97"/>
  </r>
  <r>
    <n v="1098711"/>
    <x v="73"/>
    <x v="3"/>
    <x v="336"/>
    <x v="144"/>
  </r>
  <r>
    <n v="1098711"/>
    <x v="73"/>
    <x v="3"/>
    <x v="337"/>
    <x v="97"/>
  </r>
  <r>
    <n v="1098711"/>
    <x v="73"/>
    <x v="3"/>
    <x v="338"/>
    <x v="179"/>
  </r>
  <r>
    <n v="1098711"/>
    <x v="73"/>
    <x v="3"/>
    <x v="339"/>
    <x v="34"/>
  </r>
  <r>
    <n v="1098711"/>
    <x v="73"/>
    <x v="3"/>
    <x v="159"/>
    <x v="178"/>
  </r>
  <r>
    <n v="1098711"/>
    <x v="73"/>
    <x v="3"/>
    <x v="160"/>
    <x v="77"/>
  </r>
  <r>
    <n v="1098711"/>
    <x v="73"/>
    <x v="3"/>
    <x v="161"/>
    <x v="4"/>
  </r>
  <r>
    <n v="1098711"/>
    <x v="73"/>
    <x v="3"/>
    <x v="162"/>
    <x v="161"/>
  </r>
  <r>
    <n v="1098711"/>
    <x v="73"/>
    <x v="3"/>
    <x v="154"/>
    <x v="4"/>
  </r>
  <r>
    <n v="1098711"/>
    <x v="73"/>
    <x v="3"/>
    <x v="163"/>
    <x v="178"/>
  </r>
  <r>
    <n v="1098711"/>
    <x v="73"/>
    <x v="3"/>
    <x v="124"/>
    <x v="77"/>
  </r>
  <r>
    <n v="1098711"/>
    <x v="73"/>
    <x v="3"/>
    <x v="125"/>
    <x v="170"/>
  </r>
  <r>
    <n v="1098711"/>
    <x v="73"/>
    <x v="3"/>
    <x v="126"/>
    <x v="346"/>
  </r>
  <r>
    <n v="1098711"/>
    <x v="73"/>
    <x v="3"/>
    <x v="127"/>
    <x v="83"/>
  </r>
  <r>
    <n v="1098711"/>
    <x v="73"/>
    <x v="3"/>
    <x v="128"/>
    <x v="42"/>
  </r>
  <r>
    <n v="1098711"/>
    <x v="73"/>
    <x v="3"/>
    <x v="129"/>
    <x v="83"/>
  </r>
  <r>
    <n v="1098711"/>
    <x v="73"/>
    <x v="3"/>
    <x v="131"/>
    <x v="88"/>
  </r>
  <r>
    <n v="1098711"/>
    <x v="73"/>
    <x v="3"/>
    <x v="132"/>
    <x v="98"/>
  </r>
  <r>
    <n v="1098711"/>
    <x v="73"/>
    <x v="3"/>
    <x v="133"/>
    <x v="97"/>
  </r>
  <r>
    <n v="1098711"/>
    <x v="73"/>
    <x v="3"/>
    <x v="134"/>
    <x v="144"/>
  </r>
  <r>
    <n v="1098711"/>
    <x v="73"/>
    <x v="3"/>
    <x v="135"/>
    <x v="161"/>
  </r>
  <r>
    <n v="1098711"/>
    <x v="73"/>
    <x v="3"/>
    <x v="136"/>
    <x v="346"/>
  </r>
  <r>
    <n v="1098711"/>
    <x v="73"/>
    <x v="3"/>
    <x v="137"/>
    <x v="170"/>
  </r>
  <r>
    <n v="1098711"/>
    <x v="73"/>
    <x v="3"/>
    <x v="138"/>
    <x v="4"/>
  </r>
  <r>
    <n v="1098711"/>
    <x v="73"/>
    <x v="3"/>
    <x v="141"/>
    <x v="77"/>
  </r>
  <r>
    <n v="1098711"/>
    <x v="73"/>
    <x v="3"/>
    <x v="142"/>
    <x v="217"/>
  </r>
  <r>
    <n v="1098711"/>
    <x v="73"/>
    <x v="3"/>
    <x v="143"/>
    <x v="98"/>
  </r>
  <r>
    <n v="1098711"/>
    <x v="73"/>
    <x v="3"/>
    <x v="144"/>
    <x v="347"/>
  </r>
  <r>
    <n v="1098711"/>
    <x v="73"/>
    <x v="3"/>
    <x v="145"/>
    <x v="154"/>
  </r>
  <r>
    <n v="1098711"/>
    <x v="73"/>
    <x v="3"/>
    <x v="146"/>
    <x v="83"/>
  </r>
  <r>
    <n v="1098711"/>
    <x v="73"/>
    <x v="3"/>
    <x v="147"/>
    <x v="170"/>
  </r>
  <r>
    <n v="1098711"/>
    <x v="73"/>
    <x v="3"/>
    <x v="148"/>
    <x v="170"/>
  </r>
  <r>
    <n v="1098711"/>
    <x v="73"/>
    <x v="3"/>
    <x v="149"/>
    <x v="348"/>
  </r>
  <r>
    <n v="1098711"/>
    <x v="73"/>
    <x v="3"/>
    <x v="150"/>
    <x v="349"/>
  </r>
  <r>
    <n v="1098711"/>
    <x v="73"/>
    <x v="3"/>
    <x v="151"/>
    <x v="204"/>
  </r>
  <r>
    <n v="1098711"/>
    <x v="73"/>
    <x v="3"/>
    <x v="152"/>
    <x v="154"/>
  </r>
  <r>
    <n v="1098711"/>
    <x v="73"/>
    <x v="3"/>
    <x v="153"/>
    <x v="97"/>
  </r>
  <r>
    <n v="1098711"/>
    <x v="73"/>
    <x v="3"/>
    <x v="255"/>
    <x v="80"/>
  </r>
  <r>
    <n v="1098711"/>
    <x v="73"/>
    <x v="3"/>
    <x v="256"/>
    <x v="233"/>
  </r>
  <r>
    <n v="1098711"/>
    <x v="73"/>
    <x v="3"/>
    <x v="257"/>
    <x v="149"/>
  </r>
  <r>
    <n v="1098711"/>
    <x v="73"/>
    <x v="3"/>
    <x v="258"/>
    <x v="198"/>
  </r>
  <r>
    <n v="1098711"/>
    <x v="73"/>
    <x v="3"/>
    <x v="259"/>
    <x v="79"/>
  </r>
  <r>
    <n v="1098711"/>
    <x v="73"/>
    <x v="3"/>
    <x v="260"/>
    <x v="182"/>
  </r>
  <r>
    <n v="1098711"/>
    <x v="73"/>
    <x v="3"/>
    <x v="261"/>
    <x v="34"/>
  </r>
  <r>
    <n v="1098711"/>
    <x v="73"/>
    <x v="3"/>
    <x v="249"/>
    <x v="78"/>
  </r>
  <r>
    <n v="1098711"/>
    <x v="73"/>
    <x v="3"/>
    <x v="262"/>
    <x v="4"/>
  </r>
  <r>
    <n v="1098711"/>
    <x v="73"/>
    <x v="3"/>
    <x v="263"/>
    <x v="105"/>
  </r>
  <r>
    <n v="1098711"/>
    <x v="73"/>
    <x v="3"/>
    <x v="264"/>
    <x v="77"/>
  </r>
  <r>
    <n v="1098711"/>
    <x v="73"/>
    <x v="3"/>
    <x v="316"/>
    <x v="350"/>
  </r>
  <r>
    <n v="1098711"/>
    <x v="73"/>
    <x v="3"/>
    <x v="265"/>
    <x v="198"/>
  </r>
  <r>
    <n v="1098711"/>
    <x v="73"/>
    <x v="3"/>
    <x v="204"/>
    <x v="161"/>
  </r>
  <r>
    <n v="1098711"/>
    <x v="73"/>
    <x v="3"/>
    <x v="205"/>
    <x v="198"/>
  </r>
  <r>
    <n v="1098711"/>
    <x v="73"/>
    <x v="3"/>
    <x v="206"/>
    <x v="88"/>
  </r>
  <r>
    <n v="1098711"/>
    <x v="73"/>
    <x v="3"/>
    <x v="207"/>
    <x v="61"/>
  </r>
  <r>
    <n v="1098711"/>
    <x v="73"/>
    <x v="3"/>
    <x v="208"/>
    <x v="79"/>
  </r>
  <r>
    <n v="1098711"/>
    <x v="73"/>
    <x v="3"/>
    <x v="250"/>
    <x v="161"/>
  </r>
  <r>
    <n v="1098711"/>
    <x v="73"/>
    <x v="3"/>
    <x v="209"/>
    <x v="351"/>
  </r>
  <r>
    <n v="1098711"/>
    <x v="73"/>
    <x v="3"/>
    <x v="210"/>
    <x v="347"/>
  </r>
  <r>
    <n v="1098711"/>
    <x v="73"/>
    <x v="3"/>
    <x v="211"/>
    <x v="77"/>
  </r>
  <r>
    <n v="1098711"/>
    <x v="73"/>
    <x v="3"/>
    <x v="212"/>
    <x v="84"/>
  </r>
  <r>
    <n v="1098711"/>
    <x v="73"/>
    <x v="3"/>
    <x v="5"/>
    <x v="3"/>
  </r>
  <r>
    <n v="1098711"/>
    <x v="73"/>
    <x v="3"/>
    <x v="252"/>
    <x v="88"/>
  </r>
  <r>
    <n v="1098711"/>
    <x v="73"/>
    <x v="3"/>
    <x v="223"/>
    <x v="3"/>
  </r>
  <r>
    <n v="1098711"/>
    <x v="73"/>
    <x v="3"/>
    <x v="216"/>
    <x v="62"/>
  </r>
  <r>
    <n v="1098711"/>
    <x v="73"/>
    <x v="3"/>
    <x v="130"/>
    <x v="97"/>
  </r>
  <r>
    <n v="1098711"/>
    <x v="73"/>
    <x v="3"/>
    <x v="139"/>
    <x v="144"/>
  </r>
  <r>
    <n v="1098711"/>
    <x v="73"/>
    <x v="3"/>
    <x v="140"/>
    <x v="202"/>
  </r>
  <r>
    <n v="1098711"/>
    <x v="73"/>
    <x v="3"/>
    <x v="340"/>
    <x v="218"/>
  </r>
  <r>
    <n v="1098711"/>
    <x v="73"/>
    <x v="3"/>
    <x v="222"/>
    <x v="51"/>
  </r>
  <r>
    <n v="1098711"/>
    <x v="73"/>
    <x v="3"/>
    <x v="224"/>
    <x v="352"/>
  </r>
  <r>
    <n v="1098711"/>
    <x v="73"/>
    <x v="3"/>
    <x v="225"/>
    <x v="89"/>
  </r>
  <r>
    <n v="1098711"/>
    <x v="73"/>
    <x v="3"/>
    <x v="226"/>
    <x v="224"/>
  </r>
  <r>
    <n v="1098711"/>
    <x v="73"/>
    <x v="3"/>
    <x v="227"/>
    <x v="353"/>
  </r>
  <r>
    <n v="1098711"/>
    <x v="73"/>
    <x v="3"/>
    <x v="228"/>
    <x v="354"/>
  </r>
  <r>
    <n v="1098711"/>
    <x v="73"/>
    <x v="3"/>
    <x v="229"/>
    <x v="355"/>
  </r>
  <r>
    <n v="1098711"/>
    <x v="73"/>
    <x v="3"/>
    <x v="230"/>
    <x v="204"/>
  </r>
  <r>
    <n v="1098711"/>
    <x v="73"/>
    <x v="3"/>
    <x v="231"/>
    <x v="220"/>
  </r>
  <r>
    <n v="1098711"/>
    <x v="73"/>
    <x v="3"/>
    <x v="232"/>
    <x v="92"/>
  </r>
  <r>
    <n v="1098711"/>
    <x v="73"/>
    <x v="3"/>
    <x v="233"/>
    <x v="344"/>
  </r>
  <r>
    <n v="1098711"/>
    <x v="73"/>
    <x v="3"/>
    <x v="234"/>
    <x v="84"/>
  </r>
  <r>
    <n v="1098711"/>
    <x v="73"/>
    <x v="3"/>
    <x v="235"/>
    <x v="217"/>
  </r>
  <r>
    <n v="1098711"/>
    <x v="73"/>
    <x v="3"/>
    <x v="236"/>
    <x v="217"/>
  </r>
  <r>
    <n v="1098711"/>
    <x v="73"/>
    <x v="3"/>
    <x v="237"/>
    <x v="356"/>
  </r>
  <r>
    <n v="1098711"/>
    <x v="73"/>
    <x v="3"/>
    <x v="238"/>
    <x v="357"/>
  </r>
  <r>
    <n v="1098711"/>
    <x v="73"/>
    <x v="3"/>
    <x v="155"/>
    <x v="358"/>
  </r>
  <r>
    <n v="1098711"/>
    <x v="73"/>
    <x v="3"/>
    <x v="156"/>
    <x v="359"/>
  </r>
  <r>
    <n v="1098711"/>
    <x v="73"/>
    <x v="3"/>
    <x v="239"/>
    <x v="62"/>
  </r>
  <r>
    <n v="1098711"/>
    <x v="73"/>
    <x v="3"/>
    <x v="240"/>
    <x v="198"/>
  </r>
  <r>
    <n v="1098711"/>
    <x v="73"/>
    <x v="3"/>
    <x v="241"/>
    <x v="144"/>
  </r>
  <r>
    <n v="1098711"/>
    <x v="73"/>
    <x v="3"/>
    <x v="313"/>
    <x v="90"/>
  </r>
  <r>
    <n v="1098711"/>
    <x v="73"/>
    <x v="3"/>
    <x v="242"/>
    <x v="156"/>
  </r>
  <r>
    <n v="1098711"/>
    <x v="73"/>
    <x v="3"/>
    <x v="243"/>
    <x v="82"/>
  </r>
  <r>
    <n v="1098711"/>
    <x v="73"/>
    <x v="3"/>
    <x v="244"/>
    <x v="344"/>
  </r>
  <r>
    <n v="1098711"/>
    <x v="73"/>
    <x v="3"/>
    <x v="245"/>
    <x v="92"/>
  </r>
  <r>
    <n v="1098711"/>
    <x v="73"/>
    <x v="3"/>
    <x v="341"/>
    <x v="64"/>
  </r>
  <r>
    <n v="1098711"/>
    <x v="73"/>
    <x v="3"/>
    <x v="246"/>
    <x v="151"/>
  </r>
  <r>
    <n v="1098711"/>
    <x v="73"/>
    <x v="3"/>
    <x v="247"/>
    <x v="62"/>
  </r>
  <r>
    <n v="1098711"/>
    <x v="73"/>
    <x v="3"/>
    <x v="157"/>
    <x v="360"/>
  </r>
  <r>
    <n v="1098711"/>
    <x v="73"/>
    <x v="3"/>
    <x v="158"/>
    <x v="361"/>
  </r>
  <r>
    <n v="1098711"/>
    <x v="73"/>
    <x v="3"/>
    <x v="342"/>
    <x v="347"/>
  </r>
  <r>
    <n v="1098711"/>
    <x v="73"/>
    <x v="3"/>
    <x v="343"/>
    <x v="64"/>
  </r>
  <r>
    <n v="1098711"/>
    <x v="73"/>
    <x v="3"/>
    <x v="14"/>
    <x v="202"/>
  </r>
  <r>
    <n v="1098711"/>
    <x v="73"/>
    <x v="3"/>
    <x v="15"/>
    <x v="362"/>
  </r>
  <r>
    <n v="1098711"/>
    <x v="73"/>
    <x v="3"/>
    <x v="12"/>
    <x v="3"/>
  </r>
  <r>
    <n v="1098711"/>
    <x v="73"/>
    <x v="3"/>
    <x v="11"/>
    <x v="347"/>
  </r>
  <r>
    <n v="1098711"/>
    <x v="73"/>
    <x v="3"/>
    <x v="344"/>
    <x v="179"/>
  </r>
  <r>
    <n v="1098711"/>
    <x v="73"/>
    <x v="3"/>
    <x v="10"/>
    <x v="105"/>
  </r>
  <r>
    <n v="1098711"/>
    <x v="73"/>
    <x v="3"/>
    <x v="9"/>
    <x v="347"/>
  </r>
  <r>
    <n v="1098711"/>
    <x v="73"/>
    <x v="3"/>
    <x v="8"/>
    <x v="176"/>
  </r>
  <r>
    <n v="1098711"/>
    <x v="73"/>
    <x v="3"/>
    <x v="7"/>
    <x v="176"/>
  </r>
  <r>
    <n v="1098711"/>
    <x v="73"/>
    <x v="3"/>
    <x v="6"/>
    <x v="198"/>
  </r>
  <r>
    <n v="1098711"/>
    <x v="73"/>
    <x v="3"/>
    <x v="13"/>
    <x v="170"/>
  </r>
  <r>
    <n v="1098711"/>
    <x v="73"/>
    <x v="3"/>
    <x v="253"/>
    <x v="197"/>
  </r>
  <r>
    <n v="1098711"/>
    <x v="73"/>
    <x v="3"/>
    <x v="254"/>
    <x v="98"/>
  </r>
  <r>
    <n v="1098711"/>
    <x v="73"/>
    <x v="3"/>
    <x v="345"/>
    <x v="153"/>
  </r>
  <r>
    <n v="1098711"/>
    <x v="73"/>
    <x v="3"/>
    <x v="346"/>
    <x v="198"/>
  </r>
  <r>
    <n v="1098711"/>
    <x v="73"/>
    <x v="3"/>
    <x v="347"/>
    <x v="42"/>
  </r>
  <r>
    <n v="1098711"/>
    <x v="73"/>
    <x v="3"/>
    <x v="348"/>
    <x v="42"/>
  </r>
  <r>
    <n v="1098711"/>
    <x v="73"/>
    <x v="3"/>
    <x v="349"/>
    <x v="170"/>
  </r>
  <r>
    <n v="1098711"/>
    <x v="73"/>
    <x v="3"/>
    <x v="251"/>
    <x v="170"/>
  </r>
  <r>
    <n v="1098711"/>
    <x v="73"/>
    <x v="3"/>
    <x v="248"/>
    <x v="348"/>
  </r>
  <r>
    <n v="1098711"/>
    <x v="73"/>
    <x v="3"/>
    <x v="314"/>
    <x v="346"/>
  </r>
  <r>
    <n v="1098711"/>
    <x v="73"/>
    <x v="3"/>
    <x v="317"/>
    <x v="156"/>
  </r>
  <r>
    <n v="1098711"/>
    <x v="73"/>
    <x v="3"/>
    <x v="218"/>
    <x v="179"/>
  </r>
  <r>
    <n v="1098711"/>
    <x v="73"/>
    <x v="3"/>
    <x v="350"/>
    <x v="88"/>
  </r>
  <r>
    <n v="1098711"/>
    <x v="73"/>
    <x v="3"/>
    <x v="351"/>
    <x v="176"/>
  </r>
  <r>
    <n v="1098711"/>
    <x v="73"/>
    <x v="3"/>
    <x v="352"/>
    <x v="346"/>
  </r>
  <r>
    <n v="1098711"/>
    <x v="73"/>
    <x v="3"/>
    <x v="217"/>
    <x v="146"/>
  </r>
  <r>
    <n v="1098711"/>
    <x v="73"/>
    <x v="3"/>
    <x v="219"/>
    <x v="363"/>
  </r>
  <r>
    <n v="1098711"/>
    <x v="73"/>
    <x v="3"/>
    <x v="315"/>
    <x v="364"/>
  </r>
  <r>
    <n v="1098711"/>
    <x v="73"/>
    <x v="3"/>
    <x v="318"/>
    <x v="168"/>
  </r>
  <r>
    <n v="1098711"/>
    <x v="73"/>
    <x v="3"/>
    <x v="220"/>
    <x v="144"/>
  </r>
  <r>
    <n v="1098711"/>
    <x v="73"/>
    <x v="3"/>
    <x v="221"/>
    <x v="149"/>
  </r>
  <r>
    <n v="1098711"/>
    <x v="73"/>
    <x v="3"/>
    <x v="213"/>
    <x v="91"/>
  </r>
  <r>
    <n v="1098711"/>
    <x v="73"/>
    <x v="3"/>
    <x v="214"/>
    <x v="198"/>
  </r>
  <r>
    <n v="1098711"/>
    <x v="73"/>
    <x v="3"/>
    <x v="215"/>
    <x v="198"/>
  </r>
  <r>
    <n v="1098711"/>
    <x v="1"/>
    <x v="1"/>
    <x v="2"/>
    <x v="2"/>
  </r>
  <r>
    <n v="1098712"/>
    <x v="74"/>
    <x v="2"/>
    <x v="276"/>
    <x v="2"/>
  </r>
  <r>
    <n v="1098712"/>
    <x v="1"/>
    <x v="1"/>
    <x v="2"/>
    <x v="2"/>
  </r>
  <r>
    <n v="1098717"/>
    <x v="75"/>
    <x v="6"/>
    <x v="353"/>
    <x v="2"/>
  </r>
  <r>
    <n v="1098717"/>
    <x v="1"/>
    <x v="1"/>
    <x v="2"/>
    <x v="2"/>
  </r>
  <r>
    <n v="1098720"/>
    <x v="76"/>
    <x v="11"/>
    <x v="320"/>
    <x v="365"/>
  </r>
  <r>
    <n v="1098720"/>
    <x v="76"/>
    <x v="11"/>
    <x v="327"/>
    <x v="366"/>
  </r>
  <r>
    <n v="1098720"/>
    <x v="1"/>
    <x v="1"/>
    <x v="2"/>
    <x v="2"/>
  </r>
  <r>
    <n v="1098721"/>
    <x v="77"/>
    <x v="5"/>
    <x v="354"/>
    <x v="367"/>
  </r>
  <r>
    <n v="1098721"/>
    <x v="77"/>
    <x v="5"/>
    <x v="355"/>
    <x v="322"/>
  </r>
  <r>
    <n v="1098721"/>
    <x v="77"/>
    <x v="5"/>
    <x v="356"/>
    <x v="368"/>
  </r>
  <r>
    <n v="1098721"/>
    <x v="77"/>
    <x v="5"/>
    <x v="357"/>
    <x v="369"/>
  </r>
  <r>
    <n v="1098721"/>
    <x v="77"/>
    <x v="5"/>
    <x v="358"/>
    <x v="370"/>
  </r>
  <r>
    <n v="1098721"/>
    <x v="77"/>
    <x v="5"/>
    <x v="359"/>
    <x v="371"/>
  </r>
  <r>
    <n v="1098721"/>
    <x v="77"/>
    <x v="5"/>
    <x v="360"/>
    <x v="372"/>
  </r>
  <r>
    <n v="1098721"/>
    <x v="77"/>
    <x v="5"/>
    <x v="361"/>
    <x v="373"/>
  </r>
  <r>
    <n v="1098721"/>
    <x v="77"/>
    <x v="5"/>
    <x v="362"/>
    <x v="374"/>
  </r>
  <r>
    <n v="1098721"/>
    <x v="77"/>
    <x v="5"/>
    <x v="363"/>
    <x v="373"/>
  </r>
  <r>
    <n v="1098721"/>
    <x v="77"/>
    <x v="5"/>
    <x v="364"/>
    <x v="57"/>
  </r>
  <r>
    <n v="1098721"/>
    <x v="77"/>
    <x v="5"/>
    <x v="365"/>
    <x v="202"/>
  </r>
  <r>
    <n v="1098721"/>
    <x v="77"/>
    <x v="5"/>
    <x v="366"/>
    <x v="218"/>
  </r>
  <r>
    <n v="1098721"/>
    <x v="77"/>
    <x v="5"/>
    <x v="367"/>
    <x v="150"/>
  </r>
  <r>
    <n v="1098721"/>
    <x v="77"/>
    <x v="5"/>
    <x v="368"/>
    <x v="375"/>
  </r>
  <r>
    <n v="1098721"/>
    <x v="77"/>
    <x v="5"/>
    <x v="369"/>
    <x v="376"/>
  </r>
  <r>
    <n v="1098721"/>
    <x v="77"/>
    <x v="5"/>
    <x v="370"/>
    <x v="377"/>
  </r>
  <r>
    <n v="1098721"/>
    <x v="77"/>
    <x v="5"/>
    <x v="371"/>
    <x v="173"/>
  </r>
  <r>
    <n v="1098721"/>
    <x v="77"/>
    <x v="5"/>
    <x v="372"/>
    <x v="378"/>
  </r>
  <r>
    <n v="1098721"/>
    <x v="77"/>
    <x v="5"/>
    <x v="373"/>
    <x v="379"/>
  </r>
  <r>
    <n v="1098721"/>
    <x v="77"/>
    <x v="5"/>
    <x v="374"/>
    <x v="380"/>
  </r>
  <r>
    <n v="1098721"/>
    <x v="77"/>
    <x v="5"/>
    <x v="375"/>
    <x v="217"/>
  </r>
  <r>
    <n v="1098721"/>
    <x v="77"/>
    <x v="5"/>
    <x v="376"/>
    <x v="381"/>
  </r>
  <r>
    <n v="1098721"/>
    <x v="77"/>
    <x v="5"/>
    <x v="377"/>
    <x v="382"/>
  </r>
  <r>
    <n v="1098721"/>
    <x v="1"/>
    <x v="1"/>
    <x v="2"/>
    <x v="2"/>
  </r>
  <r>
    <n v="1098726"/>
    <x v="78"/>
    <x v="2"/>
    <x v="56"/>
    <x v="383"/>
  </r>
  <r>
    <n v="1098726"/>
    <x v="78"/>
    <x v="2"/>
    <x v="57"/>
    <x v="384"/>
  </r>
  <r>
    <n v="1098726"/>
    <x v="78"/>
    <x v="2"/>
    <x v="80"/>
    <x v="385"/>
  </r>
  <r>
    <n v="1098726"/>
    <x v="78"/>
    <x v="2"/>
    <x v="67"/>
    <x v="238"/>
  </r>
  <r>
    <n v="1098726"/>
    <x v="78"/>
    <x v="2"/>
    <x v="83"/>
    <x v="97"/>
  </r>
  <r>
    <n v="1098726"/>
    <x v="78"/>
    <x v="2"/>
    <x v="64"/>
    <x v="386"/>
  </r>
  <r>
    <n v="1098726"/>
    <x v="78"/>
    <x v="2"/>
    <x v="59"/>
    <x v="113"/>
  </r>
  <r>
    <n v="1098726"/>
    <x v="78"/>
    <x v="2"/>
    <x v="66"/>
    <x v="387"/>
  </r>
  <r>
    <n v="1098726"/>
    <x v="78"/>
    <x v="2"/>
    <x v="71"/>
    <x v="232"/>
  </r>
  <r>
    <n v="1098726"/>
    <x v="78"/>
    <x v="2"/>
    <x v="62"/>
    <x v="78"/>
  </r>
  <r>
    <n v="1098726"/>
    <x v="78"/>
    <x v="2"/>
    <x v="58"/>
    <x v="51"/>
  </r>
  <r>
    <n v="1098726"/>
    <x v="78"/>
    <x v="2"/>
    <x v="69"/>
    <x v="388"/>
  </r>
  <r>
    <n v="1098726"/>
    <x v="78"/>
    <x v="2"/>
    <x v="73"/>
    <x v="154"/>
  </r>
  <r>
    <n v="1098726"/>
    <x v="78"/>
    <x v="2"/>
    <x v="81"/>
    <x v="389"/>
  </r>
  <r>
    <n v="1098726"/>
    <x v="78"/>
    <x v="2"/>
    <x v="76"/>
    <x v="387"/>
  </r>
  <r>
    <n v="1098726"/>
    <x v="78"/>
    <x v="2"/>
    <x v="61"/>
    <x v="390"/>
  </r>
  <r>
    <n v="1098726"/>
    <x v="78"/>
    <x v="2"/>
    <x v="79"/>
    <x v="5"/>
  </r>
  <r>
    <n v="1098726"/>
    <x v="78"/>
    <x v="2"/>
    <x v="74"/>
    <x v="92"/>
  </r>
  <r>
    <n v="1098726"/>
    <x v="78"/>
    <x v="2"/>
    <x v="82"/>
    <x v="164"/>
  </r>
  <r>
    <n v="1098726"/>
    <x v="78"/>
    <x v="2"/>
    <x v="78"/>
    <x v="391"/>
  </r>
  <r>
    <n v="1098726"/>
    <x v="78"/>
    <x v="2"/>
    <x v="65"/>
    <x v="4"/>
  </r>
  <r>
    <n v="1098726"/>
    <x v="78"/>
    <x v="2"/>
    <x v="68"/>
    <x v="392"/>
  </r>
  <r>
    <n v="1098726"/>
    <x v="78"/>
    <x v="2"/>
    <x v="60"/>
    <x v="363"/>
  </r>
  <r>
    <n v="1098726"/>
    <x v="78"/>
    <x v="2"/>
    <x v="84"/>
    <x v="90"/>
  </r>
  <r>
    <n v="1098726"/>
    <x v="78"/>
    <x v="2"/>
    <x v="75"/>
    <x v="21"/>
  </r>
  <r>
    <n v="1098726"/>
    <x v="78"/>
    <x v="2"/>
    <x v="55"/>
    <x v="24"/>
  </r>
  <r>
    <n v="1098726"/>
    <x v="78"/>
    <x v="2"/>
    <x v="70"/>
    <x v="156"/>
  </r>
  <r>
    <n v="1098726"/>
    <x v="78"/>
    <x v="2"/>
    <x v="63"/>
    <x v="98"/>
  </r>
  <r>
    <n v="1098726"/>
    <x v="1"/>
    <x v="1"/>
    <x v="2"/>
    <x v="2"/>
  </r>
  <r>
    <n v="1098740"/>
    <x v="79"/>
    <x v="9"/>
    <x v="319"/>
    <x v="393"/>
  </r>
  <r>
    <n v="1098740"/>
    <x v="79"/>
    <x v="9"/>
    <x v="322"/>
    <x v="394"/>
  </r>
  <r>
    <n v="1098740"/>
    <x v="1"/>
    <x v="1"/>
    <x v="2"/>
    <x v="2"/>
  </r>
  <r>
    <n v="1098741"/>
    <x v="80"/>
    <x v="12"/>
    <x v="378"/>
    <x v="395"/>
  </r>
  <r>
    <n v="1098741"/>
    <x v="80"/>
    <x v="12"/>
    <x v="379"/>
    <x v="396"/>
  </r>
  <r>
    <n v="1098741"/>
    <x v="80"/>
    <x v="12"/>
    <x v="380"/>
    <x v="397"/>
  </r>
  <r>
    <n v="1098741"/>
    <x v="80"/>
    <x v="12"/>
    <x v="381"/>
    <x v="398"/>
  </r>
  <r>
    <n v="1098741"/>
    <x v="80"/>
    <x v="12"/>
    <x v="382"/>
    <x v="399"/>
  </r>
  <r>
    <n v="1098741"/>
    <x v="1"/>
    <x v="1"/>
    <x v="2"/>
    <x v="2"/>
  </r>
  <r>
    <n v="1098743"/>
    <x v="81"/>
    <x v="3"/>
    <x v="340"/>
    <x v="400"/>
  </r>
  <r>
    <n v="1098743"/>
    <x v="81"/>
    <x v="3"/>
    <x v="5"/>
    <x v="346"/>
  </r>
  <r>
    <n v="1098743"/>
    <x v="81"/>
    <x v="3"/>
    <x v="342"/>
    <x v="227"/>
  </r>
  <r>
    <n v="1098743"/>
    <x v="81"/>
    <x v="3"/>
    <x v="343"/>
    <x v="401"/>
  </r>
  <r>
    <n v="1098743"/>
    <x v="81"/>
    <x v="3"/>
    <x v="14"/>
    <x v="402"/>
  </r>
  <r>
    <n v="1098743"/>
    <x v="81"/>
    <x v="3"/>
    <x v="15"/>
    <x v="403"/>
  </r>
  <r>
    <n v="1098743"/>
    <x v="81"/>
    <x v="3"/>
    <x v="12"/>
    <x v="3"/>
  </r>
  <r>
    <n v="1098743"/>
    <x v="81"/>
    <x v="3"/>
    <x v="11"/>
    <x v="228"/>
  </r>
  <r>
    <n v="1098743"/>
    <x v="81"/>
    <x v="3"/>
    <x v="344"/>
    <x v="404"/>
  </r>
  <r>
    <n v="1098743"/>
    <x v="81"/>
    <x v="3"/>
    <x v="10"/>
    <x v="405"/>
  </r>
  <r>
    <n v="1098743"/>
    <x v="81"/>
    <x v="3"/>
    <x v="9"/>
    <x v="380"/>
  </r>
  <r>
    <n v="1098743"/>
    <x v="81"/>
    <x v="3"/>
    <x v="8"/>
    <x v="180"/>
  </r>
  <r>
    <n v="1098743"/>
    <x v="81"/>
    <x v="3"/>
    <x v="7"/>
    <x v="406"/>
  </r>
  <r>
    <n v="1098743"/>
    <x v="81"/>
    <x v="3"/>
    <x v="6"/>
    <x v="233"/>
  </r>
  <r>
    <n v="1098743"/>
    <x v="81"/>
    <x v="3"/>
    <x v="13"/>
    <x v="407"/>
  </r>
  <r>
    <n v="1098743"/>
    <x v="81"/>
    <x v="3"/>
    <x v="345"/>
    <x v="408"/>
  </r>
  <r>
    <n v="1098743"/>
    <x v="81"/>
    <x v="3"/>
    <x v="346"/>
    <x v="233"/>
  </r>
  <r>
    <n v="1098743"/>
    <x v="81"/>
    <x v="3"/>
    <x v="347"/>
    <x v="409"/>
  </r>
  <r>
    <n v="1098743"/>
    <x v="81"/>
    <x v="3"/>
    <x v="348"/>
    <x v="123"/>
  </r>
  <r>
    <n v="1098743"/>
    <x v="81"/>
    <x v="3"/>
    <x v="349"/>
    <x v="407"/>
  </r>
  <r>
    <n v="1098743"/>
    <x v="81"/>
    <x v="3"/>
    <x v="331"/>
    <x v="48"/>
  </r>
  <r>
    <n v="1098743"/>
    <x v="81"/>
    <x v="3"/>
    <x v="332"/>
    <x v="410"/>
  </r>
  <r>
    <n v="1098743"/>
    <x v="81"/>
    <x v="3"/>
    <x v="333"/>
    <x v="409"/>
  </r>
  <r>
    <n v="1098743"/>
    <x v="81"/>
    <x v="3"/>
    <x v="334"/>
    <x v="411"/>
  </r>
  <r>
    <n v="1098743"/>
    <x v="81"/>
    <x v="3"/>
    <x v="350"/>
    <x v="53"/>
  </r>
  <r>
    <n v="1098743"/>
    <x v="81"/>
    <x v="3"/>
    <x v="351"/>
    <x v="406"/>
  </r>
  <r>
    <n v="1098743"/>
    <x v="81"/>
    <x v="3"/>
    <x v="352"/>
    <x v="219"/>
  </r>
  <r>
    <n v="1098743"/>
    <x v="81"/>
    <x v="3"/>
    <x v="336"/>
    <x v="412"/>
  </r>
  <r>
    <n v="1098743"/>
    <x v="81"/>
    <x v="3"/>
    <x v="337"/>
    <x v="413"/>
  </r>
  <r>
    <n v="1098743"/>
    <x v="81"/>
    <x v="3"/>
    <x v="338"/>
    <x v="404"/>
  </r>
  <r>
    <n v="1098743"/>
    <x v="81"/>
    <x v="3"/>
    <x v="339"/>
    <x v="414"/>
  </r>
  <r>
    <n v="1098743"/>
    <x v="81"/>
    <x v="3"/>
    <x v="335"/>
    <x v="415"/>
  </r>
  <r>
    <n v="1098743"/>
    <x v="1"/>
    <x v="1"/>
    <x v="2"/>
    <x v="2"/>
  </r>
  <r>
    <n v="1098756"/>
    <x v="82"/>
    <x v="13"/>
    <x v="383"/>
    <x v="416"/>
  </r>
  <r>
    <n v="1098756"/>
    <x v="82"/>
    <x v="13"/>
    <x v="384"/>
    <x v="417"/>
  </r>
  <r>
    <n v="1098756"/>
    <x v="82"/>
    <x v="13"/>
    <x v="385"/>
    <x v="418"/>
  </r>
  <r>
    <n v="1098756"/>
    <x v="82"/>
    <x v="13"/>
    <x v="386"/>
    <x v="419"/>
  </r>
  <r>
    <n v="1098756"/>
    <x v="1"/>
    <x v="1"/>
    <x v="2"/>
    <x v="2"/>
  </r>
  <r>
    <n v="1098802"/>
    <x v="83"/>
    <x v="6"/>
    <x v="294"/>
    <x v="420"/>
  </r>
  <r>
    <n v="1098802"/>
    <x v="83"/>
    <x v="6"/>
    <x v="293"/>
    <x v="421"/>
  </r>
  <r>
    <n v="1098802"/>
    <x v="83"/>
    <x v="6"/>
    <x v="290"/>
    <x v="422"/>
  </r>
  <r>
    <n v="1098802"/>
    <x v="1"/>
    <x v="1"/>
    <x v="2"/>
    <x v="2"/>
  </r>
  <r>
    <n v="1098805"/>
    <x v="84"/>
    <x v="2"/>
    <x v="387"/>
    <x v="423"/>
  </r>
  <r>
    <n v="1098805"/>
    <x v="84"/>
    <x v="2"/>
    <x v="388"/>
    <x v="424"/>
  </r>
  <r>
    <n v="1098805"/>
    <x v="84"/>
    <x v="2"/>
    <x v="389"/>
    <x v="425"/>
  </r>
  <r>
    <n v="1098805"/>
    <x v="84"/>
    <x v="2"/>
    <x v="390"/>
    <x v="426"/>
  </r>
  <r>
    <n v="1098805"/>
    <x v="1"/>
    <x v="1"/>
    <x v="2"/>
    <x v="2"/>
  </r>
  <r>
    <n v="1098806"/>
    <x v="85"/>
    <x v="3"/>
    <x v="351"/>
    <x v="406"/>
  </r>
  <r>
    <n v="1098806"/>
    <x v="85"/>
    <x v="3"/>
    <x v="352"/>
    <x v="219"/>
  </r>
  <r>
    <n v="1098806"/>
    <x v="85"/>
    <x v="3"/>
    <x v="335"/>
    <x v="415"/>
  </r>
  <r>
    <n v="1098806"/>
    <x v="85"/>
    <x v="3"/>
    <x v="336"/>
    <x v="412"/>
  </r>
  <r>
    <n v="1098806"/>
    <x v="85"/>
    <x v="3"/>
    <x v="337"/>
    <x v="413"/>
  </r>
  <r>
    <n v="1098806"/>
    <x v="85"/>
    <x v="3"/>
    <x v="338"/>
    <x v="404"/>
  </r>
  <r>
    <n v="1098806"/>
    <x v="85"/>
    <x v="3"/>
    <x v="340"/>
    <x v="400"/>
  </r>
  <r>
    <n v="1098806"/>
    <x v="85"/>
    <x v="3"/>
    <x v="339"/>
    <x v="414"/>
  </r>
  <r>
    <n v="1098806"/>
    <x v="85"/>
    <x v="3"/>
    <x v="5"/>
    <x v="346"/>
  </r>
  <r>
    <n v="1098806"/>
    <x v="85"/>
    <x v="3"/>
    <x v="342"/>
    <x v="227"/>
  </r>
  <r>
    <n v="1098806"/>
    <x v="85"/>
    <x v="3"/>
    <x v="343"/>
    <x v="401"/>
  </r>
  <r>
    <n v="1098806"/>
    <x v="85"/>
    <x v="3"/>
    <x v="14"/>
    <x v="402"/>
  </r>
  <r>
    <n v="1098806"/>
    <x v="85"/>
    <x v="3"/>
    <x v="15"/>
    <x v="403"/>
  </r>
  <r>
    <n v="1098806"/>
    <x v="85"/>
    <x v="3"/>
    <x v="12"/>
    <x v="3"/>
  </r>
  <r>
    <n v="1098806"/>
    <x v="85"/>
    <x v="3"/>
    <x v="11"/>
    <x v="228"/>
  </r>
  <r>
    <n v="1098806"/>
    <x v="85"/>
    <x v="3"/>
    <x v="344"/>
    <x v="404"/>
  </r>
  <r>
    <n v="1098806"/>
    <x v="85"/>
    <x v="3"/>
    <x v="10"/>
    <x v="405"/>
  </r>
  <r>
    <n v="1098806"/>
    <x v="85"/>
    <x v="3"/>
    <x v="9"/>
    <x v="380"/>
  </r>
  <r>
    <n v="1098806"/>
    <x v="85"/>
    <x v="3"/>
    <x v="8"/>
    <x v="180"/>
  </r>
  <r>
    <n v="1098806"/>
    <x v="85"/>
    <x v="3"/>
    <x v="7"/>
    <x v="406"/>
  </r>
  <r>
    <n v="1098806"/>
    <x v="85"/>
    <x v="3"/>
    <x v="6"/>
    <x v="233"/>
  </r>
  <r>
    <n v="1098806"/>
    <x v="85"/>
    <x v="3"/>
    <x v="13"/>
    <x v="407"/>
  </r>
  <r>
    <n v="1098806"/>
    <x v="85"/>
    <x v="3"/>
    <x v="345"/>
    <x v="408"/>
  </r>
  <r>
    <n v="1098806"/>
    <x v="85"/>
    <x v="3"/>
    <x v="346"/>
    <x v="233"/>
  </r>
  <r>
    <n v="1098806"/>
    <x v="85"/>
    <x v="3"/>
    <x v="347"/>
    <x v="409"/>
  </r>
  <r>
    <n v="1098806"/>
    <x v="85"/>
    <x v="3"/>
    <x v="348"/>
    <x v="123"/>
  </r>
  <r>
    <n v="1098806"/>
    <x v="85"/>
    <x v="3"/>
    <x v="349"/>
    <x v="407"/>
  </r>
  <r>
    <n v="1098806"/>
    <x v="85"/>
    <x v="3"/>
    <x v="331"/>
    <x v="48"/>
  </r>
  <r>
    <n v="1098806"/>
    <x v="85"/>
    <x v="3"/>
    <x v="332"/>
    <x v="410"/>
  </r>
  <r>
    <n v="1098806"/>
    <x v="85"/>
    <x v="3"/>
    <x v="333"/>
    <x v="409"/>
  </r>
  <r>
    <n v="1098806"/>
    <x v="85"/>
    <x v="3"/>
    <x v="334"/>
    <x v="411"/>
  </r>
  <r>
    <n v="1098806"/>
    <x v="85"/>
    <x v="3"/>
    <x v="350"/>
    <x v="53"/>
  </r>
  <r>
    <n v="1098806"/>
    <x v="1"/>
    <x v="1"/>
    <x v="2"/>
    <x v="2"/>
  </r>
  <r>
    <n v="1098807"/>
    <x v="86"/>
    <x v="3"/>
    <x v="125"/>
    <x v="170"/>
  </r>
  <r>
    <n v="1098807"/>
    <x v="86"/>
    <x v="3"/>
    <x v="131"/>
    <x v="88"/>
  </r>
  <r>
    <n v="1098807"/>
    <x v="86"/>
    <x v="3"/>
    <x v="136"/>
    <x v="346"/>
  </r>
  <r>
    <n v="1098807"/>
    <x v="86"/>
    <x v="3"/>
    <x v="143"/>
    <x v="98"/>
  </r>
  <r>
    <n v="1098807"/>
    <x v="86"/>
    <x v="3"/>
    <x v="148"/>
    <x v="170"/>
  </r>
  <r>
    <n v="1098807"/>
    <x v="86"/>
    <x v="3"/>
    <x v="153"/>
    <x v="97"/>
  </r>
  <r>
    <n v="1098807"/>
    <x v="86"/>
    <x v="3"/>
    <x v="340"/>
    <x v="218"/>
  </r>
  <r>
    <n v="1098807"/>
    <x v="86"/>
    <x v="3"/>
    <x v="314"/>
    <x v="346"/>
  </r>
  <r>
    <n v="1098807"/>
    <x v="86"/>
    <x v="3"/>
    <x v="265"/>
    <x v="198"/>
  </r>
  <r>
    <n v="1098807"/>
    <x v="86"/>
    <x v="3"/>
    <x v="261"/>
    <x v="34"/>
  </r>
  <r>
    <n v="1098807"/>
    <x v="86"/>
    <x v="3"/>
    <x v="256"/>
    <x v="233"/>
  </r>
  <r>
    <n v="1098807"/>
    <x v="86"/>
    <x v="3"/>
    <x v="246"/>
    <x v="151"/>
  </r>
  <r>
    <n v="1098807"/>
    <x v="86"/>
    <x v="3"/>
    <x v="341"/>
    <x v="64"/>
  </r>
  <r>
    <n v="1098807"/>
    <x v="86"/>
    <x v="3"/>
    <x v="238"/>
    <x v="357"/>
  </r>
  <r>
    <n v="1098807"/>
    <x v="86"/>
    <x v="3"/>
    <x v="241"/>
    <x v="144"/>
  </r>
  <r>
    <n v="1098807"/>
    <x v="86"/>
    <x v="3"/>
    <x v="236"/>
    <x v="217"/>
  </r>
  <r>
    <n v="1098807"/>
    <x v="86"/>
    <x v="3"/>
    <x v="231"/>
    <x v="220"/>
  </r>
  <r>
    <n v="1098807"/>
    <x v="86"/>
    <x v="3"/>
    <x v="226"/>
    <x v="224"/>
  </r>
  <r>
    <n v="1098807"/>
    <x v="86"/>
    <x v="3"/>
    <x v="216"/>
    <x v="62"/>
  </r>
  <r>
    <n v="1098807"/>
    <x v="86"/>
    <x v="3"/>
    <x v="211"/>
    <x v="77"/>
  </r>
  <r>
    <n v="1098807"/>
    <x v="86"/>
    <x v="3"/>
    <x v="207"/>
    <x v="61"/>
  </r>
  <r>
    <n v="1098807"/>
    <x v="86"/>
    <x v="3"/>
    <x v="5"/>
    <x v="3"/>
  </r>
  <r>
    <n v="1098807"/>
    <x v="86"/>
    <x v="3"/>
    <x v="223"/>
    <x v="3"/>
  </r>
  <r>
    <n v="1098807"/>
    <x v="86"/>
    <x v="3"/>
    <x v="222"/>
    <x v="51"/>
  </r>
  <r>
    <n v="1098807"/>
    <x v="86"/>
    <x v="3"/>
    <x v="215"/>
    <x v="198"/>
  </r>
  <r>
    <n v="1098807"/>
    <x v="86"/>
    <x v="3"/>
    <x v="214"/>
    <x v="198"/>
  </r>
  <r>
    <n v="1098807"/>
    <x v="86"/>
    <x v="3"/>
    <x v="213"/>
    <x v="91"/>
  </r>
  <r>
    <n v="1098807"/>
    <x v="86"/>
    <x v="3"/>
    <x v="212"/>
    <x v="84"/>
  </r>
  <r>
    <n v="1098807"/>
    <x v="86"/>
    <x v="3"/>
    <x v="210"/>
    <x v="347"/>
  </r>
  <r>
    <n v="1098807"/>
    <x v="86"/>
    <x v="3"/>
    <x v="209"/>
    <x v="351"/>
  </r>
  <r>
    <n v="1098807"/>
    <x v="86"/>
    <x v="3"/>
    <x v="250"/>
    <x v="161"/>
  </r>
  <r>
    <n v="1098807"/>
    <x v="86"/>
    <x v="3"/>
    <x v="208"/>
    <x v="79"/>
  </r>
  <r>
    <n v="1098807"/>
    <x v="86"/>
    <x v="3"/>
    <x v="206"/>
    <x v="88"/>
  </r>
  <r>
    <n v="1098807"/>
    <x v="86"/>
    <x v="3"/>
    <x v="257"/>
    <x v="149"/>
  </r>
  <r>
    <n v="1098807"/>
    <x v="86"/>
    <x v="3"/>
    <x v="247"/>
    <x v="62"/>
  </r>
  <r>
    <n v="1098807"/>
    <x v="86"/>
    <x v="3"/>
    <x v="242"/>
    <x v="156"/>
  </r>
  <r>
    <n v="1098807"/>
    <x v="86"/>
    <x v="3"/>
    <x v="237"/>
    <x v="356"/>
  </r>
  <r>
    <n v="1098807"/>
    <x v="86"/>
    <x v="3"/>
    <x v="233"/>
    <x v="344"/>
  </r>
  <r>
    <n v="1098807"/>
    <x v="86"/>
    <x v="3"/>
    <x v="227"/>
    <x v="353"/>
  </r>
  <r>
    <n v="1098807"/>
    <x v="86"/>
    <x v="3"/>
    <x v="221"/>
    <x v="149"/>
  </r>
  <r>
    <n v="1098807"/>
    <x v="86"/>
    <x v="3"/>
    <x v="343"/>
    <x v="64"/>
  </r>
  <r>
    <n v="1098807"/>
    <x v="86"/>
    <x v="3"/>
    <x v="11"/>
    <x v="347"/>
  </r>
  <r>
    <n v="1098807"/>
    <x v="86"/>
    <x v="3"/>
    <x v="7"/>
    <x v="176"/>
  </r>
  <r>
    <n v="1098807"/>
    <x v="86"/>
    <x v="3"/>
    <x v="345"/>
    <x v="153"/>
  </r>
  <r>
    <n v="1098807"/>
    <x v="86"/>
    <x v="3"/>
    <x v="331"/>
    <x v="79"/>
  </r>
  <r>
    <n v="1098807"/>
    <x v="86"/>
    <x v="3"/>
    <x v="351"/>
    <x v="176"/>
  </r>
  <r>
    <n v="1098807"/>
    <x v="86"/>
    <x v="3"/>
    <x v="338"/>
    <x v="179"/>
  </r>
  <r>
    <n v="1098807"/>
    <x v="86"/>
    <x v="3"/>
    <x v="162"/>
    <x v="161"/>
  </r>
  <r>
    <n v="1098807"/>
    <x v="86"/>
    <x v="3"/>
    <x v="126"/>
    <x v="346"/>
  </r>
  <r>
    <n v="1098807"/>
    <x v="86"/>
    <x v="3"/>
    <x v="132"/>
    <x v="98"/>
  </r>
  <r>
    <n v="1098807"/>
    <x v="86"/>
    <x v="3"/>
    <x v="137"/>
    <x v="170"/>
  </r>
  <r>
    <n v="1098807"/>
    <x v="86"/>
    <x v="3"/>
    <x v="144"/>
    <x v="347"/>
  </r>
  <r>
    <n v="1098807"/>
    <x v="86"/>
    <x v="3"/>
    <x v="149"/>
    <x v="348"/>
  </r>
  <r>
    <n v="1098807"/>
    <x v="86"/>
    <x v="3"/>
    <x v="316"/>
    <x v="350"/>
  </r>
  <r>
    <n v="1098807"/>
    <x v="86"/>
    <x v="3"/>
    <x v="155"/>
    <x v="358"/>
  </r>
  <r>
    <n v="1098807"/>
    <x v="86"/>
    <x v="3"/>
    <x v="318"/>
    <x v="168"/>
  </r>
  <r>
    <n v="1098807"/>
    <x v="86"/>
    <x v="3"/>
    <x v="264"/>
    <x v="77"/>
  </r>
  <r>
    <n v="1098807"/>
    <x v="86"/>
    <x v="3"/>
    <x v="260"/>
    <x v="182"/>
  </r>
  <r>
    <n v="1098807"/>
    <x v="86"/>
    <x v="3"/>
    <x v="218"/>
    <x v="179"/>
  </r>
  <r>
    <n v="1098807"/>
    <x v="86"/>
    <x v="3"/>
    <x v="245"/>
    <x v="92"/>
  </r>
  <r>
    <n v="1098807"/>
    <x v="86"/>
    <x v="3"/>
    <x v="240"/>
    <x v="198"/>
  </r>
  <r>
    <n v="1098807"/>
    <x v="86"/>
    <x v="3"/>
    <x v="235"/>
    <x v="217"/>
  </r>
  <r>
    <n v="1098807"/>
    <x v="86"/>
    <x v="3"/>
    <x v="230"/>
    <x v="204"/>
  </r>
  <r>
    <n v="1098807"/>
    <x v="86"/>
    <x v="3"/>
    <x v="225"/>
    <x v="89"/>
  </r>
  <r>
    <n v="1098807"/>
    <x v="86"/>
    <x v="3"/>
    <x v="252"/>
    <x v="88"/>
  </r>
  <r>
    <n v="1098807"/>
    <x v="86"/>
    <x v="3"/>
    <x v="14"/>
    <x v="202"/>
  </r>
  <r>
    <n v="1098807"/>
    <x v="86"/>
    <x v="3"/>
    <x v="344"/>
    <x v="179"/>
  </r>
  <r>
    <n v="1098807"/>
    <x v="86"/>
    <x v="3"/>
    <x v="6"/>
    <x v="198"/>
  </r>
  <r>
    <n v="1098807"/>
    <x v="86"/>
    <x v="3"/>
    <x v="346"/>
    <x v="198"/>
  </r>
  <r>
    <n v="1098807"/>
    <x v="86"/>
    <x v="3"/>
    <x v="332"/>
    <x v="156"/>
  </r>
  <r>
    <n v="1098807"/>
    <x v="86"/>
    <x v="3"/>
    <x v="352"/>
    <x v="346"/>
  </r>
  <r>
    <n v="1098807"/>
    <x v="86"/>
    <x v="3"/>
    <x v="339"/>
    <x v="34"/>
  </r>
  <r>
    <n v="1098807"/>
    <x v="86"/>
    <x v="3"/>
    <x v="154"/>
    <x v="4"/>
  </r>
  <r>
    <n v="1098807"/>
    <x v="86"/>
    <x v="3"/>
    <x v="127"/>
    <x v="83"/>
  </r>
  <r>
    <n v="1098807"/>
    <x v="86"/>
    <x v="3"/>
    <x v="133"/>
    <x v="97"/>
  </r>
  <r>
    <n v="1098807"/>
    <x v="86"/>
    <x v="3"/>
    <x v="337"/>
    <x v="97"/>
  </r>
  <r>
    <n v="1098807"/>
    <x v="86"/>
    <x v="3"/>
    <x v="161"/>
    <x v="4"/>
  </r>
  <r>
    <n v="1098807"/>
    <x v="86"/>
    <x v="3"/>
    <x v="232"/>
    <x v="92"/>
  </r>
  <r>
    <n v="1098807"/>
    <x v="86"/>
    <x v="3"/>
    <x v="228"/>
    <x v="354"/>
  </r>
  <r>
    <n v="1098807"/>
    <x v="86"/>
    <x v="3"/>
    <x v="158"/>
    <x v="361"/>
  </r>
  <r>
    <n v="1098807"/>
    <x v="86"/>
    <x v="3"/>
    <x v="9"/>
    <x v="347"/>
  </r>
  <r>
    <n v="1098807"/>
    <x v="86"/>
    <x v="3"/>
    <x v="253"/>
    <x v="197"/>
  </r>
  <r>
    <n v="1098807"/>
    <x v="86"/>
    <x v="3"/>
    <x v="348"/>
    <x v="42"/>
  </r>
  <r>
    <n v="1098807"/>
    <x v="86"/>
    <x v="3"/>
    <x v="334"/>
    <x v="162"/>
  </r>
  <r>
    <n v="1098807"/>
    <x v="86"/>
    <x v="3"/>
    <x v="336"/>
    <x v="144"/>
  </r>
  <r>
    <n v="1098807"/>
    <x v="86"/>
    <x v="3"/>
    <x v="160"/>
    <x v="77"/>
  </r>
  <r>
    <n v="1098807"/>
    <x v="86"/>
    <x v="3"/>
    <x v="124"/>
    <x v="77"/>
  </r>
  <r>
    <n v="1098807"/>
    <x v="86"/>
    <x v="3"/>
    <x v="129"/>
    <x v="83"/>
  </r>
  <r>
    <n v="1098807"/>
    <x v="86"/>
    <x v="3"/>
    <x v="135"/>
    <x v="161"/>
  </r>
  <r>
    <n v="1098807"/>
    <x v="86"/>
    <x v="3"/>
    <x v="142"/>
    <x v="217"/>
  </r>
  <r>
    <n v="1098807"/>
    <x v="86"/>
    <x v="3"/>
    <x v="147"/>
    <x v="170"/>
  </r>
  <r>
    <n v="1098807"/>
    <x v="86"/>
    <x v="3"/>
    <x v="152"/>
    <x v="154"/>
  </r>
  <r>
    <n v="1098807"/>
    <x v="86"/>
    <x v="3"/>
    <x v="140"/>
    <x v="202"/>
  </r>
  <r>
    <n v="1098807"/>
    <x v="86"/>
    <x v="3"/>
    <x v="315"/>
    <x v="364"/>
  </r>
  <r>
    <n v="1098807"/>
    <x v="86"/>
    <x v="3"/>
    <x v="204"/>
    <x v="161"/>
  </r>
  <r>
    <n v="1098807"/>
    <x v="86"/>
    <x v="3"/>
    <x v="249"/>
    <x v="78"/>
  </r>
  <r>
    <n v="1098807"/>
    <x v="86"/>
    <x v="3"/>
    <x v="138"/>
    <x v="4"/>
  </r>
  <r>
    <n v="1098807"/>
    <x v="86"/>
    <x v="3"/>
    <x v="145"/>
    <x v="154"/>
  </r>
  <r>
    <n v="1098807"/>
    <x v="86"/>
    <x v="3"/>
    <x v="150"/>
    <x v="349"/>
  </r>
  <r>
    <n v="1098807"/>
    <x v="86"/>
    <x v="3"/>
    <x v="130"/>
    <x v="97"/>
  </r>
  <r>
    <n v="1098807"/>
    <x v="86"/>
    <x v="3"/>
    <x v="156"/>
    <x v="359"/>
  </r>
  <r>
    <n v="1098807"/>
    <x v="86"/>
    <x v="3"/>
    <x v="317"/>
    <x v="156"/>
  </r>
  <r>
    <n v="1098807"/>
    <x v="86"/>
    <x v="3"/>
    <x v="263"/>
    <x v="105"/>
  </r>
  <r>
    <n v="1098807"/>
    <x v="86"/>
    <x v="3"/>
    <x v="259"/>
    <x v="79"/>
  </r>
  <r>
    <n v="1098807"/>
    <x v="86"/>
    <x v="3"/>
    <x v="220"/>
    <x v="144"/>
  </r>
  <r>
    <n v="1098807"/>
    <x v="86"/>
    <x v="3"/>
    <x v="217"/>
    <x v="146"/>
  </r>
  <r>
    <n v="1098807"/>
    <x v="86"/>
    <x v="3"/>
    <x v="244"/>
    <x v="344"/>
  </r>
  <r>
    <n v="1098807"/>
    <x v="86"/>
    <x v="3"/>
    <x v="239"/>
    <x v="62"/>
  </r>
  <r>
    <n v="1098807"/>
    <x v="86"/>
    <x v="3"/>
    <x v="234"/>
    <x v="84"/>
  </r>
  <r>
    <n v="1098807"/>
    <x v="86"/>
    <x v="3"/>
    <x v="229"/>
    <x v="355"/>
  </r>
  <r>
    <n v="1098807"/>
    <x v="86"/>
    <x v="3"/>
    <x v="224"/>
    <x v="352"/>
  </r>
  <r>
    <n v="1098807"/>
    <x v="86"/>
    <x v="3"/>
    <x v="255"/>
    <x v="80"/>
  </r>
  <r>
    <n v="1098807"/>
    <x v="86"/>
    <x v="3"/>
    <x v="342"/>
    <x v="347"/>
  </r>
  <r>
    <n v="1098807"/>
    <x v="86"/>
    <x v="3"/>
    <x v="12"/>
    <x v="3"/>
  </r>
  <r>
    <n v="1098807"/>
    <x v="86"/>
    <x v="3"/>
    <x v="8"/>
    <x v="176"/>
  </r>
  <r>
    <n v="1098807"/>
    <x v="86"/>
    <x v="3"/>
    <x v="254"/>
    <x v="98"/>
  </r>
  <r>
    <n v="1098807"/>
    <x v="86"/>
    <x v="3"/>
    <x v="349"/>
    <x v="170"/>
  </r>
  <r>
    <n v="1098807"/>
    <x v="86"/>
    <x v="3"/>
    <x v="350"/>
    <x v="88"/>
  </r>
  <r>
    <n v="1098807"/>
    <x v="86"/>
    <x v="3"/>
    <x v="251"/>
    <x v="170"/>
  </r>
  <r>
    <n v="1098807"/>
    <x v="86"/>
    <x v="3"/>
    <x v="157"/>
    <x v="360"/>
  </r>
  <r>
    <n v="1098807"/>
    <x v="86"/>
    <x v="3"/>
    <x v="15"/>
    <x v="362"/>
  </r>
  <r>
    <n v="1098807"/>
    <x v="86"/>
    <x v="3"/>
    <x v="10"/>
    <x v="105"/>
  </r>
  <r>
    <n v="1098807"/>
    <x v="86"/>
    <x v="3"/>
    <x v="13"/>
    <x v="170"/>
  </r>
  <r>
    <n v="1098807"/>
    <x v="86"/>
    <x v="3"/>
    <x v="347"/>
    <x v="42"/>
  </r>
  <r>
    <n v="1098807"/>
    <x v="86"/>
    <x v="3"/>
    <x v="333"/>
    <x v="42"/>
  </r>
  <r>
    <n v="1098807"/>
    <x v="86"/>
    <x v="3"/>
    <x v="335"/>
    <x v="97"/>
  </r>
  <r>
    <n v="1098807"/>
    <x v="86"/>
    <x v="3"/>
    <x v="159"/>
    <x v="178"/>
  </r>
  <r>
    <n v="1098807"/>
    <x v="86"/>
    <x v="3"/>
    <x v="163"/>
    <x v="178"/>
  </r>
  <r>
    <n v="1098807"/>
    <x v="86"/>
    <x v="3"/>
    <x v="128"/>
    <x v="42"/>
  </r>
  <r>
    <n v="1098807"/>
    <x v="86"/>
    <x v="3"/>
    <x v="134"/>
    <x v="144"/>
  </r>
  <r>
    <n v="1098807"/>
    <x v="86"/>
    <x v="3"/>
    <x v="141"/>
    <x v="77"/>
  </r>
  <r>
    <n v="1098807"/>
    <x v="86"/>
    <x v="3"/>
    <x v="146"/>
    <x v="83"/>
  </r>
  <r>
    <n v="1098807"/>
    <x v="86"/>
    <x v="3"/>
    <x v="151"/>
    <x v="204"/>
  </r>
  <r>
    <n v="1098807"/>
    <x v="86"/>
    <x v="3"/>
    <x v="139"/>
    <x v="144"/>
  </r>
  <r>
    <n v="1098807"/>
    <x v="86"/>
    <x v="3"/>
    <x v="313"/>
    <x v="90"/>
  </r>
  <r>
    <n v="1098807"/>
    <x v="86"/>
    <x v="3"/>
    <x v="205"/>
    <x v="198"/>
  </r>
  <r>
    <n v="1098807"/>
    <x v="86"/>
    <x v="3"/>
    <x v="262"/>
    <x v="4"/>
  </r>
  <r>
    <n v="1098807"/>
    <x v="86"/>
    <x v="3"/>
    <x v="258"/>
    <x v="198"/>
  </r>
  <r>
    <n v="1098807"/>
    <x v="86"/>
    <x v="3"/>
    <x v="219"/>
    <x v="363"/>
  </r>
  <r>
    <n v="1098807"/>
    <x v="86"/>
    <x v="3"/>
    <x v="248"/>
    <x v="348"/>
  </r>
  <r>
    <n v="1098807"/>
    <x v="86"/>
    <x v="3"/>
    <x v="243"/>
    <x v="82"/>
  </r>
  <r>
    <n v="1098807"/>
    <x v="1"/>
    <x v="1"/>
    <x v="2"/>
    <x v="2"/>
  </r>
  <r>
    <n v="1098809"/>
    <x v="87"/>
    <x v="3"/>
    <x v="147"/>
    <x v="24"/>
  </r>
  <r>
    <n v="1098809"/>
    <x v="87"/>
    <x v="3"/>
    <x v="148"/>
    <x v="144"/>
  </r>
  <r>
    <n v="1098809"/>
    <x v="87"/>
    <x v="3"/>
    <x v="149"/>
    <x v="154"/>
  </r>
  <r>
    <n v="1098809"/>
    <x v="87"/>
    <x v="3"/>
    <x v="150"/>
    <x v="155"/>
  </r>
  <r>
    <n v="1098809"/>
    <x v="87"/>
    <x v="3"/>
    <x v="151"/>
    <x v="35"/>
  </r>
  <r>
    <n v="1098809"/>
    <x v="87"/>
    <x v="3"/>
    <x v="152"/>
    <x v="156"/>
  </r>
  <r>
    <n v="1098809"/>
    <x v="87"/>
    <x v="3"/>
    <x v="153"/>
    <x v="147"/>
  </r>
  <r>
    <n v="1098809"/>
    <x v="87"/>
    <x v="3"/>
    <x v="130"/>
    <x v="145"/>
  </r>
  <r>
    <n v="1098809"/>
    <x v="87"/>
    <x v="3"/>
    <x v="139"/>
    <x v="37"/>
  </r>
  <r>
    <n v="1098809"/>
    <x v="87"/>
    <x v="3"/>
    <x v="140"/>
    <x v="150"/>
  </r>
  <r>
    <n v="1098809"/>
    <x v="87"/>
    <x v="3"/>
    <x v="155"/>
    <x v="157"/>
  </r>
  <r>
    <n v="1098809"/>
    <x v="87"/>
    <x v="3"/>
    <x v="156"/>
    <x v="158"/>
  </r>
  <r>
    <n v="1098809"/>
    <x v="87"/>
    <x v="3"/>
    <x v="157"/>
    <x v="159"/>
  </r>
  <r>
    <n v="1098809"/>
    <x v="87"/>
    <x v="3"/>
    <x v="158"/>
    <x v="160"/>
  </r>
  <r>
    <n v="1098809"/>
    <x v="87"/>
    <x v="3"/>
    <x v="159"/>
    <x v="161"/>
  </r>
  <r>
    <n v="1098809"/>
    <x v="87"/>
    <x v="3"/>
    <x v="160"/>
    <x v="162"/>
  </r>
  <r>
    <n v="1098809"/>
    <x v="87"/>
    <x v="3"/>
    <x v="161"/>
    <x v="163"/>
  </r>
  <r>
    <n v="1098809"/>
    <x v="87"/>
    <x v="3"/>
    <x v="162"/>
    <x v="164"/>
  </r>
  <r>
    <n v="1098809"/>
    <x v="87"/>
    <x v="3"/>
    <x v="154"/>
    <x v="149"/>
  </r>
  <r>
    <n v="1098809"/>
    <x v="87"/>
    <x v="3"/>
    <x v="163"/>
    <x v="83"/>
  </r>
  <r>
    <n v="1098809"/>
    <x v="87"/>
    <x v="3"/>
    <x v="124"/>
    <x v="62"/>
  </r>
  <r>
    <n v="1098809"/>
    <x v="87"/>
    <x v="3"/>
    <x v="125"/>
    <x v="144"/>
  </r>
  <r>
    <n v="1098809"/>
    <x v="87"/>
    <x v="3"/>
    <x v="126"/>
    <x v="82"/>
  </r>
  <r>
    <n v="1098809"/>
    <x v="87"/>
    <x v="3"/>
    <x v="127"/>
    <x v="97"/>
  </r>
  <r>
    <n v="1098809"/>
    <x v="87"/>
    <x v="3"/>
    <x v="128"/>
    <x v="92"/>
  </r>
  <r>
    <n v="1098809"/>
    <x v="87"/>
    <x v="3"/>
    <x v="129"/>
    <x v="42"/>
  </r>
  <r>
    <n v="1098809"/>
    <x v="87"/>
    <x v="3"/>
    <x v="131"/>
    <x v="34"/>
  </r>
  <r>
    <n v="1098809"/>
    <x v="87"/>
    <x v="3"/>
    <x v="132"/>
    <x v="146"/>
  </r>
  <r>
    <n v="1098809"/>
    <x v="87"/>
    <x v="3"/>
    <x v="133"/>
    <x v="147"/>
  </r>
  <r>
    <n v="1098809"/>
    <x v="87"/>
    <x v="3"/>
    <x v="134"/>
    <x v="148"/>
  </r>
  <r>
    <n v="1098809"/>
    <x v="87"/>
    <x v="3"/>
    <x v="135"/>
    <x v="64"/>
  </r>
  <r>
    <n v="1098809"/>
    <x v="87"/>
    <x v="3"/>
    <x v="136"/>
    <x v="82"/>
  </r>
  <r>
    <n v="1098809"/>
    <x v="87"/>
    <x v="3"/>
    <x v="137"/>
    <x v="79"/>
  </r>
  <r>
    <n v="1098809"/>
    <x v="87"/>
    <x v="3"/>
    <x v="138"/>
    <x v="149"/>
  </r>
  <r>
    <n v="1098809"/>
    <x v="87"/>
    <x v="3"/>
    <x v="141"/>
    <x v="151"/>
  </r>
  <r>
    <n v="1098809"/>
    <x v="87"/>
    <x v="3"/>
    <x v="142"/>
    <x v="152"/>
  </r>
  <r>
    <n v="1098809"/>
    <x v="87"/>
    <x v="3"/>
    <x v="143"/>
    <x v="91"/>
  </r>
  <r>
    <n v="1098809"/>
    <x v="87"/>
    <x v="3"/>
    <x v="144"/>
    <x v="84"/>
  </r>
  <r>
    <n v="1098809"/>
    <x v="87"/>
    <x v="3"/>
    <x v="145"/>
    <x v="153"/>
  </r>
  <r>
    <n v="1098809"/>
    <x v="87"/>
    <x v="3"/>
    <x v="146"/>
    <x v="78"/>
  </r>
  <r>
    <n v="1098809"/>
    <x v="1"/>
    <x v="1"/>
    <x v="2"/>
    <x v="2"/>
  </r>
  <r>
    <n v="1098821"/>
    <x v="88"/>
    <x v="14"/>
    <x v="391"/>
    <x v="2"/>
  </r>
  <r>
    <n v="1098821"/>
    <x v="1"/>
    <x v="1"/>
    <x v="2"/>
    <x v="2"/>
  </r>
  <r>
    <n v="1098822"/>
    <x v="89"/>
    <x v="14"/>
    <x v="391"/>
    <x v="2"/>
  </r>
  <r>
    <n v="1098822"/>
    <x v="1"/>
    <x v="1"/>
    <x v="2"/>
    <x v="2"/>
  </r>
  <r>
    <n v="1098824"/>
    <x v="90"/>
    <x v="14"/>
    <x v="391"/>
    <x v="2"/>
  </r>
  <r>
    <n v="1098824"/>
    <x v="1"/>
    <x v="1"/>
    <x v="2"/>
    <x v="2"/>
  </r>
  <r>
    <n v="1098825"/>
    <x v="91"/>
    <x v="14"/>
    <x v="391"/>
    <x v="2"/>
  </r>
  <r>
    <n v="1098825"/>
    <x v="1"/>
    <x v="1"/>
    <x v="2"/>
    <x v="2"/>
  </r>
  <r>
    <n v="1098828"/>
    <x v="92"/>
    <x v="14"/>
    <x v="392"/>
    <x v="427"/>
  </r>
  <r>
    <n v="1098828"/>
    <x v="92"/>
    <x v="14"/>
    <x v="393"/>
    <x v="428"/>
  </r>
  <r>
    <n v="1098828"/>
    <x v="1"/>
    <x v="1"/>
    <x v="2"/>
    <x v="2"/>
  </r>
  <r>
    <n v="1098860"/>
    <x v="93"/>
    <x v="3"/>
    <x v="162"/>
    <x v="164"/>
  </r>
  <r>
    <n v="1098860"/>
    <x v="93"/>
    <x v="3"/>
    <x v="131"/>
    <x v="34"/>
  </r>
  <r>
    <n v="1098860"/>
    <x v="93"/>
    <x v="3"/>
    <x v="142"/>
    <x v="152"/>
  </r>
  <r>
    <n v="1098860"/>
    <x v="93"/>
    <x v="3"/>
    <x v="151"/>
    <x v="35"/>
  </r>
  <r>
    <n v="1098860"/>
    <x v="93"/>
    <x v="3"/>
    <x v="160"/>
    <x v="162"/>
  </r>
  <r>
    <n v="1098860"/>
    <x v="93"/>
    <x v="3"/>
    <x v="128"/>
    <x v="92"/>
  </r>
  <r>
    <n v="1098860"/>
    <x v="93"/>
    <x v="3"/>
    <x v="138"/>
    <x v="149"/>
  </r>
  <r>
    <n v="1098860"/>
    <x v="93"/>
    <x v="3"/>
    <x v="149"/>
    <x v="154"/>
  </r>
  <r>
    <n v="1098860"/>
    <x v="93"/>
    <x v="3"/>
    <x v="156"/>
    <x v="158"/>
  </r>
  <r>
    <n v="1098860"/>
    <x v="93"/>
    <x v="3"/>
    <x v="163"/>
    <x v="83"/>
  </r>
  <r>
    <n v="1098860"/>
    <x v="93"/>
    <x v="3"/>
    <x v="133"/>
    <x v="147"/>
  </r>
  <r>
    <n v="1098860"/>
    <x v="93"/>
    <x v="3"/>
    <x v="144"/>
    <x v="84"/>
  </r>
  <r>
    <n v="1098860"/>
    <x v="93"/>
    <x v="3"/>
    <x v="153"/>
    <x v="147"/>
  </r>
  <r>
    <n v="1098860"/>
    <x v="93"/>
    <x v="3"/>
    <x v="158"/>
    <x v="160"/>
  </r>
  <r>
    <n v="1098860"/>
    <x v="93"/>
    <x v="3"/>
    <x v="126"/>
    <x v="82"/>
  </r>
  <r>
    <n v="1098860"/>
    <x v="93"/>
    <x v="3"/>
    <x v="136"/>
    <x v="82"/>
  </r>
  <r>
    <n v="1098860"/>
    <x v="93"/>
    <x v="3"/>
    <x v="147"/>
    <x v="24"/>
  </r>
  <r>
    <n v="1098860"/>
    <x v="93"/>
    <x v="3"/>
    <x v="140"/>
    <x v="150"/>
  </r>
  <r>
    <n v="1098860"/>
    <x v="93"/>
    <x v="3"/>
    <x v="157"/>
    <x v="159"/>
  </r>
  <r>
    <n v="1098860"/>
    <x v="93"/>
    <x v="3"/>
    <x v="125"/>
    <x v="144"/>
  </r>
  <r>
    <n v="1098860"/>
    <x v="93"/>
    <x v="3"/>
    <x v="135"/>
    <x v="64"/>
  </r>
  <r>
    <n v="1098860"/>
    <x v="93"/>
    <x v="3"/>
    <x v="146"/>
    <x v="78"/>
  </r>
  <r>
    <n v="1098860"/>
    <x v="93"/>
    <x v="3"/>
    <x v="139"/>
    <x v="37"/>
  </r>
  <r>
    <n v="1098860"/>
    <x v="93"/>
    <x v="3"/>
    <x v="124"/>
    <x v="62"/>
  </r>
  <r>
    <n v="1098860"/>
    <x v="93"/>
    <x v="3"/>
    <x v="134"/>
    <x v="148"/>
  </r>
  <r>
    <n v="1098860"/>
    <x v="93"/>
    <x v="3"/>
    <x v="145"/>
    <x v="153"/>
  </r>
  <r>
    <n v="1098860"/>
    <x v="93"/>
    <x v="3"/>
    <x v="130"/>
    <x v="145"/>
  </r>
  <r>
    <n v="1098860"/>
    <x v="93"/>
    <x v="3"/>
    <x v="161"/>
    <x v="163"/>
  </r>
  <r>
    <n v="1098860"/>
    <x v="93"/>
    <x v="3"/>
    <x v="129"/>
    <x v="42"/>
  </r>
  <r>
    <n v="1098860"/>
    <x v="93"/>
    <x v="3"/>
    <x v="141"/>
    <x v="151"/>
  </r>
  <r>
    <n v="1098860"/>
    <x v="93"/>
    <x v="3"/>
    <x v="150"/>
    <x v="155"/>
  </r>
  <r>
    <n v="1098860"/>
    <x v="93"/>
    <x v="3"/>
    <x v="154"/>
    <x v="149"/>
  </r>
  <r>
    <n v="1098860"/>
    <x v="93"/>
    <x v="3"/>
    <x v="132"/>
    <x v="146"/>
  </r>
  <r>
    <n v="1098860"/>
    <x v="93"/>
    <x v="3"/>
    <x v="143"/>
    <x v="91"/>
  </r>
  <r>
    <n v="1098860"/>
    <x v="93"/>
    <x v="3"/>
    <x v="152"/>
    <x v="156"/>
  </r>
  <r>
    <n v="1098860"/>
    <x v="93"/>
    <x v="3"/>
    <x v="159"/>
    <x v="161"/>
  </r>
  <r>
    <n v="1098860"/>
    <x v="93"/>
    <x v="3"/>
    <x v="127"/>
    <x v="97"/>
  </r>
  <r>
    <n v="1098860"/>
    <x v="93"/>
    <x v="3"/>
    <x v="137"/>
    <x v="79"/>
  </r>
  <r>
    <n v="1098860"/>
    <x v="93"/>
    <x v="3"/>
    <x v="148"/>
    <x v="144"/>
  </r>
  <r>
    <n v="1098860"/>
    <x v="93"/>
    <x v="3"/>
    <x v="155"/>
    <x v="157"/>
  </r>
  <r>
    <n v="1098860"/>
    <x v="1"/>
    <x v="1"/>
    <x v="2"/>
    <x v="2"/>
  </r>
  <r>
    <n v="1098861"/>
    <x v="94"/>
    <x v="13"/>
    <x v="394"/>
    <x v="429"/>
  </r>
  <r>
    <n v="1098861"/>
    <x v="94"/>
    <x v="13"/>
    <x v="395"/>
    <x v="430"/>
  </r>
  <r>
    <n v="1098861"/>
    <x v="1"/>
    <x v="1"/>
    <x v="2"/>
    <x v="2"/>
  </r>
  <r>
    <n v="1098872"/>
    <x v="95"/>
    <x v="6"/>
    <x v="167"/>
    <x v="2"/>
  </r>
  <r>
    <n v="1098872"/>
    <x v="1"/>
    <x v="1"/>
    <x v="2"/>
    <x v="2"/>
  </r>
  <r>
    <n v="1098875"/>
    <x v="96"/>
    <x v="5"/>
    <x v="353"/>
    <x v="2"/>
  </r>
  <r>
    <n v="1098875"/>
    <x v="1"/>
    <x v="1"/>
    <x v="2"/>
    <x v="2"/>
  </r>
  <r>
    <n v="1098882"/>
    <x v="97"/>
    <x v="7"/>
    <x v="326"/>
    <x v="431"/>
  </r>
  <r>
    <n v="1098882"/>
    <x v="97"/>
    <x v="7"/>
    <x v="321"/>
    <x v="432"/>
  </r>
  <r>
    <n v="1098882"/>
    <x v="1"/>
    <x v="1"/>
    <x v="2"/>
    <x v="2"/>
  </r>
  <r>
    <n v="1098885"/>
    <x v="98"/>
    <x v="2"/>
    <x v="353"/>
    <x v="2"/>
  </r>
  <r>
    <n v="1098885"/>
    <x v="1"/>
    <x v="1"/>
    <x v="2"/>
    <x v="2"/>
  </r>
  <r>
    <n v="1098886"/>
    <x v="99"/>
    <x v="6"/>
    <x v="396"/>
    <x v="2"/>
  </r>
  <r>
    <n v="1098886"/>
    <x v="1"/>
    <x v="1"/>
    <x v="2"/>
    <x v="2"/>
  </r>
  <r>
    <n v="1098897"/>
    <x v="100"/>
    <x v="3"/>
    <x v="251"/>
    <x v="176"/>
  </r>
  <r>
    <n v="1098897"/>
    <x v="100"/>
    <x v="3"/>
    <x v="252"/>
    <x v="97"/>
  </r>
  <r>
    <n v="1098897"/>
    <x v="100"/>
    <x v="3"/>
    <x v="221"/>
    <x v="204"/>
  </r>
  <r>
    <n v="1098897"/>
    <x v="100"/>
    <x v="3"/>
    <x v="255"/>
    <x v="222"/>
  </r>
  <r>
    <n v="1098897"/>
    <x v="100"/>
    <x v="3"/>
    <x v="218"/>
    <x v="202"/>
  </r>
  <r>
    <n v="1098897"/>
    <x v="100"/>
    <x v="3"/>
    <x v="217"/>
    <x v="201"/>
  </r>
  <r>
    <n v="1098897"/>
    <x v="100"/>
    <x v="3"/>
    <x v="243"/>
    <x v="163"/>
  </r>
  <r>
    <n v="1098897"/>
    <x v="100"/>
    <x v="3"/>
    <x v="242"/>
    <x v="85"/>
  </r>
  <r>
    <n v="1098897"/>
    <x v="100"/>
    <x v="3"/>
    <x v="239"/>
    <x v="119"/>
  </r>
  <r>
    <n v="1098897"/>
    <x v="100"/>
    <x v="3"/>
    <x v="238"/>
    <x v="216"/>
  </r>
  <r>
    <n v="1098897"/>
    <x v="100"/>
    <x v="3"/>
    <x v="234"/>
    <x v="175"/>
  </r>
  <r>
    <n v="1098897"/>
    <x v="100"/>
    <x v="3"/>
    <x v="233"/>
    <x v="213"/>
  </r>
  <r>
    <n v="1098897"/>
    <x v="100"/>
    <x v="3"/>
    <x v="230"/>
    <x v="210"/>
  </r>
  <r>
    <n v="1098897"/>
    <x v="100"/>
    <x v="3"/>
    <x v="229"/>
    <x v="209"/>
  </r>
  <r>
    <n v="1098897"/>
    <x v="100"/>
    <x v="3"/>
    <x v="225"/>
    <x v="59"/>
  </r>
  <r>
    <n v="1098897"/>
    <x v="100"/>
    <x v="3"/>
    <x v="224"/>
    <x v="93"/>
  </r>
  <r>
    <n v="1098897"/>
    <x v="100"/>
    <x v="3"/>
    <x v="215"/>
    <x v="77"/>
  </r>
  <r>
    <n v="1098897"/>
    <x v="100"/>
    <x v="3"/>
    <x v="214"/>
    <x v="77"/>
  </r>
  <r>
    <n v="1098897"/>
    <x v="100"/>
    <x v="3"/>
    <x v="210"/>
    <x v="147"/>
  </r>
  <r>
    <n v="1098897"/>
    <x v="100"/>
    <x v="3"/>
    <x v="209"/>
    <x v="198"/>
  </r>
  <r>
    <n v="1098897"/>
    <x v="100"/>
    <x v="3"/>
    <x v="206"/>
    <x v="144"/>
  </r>
  <r>
    <n v="1098897"/>
    <x v="100"/>
    <x v="3"/>
    <x v="205"/>
    <x v="77"/>
  </r>
  <r>
    <n v="1098897"/>
    <x v="100"/>
    <x v="3"/>
    <x v="263"/>
    <x v="226"/>
  </r>
  <r>
    <n v="1098897"/>
    <x v="100"/>
    <x v="3"/>
    <x v="262"/>
    <x v="164"/>
  </r>
  <r>
    <n v="1098897"/>
    <x v="100"/>
    <x v="3"/>
    <x v="258"/>
    <x v="77"/>
  </r>
  <r>
    <n v="1098897"/>
    <x v="100"/>
    <x v="3"/>
    <x v="257"/>
    <x v="224"/>
  </r>
  <r>
    <n v="1098897"/>
    <x v="100"/>
    <x v="3"/>
    <x v="247"/>
    <x v="119"/>
  </r>
  <r>
    <n v="1098897"/>
    <x v="100"/>
    <x v="3"/>
    <x v="246"/>
    <x v="219"/>
  </r>
  <r>
    <n v="1098897"/>
    <x v="100"/>
    <x v="3"/>
    <x v="245"/>
    <x v="218"/>
  </r>
  <r>
    <n v="1098897"/>
    <x v="100"/>
    <x v="3"/>
    <x v="236"/>
    <x v="173"/>
  </r>
  <r>
    <n v="1098897"/>
    <x v="100"/>
    <x v="3"/>
    <x v="232"/>
    <x v="212"/>
  </r>
  <r>
    <n v="1098897"/>
    <x v="100"/>
    <x v="3"/>
    <x v="227"/>
    <x v="207"/>
  </r>
  <r>
    <n v="1098897"/>
    <x v="100"/>
    <x v="3"/>
    <x v="222"/>
    <x v="205"/>
  </r>
  <r>
    <n v="1098897"/>
    <x v="100"/>
    <x v="3"/>
    <x v="211"/>
    <x v="153"/>
  </r>
  <r>
    <n v="1098897"/>
    <x v="100"/>
    <x v="3"/>
    <x v="208"/>
    <x v="197"/>
  </r>
  <r>
    <n v="1098897"/>
    <x v="100"/>
    <x v="3"/>
    <x v="265"/>
    <x v="176"/>
  </r>
  <r>
    <n v="1098897"/>
    <x v="100"/>
    <x v="3"/>
    <x v="260"/>
    <x v="225"/>
  </r>
  <r>
    <n v="1098897"/>
    <x v="100"/>
    <x v="3"/>
    <x v="207"/>
    <x v="196"/>
  </r>
  <r>
    <n v="1098897"/>
    <x v="100"/>
    <x v="3"/>
    <x v="219"/>
    <x v="203"/>
  </r>
  <r>
    <n v="1098897"/>
    <x v="100"/>
    <x v="3"/>
    <x v="248"/>
    <x v="161"/>
  </r>
  <r>
    <n v="1098897"/>
    <x v="100"/>
    <x v="3"/>
    <x v="241"/>
    <x v="217"/>
  </r>
  <r>
    <n v="1098897"/>
    <x v="100"/>
    <x v="3"/>
    <x v="237"/>
    <x v="215"/>
  </r>
  <r>
    <n v="1098897"/>
    <x v="100"/>
    <x v="3"/>
    <x v="249"/>
    <x v="220"/>
  </r>
  <r>
    <n v="1098897"/>
    <x v="100"/>
    <x v="3"/>
    <x v="228"/>
    <x v="208"/>
  </r>
  <r>
    <n v="1098897"/>
    <x v="100"/>
    <x v="3"/>
    <x v="220"/>
    <x v="105"/>
  </r>
  <r>
    <n v="1098897"/>
    <x v="100"/>
    <x v="3"/>
    <x v="244"/>
    <x v="213"/>
  </r>
  <r>
    <n v="1098897"/>
    <x v="100"/>
    <x v="3"/>
    <x v="240"/>
    <x v="82"/>
  </r>
  <r>
    <n v="1098897"/>
    <x v="100"/>
    <x v="3"/>
    <x v="235"/>
    <x v="214"/>
  </r>
  <r>
    <n v="1098897"/>
    <x v="100"/>
    <x v="3"/>
    <x v="231"/>
    <x v="211"/>
  </r>
  <r>
    <n v="1098897"/>
    <x v="100"/>
    <x v="3"/>
    <x v="226"/>
    <x v="206"/>
  </r>
  <r>
    <n v="1098897"/>
    <x v="100"/>
    <x v="3"/>
    <x v="216"/>
    <x v="114"/>
  </r>
  <r>
    <n v="1098897"/>
    <x v="100"/>
    <x v="3"/>
    <x v="212"/>
    <x v="199"/>
  </r>
  <r>
    <n v="1098897"/>
    <x v="100"/>
    <x v="3"/>
    <x v="264"/>
    <x v="153"/>
  </r>
  <r>
    <n v="1098897"/>
    <x v="100"/>
    <x v="3"/>
    <x v="259"/>
    <x v="197"/>
  </r>
  <r>
    <n v="1098897"/>
    <x v="100"/>
    <x v="3"/>
    <x v="253"/>
    <x v="119"/>
  </r>
  <r>
    <n v="1098897"/>
    <x v="100"/>
    <x v="3"/>
    <x v="223"/>
    <x v="3"/>
  </r>
  <r>
    <n v="1098897"/>
    <x v="100"/>
    <x v="3"/>
    <x v="213"/>
    <x v="200"/>
  </r>
  <r>
    <n v="1098897"/>
    <x v="100"/>
    <x v="3"/>
    <x v="250"/>
    <x v="34"/>
  </r>
  <r>
    <n v="1098897"/>
    <x v="100"/>
    <x v="3"/>
    <x v="204"/>
    <x v="97"/>
  </r>
  <r>
    <n v="1098897"/>
    <x v="100"/>
    <x v="3"/>
    <x v="261"/>
    <x v="92"/>
  </r>
  <r>
    <n v="1098897"/>
    <x v="100"/>
    <x v="3"/>
    <x v="256"/>
    <x v="223"/>
  </r>
  <r>
    <n v="1098897"/>
    <x v="100"/>
    <x v="3"/>
    <x v="254"/>
    <x v="221"/>
  </r>
  <r>
    <n v="1098897"/>
    <x v="1"/>
    <x v="1"/>
    <x v="2"/>
    <x v="2"/>
  </r>
  <r>
    <n v="1098902"/>
    <x v="101"/>
    <x v="0"/>
    <x v="38"/>
    <x v="247"/>
  </r>
  <r>
    <n v="1098902"/>
    <x v="101"/>
    <x v="0"/>
    <x v="41"/>
    <x v="433"/>
  </r>
  <r>
    <n v="1098902"/>
    <x v="101"/>
    <x v="0"/>
    <x v="30"/>
    <x v="434"/>
  </r>
  <r>
    <n v="1098902"/>
    <x v="1"/>
    <x v="1"/>
    <x v="2"/>
    <x v="2"/>
  </r>
  <r>
    <n v="1098921"/>
    <x v="102"/>
    <x v="4"/>
    <x v="16"/>
    <x v="2"/>
  </r>
  <r>
    <n v="1098921"/>
    <x v="1"/>
    <x v="1"/>
    <x v="2"/>
    <x v="2"/>
  </r>
  <r>
    <n v="1098936"/>
    <x v="103"/>
    <x v="2"/>
    <x v="390"/>
    <x v="426"/>
  </r>
  <r>
    <n v="1098936"/>
    <x v="103"/>
    <x v="2"/>
    <x v="388"/>
    <x v="424"/>
  </r>
  <r>
    <n v="1098936"/>
    <x v="103"/>
    <x v="2"/>
    <x v="389"/>
    <x v="425"/>
  </r>
  <r>
    <n v="1098936"/>
    <x v="103"/>
    <x v="2"/>
    <x v="387"/>
    <x v="423"/>
  </r>
  <r>
    <n v="1098936"/>
    <x v="1"/>
    <x v="1"/>
    <x v="2"/>
    <x v="2"/>
  </r>
  <r>
    <n v="1098939"/>
    <x v="104"/>
    <x v="8"/>
    <x v="188"/>
    <x v="435"/>
  </r>
  <r>
    <n v="1098939"/>
    <x v="104"/>
    <x v="8"/>
    <x v="171"/>
    <x v="395"/>
  </r>
  <r>
    <n v="1098939"/>
    <x v="104"/>
    <x v="8"/>
    <x v="176"/>
    <x v="436"/>
  </r>
  <r>
    <n v="1098939"/>
    <x v="104"/>
    <x v="8"/>
    <x v="182"/>
    <x v="202"/>
  </r>
  <r>
    <n v="1098939"/>
    <x v="104"/>
    <x v="8"/>
    <x v="190"/>
    <x v="437"/>
  </r>
  <r>
    <n v="1098939"/>
    <x v="104"/>
    <x v="8"/>
    <x v="184"/>
    <x v="232"/>
  </r>
  <r>
    <n v="1098939"/>
    <x v="104"/>
    <x v="8"/>
    <x v="180"/>
    <x v="294"/>
  </r>
  <r>
    <n v="1098939"/>
    <x v="104"/>
    <x v="8"/>
    <x v="178"/>
    <x v="238"/>
  </r>
  <r>
    <n v="1098939"/>
    <x v="104"/>
    <x v="8"/>
    <x v="195"/>
    <x v="438"/>
  </r>
  <r>
    <n v="1098939"/>
    <x v="104"/>
    <x v="8"/>
    <x v="172"/>
    <x v="439"/>
  </r>
  <r>
    <n v="1098939"/>
    <x v="104"/>
    <x v="8"/>
    <x v="177"/>
    <x v="440"/>
  </r>
  <r>
    <n v="1098939"/>
    <x v="104"/>
    <x v="8"/>
    <x v="183"/>
    <x v="441"/>
  </r>
  <r>
    <n v="1098939"/>
    <x v="104"/>
    <x v="8"/>
    <x v="194"/>
    <x v="212"/>
  </r>
  <r>
    <n v="1098939"/>
    <x v="104"/>
    <x v="8"/>
    <x v="173"/>
    <x v="220"/>
  </r>
  <r>
    <n v="1098939"/>
    <x v="104"/>
    <x v="8"/>
    <x v="185"/>
    <x v="347"/>
  </r>
  <r>
    <n v="1098939"/>
    <x v="104"/>
    <x v="8"/>
    <x v="168"/>
    <x v="442"/>
  </r>
  <r>
    <n v="1098939"/>
    <x v="104"/>
    <x v="8"/>
    <x v="179"/>
    <x v="225"/>
  </r>
  <r>
    <n v="1098939"/>
    <x v="104"/>
    <x v="8"/>
    <x v="193"/>
    <x v="443"/>
  </r>
  <r>
    <n v="1098939"/>
    <x v="104"/>
    <x v="8"/>
    <x v="186"/>
    <x v="444"/>
  </r>
  <r>
    <n v="1098939"/>
    <x v="104"/>
    <x v="8"/>
    <x v="169"/>
    <x v="76"/>
  </r>
  <r>
    <n v="1098939"/>
    <x v="104"/>
    <x v="8"/>
    <x v="174"/>
    <x v="445"/>
  </r>
  <r>
    <n v="1098939"/>
    <x v="104"/>
    <x v="8"/>
    <x v="192"/>
    <x v="442"/>
  </r>
  <r>
    <n v="1098939"/>
    <x v="104"/>
    <x v="8"/>
    <x v="187"/>
    <x v="446"/>
  </r>
  <r>
    <n v="1098939"/>
    <x v="104"/>
    <x v="8"/>
    <x v="170"/>
    <x v="447"/>
  </r>
  <r>
    <n v="1098939"/>
    <x v="104"/>
    <x v="8"/>
    <x v="175"/>
    <x v="211"/>
  </r>
  <r>
    <n v="1098939"/>
    <x v="104"/>
    <x v="8"/>
    <x v="181"/>
    <x v="448"/>
  </r>
  <r>
    <n v="1098939"/>
    <x v="104"/>
    <x v="8"/>
    <x v="191"/>
    <x v="38"/>
  </r>
  <r>
    <n v="1098939"/>
    <x v="1"/>
    <x v="1"/>
    <x v="2"/>
    <x v="2"/>
  </r>
  <r>
    <n v="1098942"/>
    <x v="105"/>
    <x v="14"/>
    <x v="391"/>
    <x v="2"/>
  </r>
  <r>
    <n v="1098942"/>
    <x v="1"/>
    <x v="1"/>
    <x v="2"/>
    <x v="2"/>
  </r>
  <r>
    <n v="1098943"/>
    <x v="106"/>
    <x v="5"/>
    <x v="21"/>
    <x v="162"/>
  </r>
  <r>
    <n v="1098943"/>
    <x v="106"/>
    <x v="5"/>
    <x v="397"/>
    <x v="218"/>
  </r>
  <r>
    <n v="1098943"/>
    <x v="106"/>
    <x v="5"/>
    <x v="398"/>
    <x v="153"/>
  </r>
  <r>
    <n v="1098943"/>
    <x v="106"/>
    <x v="5"/>
    <x v="399"/>
    <x v="449"/>
  </r>
  <r>
    <n v="1098943"/>
    <x v="106"/>
    <x v="5"/>
    <x v="22"/>
    <x v="213"/>
  </r>
  <r>
    <n v="1098943"/>
    <x v="106"/>
    <x v="5"/>
    <x v="400"/>
    <x v="185"/>
  </r>
  <r>
    <n v="1098943"/>
    <x v="106"/>
    <x v="5"/>
    <x v="401"/>
    <x v="105"/>
  </r>
  <r>
    <n v="1098943"/>
    <x v="106"/>
    <x v="5"/>
    <x v="402"/>
    <x v="135"/>
  </r>
  <r>
    <n v="1098943"/>
    <x v="106"/>
    <x v="5"/>
    <x v="19"/>
    <x v="64"/>
  </r>
  <r>
    <n v="1098943"/>
    <x v="106"/>
    <x v="5"/>
    <x v="403"/>
    <x v="450"/>
  </r>
  <r>
    <n v="1098943"/>
    <x v="106"/>
    <x v="5"/>
    <x v="85"/>
    <x v="451"/>
  </r>
  <r>
    <n v="1098943"/>
    <x v="106"/>
    <x v="5"/>
    <x v="275"/>
    <x v="452"/>
  </r>
  <r>
    <n v="1098943"/>
    <x v="106"/>
    <x v="5"/>
    <x v="404"/>
    <x v="225"/>
  </r>
  <r>
    <n v="1098943"/>
    <x v="106"/>
    <x v="5"/>
    <x v="405"/>
    <x v="146"/>
  </r>
  <r>
    <n v="1098943"/>
    <x v="106"/>
    <x v="5"/>
    <x v="86"/>
    <x v="453"/>
  </r>
  <r>
    <n v="1098943"/>
    <x v="106"/>
    <x v="5"/>
    <x v="406"/>
    <x v="105"/>
  </r>
  <r>
    <n v="1098943"/>
    <x v="106"/>
    <x v="5"/>
    <x v="306"/>
    <x v="231"/>
  </r>
  <r>
    <n v="1098943"/>
    <x v="106"/>
    <x v="5"/>
    <x v="273"/>
    <x v="454"/>
  </r>
  <r>
    <n v="1098943"/>
    <x v="106"/>
    <x v="5"/>
    <x v="407"/>
    <x v="455"/>
  </r>
  <r>
    <n v="1098943"/>
    <x v="106"/>
    <x v="5"/>
    <x v="408"/>
    <x v="179"/>
  </r>
  <r>
    <n v="1098943"/>
    <x v="106"/>
    <x v="5"/>
    <x v="20"/>
    <x v="456"/>
  </r>
  <r>
    <n v="1098943"/>
    <x v="106"/>
    <x v="5"/>
    <x v="18"/>
    <x v="457"/>
  </r>
  <r>
    <n v="1098943"/>
    <x v="106"/>
    <x v="5"/>
    <x v="409"/>
    <x v="114"/>
  </r>
  <r>
    <n v="1098943"/>
    <x v="106"/>
    <x v="5"/>
    <x v="308"/>
    <x v="155"/>
  </r>
  <r>
    <n v="1098943"/>
    <x v="106"/>
    <x v="5"/>
    <x v="410"/>
    <x v="72"/>
  </r>
  <r>
    <n v="1098943"/>
    <x v="106"/>
    <x v="5"/>
    <x v="411"/>
    <x v="113"/>
  </r>
  <r>
    <n v="1098943"/>
    <x v="106"/>
    <x v="5"/>
    <x v="412"/>
    <x v="154"/>
  </r>
  <r>
    <n v="1098943"/>
    <x v="106"/>
    <x v="5"/>
    <x v="274"/>
    <x v="458"/>
  </r>
  <r>
    <n v="1098943"/>
    <x v="106"/>
    <x v="5"/>
    <x v="413"/>
    <x v="117"/>
  </r>
  <r>
    <n v="1098943"/>
    <x v="106"/>
    <x v="5"/>
    <x v="414"/>
    <x v="78"/>
  </r>
  <r>
    <n v="1098943"/>
    <x v="106"/>
    <x v="5"/>
    <x v="415"/>
    <x v="459"/>
  </r>
  <r>
    <n v="1098943"/>
    <x v="106"/>
    <x v="5"/>
    <x v="416"/>
    <x v="460"/>
  </r>
  <r>
    <n v="1098943"/>
    <x v="106"/>
    <x v="5"/>
    <x v="307"/>
    <x v="461"/>
  </r>
  <r>
    <n v="1098943"/>
    <x v="106"/>
    <x v="5"/>
    <x v="417"/>
    <x v="339"/>
  </r>
  <r>
    <n v="1098943"/>
    <x v="106"/>
    <x v="5"/>
    <x v="23"/>
    <x v="213"/>
  </r>
  <r>
    <n v="1098943"/>
    <x v="1"/>
    <x v="1"/>
    <x v="2"/>
    <x v="2"/>
  </r>
  <r>
    <n v="1098953"/>
    <x v="107"/>
    <x v="5"/>
    <x v="276"/>
    <x v="2"/>
  </r>
  <r>
    <n v="1098953"/>
    <x v="1"/>
    <x v="1"/>
    <x v="2"/>
    <x v="2"/>
  </r>
  <r>
    <n v="1098954"/>
    <x v="108"/>
    <x v="2"/>
    <x v="67"/>
    <x v="99"/>
  </r>
  <r>
    <n v="1098954"/>
    <x v="108"/>
    <x v="2"/>
    <x v="72"/>
    <x v="100"/>
  </r>
  <r>
    <n v="1098954"/>
    <x v="108"/>
    <x v="2"/>
    <x v="81"/>
    <x v="106"/>
  </r>
  <r>
    <n v="1098954"/>
    <x v="108"/>
    <x v="2"/>
    <x v="83"/>
    <x v="105"/>
  </r>
  <r>
    <n v="1098954"/>
    <x v="108"/>
    <x v="2"/>
    <x v="59"/>
    <x v="104"/>
  </r>
  <r>
    <n v="1098954"/>
    <x v="108"/>
    <x v="2"/>
    <x v="80"/>
    <x v="102"/>
  </r>
  <r>
    <n v="1098954"/>
    <x v="108"/>
    <x v="2"/>
    <x v="57"/>
    <x v="101"/>
  </r>
  <r>
    <n v="1098954"/>
    <x v="108"/>
    <x v="2"/>
    <x v="73"/>
    <x v="34"/>
  </r>
  <r>
    <n v="1098954"/>
    <x v="108"/>
    <x v="2"/>
    <x v="55"/>
    <x v="54"/>
  </r>
  <r>
    <n v="1098954"/>
    <x v="108"/>
    <x v="2"/>
    <x v="64"/>
    <x v="107"/>
  </r>
  <r>
    <n v="1098954"/>
    <x v="108"/>
    <x v="2"/>
    <x v="69"/>
    <x v="103"/>
  </r>
  <r>
    <n v="1098954"/>
    <x v="1"/>
    <x v="1"/>
    <x v="2"/>
    <x v="2"/>
  </r>
  <r>
    <n v="1098955"/>
    <x v="109"/>
    <x v="5"/>
    <x v="376"/>
    <x v="462"/>
  </r>
  <r>
    <n v="1098955"/>
    <x v="109"/>
    <x v="5"/>
    <x v="374"/>
    <x v="463"/>
  </r>
  <r>
    <n v="1098955"/>
    <x v="109"/>
    <x v="5"/>
    <x v="372"/>
    <x v="464"/>
  </r>
  <r>
    <n v="1098955"/>
    <x v="109"/>
    <x v="5"/>
    <x v="373"/>
    <x v="465"/>
  </r>
  <r>
    <n v="1098955"/>
    <x v="109"/>
    <x v="5"/>
    <x v="375"/>
    <x v="466"/>
  </r>
  <r>
    <n v="1098955"/>
    <x v="1"/>
    <x v="1"/>
    <x v="2"/>
    <x v="2"/>
  </r>
  <r>
    <n v="1098957"/>
    <x v="110"/>
    <x v="8"/>
    <x v="164"/>
    <x v="2"/>
  </r>
  <r>
    <n v="1098957"/>
    <x v="1"/>
    <x v="1"/>
    <x v="2"/>
    <x v="2"/>
  </r>
  <r>
    <n v="1098966"/>
    <x v="111"/>
    <x v="2"/>
    <x v="76"/>
    <x v="231"/>
  </r>
  <r>
    <n v="1098966"/>
    <x v="111"/>
    <x v="2"/>
    <x v="82"/>
    <x v="162"/>
  </r>
  <r>
    <n v="1098966"/>
    <x v="111"/>
    <x v="2"/>
    <x v="77"/>
    <x v="236"/>
  </r>
  <r>
    <n v="1098966"/>
    <x v="111"/>
    <x v="2"/>
    <x v="78"/>
    <x v="235"/>
  </r>
  <r>
    <n v="1098966"/>
    <x v="111"/>
    <x v="2"/>
    <x v="65"/>
    <x v="98"/>
  </r>
  <r>
    <n v="1098966"/>
    <x v="111"/>
    <x v="2"/>
    <x v="66"/>
    <x v="231"/>
  </r>
  <r>
    <n v="1098966"/>
    <x v="111"/>
    <x v="2"/>
    <x v="68"/>
    <x v="230"/>
  </r>
  <r>
    <n v="1098966"/>
    <x v="111"/>
    <x v="2"/>
    <x v="60"/>
    <x v="229"/>
  </r>
  <r>
    <n v="1098966"/>
    <x v="111"/>
    <x v="2"/>
    <x v="75"/>
    <x v="173"/>
  </r>
  <r>
    <n v="1098966"/>
    <x v="111"/>
    <x v="2"/>
    <x v="71"/>
    <x v="111"/>
  </r>
  <r>
    <n v="1098966"/>
    <x v="111"/>
    <x v="2"/>
    <x v="74"/>
    <x v="51"/>
  </r>
  <r>
    <n v="1098966"/>
    <x v="111"/>
    <x v="2"/>
    <x v="62"/>
    <x v="153"/>
  </r>
  <r>
    <n v="1098966"/>
    <x v="111"/>
    <x v="2"/>
    <x v="70"/>
    <x v="197"/>
  </r>
  <r>
    <n v="1098966"/>
    <x v="111"/>
    <x v="2"/>
    <x v="63"/>
    <x v="97"/>
  </r>
  <r>
    <n v="1098966"/>
    <x v="111"/>
    <x v="2"/>
    <x v="58"/>
    <x v="233"/>
  </r>
  <r>
    <n v="1098966"/>
    <x v="111"/>
    <x v="2"/>
    <x v="79"/>
    <x v="227"/>
  </r>
  <r>
    <n v="1098966"/>
    <x v="111"/>
    <x v="2"/>
    <x v="56"/>
    <x v="228"/>
  </r>
  <r>
    <n v="1098966"/>
    <x v="111"/>
    <x v="2"/>
    <x v="61"/>
    <x v="234"/>
  </r>
  <r>
    <n v="1098966"/>
    <x v="111"/>
    <x v="2"/>
    <x v="84"/>
    <x v="232"/>
  </r>
  <r>
    <n v="1098966"/>
    <x v="1"/>
    <x v="1"/>
    <x v="2"/>
    <x v="2"/>
  </r>
  <r>
    <n v="1098971"/>
    <x v="112"/>
    <x v="2"/>
    <x v="418"/>
    <x v="2"/>
  </r>
  <r>
    <n v="1098971"/>
    <x v="1"/>
    <x v="1"/>
    <x v="2"/>
    <x v="2"/>
  </r>
  <r>
    <n v="1098976"/>
    <x v="113"/>
    <x v="3"/>
    <x v="217"/>
    <x v="201"/>
  </r>
  <r>
    <n v="1098976"/>
    <x v="113"/>
    <x v="3"/>
    <x v="219"/>
    <x v="203"/>
  </r>
  <r>
    <n v="1098976"/>
    <x v="113"/>
    <x v="3"/>
    <x v="218"/>
    <x v="202"/>
  </r>
  <r>
    <n v="1098976"/>
    <x v="113"/>
    <x v="3"/>
    <x v="220"/>
    <x v="105"/>
  </r>
  <r>
    <n v="1098976"/>
    <x v="113"/>
    <x v="3"/>
    <x v="221"/>
    <x v="204"/>
  </r>
  <r>
    <n v="1098976"/>
    <x v="113"/>
    <x v="3"/>
    <x v="251"/>
    <x v="176"/>
  </r>
  <r>
    <n v="1098976"/>
    <x v="113"/>
    <x v="3"/>
    <x v="253"/>
    <x v="119"/>
  </r>
  <r>
    <n v="1098976"/>
    <x v="113"/>
    <x v="3"/>
    <x v="254"/>
    <x v="221"/>
  </r>
  <r>
    <n v="1098976"/>
    <x v="113"/>
    <x v="3"/>
    <x v="255"/>
    <x v="222"/>
  </r>
  <r>
    <n v="1098976"/>
    <x v="113"/>
    <x v="3"/>
    <x v="256"/>
    <x v="223"/>
  </r>
  <r>
    <n v="1098976"/>
    <x v="113"/>
    <x v="3"/>
    <x v="257"/>
    <x v="224"/>
  </r>
  <r>
    <n v="1098976"/>
    <x v="113"/>
    <x v="3"/>
    <x v="258"/>
    <x v="77"/>
  </r>
  <r>
    <n v="1098976"/>
    <x v="113"/>
    <x v="3"/>
    <x v="259"/>
    <x v="197"/>
  </r>
  <r>
    <n v="1098976"/>
    <x v="113"/>
    <x v="3"/>
    <x v="260"/>
    <x v="225"/>
  </r>
  <r>
    <n v="1098976"/>
    <x v="113"/>
    <x v="3"/>
    <x v="261"/>
    <x v="92"/>
  </r>
  <r>
    <n v="1098976"/>
    <x v="113"/>
    <x v="3"/>
    <x v="249"/>
    <x v="220"/>
  </r>
  <r>
    <n v="1098976"/>
    <x v="113"/>
    <x v="3"/>
    <x v="262"/>
    <x v="164"/>
  </r>
  <r>
    <n v="1098976"/>
    <x v="113"/>
    <x v="3"/>
    <x v="263"/>
    <x v="226"/>
  </r>
  <r>
    <n v="1098976"/>
    <x v="113"/>
    <x v="3"/>
    <x v="264"/>
    <x v="153"/>
  </r>
  <r>
    <n v="1098976"/>
    <x v="113"/>
    <x v="3"/>
    <x v="265"/>
    <x v="176"/>
  </r>
  <r>
    <n v="1098976"/>
    <x v="113"/>
    <x v="3"/>
    <x v="204"/>
    <x v="97"/>
  </r>
  <r>
    <n v="1098976"/>
    <x v="113"/>
    <x v="3"/>
    <x v="205"/>
    <x v="77"/>
  </r>
  <r>
    <n v="1098976"/>
    <x v="113"/>
    <x v="3"/>
    <x v="206"/>
    <x v="144"/>
  </r>
  <r>
    <n v="1098976"/>
    <x v="113"/>
    <x v="3"/>
    <x v="207"/>
    <x v="196"/>
  </r>
  <r>
    <n v="1098976"/>
    <x v="113"/>
    <x v="3"/>
    <x v="208"/>
    <x v="197"/>
  </r>
  <r>
    <n v="1098976"/>
    <x v="113"/>
    <x v="3"/>
    <x v="250"/>
    <x v="34"/>
  </r>
  <r>
    <n v="1098976"/>
    <x v="113"/>
    <x v="3"/>
    <x v="209"/>
    <x v="198"/>
  </r>
  <r>
    <n v="1098976"/>
    <x v="113"/>
    <x v="3"/>
    <x v="210"/>
    <x v="147"/>
  </r>
  <r>
    <n v="1098976"/>
    <x v="113"/>
    <x v="3"/>
    <x v="211"/>
    <x v="153"/>
  </r>
  <r>
    <n v="1098976"/>
    <x v="113"/>
    <x v="3"/>
    <x v="212"/>
    <x v="199"/>
  </r>
  <r>
    <n v="1098976"/>
    <x v="113"/>
    <x v="3"/>
    <x v="213"/>
    <x v="200"/>
  </r>
  <r>
    <n v="1098976"/>
    <x v="113"/>
    <x v="3"/>
    <x v="214"/>
    <x v="77"/>
  </r>
  <r>
    <n v="1098976"/>
    <x v="113"/>
    <x v="3"/>
    <x v="215"/>
    <x v="77"/>
  </r>
  <r>
    <n v="1098976"/>
    <x v="113"/>
    <x v="3"/>
    <x v="216"/>
    <x v="114"/>
  </r>
  <r>
    <n v="1098976"/>
    <x v="113"/>
    <x v="3"/>
    <x v="222"/>
    <x v="205"/>
  </r>
  <r>
    <n v="1098976"/>
    <x v="113"/>
    <x v="3"/>
    <x v="223"/>
    <x v="3"/>
  </r>
  <r>
    <n v="1098976"/>
    <x v="113"/>
    <x v="3"/>
    <x v="224"/>
    <x v="93"/>
  </r>
  <r>
    <n v="1098976"/>
    <x v="113"/>
    <x v="3"/>
    <x v="225"/>
    <x v="59"/>
  </r>
  <r>
    <n v="1098976"/>
    <x v="113"/>
    <x v="3"/>
    <x v="226"/>
    <x v="206"/>
  </r>
  <r>
    <n v="1098976"/>
    <x v="113"/>
    <x v="3"/>
    <x v="227"/>
    <x v="207"/>
  </r>
  <r>
    <n v="1098976"/>
    <x v="113"/>
    <x v="3"/>
    <x v="228"/>
    <x v="208"/>
  </r>
  <r>
    <n v="1098976"/>
    <x v="113"/>
    <x v="3"/>
    <x v="229"/>
    <x v="209"/>
  </r>
  <r>
    <n v="1098976"/>
    <x v="113"/>
    <x v="3"/>
    <x v="230"/>
    <x v="210"/>
  </r>
  <r>
    <n v="1098976"/>
    <x v="113"/>
    <x v="3"/>
    <x v="231"/>
    <x v="211"/>
  </r>
  <r>
    <n v="1098976"/>
    <x v="113"/>
    <x v="3"/>
    <x v="232"/>
    <x v="212"/>
  </r>
  <r>
    <n v="1098976"/>
    <x v="113"/>
    <x v="3"/>
    <x v="233"/>
    <x v="213"/>
  </r>
  <r>
    <n v="1098976"/>
    <x v="113"/>
    <x v="3"/>
    <x v="234"/>
    <x v="175"/>
  </r>
  <r>
    <n v="1098976"/>
    <x v="113"/>
    <x v="3"/>
    <x v="235"/>
    <x v="214"/>
  </r>
  <r>
    <n v="1098976"/>
    <x v="113"/>
    <x v="3"/>
    <x v="236"/>
    <x v="173"/>
  </r>
  <r>
    <n v="1098976"/>
    <x v="113"/>
    <x v="3"/>
    <x v="237"/>
    <x v="215"/>
  </r>
  <r>
    <n v="1098976"/>
    <x v="113"/>
    <x v="3"/>
    <x v="238"/>
    <x v="216"/>
  </r>
  <r>
    <n v="1098976"/>
    <x v="113"/>
    <x v="3"/>
    <x v="239"/>
    <x v="119"/>
  </r>
  <r>
    <n v="1098976"/>
    <x v="113"/>
    <x v="3"/>
    <x v="240"/>
    <x v="82"/>
  </r>
  <r>
    <n v="1098976"/>
    <x v="113"/>
    <x v="3"/>
    <x v="241"/>
    <x v="217"/>
  </r>
  <r>
    <n v="1098976"/>
    <x v="113"/>
    <x v="3"/>
    <x v="242"/>
    <x v="85"/>
  </r>
  <r>
    <n v="1098976"/>
    <x v="113"/>
    <x v="3"/>
    <x v="252"/>
    <x v="97"/>
  </r>
  <r>
    <n v="1098976"/>
    <x v="113"/>
    <x v="3"/>
    <x v="243"/>
    <x v="163"/>
  </r>
  <r>
    <n v="1098976"/>
    <x v="113"/>
    <x v="3"/>
    <x v="244"/>
    <x v="213"/>
  </r>
  <r>
    <n v="1098976"/>
    <x v="113"/>
    <x v="3"/>
    <x v="245"/>
    <x v="218"/>
  </r>
  <r>
    <n v="1098976"/>
    <x v="113"/>
    <x v="3"/>
    <x v="246"/>
    <x v="219"/>
  </r>
  <r>
    <n v="1098976"/>
    <x v="113"/>
    <x v="3"/>
    <x v="247"/>
    <x v="119"/>
  </r>
  <r>
    <n v="1098976"/>
    <x v="113"/>
    <x v="3"/>
    <x v="248"/>
    <x v="161"/>
  </r>
  <r>
    <n v="1098976"/>
    <x v="1"/>
    <x v="1"/>
    <x v="2"/>
    <x v="2"/>
  </r>
  <r>
    <n v="1098984"/>
    <x v="114"/>
    <x v="2"/>
    <x v="72"/>
    <x v="467"/>
  </r>
  <r>
    <n v="1098984"/>
    <x v="114"/>
    <x v="2"/>
    <x v="73"/>
    <x v="156"/>
  </r>
  <r>
    <n v="1098984"/>
    <x v="114"/>
    <x v="2"/>
    <x v="67"/>
    <x v="468"/>
  </r>
  <r>
    <n v="1098984"/>
    <x v="114"/>
    <x v="2"/>
    <x v="69"/>
    <x v="469"/>
  </r>
  <r>
    <n v="1098984"/>
    <x v="114"/>
    <x v="2"/>
    <x v="55"/>
    <x v="148"/>
  </r>
  <r>
    <n v="1098984"/>
    <x v="114"/>
    <x v="2"/>
    <x v="80"/>
    <x v="470"/>
  </r>
  <r>
    <n v="1098984"/>
    <x v="114"/>
    <x v="2"/>
    <x v="57"/>
    <x v="471"/>
  </r>
  <r>
    <n v="1098984"/>
    <x v="1"/>
    <x v="1"/>
    <x v="2"/>
    <x v="2"/>
  </r>
  <r>
    <n v="1098986"/>
    <x v="115"/>
    <x v="2"/>
    <x v="276"/>
    <x v="2"/>
  </r>
  <r>
    <n v="1098986"/>
    <x v="1"/>
    <x v="1"/>
    <x v="2"/>
    <x v="2"/>
  </r>
  <r>
    <n v="1098989"/>
    <x v="116"/>
    <x v="2"/>
    <x v="353"/>
    <x v="2"/>
  </r>
  <r>
    <n v="1098989"/>
    <x v="1"/>
    <x v="1"/>
    <x v="2"/>
    <x v="2"/>
  </r>
  <r>
    <n v="1098992"/>
    <x v="117"/>
    <x v="10"/>
    <x v="330"/>
    <x v="2"/>
  </r>
  <r>
    <n v="1098992"/>
    <x v="1"/>
    <x v="1"/>
    <x v="2"/>
    <x v="2"/>
  </r>
  <r>
    <n v="1098998"/>
    <x v="118"/>
    <x v="4"/>
    <x v="16"/>
    <x v="14"/>
  </r>
  <r>
    <n v="1098998"/>
    <x v="118"/>
    <x v="4"/>
    <x v="17"/>
    <x v="15"/>
  </r>
  <r>
    <n v="1098998"/>
    <x v="1"/>
    <x v="1"/>
    <x v="2"/>
    <x v="2"/>
  </r>
  <r>
    <n v="1099017"/>
    <x v="119"/>
    <x v="2"/>
    <x v="82"/>
    <x v="185"/>
  </r>
  <r>
    <n v="1099017"/>
    <x v="119"/>
    <x v="2"/>
    <x v="77"/>
    <x v="184"/>
  </r>
  <r>
    <n v="1099017"/>
    <x v="119"/>
    <x v="2"/>
    <x v="78"/>
    <x v="183"/>
  </r>
  <r>
    <n v="1099017"/>
    <x v="1"/>
    <x v="1"/>
    <x v="2"/>
    <x v="2"/>
  </r>
  <r>
    <n v="1099018"/>
    <x v="120"/>
    <x v="2"/>
    <x v="82"/>
    <x v="238"/>
  </r>
  <r>
    <n v="1099018"/>
    <x v="120"/>
    <x v="2"/>
    <x v="78"/>
    <x v="237"/>
  </r>
  <r>
    <n v="1099018"/>
    <x v="1"/>
    <x v="1"/>
    <x v="2"/>
    <x v="2"/>
  </r>
  <r>
    <n v="1099020"/>
    <x v="121"/>
    <x v="8"/>
    <x v="183"/>
    <x v="472"/>
  </r>
  <r>
    <n v="1099020"/>
    <x v="121"/>
    <x v="8"/>
    <x v="182"/>
    <x v="69"/>
  </r>
  <r>
    <n v="1099020"/>
    <x v="121"/>
    <x v="8"/>
    <x v="190"/>
    <x v="71"/>
  </r>
  <r>
    <n v="1099020"/>
    <x v="121"/>
    <x v="8"/>
    <x v="184"/>
    <x v="135"/>
  </r>
  <r>
    <n v="1099020"/>
    <x v="121"/>
    <x v="8"/>
    <x v="172"/>
    <x v="473"/>
  </r>
  <r>
    <n v="1099020"/>
    <x v="121"/>
    <x v="8"/>
    <x v="194"/>
    <x v="474"/>
  </r>
  <r>
    <n v="1099020"/>
    <x v="121"/>
    <x v="8"/>
    <x v="195"/>
    <x v="475"/>
  </r>
  <r>
    <n v="1099020"/>
    <x v="121"/>
    <x v="8"/>
    <x v="173"/>
    <x v="148"/>
  </r>
  <r>
    <n v="1099020"/>
    <x v="121"/>
    <x v="8"/>
    <x v="185"/>
    <x v="34"/>
  </r>
  <r>
    <n v="1099020"/>
    <x v="121"/>
    <x v="8"/>
    <x v="179"/>
    <x v="226"/>
  </r>
  <r>
    <n v="1099020"/>
    <x v="121"/>
    <x v="8"/>
    <x v="186"/>
    <x v="476"/>
  </r>
  <r>
    <n v="1099020"/>
    <x v="121"/>
    <x v="8"/>
    <x v="174"/>
    <x v="477"/>
  </r>
  <r>
    <n v="1099020"/>
    <x v="121"/>
    <x v="8"/>
    <x v="180"/>
    <x v="19"/>
  </r>
  <r>
    <n v="1099020"/>
    <x v="121"/>
    <x v="8"/>
    <x v="187"/>
    <x v="478"/>
  </r>
  <r>
    <n v="1099020"/>
    <x v="121"/>
    <x v="8"/>
    <x v="191"/>
    <x v="479"/>
  </r>
  <r>
    <n v="1099020"/>
    <x v="121"/>
    <x v="8"/>
    <x v="175"/>
    <x v="258"/>
  </r>
  <r>
    <n v="1099020"/>
    <x v="121"/>
    <x v="8"/>
    <x v="178"/>
    <x v="387"/>
  </r>
  <r>
    <n v="1099020"/>
    <x v="121"/>
    <x v="8"/>
    <x v="169"/>
    <x v="368"/>
  </r>
  <r>
    <n v="1099020"/>
    <x v="121"/>
    <x v="8"/>
    <x v="170"/>
    <x v="480"/>
  </r>
  <r>
    <n v="1099020"/>
    <x v="121"/>
    <x v="8"/>
    <x v="188"/>
    <x v="481"/>
  </r>
  <r>
    <n v="1099020"/>
    <x v="121"/>
    <x v="8"/>
    <x v="168"/>
    <x v="65"/>
  </r>
  <r>
    <n v="1099020"/>
    <x v="121"/>
    <x v="8"/>
    <x v="193"/>
    <x v="482"/>
  </r>
  <r>
    <n v="1099020"/>
    <x v="121"/>
    <x v="8"/>
    <x v="192"/>
    <x v="65"/>
  </r>
  <r>
    <n v="1099020"/>
    <x v="121"/>
    <x v="8"/>
    <x v="181"/>
    <x v="294"/>
  </r>
  <r>
    <n v="1099020"/>
    <x v="121"/>
    <x v="8"/>
    <x v="171"/>
    <x v="331"/>
  </r>
  <r>
    <n v="1099020"/>
    <x v="121"/>
    <x v="8"/>
    <x v="176"/>
    <x v="483"/>
  </r>
  <r>
    <n v="1099020"/>
    <x v="121"/>
    <x v="8"/>
    <x v="189"/>
    <x v="484"/>
  </r>
  <r>
    <n v="1099020"/>
    <x v="121"/>
    <x v="8"/>
    <x v="177"/>
    <x v="485"/>
  </r>
  <r>
    <n v="1099020"/>
    <x v="1"/>
    <x v="1"/>
    <x v="2"/>
    <x v="2"/>
  </r>
  <r>
    <n v="1099039"/>
    <x v="122"/>
    <x v="5"/>
    <x v="353"/>
    <x v="2"/>
  </r>
  <r>
    <n v="1099039"/>
    <x v="1"/>
    <x v="1"/>
    <x v="2"/>
    <x v="2"/>
  </r>
  <r>
    <n v="1099050"/>
    <x v="123"/>
    <x v="5"/>
    <x v="415"/>
    <x v="486"/>
  </r>
  <r>
    <n v="1099050"/>
    <x v="123"/>
    <x v="5"/>
    <x v="416"/>
    <x v="487"/>
  </r>
  <r>
    <n v="1099050"/>
    <x v="123"/>
    <x v="5"/>
    <x v="399"/>
    <x v="488"/>
  </r>
  <r>
    <n v="1099050"/>
    <x v="123"/>
    <x v="5"/>
    <x v="401"/>
    <x v="326"/>
  </r>
  <r>
    <n v="1099050"/>
    <x v="123"/>
    <x v="5"/>
    <x v="398"/>
    <x v="489"/>
  </r>
  <r>
    <n v="1099050"/>
    <x v="123"/>
    <x v="5"/>
    <x v="403"/>
    <x v="490"/>
  </r>
  <r>
    <n v="1099050"/>
    <x v="1"/>
    <x v="1"/>
    <x v="2"/>
    <x v="2"/>
  </r>
  <r>
    <n v="1099052"/>
    <x v="124"/>
    <x v="2"/>
    <x v="76"/>
    <x v="231"/>
  </r>
  <r>
    <n v="1099052"/>
    <x v="124"/>
    <x v="2"/>
    <x v="71"/>
    <x v="111"/>
  </r>
  <r>
    <n v="1099052"/>
    <x v="124"/>
    <x v="2"/>
    <x v="74"/>
    <x v="51"/>
  </r>
  <r>
    <n v="1099052"/>
    <x v="124"/>
    <x v="2"/>
    <x v="58"/>
    <x v="233"/>
  </r>
  <r>
    <n v="1099052"/>
    <x v="124"/>
    <x v="2"/>
    <x v="84"/>
    <x v="232"/>
  </r>
  <r>
    <n v="1099052"/>
    <x v="124"/>
    <x v="2"/>
    <x v="79"/>
    <x v="227"/>
  </r>
  <r>
    <n v="1099052"/>
    <x v="124"/>
    <x v="2"/>
    <x v="82"/>
    <x v="162"/>
  </r>
  <r>
    <n v="1099052"/>
    <x v="124"/>
    <x v="2"/>
    <x v="77"/>
    <x v="236"/>
  </r>
  <r>
    <n v="1099052"/>
    <x v="124"/>
    <x v="2"/>
    <x v="61"/>
    <x v="234"/>
  </r>
  <r>
    <n v="1099052"/>
    <x v="124"/>
    <x v="2"/>
    <x v="70"/>
    <x v="197"/>
  </r>
  <r>
    <n v="1099052"/>
    <x v="124"/>
    <x v="2"/>
    <x v="78"/>
    <x v="235"/>
  </r>
  <r>
    <n v="1099052"/>
    <x v="124"/>
    <x v="2"/>
    <x v="65"/>
    <x v="98"/>
  </r>
  <r>
    <n v="1099052"/>
    <x v="124"/>
    <x v="2"/>
    <x v="66"/>
    <x v="231"/>
  </r>
  <r>
    <n v="1099052"/>
    <x v="124"/>
    <x v="2"/>
    <x v="68"/>
    <x v="230"/>
  </r>
  <r>
    <n v="1099052"/>
    <x v="124"/>
    <x v="2"/>
    <x v="60"/>
    <x v="229"/>
  </r>
  <r>
    <n v="1099052"/>
    <x v="124"/>
    <x v="2"/>
    <x v="63"/>
    <x v="97"/>
  </r>
  <r>
    <n v="1099052"/>
    <x v="124"/>
    <x v="2"/>
    <x v="56"/>
    <x v="228"/>
  </r>
  <r>
    <n v="1099052"/>
    <x v="124"/>
    <x v="2"/>
    <x v="75"/>
    <x v="173"/>
  </r>
  <r>
    <n v="1099052"/>
    <x v="124"/>
    <x v="2"/>
    <x v="62"/>
    <x v="153"/>
  </r>
  <r>
    <n v="1099052"/>
    <x v="1"/>
    <x v="1"/>
    <x v="2"/>
    <x v="2"/>
  </r>
  <r>
    <n v="1099063"/>
    <x v="125"/>
    <x v="2"/>
    <x v="77"/>
    <x v="184"/>
  </r>
  <r>
    <n v="1099063"/>
    <x v="125"/>
    <x v="2"/>
    <x v="78"/>
    <x v="183"/>
  </r>
  <r>
    <n v="1099063"/>
    <x v="125"/>
    <x v="2"/>
    <x v="82"/>
    <x v="185"/>
  </r>
  <r>
    <n v="1099063"/>
    <x v="1"/>
    <x v="1"/>
    <x v="2"/>
    <x v="2"/>
  </r>
  <r>
    <n v="1099066"/>
    <x v="126"/>
    <x v="10"/>
    <x v="330"/>
    <x v="2"/>
  </r>
  <r>
    <n v="1099066"/>
    <x v="1"/>
    <x v="1"/>
    <x v="2"/>
    <x v="2"/>
  </r>
  <r>
    <n v="1099070"/>
    <x v="127"/>
    <x v="4"/>
    <x v="16"/>
    <x v="14"/>
  </r>
  <r>
    <n v="1099070"/>
    <x v="127"/>
    <x v="4"/>
    <x v="17"/>
    <x v="15"/>
  </r>
  <r>
    <n v="1099070"/>
    <x v="1"/>
    <x v="1"/>
    <x v="2"/>
    <x v="2"/>
  </r>
  <r>
    <n v="1099076"/>
    <x v="128"/>
    <x v="2"/>
    <x v="419"/>
    <x v="491"/>
  </r>
  <r>
    <n v="1099076"/>
    <x v="128"/>
    <x v="2"/>
    <x v="420"/>
    <x v="492"/>
  </r>
  <r>
    <n v="1099076"/>
    <x v="1"/>
    <x v="1"/>
    <x v="2"/>
    <x v="2"/>
  </r>
  <r>
    <n v="1099078"/>
    <x v="129"/>
    <x v="3"/>
    <x v="235"/>
    <x v="214"/>
  </r>
  <r>
    <n v="1099078"/>
    <x v="129"/>
    <x v="3"/>
    <x v="252"/>
    <x v="97"/>
  </r>
  <r>
    <n v="1099078"/>
    <x v="129"/>
    <x v="3"/>
    <x v="238"/>
    <x v="216"/>
  </r>
  <r>
    <n v="1099078"/>
    <x v="129"/>
    <x v="3"/>
    <x v="239"/>
    <x v="119"/>
  </r>
  <r>
    <n v="1099078"/>
    <x v="129"/>
    <x v="3"/>
    <x v="247"/>
    <x v="119"/>
  </r>
  <r>
    <n v="1099078"/>
    <x v="129"/>
    <x v="3"/>
    <x v="240"/>
    <x v="82"/>
  </r>
  <r>
    <n v="1099078"/>
    <x v="129"/>
    <x v="3"/>
    <x v="241"/>
    <x v="217"/>
  </r>
  <r>
    <n v="1099078"/>
    <x v="129"/>
    <x v="3"/>
    <x v="242"/>
    <x v="85"/>
  </r>
  <r>
    <n v="1099078"/>
    <x v="129"/>
    <x v="3"/>
    <x v="243"/>
    <x v="163"/>
  </r>
  <r>
    <n v="1099078"/>
    <x v="129"/>
    <x v="3"/>
    <x v="244"/>
    <x v="213"/>
  </r>
  <r>
    <n v="1099078"/>
    <x v="129"/>
    <x v="3"/>
    <x v="245"/>
    <x v="218"/>
  </r>
  <r>
    <n v="1099078"/>
    <x v="129"/>
    <x v="3"/>
    <x v="246"/>
    <x v="219"/>
  </r>
  <r>
    <n v="1099078"/>
    <x v="129"/>
    <x v="3"/>
    <x v="218"/>
    <x v="202"/>
  </r>
  <r>
    <n v="1099078"/>
    <x v="129"/>
    <x v="3"/>
    <x v="217"/>
    <x v="201"/>
  </r>
  <r>
    <n v="1099078"/>
    <x v="129"/>
    <x v="3"/>
    <x v="220"/>
    <x v="105"/>
  </r>
  <r>
    <n v="1099078"/>
    <x v="129"/>
    <x v="3"/>
    <x v="248"/>
    <x v="161"/>
  </r>
  <r>
    <n v="1099078"/>
    <x v="129"/>
    <x v="3"/>
    <x v="219"/>
    <x v="203"/>
  </r>
  <r>
    <n v="1099078"/>
    <x v="129"/>
    <x v="3"/>
    <x v="221"/>
    <x v="204"/>
  </r>
  <r>
    <n v="1099078"/>
    <x v="129"/>
    <x v="3"/>
    <x v="251"/>
    <x v="176"/>
  </r>
  <r>
    <n v="1099078"/>
    <x v="129"/>
    <x v="3"/>
    <x v="253"/>
    <x v="119"/>
  </r>
  <r>
    <n v="1099078"/>
    <x v="129"/>
    <x v="3"/>
    <x v="254"/>
    <x v="221"/>
  </r>
  <r>
    <n v="1099078"/>
    <x v="129"/>
    <x v="3"/>
    <x v="256"/>
    <x v="223"/>
  </r>
  <r>
    <n v="1099078"/>
    <x v="129"/>
    <x v="3"/>
    <x v="257"/>
    <x v="224"/>
  </r>
  <r>
    <n v="1099078"/>
    <x v="129"/>
    <x v="3"/>
    <x v="258"/>
    <x v="77"/>
  </r>
  <r>
    <n v="1099078"/>
    <x v="129"/>
    <x v="3"/>
    <x v="259"/>
    <x v="197"/>
  </r>
  <r>
    <n v="1099078"/>
    <x v="129"/>
    <x v="3"/>
    <x v="260"/>
    <x v="225"/>
  </r>
  <r>
    <n v="1099078"/>
    <x v="129"/>
    <x v="3"/>
    <x v="261"/>
    <x v="92"/>
  </r>
  <r>
    <n v="1099078"/>
    <x v="129"/>
    <x v="3"/>
    <x v="249"/>
    <x v="220"/>
  </r>
  <r>
    <n v="1099078"/>
    <x v="129"/>
    <x v="3"/>
    <x v="262"/>
    <x v="164"/>
  </r>
  <r>
    <n v="1099078"/>
    <x v="129"/>
    <x v="3"/>
    <x v="263"/>
    <x v="226"/>
  </r>
  <r>
    <n v="1099078"/>
    <x v="129"/>
    <x v="3"/>
    <x v="265"/>
    <x v="176"/>
  </r>
  <r>
    <n v="1099078"/>
    <x v="129"/>
    <x v="3"/>
    <x v="204"/>
    <x v="97"/>
  </r>
  <r>
    <n v="1099078"/>
    <x v="129"/>
    <x v="3"/>
    <x v="205"/>
    <x v="77"/>
  </r>
  <r>
    <n v="1099078"/>
    <x v="129"/>
    <x v="3"/>
    <x v="206"/>
    <x v="144"/>
  </r>
  <r>
    <n v="1099078"/>
    <x v="129"/>
    <x v="3"/>
    <x v="207"/>
    <x v="196"/>
  </r>
  <r>
    <n v="1099078"/>
    <x v="129"/>
    <x v="3"/>
    <x v="208"/>
    <x v="197"/>
  </r>
  <r>
    <n v="1099078"/>
    <x v="129"/>
    <x v="3"/>
    <x v="250"/>
    <x v="34"/>
  </r>
  <r>
    <n v="1099078"/>
    <x v="129"/>
    <x v="3"/>
    <x v="209"/>
    <x v="198"/>
  </r>
  <r>
    <n v="1099078"/>
    <x v="129"/>
    <x v="3"/>
    <x v="210"/>
    <x v="147"/>
  </r>
  <r>
    <n v="1099078"/>
    <x v="129"/>
    <x v="3"/>
    <x v="212"/>
    <x v="199"/>
  </r>
  <r>
    <n v="1099078"/>
    <x v="129"/>
    <x v="3"/>
    <x v="213"/>
    <x v="200"/>
  </r>
  <r>
    <n v="1099078"/>
    <x v="129"/>
    <x v="3"/>
    <x v="214"/>
    <x v="77"/>
  </r>
  <r>
    <n v="1099078"/>
    <x v="129"/>
    <x v="3"/>
    <x v="215"/>
    <x v="77"/>
  </r>
  <r>
    <n v="1099078"/>
    <x v="129"/>
    <x v="3"/>
    <x v="216"/>
    <x v="114"/>
  </r>
  <r>
    <n v="1099078"/>
    <x v="129"/>
    <x v="3"/>
    <x v="222"/>
    <x v="205"/>
  </r>
  <r>
    <n v="1099078"/>
    <x v="129"/>
    <x v="3"/>
    <x v="223"/>
    <x v="3"/>
  </r>
  <r>
    <n v="1099078"/>
    <x v="129"/>
    <x v="3"/>
    <x v="224"/>
    <x v="93"/>
  </r>
  <r>
    <n v="1099078"/>
    <x v="129"/>
    <x v="3"/>
    <x v="225"/>
    <x v="59"/>
  </r>
  <r>
    <n v="1099078"/>
    <x v="129"/>
    <x v="3"/>
    <x v="227"/>
    <x v="207"/>
  </r>
  <r>
    <n v="1099078"/>
    <x v="129"/>
    <x v="3"/>
    <x v="228"/>
    <x v="208"/>
  </r>
  <r>
    <n v="1099078"/>
    <x v="129"/>
    <x v="3"/>
    <x v="229"/>
    <x v="209"/>
  </r>
  <r>
    <n v="1099078"/>
    <x v="129"/>
    <x v="3"/>
    <x v="230"/>
    <x v="210"/>
  </r>
  <r>
    <n v="1099078"/>
    <x v="129"/>
    <x v="3"/>
    <x v="231"/>
    <x v="211"/>
  </r>
  <r>
    <n v="1099078"/>
    <x v="129"/>
    <x v="3"/>
    <x v="232"/>
    <x v="212"/>
  </r>
  <r>
    <n v="1099078"/>
    <x v="129"/>
    <x v="3"/>
    <x v="233"/>
    <x v="213"/>
  </r>
  <r>
    <n v="1099078"/>
    <x v="129"/>
    <x v="3"/>
    <x v="234"/>
    <x v="175"/>
  </r>
  <r>
    <n v="1099078"/>
    <x v="129"/>
    <x v="3"/>
    <x v="236"/>
    <x v="173"/>
  </r>
  <r>
    <n v="1099078"/>
    <x v="129"/>
    <x v="3"/>
    <x v="237"/>
    <x v="215"/>
  </r>
  <r>
    <n v="1099078"/>
    <x v="129"/>
    <x v="3"/>
    <x v="255"/>
    <x v="222"/>
  </r>
  <r>
    <n v="1099078"/>
    <x v="129"/>
    <x v="3"/>
    <x v="264"/>
    <x v="153"/>
  </r>
  <r>
    <n v="1099078"/>
    <x v="129"/>
    <x v="3"/>
    <x v="211"/>
    <x v="153"/>
  </r>
  <r>
    <n v="1099078"/>
    <x v="129"/>
    <x v="3"/>
    <x v="226"/>
    <x v="206"/>
  </r>
  <r>
    <n v="1099078"/>
    <x v="1"/>
    <x v="1"/>
    <x v="2"/>
    <x v="2"/>
  </r>
  <r>
    <n v="1099080"/>
    <x v="130"/>
    <x v="2"/>
    <x v="202"/>
    <x v="493"/>
  </r>
  <r>
    <n v="1099080"/>
    <x v="130"/>
    <x v="2"/>
    <x v="200"/>
    <x v="494"/>
  </r>
  <r>
    <n v="1099080"/>
    <x v="130"/>
    <x v="2"/>
    <x v="390"/>
    <x v="495"/>
  </r>
  <r>
    <n v="1099080"/>
    <x v="130"/>
    <x v="2"/>
    <x v="203"/>
    <x v="496"/>
  </r>
  <r>
    <n v="1099080"/>
    <x v="130"/>
    <x v="2"/>
    <x v="201"/>
    <x v="121"/>
  </r>
  <r>
    <n v="1099080"/>
    <x v="130"/>
    <x v="2"/>
    <x v="199"/>
    <x v="497"/>
  </r>
  <r>
    <n v="1099080"/>
    <x v="130"/>
    <x v="2"/>
    <x v="389"/>
    <x v="498"/>
  </r>
  <r>
    <n v="1099080"/>
    <x v="130"/>
    <x v="2"/>
    <x v="388"/>
    <x v="499"/>
  </r>
  <r>
    <n v="1099080"/>
    <x v="130"/>
    <x v="2"/>
    <x v="387"/>
    <x v="500"/>
  </r>
  <r>
    <n v="1099080"/>
    <x v="130"/>
    <x v="2"/>
    <x v="4"/>
    <x v="3"/>
  </r>
  <r>
    <n v="1099080"/>
    <x v="130"/>
    <x v="2"/>
    <x v="3"/>
    <x v="372"/>
  </r>
  <r>
    <n v="1099080"/>
    <x v="1"/>
    <x v="1"/>
    <x v="2"/>
    <x v="2"/>
  </r>
  <r>
    <n v="1099082"/>
    <x v="131"/>
    <x v="5"/>
    <x v="119"/>
    <x v="2"/>
  </r>
  <r>
    <n v="1099082"/>
    <x v="1"/>
    <x v="1"/>
    <x v="2"/>
    <x v="2"/>
  </r>
  <r>
    <n v="1099089"/>
    <x v="132"/>
    <x v="6"/>
    <x v="292"/>
    <x v="267"/>
  </r>
  <r>
    <n v="1099089"/>
    <x v="132"/>
    <x v="6"/>
    <x v="297"/>
    <x v="30"/>
  </r>
  <r>
    <n v="1099089"/>
    <x v="132"/>
    <x v="6"/>
    <x v="296"/>
    <x v="271"/>
  </r>
  <r>
    <n v="1099089"/>
    <x v="132"/>
    <x v="6"/>
    <x v="294"/>
    <x v="269"/>
  </r>
  <r>
    <n v="1099089"/>
    <x v="132"/>
    <x v="6"/>
    <x v="298"/>
    <x v="272"/>
  </r>
  <r>
    <n v="1099089"/>
    <x v="132"/>
    <x v="6"/>
    <x v="295"/>
    <x v="270"/>
  </r>
  <r>
    <n v="1099089"/>
    <x v="132"/>
    <x v="6"/>
    <x v="291"/>
    <x v="5"/>
  </r>
  <r>
    <n v="1099089"/>
    <x v="132"/>
    <x v="6"/>
    <x v="293"/>
    <x v="268"/>
  </r>
  <r>
    <n v="1099089"/>
    <x v="132"/>
    <x v="6"/>
    <x v="290"/>
    <x v="266"/>
  </r>
  <r>
    <n v="1099089"/>
    <x v="1"/>
    <x v="1"/>
    <x v="2"/>
    <x v="2"/>
  </r>
  <r>
    <n v="1099092"/>
    <x v="133"/>
    <x v="3"/>
    <x v="263"/>
    <x v="226"/>
  </r>
  <r>
    <n v="1099092"/>
    <x v="133"/>
    <x v="3"/>
    <x v="264"/>
    <x v="153"/>
  </r>
  <r>
    <n v="1099092"/>
    <x v="133"/>
    <x v="3"/>
    <x v="265"/>
    <x v="176"/>
  </r>
  <r>
    <n v="1099092"/>
    <x v="133"/>
    <x v="3"/>
    <x v="205"/>
    <x v="77"/>
  </r>
  <r>
    <n v="1099092"/>
    <x v="133"/>
    <x v="3"/>
    <x v="250"/>
    <x v="34"/>
  </r>
  <r>
    <n v="1099092"/>
    <x v="133"/>
    <x v="3"/>
    <x v="209"/>
    <x v="198"/>
  </r>
  <r>
    <n v="1099092"/>
    <x v="133"/>
    <x v="3"/>
    <x v="210"/>
    <x v="147"/>
  </r>
  <r>
    <n v="1099092"/>
    <x v="133"/>
    <x v="3"/>
    <x v="211"/>
    <x v="153"/>
  </r>
  <r>
    <n v="1099092"/>
    <x v="133"/>
    <x v="3"/>
    <x v="212"/>
    <x v="199"/>
  </r>
  <r>
    <n v="1099092"/>
    <x v="133"/>
    <x v="3"/>
    <x v="214"/>
    <x v="77"/>
  </r>
  <r>
    <n v="1099092"/>
    <x v="133"/>
    <x v="3"/>
    <x v="223"/>
    <x v="3"/>
  </r>
  <r>
    <n v="1099092"/>
    <x v="133"/>
    <x v="3"/>
    <x v="224"/>
    <x v="93"/>
  </r>
  <r>
    <n v="1099092"/>
    <x v="133"/>
    <x v="3"/>
    <x v="225"/>
    <x v="59"/>
  </r>
  <r>
    <n v="1099092"/>
    <x v="133"/>
    <x v="3"/>
    <x v="226"/>
    <x v="206"/>
  </r>
  <r>
    <n v="1099092"/>
    <x v="133"/>
    <x v="3"/>
    <x v="227"/>
    <x v="207"/>
  </r>
  <r>
    <n v="1099092"/>
    <x v="133"/>
    <x v="3"/>
    <x v="232"/>
    <x v="212"/>
  </r>
  <r>
    <n v="1099092"/>
    <x v="133"/>
    <x v="3"/>
    <x v="233"/>
    <x v="213"/>
  </r>
  <r>
    <n v="1099092"/>
    <x v="133"/>
    <x v="3"/>
    <x v="234"/>
    <x v="175"/>
  </r>
  <r>
    <n v="1099092"/>
    <x v="133"/>
    <x v="3"/>
    <x v="235"/>
    <x v="214"/>
  </r>
  <r>
    <n v="1099092"/>
    <x v="133"/>
    <x v="3"/>
    <x v="236"/>
    <x v="173"/>
  </r>
  <r>
    <n v="1099092"/>
    <x v="133"/>
    <x v="3"/>
    <x v="238"/>
    <x v="216"/>
  </r>
  <r>
    <n v="1099092"/>
    <x v="133"/>
    <x v="3"/>
    <x v="252"/>
    <x v="97"/>
  </r>
  <r>
    <n v="1099092"/>
    <x v="133"/>
    <x v="3"/>
    <x v="240"/>
    <x v="82"/>
  </r>
  <r>
    <n v="1099092"/>
    <x v="133"/>
    <x v="3"/>
    <x v="241"/>
    <x v="217"/>
  </r>
  <r>
    <n v="1099092"/>
    <x v="133"/>
    <x v="3"/>
    <x v="242"/>
    <x v="85"/>
  </r>
  <r>
    <n v="1099092"/>
    <x v="133"/>
    <x v="3"/>
    <x v="243"/>
    <x v="163"/>
  </r>
  <r>
    <n v="1099092"/>
    <x v="133"/>
    <x v="3"/>
    <x v="217"/>
    <x v="201"/>
  </r>
  <r>
    <n v="1099092"/>
    <x v="133"/>
    <x v="3"/>
    <x v="244"/>
    <x v="213"/>
  </r>
  <r>
    <n v="1099092"/>
    <x v="133"/>
    <x v="3"/>
    <x v="245"/>
    <x v="218"/>
  </r>
  <r>
    <n v="1099092"/>
    <x v="133"/>
    <x v="3"/>
    <x v="246"/>
    <x v="219"/>
  </r>
  <r>
    <n v="1099092"/>
    <x v="133"/>
    <x v="3"/>
    <x v="247"/>
    <x v="119"/>
  </r>
  <r>
    <n v="1099092"/>
    <x v="133"/>
    <x v="3"/>
    <x v="248"/>
    <x v="161"/>
  </r>
  <r>
    <n v="1099092"/>
    <x v="133"/>
    <x v="3"/>
    <x v="218"/>
    <x v="202"/>
  </r>
  <r>
    <n v="1099092"/>
    <x v="133"/>
    <x v="3"/>
    <x v="219"/>
    <x v="203"/>
  </r>
  <r>
    <n v="1099092"/>
    <x v="133"/>
    <x v="3"/>
    <x v="220"/>
    <x v="105"/>
  </r>
  <r>
    <n v="1099092"/>
    <x v="133"/>
    <x v="3"/>
    <x v="221"/>
    <x v="204"/>
  </r>
  <r>
    <n v="1099092"/>
    <x v="133"/>
    <x v="3"/>
    <x v="257"/>
    <x v="224"/>
  </r>
  <r>
    <n v="1099092"/>
    <x v="133"/>
    <x v="3"/>
    <x v="259"/>
    <x v="197"/>
  </r>
  <r>
    <n v="1099092"/>
    <x v="133"/>
    <x v="3"/>
    <x v="260"/>
    <x v="225"/>
  </r>
  <r>
    <n v="1099092"/>
    <x v="133"/>
    <x v="3"/>
    <x v="261"/>
    <x v="92"/>
  </r>
  <r>
    <n v="1099092"/>
    <x v="133"/>
    <x v="3"/>
    <x v="204"/>
    <x v="97"/>
  </r>
  <r>
    <n v="1099092"/>
    <x v="133"/>
    <x v="3"/>
    <x v="206"/>
    <x v="144"/>
  </r>
  <r>
    <n v="1099092"/>
    <x v="133"/>
    <x v="3"/>
    <x v="207"/>
    <x v="196"/>
  </r>
  <r>
    <n v="1099092"/>
    <x v="133"/>
    <x v="3"/>
    <x v="208"/>
    <x v="197"/>
  </r>
  <r>
    <n v="1099092"/>
    <x v="133"/>
    <x v="3"/>
    <x v="213"/>
    <x v="200"/>
  </r>
  <r>
    <n v="1099092"/>
    <x v="133"/>
    <x v="3"/>
    <x v="215"/>
    <x v="77"/>
  </r>
  <r>
    <n v="1099092"/>
    <x v="133"/>
    <x v="3"/>
    <x v="216"/>
    <x v="114"/>
  </r>
  <r>
    <n v="1099092"/>
    <x v="133"/>
    <x v="3"/>
    <x v="222"/>
    <x v="205"/>
  </r>
  <r>
    <n v="1099092"/>
    <x v="133"/>
    <x v="3"/>
    <x v="228"/>
    <x v="208"/>
  </r>
  <r>
    <n v="1099092"/>
    <x v="133"/>
    <x v="3"/>
    <x v="229"/>
    <x v="209"/>
  </r>
  <r>
    <n v="1099092"/>
    <x v="133"/>
    <x v="3"/>
    <x v="230"/>
    <x v="210"/>
  </r>
  <r>
    <n v="1099092"/>
    <x v="133"/>
    <x v="3"/>
    <x v="231"/>
    <x v="211"/>
  </r>
  <r>
    <n v="1099092"/>
    <x v="133"/>
    <x v="3"/>
    <x v="237"/>
    <x v="215"/>
  </r>
  <r>
    <n v="1099092"/>
    <x v="133"/>
    <x v="3"/>
    <x v="239"/>
    <x v="119"/>
  </r>
  <r>
    <n v="1099092"/>
    <x v="133"/>
    <x v="3"/>
    <x v="251"/>
    <x v="176"/>
  </r>
  <r>
    <n v="1099092"/>
    <x v="133"/>
    <x v="3"/>
    <x v="253"/>
    <x v="119"/>
  </r>
  <r>
    <n v="1099092"/>
    <x v="133"/>
    <x v="3"/>
    <x v="254"/>
    <x v="221"/>
  </r>
  <r>
    <n v="1099092"/>
    <x v="133"/>
    <x v="3"/>
    <x v="255"/>
    <x v="222"/>
  </r>
  <r>
    <n v="1099092"/>
    <x v="133"/>
    <x v="3"/>
    <x v="256"/>
    <x v="223"/>
  </r>
  <r>
    <n v="1099092"/>
    <x v="133"/>
    <x v="3"/>
    <x v="258"/>
    <x v="77"/>
  </r>
  <r>
    <n v="1099092"/>
    <x v="133"/>
    <x v="3"/>
    <x v="249"/>
    <x v="220"/>
  </r>
  <r>
    <n v="1099092"/>
    <x v="133"/>
    <x v="3"/>
    <x v="262"/>
    <x v="164"/>
  </r>
  <r>
    <n v="1099092"/>
    <x v="1"/>
    <x v="1"/>
    <x v="2"/>
    <x v="2"/>
  </r>
  <r>
    <n v="1099095"/>
    <x v="134"/>
    <x v="3"/>
    <x v="247"/>
    <x v="119"/>
  </r>
  <r>
    <n v="1099095"/>
    <x v="134"/>
    <x v="3"/>
    <x v="248"/>
    <x v="161"/>
  </r>
  <r>
    <n v="1099095"/>
    <x v="134"/>
    <x v="3"/>
    <x v="219"/>
    <x v="203"/>
  </r>
  <r>
    <n v="1099095"/>
    <x v="134"/>
    <x v="3"/>
    <x v="217"/>
    <x v="201"/>
  </r>
  <r>
    <n v="1099095"/>
    <x v="134"/>
    <x v="3"/>
    <x v="218"/>
    <x v="202"/>
  </r>
  <r>
    <n v="1099095"/>
    <x v="134"/>
    <x v="3"/>
    <x v="244"/>
    <x v="213"/>
  </r>
  <r>
    <n v="1099095"/>
    <x v="134"/>
    <x v="3"/>
    <x v="245"/>
    <x v="218"/>
  </r>
  <r>
    <n v="1099095"/>
    <x v="134"/>
    <x v="3"/>
    <x v="220"/>
    <x v="105"/>
  </r>
  <r>
    <n v="1099095"/>
    <x v="134"/>
    <x v="3"/>
    <x v="221"/>
    <x v="204"/>
  </r>
  <r>
    <n v="1099095"/>
    <x v="134"/>
    <x v="3"/>
    <x v="252"/>
    <x v="97"/>
  </r>
  <r>
    <n v="1099095"/>
    <x v="134"/>
    <x v="3"/>
    <x v="251"/>
    <x v="176"/>
  </r>
  <r>
    <n v="1099095"/>
    <x v="134"/>
    <x v="3"/>
    <x v="254"/>
    <x v="221"/>
  </r>
  <r>
    <n v="1099095"/>
    <x v="134"/>
    <x v="3"/>
    <x v="253"/>
    <x v="119"/>
  </r>
  <r>
    <n v="1099095"/>
    <x v="134"/>
    <x v="3"/>
    <x v="234"/>
    <x v="175"/>
  </r>
  <r>
    <n v="1099095"/>
    <x v="134"/>
    <x v="3"/>
    <x v="255"/>
    <x v="222"/>
  </r>
  <r>
    <n v="1099095"/>
    <x v="134"/>
    <x v="3"/>
    <x v="256"/>
    <x v="223"/>
  </r>
  <r>
    <n v="1099095"/>
    <x v="134"/>
    <x v="3"/>
    <x v="257"/>
    <x v="224"/>
  </r>
  <r>
    <n v="1099095"/>
    <x v="134"/>
    <x v="3"/>
    <x v="258"/>
    <x v="77"/>
  </r>
  <r>
    <n v="1099095"/>
    <x v="134"/>
    <x v="3"/>
    <x v="259"/>
    <x v="197"/>
  </r>
  <r>
    <n v="1099095"/>
    <x v="134"/>
    <x v="3"/>
    <x v="260"/>
    <x v="225"/>
  </r>
  <r>
    <n v="1099095"/>
    <x v="134"/>
    <x v="3"/>
    <x v="261"/>
    <x v="92"/>
  </r>
  <r>
    <n v="1099095"/>
    <x v="134"/>
    <x v="3"/>
    <x v="249"/>
    <x v="220"/>
  </r>
  <r>
    <n v="1099095"/>
    <x v="134"/>
    <x v="3"/>
    <x v="262"/>
    <x v="164"/>
  </r>
  <r>
    <n v="1099095"/>
    <x v="134"/>
    <x v="3"/>
    <x v="263"/>
    <x v="226"/>
  </r>
  <r>
    <n v="1099095"/>
    <x v="134"/>
    <x v="3"/>
    <x v="264"/>
    <x v="153"/>
  </r>
  <r>
    <n v="1099095"/>
    <x v="134"/>
    <x v="3"/>
    <x v="265"/>
    <x v="176"/>
  </r>
  <r>
    <n v="1099095"/>
    <x v="134"/>
    <x v="3"/>
    <x v="204"/>
    <x v="97"/>
  </r>
  <r>
    <n v="1099095"/>
    <x v="134"/>
    <x v="3"/>
    <x v="205"/>
    <x v="77"/>
  </r>
  <r>
    <n v="1099095"/>
    <x v="134"/>
    <x v="3"/>
    <x v="206"/>
    <x v="144"/>
  </r>
  <r>
    <n v="1099095"/>
    <x v="134"/>
    <x v="3"/>
    <x v="207"/>
    <x v="196"/>
  </r>
  <r>
    <n v="1099095"/>
    <x v="134"/>
    <x v="3"/>
    <x v="208"/>
    <x v="197"/>
  </r>
  <r>
    <n v="1099095"/>
    <x v="134"/>
    <x v="3"/>
    <x v="250"/>
    <x v="34"/>
  </r>
  <r>
    <n v="1099095"/>
    <x v="134"/>
    <x v="3"/>
    <x v="209"/>
    <x v="198"/>
  </r>
  <r>
    <n v="1099095"/>
    <x v="134"/>
    <x v="3"/>
    <x v="210"/>
    <x v="147"/>
  </r>
  <r>
    <n v="1099095"/>
    <x v="134"/>
    <x v="3"/>
    <x v="211"/>
    <x v="153"/>
  </r>
  <r>
    <n v="1099095"/>
    <x v="134"/>
    <x v="3"/>
    <x v="212"/>
    <x v="199"/>
  </r>
  <r>
    <n v="1099095"/>
    <x v="134"/>
    <x v="3"/>
    <x v="213"/>
    <x v="200"/>
  </r>
  <r>
    <n v="1099095"/>
    <x v="134"/>
    <x v="3"/>
    <x v="214"/>
    <x v="77"/>
  </r>
  <r>
    <n v="1099095"/>
    <x v="134"/>
    <x v="3"/>
    <x v="215"/>
    <x v="77"/>
  </r>
  <r>
    <n v="1099095"/>
    <x v="134"/>
    <x v="3"/>
    <x v="216"/>
    <x v="114"/>
  </r>
  <r>
    <n v="1099095"/>
    <x v="134"/>
    <x v="3"/>
    <x v="222"/>
    <x v="205"/>
  </r>
  <r>
    <n v="1099095"/>
    <x v="134"/>
    <x v="3"/>
    <x v="223"/>
    <x v="3"/>
  </r>
  <r>
    <n v="1099095"/>
    <x v="134"/>
    <x v="3"/>
    <x v="224"/>
    <x v="93"/>
  </r>
  <r>
    <n v="1099095"/>
    <x v="134"/>
    <x v="3"/>
    <x v="225"/>
    <x v="59"/>
  </r>
  <r>
    <n v="1099095"/>
    <x v="134"/>
    <x v="3"/>
    <x v="226"/>
    <x v="206"/>
  </r>
  <r>
    <n v="1099095"/>
    <x v="134"/>
    <x v="3"/>
    <x v="227"/>
    <x v="207"/>
  </r>
  <r>
    <n v="1099095"/>
    <x v="134"/>
    <x v="3"/>
    <x v="228"/>
    <x v="208"/>
  </r>
  <r>
    <n v="1099095"/>
    <x v="134"/>
    <x v="3"/>
    <x v="229"/>
    <x v="209"/>
  </r>
  <r>
    <n v="1099095"/>
    <x v="134"/>
    <x v="3"/>
    <x v="230"/>
    <x v="210"/>
  </r>
  <r>
    <n v="1099095"/>
    <x v="134"/>
    <x v="3"/>
    <x v="231"/>
    <x v="211"/>
  </r>
  <r>
    <n v="1099095"/>
    <x v="134"/>
    <x v="3"/>
    <x v="232"/>
    <x v="212"/>
  </r>
  <r>
    <n v="1099095"/>
    <x v="134"/>
    <x v="3"/>
    <x v="233"/>
    <x v="213"/>
  </r>
  <r>
    <n v="1099095"/>
    <x v="134"/>
    <x v="3"/>
    <x v="235"/>
    <x v="214"/>
  </r>
  <r>
    <n v="1099095"/>
    <x v="134"/>
    <x v="3"/>
    <x v="236"/>
    <x v="173"/>
  </r>
  <r>
    <n v="1099095"/>
    <x v="134"/>
    <x v="3"/>
    <x v="237"/>
    <x v="215"/>
  </r>
  <r>
    <n v="1099095"/>
    <x v="134"/>
    <x v="3"/>
    <x v="238"/>
    <x v="216"/>
  </r>
  <r>
    <n v="1099095"/>
    <x v="134"/>
    <x v="3"/>
    <x v="239"/>
    <x v="119"/>
  </r>
  <r>
    <n v="1099095"/>
    <x v="134"/>
    <x v="3"/>
    <x v="240"/>
    <x v="82"/>
  </r>
  <r>
    <n v="1099095"/>
    <x v="134"/>
    <x v="3"/>
    <x v="241"/>
    <x v="217"/>
  </r>
  <r>
    <n v="1099095"/>
    <x v="134"/>
    <x v="3"/>
    <x v="242"/>
    <x v="85"/>
  </r>
  <r>
    <n v="1099095"/>
    <x v="134"/>
    <x v="3"/>
    <x v="243"/>
    <x v="163"/>
  </r>
  <r>
    <n v="1099095"/>
    <x v="134"/>
    <x v="3"/>
    <x v="246"/>
    <x v="219"/>
  </r>
  <r>
    <n v="1099095"/>
    <x v="1"/>
    <x v="1"/>
    <x v="2"/>
    <x v="2"/>
  </r>
  <r>
    <n v="1099098"/>
    <x v="135"/>
    <x v="5"/>
    <x v="284"/>
    <x v="301"/>
  </r>
  <r>
    <n v="1099098"/>
    <x v="135"/>
    <x v="5"/>
    <x v="286"/>
    <x v="302"/>
  </r>
  <r>
    <n v="1099098"/>
    <x v="135"/>
    <x v="5"/>
    <x v="278"/>
    <x v="303"/>
  </r>
  <r>
    <n v="1099098"/>
    <x v="1"/>
    <x v="1"/>
    <x v="2"/>
    <x v="2"/>
  </r>
  <r>
    <n v="1099108"/>
    <x v="136"/>
    <x v="3"/>
    <x v="221"/>
    <x v="204"/>
  </r>
  <r>
    <n v="1099108"/>
    <x v="136"/>
    <x v="3"/>
    <x v="251"/>
    <x v="176"/>
  </r>
  <r>
    <n v="1099108"/>
    <x v="136"/>
    <x v="3"/>
    <x v="253"/>
    <x v="119"/>
  </r>
  <r>
    <n v="1099108"/>
    <x v="136"/>
    <x v="3"/>
    <x v="254"/>
    <x v="221"/>
  </r>
  <r>
    <n v="1099108"/>
    <x v="136"/>
    <x v="3"/>
    <x v="255"/>
    <x v="222"/>
  </r>
  <r>
    <n v="1099108"/>
    <x v="136"/>
    <x v="3"/>
    <x v="261"/>
    <x v="92"/>
  </r>
  <r>
    <n v="1099108"/>
    <x v="136"/>
    <x v="3"/>
    <x v="249"/>
    <x v="220"/>
  </r>
  <r>
    <n v="1099108"/>
    <x v="136"/>
    <x v="3"/>
    <x v="262"/>
    <x v="164"/>
  </r>
  <r>
    <n v="1099108"/>
    <x v="136"/>
    <x v="3"/>
    <x v="206"/>
    <x v="144"/>
  </r>
  <r>
    <n v="1099108"/>
    <x v="136"/>
    <x v="3"/>
    <x v="207"/>
    <x v="196"/>
  </r>
  <r>
    <n v="1099108"/>
    <x v="136"/>
    <x v="3"/>
    <x v="208"/>
    <x v="197"/>
  </r>
  <r>
    <n v="1099108"/>
    <x v="136"/>
    <x v="3"/>
    <x v="213"/>
    <x v="200"/>
  </r>
  <r>
    <n v="1099108"/>
    <x v="136"/>
    <x v="3"/>
    <x v="214"/>
    <x v="77"/>
  </r>
  <r>
    <n v="1099108"/>
    <x v="136"/>
    <x v="3"/>
    <x v="215"/>
    <x v="77"/>
  </r>
  <r>
    <n v="1099108"/>
    <x v="136"/>
    <x v="3"/>
    <x v="226"/>
    <x v="206"/>
  </r>
  <r>
    <n v="1099108"/>
    <x v="136"/>
    <x v="3"/>
    <x v="227"/>
    <x v="207"/>
  </r>
  <r>
    <n v="1099108"/>
    <x v="136"/>
    <x v="3"/>
    <x v="228"/>
    <x v="208"/>
  </r>
  <r>
    <n v="1099108"/>
    <x v="136"/>
    <x v="3"/>
    <x v="233"/>
    <x v="213"/>
  </r>
  <r>
    <n v="1099108"/>
    <x v="136"/>
    <x v="3"/>
    <x v="234"/>
    <x v="175"/>
  </r>
  <r>
    <n v="1099108"/>
    <x v="136"/>
    <x v="3"/>
    <x v="235"/>
    <x v="214"/>
  </r>
  <r>
    <n v="1099108"/>
    <x v="136"/>
    <x v="3"/>
    <x v="241"/>
    <x v="217"/>
  </r>
  <r>
    <n v="1099108"/>
    <x v="136"/>
    <x v="3"/>
    <x v="242"/>
    <x v="85"/>
  </r>
  <r>
    <n v="1099108"/>
    <x v="136"/>
    <x v="3"/>
    <x v="243"/>
    <x v="163"/>
  </r>
  <r>
    <n v="1099108"/>
    <x v="136"/>
    <x v="3"/>
    <x v="256"/>
    <x v="223"/>
  </r>
  <r>
    <n v="1099108"/>
    <x v="136"/>
    <x v="3"/>
    <x v="263"/>
    <x v="226"/>
  </r>
  <r>
    <n v="1099108"/>
    <x v="136"/>
    <x v="3"/>
    <x v="250"/>
    <x v="34"/>
  </r>
  <r>
    <n v="1099108"/>
    <x v="136"/>
    <x v="3"/>
    <x v="216"/>
    <x v="114"/>
  </r>
  <r>
    <n v="1099108"/>
    <x v="136"/>
    <x v="3"/>
    <x v="236"/>
    <x v="173"/>
  </r>
  <r>
    <n v="1099108"/>
    <x v="136"/>
    <x v="3"/>
    <x v="244"/>
    <x v="213"/>
  </r>
  <r>
    <n v="1099108"/>
    <x v="136"/>
    <x v="3"/>
    <x v="257"/>
    <x v="224"/>
  </r>
  <r>
    <n v="1099108"/>
    <x v="136"/>
    <x v="3"/>
    <x v="258"/>
    <x v="77"/>
  </r>
  <r>
    <n v="1099108"/>
    <x v="136"/>
    <x v="3"/>
    <x v="259"/>
    <x v="197"/>
  </r>
  <r>
    <n v="1099108"/>
    <x v="136"/>
    <x v="3"/>
    <x v="260"/>
    <x v="225"/>
  </r>
  <r>
    <n v="1099108"/>
    <x v="136"/>
    <x v="3"/>
    <x v="264"/>
    <x v="153"/>
  </r>
  <r>
    <n v="1099108"/>
    <x v="136"/>
    <x v="3"/>
    <x v="265"/>
    <x v="176"/>
  </r>
  <r>
    <n v="1099108"/>
    <x v="136"/>
    <x v="3"/>
    <x v="204"/>
    <x v="97"/>
  </r>
  <r>
    <n v="1099108"/>
    <x v="136"/>
    <x v="3"/>
    <x v="205"/>
    <x v="77"/>
  </r>
  <r>
    <n v="1099108"/>
    <x v="136"/>
    <x v="3"/>
    <x v="209"/>
    <x v="198"/>
  </r>
  <r>
    <n v="1099108"/>
    <x v="136"/>
    <x v="3"/>
    <x v="210"/>
    <x v="147"/>
  </r>
  <r>
    <n v="1099108"/>
    <x v="136"/>
    <x v="3"/>
    <x v="211"/>
    <x v="153"/>
  </r>
  <r>
    <n v="1099108"/>
    <x v="136"/>
    <x v="3"/>
    <x v="212"/>
    <x v="199"/>
  </r>
  <r>
    <n v="1099108"/>
    <x v="136"/>
    <x v="3"/>
    <x v="222"/>
    <x v="205"/>
  </r>
  <r>
    <n v="1099108"/>
    <x v="136"/>
    <x v="3"/>
    <x v="223"/>
    <x v="3"/>
  </r>
  <r>
    <n v="1099108"/>
    <x v="136"/>
    <x v="3"/>
    <x v="224"/>
    <x v="93"/>
  </r>
  <r>
    <n v="1099108"/>
    <x v="136"/>
    <x v="3"/>
    <x v="225"/>
    <x v="59"/>
  </r>
  <r>
    <n v="1099108"/>
    <x v="136"/>
    <x v="3"/>
    <x v="229"/>
    <x v="209"/>
  </r>
  <r>
    <n v="1099108"/>
    <x v="136"/>
    <x v="3"/>
    <x v="230"/>
    <x v="210"/>
  </r>
  <r>
    <n v="1099108"/>
    <x v="136"/>
    <x v="3"/>
    <x v="231"/>
    <x v="211"/>
  </r>
  <r>
    <n v="1099108"/>
    <x v="136"/>
    <x v="3"/>
    <x v="232"/>
    <x v="212"/>
  </r>
  <r>
    <n v="1099108"/>
    <x v="136"/>
    <x v="3"/>
    <x v="237"/>
    <x v="215"/>
  </r>
  <r>
    <n v="1099108"/>
    <x v="136"/>
    <x v="3"/>
    <x v="238"/>
    <x v="216"/>
  </r>
  <r>
    <n v="1099108"/>
    <x v="136"/>
    <x v="3"/>
    <x v="239"/>
    <x v="119"/>
  </r>
  <r>
    <n v="1099108"/>
    <x v="136"/>
    <x v="3"/>
    <x v="240"/>
    <x v="82"/>
  </r>
  <r>
    <n v="1099108"/>
    <x v="136"/>
    <x v="3"/>
    <x v="245"/>
    <x v="218"/>
  </r>
  <r>
    <n v="1099108"/>
    <x v="136"/>
    <x v="3"/>
    <x v="246"/>
    <x v="219"/>
  </r>
  <r>
    <n v="1099108"/>
    <x v="136"/>
    <x v="3"/>
    <x v="252"/>
    <x v="97"/>
  </r>
  <r>
    <n v="1099108"/>
    <x v="136"/>
    <x v="3"/>
    <x v="248"/>
    <x v="161"/>
  </r>
  <r>
    <n v="1099108"/>
    <x v="136"/>
    <x v="3"/>
    <x v="217"/>
    <x v="201"/>
  </r>
  <r>
    <n v="1099108"/>
    <x v="136"/>
    <x v="3"/>
    <x v="218"/>
    <x v="202"/>
  </r>
  <r>
    <n v="1099108"/>
    <x v="136"/>
    <x v="3"/>
    <x v="219"/>
    <x v="203"/>
  </r>
  <r>
    <n v="1099108"/>
    <x v="136"/>
    <x v="3"/>
    <x v="220"/>
    <x v="105"/>
  </r>
  <r>
    <n v="1099108"/>
    <x v="136"/>
    <x v="3"/>
    <x v="247"/>
    <x v="119"/>
  </r>
  <r>
    <n v="1099108"/>
    <x v="1"/>
    <x v="1"/>
    <x v="2"/>
    <x v="2"/>
  </r>
  <r>
    <n v="1099112"/>
    <x v="137"/>
    <x v="5"/>
    <x v="119"/>
    <x v="2"/>
  </r>
  <r>
    <n v="1099112"/>
    <x v="1"/>
    <x v="1"/>
    <x v="2"/>
    <x v="2"/>
  </r>
  <r>
    <n v="1099118"/>
    <x v="138"/>
    <x v="2"/>
    <x v="60"/>
    <x v="229"/>
  </r>
  <r>
    <n v="1099118"/>
    <x v="138"/>
    <x v="2"/>
    <x v="79"/>
    <x v="227"/>
  </r>
  <r>
    <n v="1099118"/>
    <x v="138"/>
    <x v="2"/>
    <x v="65"/>
    <x v="98"/>
  </r>
  <r>
    <n v="1099118"/>
    <x v="138"/>
    <x v="2"/>
    <x v="70"/>
    <x v="197"/>
  </r>
  <r>
    <n v="1099118"/>
    <x v="138"/>
    <x v="2"/>
    <x v="71"/>
    <x v="111"/>
  </r>
  <r>
    <n v="1099118"/>
    <x v="138"/>
    <x v="2"/>
    <x v="61"/>
    <x v="234"/>
  </r>
  <r>
    <n v="1099118"/>
    <x v="138"/>
    <x v="2"/>
    <x v="75"/>
    <x v="173"/>
  </r>
  <r>
    <n v="1099118"/>
    <x v="138"/>
    <x v="2"/>
    <x v="56"/>
    <x v="228"/>
  </r>
  <r>
    <n v="1099118"/>
    <x v="138"/>
    <x v="2"/>
    <x v="76"/>
    <x v="231"/>
  </r>
  <r>
    <n v="1099118"/>
    <x v="138"/>
    <x v="2"/>
    <x v="74"/>
    <x v="51"/>
  </r>
  <r>
    <n v="1099118"/>
    <x v="138"/>
    <x v="2"/>
    <x v="68"/>
    <x v="230"/>
  </r>
  <r>
    <n v="1099118"/>
    <x v="138"/>
    <x v="2"/>
    <x v="58"/>
    <x v="233"/>
  </r>
  <r>
    <n v="1099118"/>
    <x v="138"/>
    <x v="2"/>
    <x v="82"/>
    <x v="162"/>
  </r>
  <r>
    <n v="1099118"/>
    <x v="138"/>
    <x v="2"/>
    <x v="77"/>
    <x v="236"/>
  </r>
  <r>
    <n v="1099118"/>
    <x v="138"/>
    <x v="2"/>
    <x v="66"/>
    <x v="231"/>
  </r>
  <r>
    <n v="1099118"/>
    <x v="138"/>
    <x v="2"/>
    <x v="63"/>
    <x v="97"/>
  </r>
  <r>
    <n v="1099118"/>
    <x v="138"/>
    <x v="2"/>
    <x v="84"/>
    <x v="232"/>
  </r>
  <r>
    <n v="1099118"/>
    <x v="138"/>
    <x v="2"/>
    <x v="62"/>
    <x v="153"/>
  </r>
  <r>
    <n v="1099118"/>
    <x v="138"/>
    <x v="2"/>
    <x v="78"/>
    <x v="235"/>
  </r>
  <r>
    <n v="1099118"/>
    <x v="1"/>
    <x v="1"/>
    <x v="2"/>
    <x v="2"/>
  </r>
  <r>
    <n v="1099123"/>
    <x v="139"/>
    <x v="5"/>
    <x v="328"/>
    <x v="501"/>
  </r>
  <r>
    <n v="1099123"/>
    <x v="139"/>
    <x v="5"/>
    <x v="329"/>
    <x v="502"/>
  </r>
  <r>
    <n v="1099123"/>
    <x v="1"/>
    <x v="1"/>
    <x v="2"/>
    <x v="2"/>
  </r>
  <r>
    <n v="1099129"/>
    <x v="140"/>
    <x v="5"/>
    <x v="110"/>
    <x v="503"/>
  </r>
  <r>
    <n v="1099129"/>
    <x v="140"/>
    <x v="5"/>
    <x v="111"/>
    <x v="504"/>
  </r>
  <r>
    <n v="1099129"/>
    <x v="140"/>
    <x v="5"/>
    <x v="112"/>
    <x v="505"/>
  </r>
  <r>
    <n v="1099129"/>
    <x v="140"/>
    <x v="5"/>
    <x v="114"/>
    <x v="506"/>
  </r>
  <r>
    <n v="1099129"/>
    <x v="140"/>
    <x v="5"/>
    <x v="115"/>
    <x v="507"/>
  </r>
  <r>
    <n v="1099129"/>
    <x v="1"/>
    <x v="1"/>
    <x v="2"/>
    <x v="2"/>
  </r>
  <r>
    <n v="1099146"/>
    <x v="141"/>
    <x v="3"/>
    <x v="126"/>
    <x v="82"/>
  </r>
  <r>
    <n v="1099146"/>
    <x v="141"/>
    <x v="3"/>
    <x v="136"/>
    <x v="82"/>
  </r>
  <r>
    <n v="1099146"/>
    <x v="141"/>
    <x v="3"/>
    <x v="148"/>
    <x v="144"/>
  </r>
  <r>
    <n v="1099146"/>
    <x v="141"/>
    <x v="3"/>
    <x v="155"/>
    <x v="157"/>
  </r>
  <r>
    <n v="1099146"/>
    <x v="141"/>
    <x v="3"/>
    <x v="154"/>
    <x v="149"/>
  </r>
  <r>
    <n v="1099146"/>
    <x v="141"/>
    <x v="3"/>
    <x v="133"/>
    <x v="147"/>
  </r>
  <r>
    <n v="1099146"/>
    <x v="141"/>
    <x v="3"/>
    <x v="144"/>
    <x v="84"/>
  </r>
  <r>
    <n v="1099146"/>
    <x v="141"/>
    <x v="3"/>
    <x v="153"/>
    <x v="147"/>
  </r>
  <r>
    <n v="1099146"/>
    <x v="141"/>
    <x v="3"/>
    <x v="159"/>
    <x v="161"/>
  </r>
  <r>
    <n v="1099146"/>
    <x v="141"/>
    <x v="3"/>
    <x v="128"/>
    <x v="92"/>
  </r>
  <r>
    <n v="1099146"/>
    <x v="141"/>
    <x v="3"/>
    <x v="143"/>
    <x v="91"/>
  </r>
  <r>
    <n v="1099146"/>
    <x v="141"/>
    <x v="3"/>
    <x v="127"/>
    <x v="97"/>
  </r>
  <r>
    <n v="1099146"/>
    <x v="141"/>
    <x v="3"/>
    <x v="137"/>
    <x v="79"/>
  </r>
  <r>
    <n v="1099146"/>
    <x v="141"/>
    <x v="3"/>
    <x v="149"/>
    <x v="154"/>
  </r>
  <r>
    <n v="1099146"/>
    <x v="141"/>
    <x v="3"/>
    <x v="156"/>
    <x v="158"/>
  </r>
  <r>
    <n v="1099146"/>
    <x v="141"/>
    <x v="3"/>
    <x v="162"/>
    <x v="164"/>
  </r>
  <r>
    <n v="1099146"/>
    <x v="141"/>
    <x v="3"/>
    <x v="132"/>
    <x v="146"/>
  </r>
  <r>
    <n v="1099146"/>
    <x v="141"/>
    <x v="3"/>
    <x v="142"/>
    <x v="152"/>
  </r>
  <r>
    <n v="1099146"/>
    <x v="141"/>
    <x v="3"/>
    <x v="152"/>
    <x v="156"/>
  </r>
  <r>
    <n v="1099146"/>
    <x v="141"/>
    <x v="3"/>
    <x v="161"/>
    <x v="163"/>
  </r>
  <r>
    <n v="1099146"/>
    <x v="141"/>
    <x v="3"/>
    <x v="131"/>
    <x v="34"/>
  </r>
  <r>
    <n v="1099146"/>
    <x v="141"/>
    <x v="3"/>
    <x v="141"/>
    <x v="151"/>
  </r>
  <r>
    <n v="1099146"/>
    <x v="141"/>
    <x v="3"/>
    <x v="151"/>
    <x v="35"/>
  </r>
  <r>
    <n v="1099146"/>
    <x v="141"/>
    <x v="3"/>
    <x v="163"/>
    <x v="83"/>
  </r>
  <r>
    <n v="1099146"/>
    <x v="141"/>
    <x v="3"/>
    <x v="134"/>
    <x v="148"/>
  </r>
  <r>
    <n v="1099146"/>
    <x v="141"/>
    <x v="3"/>
    <x v="145"/>
    <x v="153"/>
  </r>
  <r>
    <n v="1099146"/>
    <x v="141"/>
    <x v="3"/>
    <x v="130"/>
    <x v="145"/>
  </r>
  <r>
    <n v="1099146"/>
    <x v="141"/>
    <x v="3"/>
    <x v="124"/>
    <x v="62"/>
  </r>
  <r>
    <n v="1099146"/>
    <x v="141"/>
    <x v="3"/>
    <x v="135"/>
    <x v="64"/>
  </r>
  <r>
    <n v="1099146"/>
    <x v="141"/>
    <x v="3"/>
    <x v="146"/>
    <x v="78"/>
  </r>
  <r>
    <n v="1099146"/>
    <x v="141"/>
    <x v="3"/>
    <x v="139"/>
    <x v="37"/>
  </r>
  <r>
    <n v="1099146"/>
    <x v="141"/>
    <x v="3"/>
    <x v="160"/>
    <x v="162"/>
  </r>
  <r>
    <n v="1099146"/>
    <x v="141"/>
    <x v="3"/>
    <x v="129"/>
    <x v="42"/>
  </r>
  <r>
    <n v="1099146"/>
    <x v="141"/>
    <x v="3"/>
    <x v="138"/>
    <x v="149"/>
  </r>
  <r>
    <n v="1099146"/>
    <x v="141"/>
    <x v="3"/>
    <x v="150"/>
    <x v="155"/>
  </r>
  <r>
    <n v="1099146"/>
    <x v="141"/>
    <x v="3"/>
    <x v="158"/>
    <x v="160"/>
  </r>
  <r>
    <n v="1099146"/>
    <x v="141"/>
    <x v="3"/>
    <x v="125"/>
    <x v="144"/>
  </r>
  <r>
    <n v="1099146"/>
    <x v="141"/>
    <x v="3"/>
    <x v="147"/>
    <x v="24"/>
  </r>
  <r>
    <n v="1099146"/>
    <x v="141"/>
    <x v="3"/>
    <x v="140"/>
    <x v="150"/>
  </r>
  <r>
    <n v="1099146"/>
    <x v="141"/>
    <x v="3"/>
    <x v="157"/>
    <x v="159"/>
  </r>
  <r>
    <n v="1099146"/>
    <x v="1"/>
    <x v="1"/>
    <x v="2"/>
    <x v="2"/>
  </r>
  <r>
    <n v="1099147"/>
    <x v="142"/>
    <x v="13"/>
    <x v="383"/>
    <x v="500"/>
  </r>
  <r>
    <n v="1099147"/>
    <x v="142"/>
    <x v="13"/>
    <x v="385"/>
    <x v="508"/>
  </r>
  <r>
    <n v="1099147"/>
    <x v="1"/>
    <x v="1"/>
    <x v="2"/>
    <x v="2"/>
  </r>
  <r>
    <n v="1099149"/>
    <x v="143"/>
    <x v="13"/>
    <x v="386"/>
    <x v="509"/>
  </r>
  <r>
    <n v="1099149"/>
    <x v="143"/>
    <x v="13"/>
    <x v="384"/>
    <x v="510"/>
  </r>
  <r>
    <n v="1099149"/>
    <x v="1"/>
    <x v="1"/>
    <x v="2"/>
    <x v="2"/>
  </r>
  <r>
    <n v="1099184"/>
    <x v="144"/>
    <x v="10"/>
    <x v="330"/>
    <x v="2"/>
  </r>
  <r>
    <n v="1099184"/>
    <x v="1"/>
    <x v="1"/>
    <x v="2"/>
    <x v="2"/>
  </r>
  <r>
    <n v="1099185"/>
    <x v="145"/>
    <x v="3"/>
    <x v="259"/>
    <x v="79"/>
  </r>
  <r>
    <n v="1099185"/>
    <x v="145"/>
    <x v="3"/>
    <x v="258"/>
    <x v="198"/>
  </r>
  <r>
    <n v="1099185"/>
    <x v="145"/>
    <x v="3"/>
    <x v="256"/>
    <x v="233"/>
  </r>
  <r>
    <n v="1099185"/>
    <x v="145"/>
    <x v="3"/>
    <x v="255"/>
    <x v="80"/>
  </r>
  <r>
    <n v="1099185"/>
    <x v="145"/>
    <x v="3"/>
    <x v="153"/>
    <x v="97"/>
  </r>
  <r>
    <n v="1099185"/>
    <x v="145"/>
    <x v="3"/>
    <x v="150"/>
    <x v="349"/>
  </r>
  <r>
    <n v="1099185"/>
    <x v="145"/>
    <x v="3"/>
    <x v="149"/>
    <x v="348"/>
  </r>
  <r>
    <n v="1099185"/>
    <x v="145"/>
    <x v="3"/>
    <x v="147"/>
    <x v="170"/>
  </r>
  <r>
    <n v="1099185"/>
    <x v="145"/>
    <x v="3"/>
    <x v="146"/>
    <x v="83"/>
  </r>
  <r>
    <n v="1099185"/>
    <x v="145"/>
    <x v="3"/>
    <x v="145"/>
    <x v="154"/>
  </r>
  <r>
    <n v="1099185"/>
    <x v="145"/>
    <x v="3"/>
    <x v="142"/>
    <x v="217"/>
  </r>
  <r>
    <n v="1099185"/>
    <x v="145"/>
    <x v="3"/>
    <x v="7"/>
    <x v="176"/>
  </r>
  <r>
    <n v="1099185"/>
    <x v="145"/>
    <x v="3"/>
    <x v="138"/>
    <x v="4"/>
  </r>
  <r>
    <n v="1099185"/>
    <x v="145"/>
    <x v="3"/>
    <x v="339"/>
    <x v="34"/>
  </r>
  <r>
    <n v="1099185"/>
    <x v="145"/>
    <x v="3"/>
    <x v="334"/>
    <x v="162"/>
  </r>
  <r>
    <n v="1099185"/>
    <x v="145"/>
    <x v="3"/>
    <x v="345"/>
    <x v="153"/>
  </r>
  <r>
    <n v="1099185"/>
    <x v="145"/>
    <x v="3"/>
    <x v="315"/>
    <x v="364"/>
  </r>
  <r>
    <n v="1099185"/>
    <x v="145"/>
    <x v="3"/>
    <x v="246"/>
    <x v="151"/>
  </r>
  <r>
    <n v="1099185"/>
    <x v="145"/>
    <x v="3"/>
    <x v="240"/>
    <x v="198"/>
  </r>
  <r>
    <n v="1099185"/>
    <x v="145"/>
    <x v="3"/>
    <x v="129"/>
    <x v="83"/>
  </r>
  <r>
    <n v="1099185"/>
    <x v="145"/>
    <x v="3"/>
    <x v="128"/>
    <x v="42"/>
  </r>
  <r>
    <n v="1099185"/>
    <x v="145"/>
    <x v="3"/>
    <x v="127"/>
    <x v="83"/>
  </r>
  <r>
    <n v="1099185"/>
    <x v="145"/>
    <x v="3"/>
    <x v="124"/>
    <x v="77"/>
  </r>
  <r>
    <n v="1099185"/>
    <x v="145"/>
    <x v="3"/>
    <x v="163"/>
    <x v="178"/>
  </r>
  <r>
    <n v="1099185"/>
    <x v="145"/>
    <x v="3"/>
    <x v="162"/>
    <x v="161"/>
  </r>
  <r>
    <n v="1099185"/>
    <x v="145"/>
    <x v="3"/>
    <x v="161"/>
    <x v="4"/>
  </r>
  <r>
    <n v="1099185"/>
    <x v="145"/>
    <x v="3"/>
    <x v="160"/>
    <x v="77"/>
  </r>
  <r>
    <n v="1099185"/>
    <x v="145"/>
    <x v="3"/>
    <x v="338"/>
    <x v="179"/>
  </r>
  <r>
    <n v="1099185"/>
    <x v="145"/>
    <x v="3"/>
    <x v="337"/>
    <x v="97"/>
  </r>
  <r>
    <n v="1099185"/>
    <x v="145"/>
    <x v="3"/>
    <x v="335"/>
    <x v="97"/>
  </r>
  <r>
    <n v="1099185"/>
    <x v="145"/>
    <x v="3"/>
    <x v="352"/>
    <x v="346"/>
  </r>
  <r>
    <n v="1099185"/>
    <x v="145"/>
    <x v="3"/>
    <x v="351"/>
    <x v="176"/>
  </r>
  <r>
    <n v="1099185"/>
    <x v="145"/>
    <x v="3"/>
    <x v="333"/>
    <x v="42"/>
  </r>
  <r>
    <n v="1099185"/>
    <x v="145"/>
    <x v="3"/>
    <x v="332"/>
    <x v="156"/>
  </r>
  <r>
    <n v="1099185"/>
    <x v="145"/>
    <x v="3"/>
    <x v="349"/>
    <x v="170"/>
  </r>
  <r>
    <n v="1099185"/>
    <x v="145"/>
    <x v="3"/>
    <x v="348"/>
    <x v="42"/>
  </r>
  <r>
    <n v="1099185"/>
    <x v="145"/>
    <x v="3"/>
    <x v="347"/>
    <x v="42"/>
  </r>
  <r>
    <n v="1099185"/>
    <x v="145"/>
    <x v="3"/>
    <x v="254"/>
    <x v="98"/>
  </r>
  <r>
    <n v="1099185"/>
    <x v="145"/>
    <x v="3"/>
    <x v="253"/>
    <x v="197"/>
  </r>
  <r>
    <n v="1099185"/>
    <x v="145"/>
    <x v="3"/>
    <x v="221"/>
    <x v="149"/>
  </r>
  <r>
    <n v="1099185"/>
    <x v="145"/>
    <x v="3"/>
    <x v="6"/>
    <x v="198"/>
  </r>
  <r>
    <n v="1099185"/>
    <x v="145"/>
    <x v="3"/>
    <x v="220"/>
    <x v="144"/>
  </r>
  <r>
    <n v="1099185"/>
    <x v="145"/>
    <x v="3"/>
    <x v="219"/>
    <x v="363"/>
  </r>
  <r>
    <n v="1099185"/>
    <x v="145"/>
    <x v="3"/>
    <x v="217"/>
    <x v="146"/>
  </r>
  <r>
    <n v="1099185"/>
    <x v="145"/>
    <x v="3"/>
    <x v="317"/>
    <x v="156"/>
  </r>
  <r>
    <n v="1099185"/>
    <x v="145"/>
    <x v="3"/>
    <x v="314"/>
    <x v="346"/>
  </r>
  <r>
    <n v="1099185"/>
    <x v="145"/>
    <x v="3"/>
    <x v="248"/>
    <x v="348"/>
  </r>
  <r>
    <n v="1099185"/>
    <x v="145"/>
    <x v="3"/>
    <x v="341"/>
    <x v="64"/>
  </r>
  <r>
    <n v="1099185"/>
    <x v="145"/>
    <x v="3"/>
    <x v="245"/>
    <x v="92"/>
  </r>
  <r>
    <n v="1099185"/>
    <x v="145"/>
    <x v="3"/>
    <x v="243"/>
    <x v="82"/>
  </r>
  <r>
    <n v="1099185"/>
    <x v="145"/>
    <x v="3"/>
    <x v="242"/>
    <x v="156"/>
  </r>
  <r>
    <n v="1099185"/>
    <x v="145"/>
    <x v="3"/>
    <x v="313"/>
    <x v="90"/>
  </r>
  <r>
    <n v="1099185"/>
    <x v="145"/>
    <x v="3"/>
    <x v="239"/>
    <x v="62"/>
  </r>
  <r>
    <n v="1099185"/>
    <x v="145"/>
    <x v="3"/>
    <x v="9"/>
    <x v="347"/>
  </r>
  <r>
    <n v="1099185"/>
    <x v="145"/>
    <x v="3"/>
    <x v="156"/>
    <x v="359"/>
  </r>
  <r>
    <n v="1099185"/>
    <x v="145"/>
    <x v="3"/>
    <x v="235"/>
    <x v="217"/>
  </r>
  <r>
    <n v="1099185"/>
    <x v="145"/>
    <x v="3"/>
    <x v="234"/>
    <x v="84"/>
  </r>
  <r>
    <n v="1099185"/>
    <x v="145"/>
    <x v="3"/>
    <x v="232"/>
    <x v="92"/>
  </r>
  <r>
    <n v="1099185"/>
    <x v="145"/>
    <x v="3"/>
    <x v="250"/>
    <x v="161"/>
  </r>
  <r>
    <n v="1099185"/>
    <x v="145"/>
    <x v="3"/>
    <x v="14"/>
    <x v="202"/>
  </r>
  <r>
    <n v="1099185"/>
    <x v="145"/>
    <x v="3"/>
    <x v="261"/>
    <x v="34"/>
  </r>
  <r>
    <n v="1099185"/>
    <x v="145"/>
    <x v="3"/>
    <x v="152"/>
    <x v="154"/>
  </r>
  <r>
    <n v="1099185"/>
    <x v="145"/>
    <x v="3"/>
    <x v="135"/>
    <x v="161"/>
  </r>
  <r>
    <n v="1099185"/>
    <x v="145"/>
    <x v="3"/>
    <x v="126"/>
    <x v="346"/>
  </r>
  <r>
    <n v="1099185"/>
    <x v="145"/>
    <x v="3"/>
    <x v="159"/>
    <x v="178"/>
  </r>
  <r>
    <n v="1099185"/>
    <x v="145"/>
    <x v="3"/>
    <x v="350"/>
    <x v="88"/>
  </r>
  <r>
    <n v="1099185"/>
    <x v="145"/>
    <x v="3"/>
    <x v="346"/>
    <x v="198"/>
  </r>
  <r>
    <n v="1099185"/>
    <x v="145"/>
    <x v="3"/>
    <x v="144"/>
    <x v="347"/>
  </r>
  <r>
    <n v="1099185"/>
    <x v="145"/>
    <x v="3"/>
    <x v="223"/>
    <x v="3"/>
  </r>
  <r>
    <n v="1099185"/>
    <x v="145"/>
    <x v="3"/>
    <x v="344"/>
    <x v="179"/>
  </r>
  <r>
    <n v="1099185"/>
    <x v="145"/>
    <x v="3"/>
    <x v="12"/>
    <x v="3"/>
  </r>
  <r>
    <n v="1099185"/>
    <x v="145"/>
    <x v="3"/>
    <x v="15"/>
    <x v="362"/>
  </r>
  <r>
    <n v="1099185"/>
    <x v="145"/>
    <x v="3"/>
    <x v="342"/>
    <x v="347"/>
  </r>
  <r>
    <n v="1099185"/>
    <x v="145"/>
    <x v="3"/>
    <x v="158"/>
    <x v="361"/>
  </r>
  <r>
    <n v="1099185"/>
    <x v="145"/>
    <x v="3"/>
    <x v="263"/>
    <x v="105"/>
  </r>
  <r>
    <n v="1099185"/>
    <x v="145"/>
    <x v="3"/>
    <x v="262"/>
    <x v="4"/>
  </r>
  <r>
    <n v="1099185"/>
    <x v="145"/>
    <x v="3"/>
    <x v="249"/>
    <x v="78"/>
  </r>
  <r>
    <n v="1099185"/>
    <x v="145"/>
    <x v="3"/>
    <x v="318"/>
    <x v="168"/>
  </r>
  <r>
    <n v="1099185"/>
    <x v="145"/>
    <x v="3"/>
    <x v="247"/>
    <x v="62"/>
  </r>
  <r>
    <n v="1099185"/>
    <x v="145"/>
    <x v="3"/>
    <x v="241"/>
    <x v="144"/>
  </r>
  <r>
    <n v="1099185"/>
    <x v="145"/>
    <x v="3"/>
    <x v="227"/>
    <x v="353"/>
  </r>
  <r>
    <n v="1099185"/>
    <x v="145"/>
    <x v="3"/>
    <x v="226"/>
    <x v="224"/>
  </r>
  <r>
    <n v="1099185"/>
    <x v="145"/>
    <x v="3"/>
    <x v="224"/>
    <x v="352"/>
  </r>
  <r>
    <n v="1099185"/>
    <x v="145"/>
    <x v="3"/>
    <x v="130"/>
    <x v="97"/>
  </r>
  <r>
    <n v="1099185"/>
    <x v="145"/>
    <x v="3"/>
    <x v="216"/>
    <x v="62"/>
  </r>
  <r>
    <n v="1099185"/>
    <x v="145"/>
    <x v="3"/>
    <x v="214"/>
    <x v="198"/>
  </r>
  <r>
    <n v="1099185"/>
    <x v="145"/>
    <x v="3"/>
    <x v="209"/>
    <x v="351"/>
  </r>
  <r>
    <n v="1099185"/>
    <x v="145"/>
    <x v="3"/>
    <x v="207"/>
    <x v="61"/>
  </r>
  <r>
    <n v="1099185"/>
    <x v="145"/>
    <x v="3"/>
    <x v="316"/>
    <x v="350"/>
  </r>
  <r>
    <n v="1099185"/>
    <x v="145"/>
    <x v="3"/>
    <x v="264"/>
    <x v="77"/>
  </r>
  <r>
    <n v="1099185"/>
    <x v="145"/>
    <x v="3"/>
    <x v="11"/>
    <x v="347"/>
  </r>
  <r>
    <n v="1099185"/>
    <x v="145"/>
    <x v="3"/>
    <x v="157"/>
    <x v="360"/>
  </r>
  <r>
    <n v="1099185"/>
    <x v="145"/>
    <x v="3"/>
    <x v="257"/>
    <x v="149"/>
  </r>
  <r>
    <n v="1099185"/>
    <x v="145"/>
    <x v="3"/>
    <x v="148"/>
    <x v="170"/>
  </r>
  <r>
    <n v="1099185"/>
    <x v="145"/>
    <x v="3"/>
    <x v="8"/>
    <x v="176"/>
  </r>
  <r>
    <n v="1099185"/>
    <x v="145"/>
    <x v="3"/>
    <x v="131"/>
    <x v="88"/>
  </r>
  <r>
    <n v="1099185"/>
    <x v="145"/>
    <x v="3"/>
    <x v="154"/>
    <x v="4"/>
  </r>
  <r>
    <n v="1099185"/>
    <x v="145"/>
    <x v="3"/>
    <x v="336"/>
    <x v="144"/>
  </r>
  <r>
    <n v="1099185"/>
    <x v="145"/>
    <x v="3"/>
    <x v="331"/>
    <x v="79"/>
  </r>
  <r>
    <n v="1099185"/>
    <x v="145"/>
    <x v="3"/>
    <x v="13"/>
    <x v="170"/>
  </r>
  <r>
    <n v="1099185"/>
    <x v="145"/>
    <x v="3"/>
    <x v="218"/>
    <x v="179"/>
  </r>
  <r>
    <n v="1099185"/>
    <x v="145"/>
    <x v="3"/>
    <x v="244"/>
    <x v="344"/>
  </r>
  <r>
    <n v="1099185"/>
    <x v="145"/>
    <x v="3"/>
    <x v="10"/>
    <x v="105"/>
  </r>
  <r>
    <n v="1099185"/>
    <x v="145"/>
    <x v="3"/>
    <x v="5"/>
    <x v="3"/>
  </r>
  <r>
    <n v="1099185"/>
    <x v="145"/>
    <x v="3"/>
    <x v="155"/>
    <x v="358"/>
  </r>
  <r>
    <n v="1099185"/>
    <x v="145"/>
    <x v="3"/>
    <x v="238"/>
    <x v="357"/>
  </r>
  <r>
    <n v="1099185"/>
    <x v="145"/>
    <x v="3"/>
    <x v="237"/>
    <x v="356"/>
  </r>
  <r>
    <n v="1099185"/>
    <x v="145"/>
    <x v="3"/>
    <x v="236"/>
    <x v="217"/>
  </r>
  <r>
    <n v="1099185"/>
    <x v="145"/>
    <x v="3"/>
    <x v="233"/>
    <x v="344"/>
  </r>
  <r>
    <n v="1099185"/>
    <x v="145"/>
    <x v="3"/>
    <x v="231"/>
    <x v="220"/>
  </r>
  <r>
    <n v="1099185"/>
    <x v="145"/>
    <x v="3"/>
    <x v="230"/>
    <x v="204"/>
  </r>
  <r>
    <n v="1099185"/>
    <x v="145"/>
    <x v="3"/>
    <x v="229"/>
    <x v="355"/>
  </r>
  <r>
    <n v="1099185"/>
    <x v="145"/>
    <x v="3"/>
    <x v="228"/>
    <x v="354"/>
  </r>
  <r>
    <n v="1099185"/>
    <x v="145"/>
    <x v="3"/>
    <x v="225"/>
    <x v="89"/>
  </r>
  <r>
    <n v="1099185"/>
    <x v="145"/>
    <x v="3"/>
    <x v="222"/>
    <x v="51"/>
  </r>
  <r>
    <n v="1099185"/>
    <x v="145"/>
    <x v="3"/>
    <x v="340"/>
    <x v="218"/>
  </r>
  <r>
    <n v="1099185"/>
    <x v="145"/>
    <x v="3"/>
    <x v="140"/>
    <x v="202"/>
  </r>
  <r>
    <n v="1099185"/>
    <x v="145"/>
    <x v="3"/>
    <x v="139"/>
    <x v="144"/>
  </r>
  <r>
    <n v="1099185"/>
    <x v="145"/>
    <x v="3"/>
    <x v="215"/>
    <x v="198"/>
  </r>
  <r>
    <n v="1099185"/>
    <x v="145"/>
    <x v="3"/>
    <x v="213"/>
    <x v="91"/>
  </r>
  <r>
    <n v="1099185"/>
    <x v="145"/>
    <x v="3"/>
    <x v="212"/>
    <x v="84"/>
  </r>
  <r>
    <n v="1099185"/>
    <x v="145"/>
    <x v="3"/>
    <x v="211"/>
    <x v="77"/>
  </r>
  <r>
    <n v="1099185"/>
    <x v="145"/>
    <x v="3"/>
    <x v="210"/>
    <x v="347"/>
  </r>
  <r>
    <n v="1099185"/>
    <x v="145"/>
    <x v="3"/>
    <x v="208"/>
    <x v="79"/>
  </r>
  <r>
    <n v="1099185"/>
    <x v="145"/>
    <x v="3"/>
    <x v="206"/>
    <x v="88"/>
  </r>
  <r>
    <n v="1099185"/>
    <x v="145"/>
    <x v="3"/>
    <x v="205"/>
    <x v="198"/>
  </r>
  <r>
    <n v="1099185"/>
    <x v="145"/>
    <x v="3"/>
    <x v="204"/>
    <x v="161"/>
  </r>
  <r>
    <n v="1099185"/>
    <x v="145"/>
    <x v="3"/>
    <x v="265"/>
    <x v="198"/>
  </r>
  <r>
    <n v="1099185"/>
    <x v="145"/>
    <x v="3"/>
    <x v="141"/>
    <x v="77"/>
  </r>
  <r>
    <n v="1099185"/>
    <x v="145"/>
    <x v="3"/>
    <x v="251"/>
    <x v="170"/>
  </r>
  <r>
    <n v="1099185"/>
    <x v="145"/>
    <x v="3"/>
    <x v="252"/>
    <x v="88"/>
  </r>
  <r>
    <n v="1099185"/>
    <x v="145"/>
    <x v="3"/>
    <x v="137"/>
    <x v="170"/>
  </r>
  <r>
    <n v="1099185"/>
    <x v="145"/>
    <x v="3"/>
    <x v="136"/>
    <x v="346"/>
  </r>
  <r>
    <n v="1099185"/>
    <x v="145"/>
    <x v="3"/>
    <x v="133"/>
    <x v="97"/>
  </r>
  <r>
    <n v="1099185"/>
    <x v="145"/>
    <x v="3"/>
    <x v="132"/>
    <x v="98"/>
  </r>
  <r>
    <n v="1099185"/>
    <x v="145"/>
    <x v="3"/>
    <x v="343"/>
    <x v="64"/>
  </r>
  <r>
    <n v="1099185"/>
    <x v="145"/>
    <x v="3"/>
    <x v="260"/>
    <x v="182"/>
  </r>
  <r>
    <n v="1099185"/>
    <x v="145"/>
    <x v="3"/>
    <x v="151"/>
    <x v="204"/>
  </r>
  <r>
    <n v="1099185"/>
    <x v="145"/>
    <x v="3"/>
    <x v="143"/>
    <x v="98"/>
  </r>
  <r>
    <n v="1099185"/>
    <x v="145"/>
    <x v="3"/>
    <x v="134"/>
    <x v="144"/>
  </r>
  <r>
    <n v="1099185"/>
    <x v="145"/>
    <x v="3"/>
    <x v="125"/>
    <x v="170"/>
  </r>
  <r>
    <n v="1099185"/>
    <x v="1"/>
    <x v="1"/>
    <x v="2"/>
    <x v="2"/>
  </r>
  <r>
    <n v="1099189"/>
    <x v="146"/>
    <x v="6"/>
    <x v="103"/>
    <x v="126"/>
  </r>
  <r>
    <n v="1099189"/>
    <x v="146"/>
    <x v="6"/>
    <x v="107"/>
    <x v="129"/>
  </r>
  <r>
    <n v="1099189"/>
    <x v="146"/>
    <x v="6"/>
    <x v="104"/>
    <x v="126"/>
  </r>
  <r>
    <n v="1099189"/>
    <x v="146"/>
    <x v="6"/>
    <x v="105"/>
    <x v="127"/>
  </r>
  <r>
    <n v="1099189"/>
    <x v="146"/>
    <x v="6"/>
    <x v="101"/>
    <x v="124"/>
  </r>
  <r>
    <n v="1099189"/>
    <x v="146"/>
    <x v="6"/>
    <x v="102"/>
    <x v="125"/>
  </r>
  <r>
    <n v="1099189"/>
    <x v="146"/>
    <x v="6"/>
    <x v="106"/>
    <x v="128"/>
  </r>
  <r>
    <n v="1099189"/>
    <x v="1"/>
    <x v="1"/>
    <x v="2"/>
    <x v="2"/>
  </r>
  <r>
    <n v="1099191"/>
    <x v="147"/>
    <x v="6"/>
    <x v="167"/>
    <x v="2"/>
  </r>
  <r>
    <n v="1099191"/>
    <x v="1"/>
    <x v="1"/>
    <x v="2"/>
    <x v="2"/>
  </r>
  <r>
    <n v="1099202"/>
    <x v="148"/>
    <x v="0"/>
    <x v="1"/>
    <x v="1"/>
  </r>
  <r>
    <n v="1099202"/>
    <x v="148"/>
    <x v="0"/>
    <x v="0"/>
    <x v="0"/>
  </r>
  <r>
    <n v="1099202"/>
    <x v="1"/>
    <x v="1"/>
    <x v="2"/>
    <x v="2"/>
  </r>
  <r>
    <n v="1099205"/>
    <x v="149"/>
    <x v="3"/>
    <x v="235"/>
    <x v="217"/>
  </r>
  <r>
    <n v="1099205"/>
    <x v="149"/>
    <x v="3"/>
    <x v="236"/>
    <x v="217"/>
  </r>
  <r>
    <n v="1099205"/>
    <x v="149"/>
    <x v="3"/>
    <x v="237"/>
    <x v="356"/>
  </r>
  <r>
    <n v="1099205"/>
    <x v="149"/>
    <x v="3"/>
    <x v="155"/>
    <x v="358"/>
  </r>
  <r>
    <n v="1099205"/>
    <x v="149"/>
    <x v="3"/>
    <x v="156"/>
    <x v="359"/>
  </r>
  <r>
    <n v="1099205"/>
    <x v="149"/>
    <x v="3"/>
    <x v="239"/>
    <x v="62"/>
  </r>
  <r>
    <n v="1099205"/>
    <x v="149"/>
    <x v="3"/>
    <x v="240"/>
    <x v="198"/>
  </r>
  <r>
    <n v="1099205"/>
    <x v="149"/>
    <x v="3"/>
    <x v="241"/>
    <x v="144"/>
  </r>
  <r>
    <n v="1099205"/>
    <x v="149"/>
    <x v="3"/>
    <x v="313"/>
    <x v="90"/>
  </r>
  <r>
    <n v="1099205"/>
    <x v="149"/>
    <x v="3"/>
    <x v="242"/>
    <x v="156"/>
  </r>
  <r>
    <n v="1099205"/>
    <x v="149"/>
    <x v="3"/>
    <x v="243"/>
    <x v="82"/>
  </r>
  <r>
    <n v="1099205"/>
    <x v="149"/>
    <x v="3"/>
    <x v="244"/>
    <x v="344"/>
  </r>
  <r>
    <n v="1099205"/>
    <x v="149"/>
    <x v="3"/>
    <x v="341"/>
    <x v="64"/>
  </r>
  <r>
    <n v="1099205"/>
    <x v="149"/>
    <x v="3"/>
    <x v="246"/>
    <x v="151"/>
  </r>
  <r>
    <n v="1099205"/>
    <x v="149"/>
    <x v="3"/>
    <x v="247"/>
    <x v="62"/>
  </r>
  <r>
    <n v="1099205"/>
    <x v="149"/>
    <x v="3"/>
    <x v="248"/>
    <x v="348"/>
  </r>
  <r>
    <n v="1099205"/>
    <x v="149"/>
    <x v="3"/>
    <x v="157"/>
    <x v="360"/>
  </r>
  <r>
    <n v="1099205"/>
    <x v="149"/>
    <x v="3"/>
    <x v="332"/>
    <x v="156"/>
  </r>
  <r>
    <n v="1099205"/>
    <x v="149"/>
    <x v="3"/>
    <x v="333"/>
    <x v="42"/>
  </r>
  <r>
    <n v="1099205"/>
    <x v="149"/>
    <x v="3"/>
    <x v="334"/>
    <x v="162"/>
  </r>
  <r>
    <n v="1099205"/>
    <x v="149"/>
    <x v="3"/>
    <x v="350"/>
    <x v="88"/>
  </r>
  <r>
    <n v="1099205"/>
    <x v="149"/>
    <x v="3"/>
    <x v="351"/>
    <x v="176"/>
  </r>
  <r>
    <n v="1099205"/>
    <x v="149"/>
    <x v="3"/>
    <x v="352"/>
    <x v="346"/>
  </r>
  <r>
    <n v="1099205"/>
    <x v="149"/>
    <x v="3"/>
    <x v="335"/>
    <x v="97"/>
  </r>
  <r>
    <n v="1099205"/>
    <x v="149"/>
    <x v="3"/>
    <x v="336"/>
    <x v="144"/>
  </r>
  <r>
    <n v="1099205"/>
    <x v="149"/>
    <x v="3"/>
    <x v="337"/>
    <x v="97"/>
  </r>
  <r>
    <n v="1099205"/>
    <x v="149"/>
    <x v="3"/>
    <x v="338"/>
    <x v="179"/>
  </r>
  <r>
    <n v="1099205"/>
    <x v="149"/>
    <x v="3"/>
    <x v="339"/>
    <x v="34"/>
  </r>
  <r>
    <n v="1099205"/>
    <x v="149"/>
    <x v="3"/>
    <x v="159"/>
    <x v="178"/>
  </r>
  <r>
    <n v="1099205"/>
    <x v="149"/>
    <x v="3"/>
    <x v="160"/>
    <x v="77"/>
  </r>
  <r>
    <n v="1099205"/>
    <x v="149"/>
    <x v="3"/>
    <x v="161"/>
    <x v="4"/>
  </r>
  <r>
    <n v="1099205"/>
    <x v="149"/>
    <x v="3"/>
    <x v="162"/>
    <x v="161"/>
  </r>
  <r>
    <n v="1099205"/>
    <x v="149"/>
    <x v="3"/>
    <x v="154"/>
    <x v="4"/>
  </r>
  <r>
    <n v="1099205"/>
    <x v="149"/>
    <x v="3"/>
    <x v="163"/>
    <x v="178"/>
  </r>
  <r>
    <n v="1099205"/>
    <x v="149"/>
    <x v="3"/>
    <x v="124"/>
    <x v="77"/>
  </r>
  <r>
    <n v="1099205"/>
    <x v="149"/>
    <x v="3"/>
    <x v="125"/>
    <x v="170"/>
  </r>
  <r>
    <n v="1099205"/>
    <x v="149"/>
    <x v="3"/>
    <x v="126"/>
    <x v="346"/>
  </r>
  <r>
    <n v="1099205"/>
    <x v="149"/>
    <x v="3"/>
    <x v="127"/>
    <x v="83"/>
  </r>
  <r>
    <n v="1099205"/>
    <x v="149"/>
    <x v="3"/>
    <x v="128"/>
    <x v="42"/>
  </r>
  <r>
    <n v="1099205"/>
    <x v="149"/>
    <x v="3"/>
    <x v="129"/>
    <x v="83"/>
  </r>
  <r>
    <n v="1099205"/>
    <x v="149"/>
    <x v="3"/>
    <x v="131"/>
    <x v="88"/>
  </r>
  <r>
    <n v="1099205"/>
    <x v="149"/>
    <x v="3"/>
    <x v="132"/>
    <x v="98"/>
  </r>
  <r>
    <n v="1099205"/>
    <x v="149"/>
    <x v="3"/>
    <x v="133"/>
    <x v="97"/>
  </r>
  <r>
    <n v="1099205"/>
    <x v="149"/>
    <x v="3"/>
    <x v="134"/>
    <x v="144"/>
  </r>
  <r>
    <n v="1099205"/>
    <x v="149"/>
    <x v="3"/>
    <x v="135"/>
    <x v="161"/>
  </r>
  <r>
    <n v="1099205"/>
    <x v="149"/>
    <x v="3"/>
    <x v="136"/>
    <x v="346"/>
  </r>
  <r>
    <n v="1099205"/>
    <x v="149"/>
    <x v="3"/>
    <x v="137"/>
    <x v="170"/>
  </r>
  <r>
    <n v="1099205"/>
    <x v="149"/>
    <x v="3"/>
    <x v="138"/>
    <x v="4"/>
  </r>
  <r>
    <n v="1099205"/>
    <x v="149"/>
    <x v="3"/>
    <x v="141"/>
    <x v="77"/>
  </r>
  <r>
    <n v="1099205"/>
    <x v="149"/>
    <x v="3"/>
    <x v="142"/>
    <x v="217"/>
  </r>
  <r>
    <n v="1099205"/>
    <x v="149"/>
    <x v="3"/>
    <x v="143"/>
    <x v="98"/>
  </r>
  <r>
    <n v="1099205"/>
    <x v="149"/>
    <x v="3"/>
    <x v="144"/>
    <x v="347"/>
  </r>
  <r>
    <n v="1099205"/>
    <x v="149"/>
    <x v="3"/>
    <x v="145"/>
    <x v="154"/>
  </r>
  <r>
    <n v="1099205"/>
    <x v="149"/>
    <x v="3"/>
    <x v="146"/>
    <x v="83"/>
  </r>
  <r>
    <n v="1099205"/>
    <x v="149"/>
    <x v="3"/>
    <x v="147"/>
    <x v="170"/>
  </r>
  <r>
    <n v="1099205"/>
    <x v="149"/>
    <x v="3"/>
    <x v="148"/>
    <x v="170"/>
  </r>
  <r>
    <n v="1099205"/>
    <x v="149"/>
    <x v="3"/>
    <x v="149"/>
    <x v="348"/>
  </r>
  <r>
    <n v="1099205"/>
    <x v="149"/>
    <x v="3"/>
    <x v="150"/>
    <x v="349"/>
  </r>
  <r>
    <n v="1099205"/>
    <x v="149"/>
    <x v="3"/>
    <x v="151"/>
    <x v="204"/>
  </r>
  <r>
    <n v="1099205"/>
    <x v="149"/>
    <x v="3"/>
    <x v="5"/>
    <x v="3"/>
  </r>
  <r>
    <n v="1099205"/>
    <x v="149"/>
    <x v="3"/>
    <x v="251"/>
    <x v="170"/>
  </r>
  <r>
    <n v="1099205"/>
    <x v="149"/>
    <x v="3"/>
    <x v="223"/>
    <x v="3"/>
  </r>
  <r>
    <n v="1099205"/>
    <x v="149"/>
    <x v="3"/>
    <x v="213"/>
    <x v="91"/>
  </r>
  <r>
    <n v="1099205"/>
    <x v="149"/>
    <x v="3"/>
    <x v="214"/>
    <x v="198"/>
  </r>
  <r>
    <n v="1099205"/>
    <x v="149"/>
    <x v="3"/>
    <x v="215"/>
    <x v="198"/>
  </r>
  <r>
    <n v="1099205"/>
    <x v="149"/>
    <x v="3"/>
    <x v="216"/>
    <x v="62"/>
  </r>
  <r>
    <n v="1099205"/>
    <x v="149"/>
    <x v="3"/>
    <x v="130"/>
    <x v="97"/>
  </r>
  <r>
    <n v="1099205"/>
    <x v="149"/>
    <x v="3"/>
    <x v="140"/>
    <x v="202"/>
  </r>
  <r>
    <n v="1099205"/>
    <x v="149"/>
    <x v="3"/>
    <x v="340"/>
    <x v="218"/>
  </r>
  <r>
    <n v="1099205"/>
    <x v="149"/>
    <x v="3"/>
    <x v="222"/>
    <x v="51"/>
  </r>
  <r>
    <n v="1099205"/>
    <x v="149"/>
    <x v="3"/>
    <x v="224"/>
    <x v="352"/>
  </r>
  <r>
    <n v="1099205"/>
    <x v="149"/>
    <x v="3"/>
    <x v="225"/>
    <x v="89"/>
  </r>
  <r>
    <n v="1099205"/>
    <x v="149"/>
    <x v="3"/>
    <x v="226"/>
    <x v="224"/>
  </r>
  <r>
    <n v="1099205"/>
    <x v="149"/>
    <x v="3"/>
    <x v="227"/>
    <x v="353"/>
  </r>
  <r>
    <n v="1099205"/>
    <x v="149"/>
    <x v="3"/>
    <x v="228"/>
    <x v="354"/>
  </r>
  <r>
    <n v="1099205"/>
    <x v="149"/>
    <x v="3"/>
    <x v="229"/>
    <x v="355"/>
  </r>
  <r>
    <n v="1099205"/>
    <x v="149"/>
    <x v="3"/>
    <x v="230"/>
    <x v="204"/>
  </r>
  <r>
    <n v="1099205"/>
    <x v="149"/>
    <x v="3"/>
    <x v="231"/>
    <x v="220"/>
  </r>
  <r>
    <n v="1099205"/>
    <x v="149"/>
    <x v="3"/>
    <x v="232"/>
    <x v="92"/>
  </r>
  <r>
    <n v="1099205"/>
    <x v="149"/>
    <x v="3"/>
    <x v="233"/>
    <x v="344"/>
  </r>
  <r>
    <n v="1099205"/>
    <x v="149"/>
    <x v="3"/>
    <x v="234"/>
    <x v="84"/>
  </r>
  <r>
    <n v="1099205"/>
    <x v="149"/>
    <x v="3"/>
    <x v="152"/>
    <x v="154"/>
  </r>
  <r>
    <n v="1099205"/>
    <x v="149"/>
    <x v="3"/>
    <x v="153"/>
    <x v="97"/>
  </r>
  <r>
    <n v="1099205"/>
    <x v="149"/>
    <x v="3"/>
    <x v="255"/>
    <x v="80"/>
  </r>
  <r>
    <n v="1099205"/>
    <x v="149"/>
    <x v="3"/>
    <x v="256"/>
    <x v="233"/>
  </r>
  <r>
    <n v="1099205"/>
    <x v="149"/>
    <x v="3"/>
    <x v="257"/>
    <x v="149"/>
  </r>
  <r>
    <n v="1099205"/>
    <x v="149"/>
    <x v="3"/>
    <x v="258"/>
    <x v="198"/>
  </r>
  <r>
    <n v="1099205"/>
    <x v="149"/>
    <x v="3"/>
    <x v="259"/>
    <x v="79"/>
  </r>
  <r>
    <n v="1099205"/>
    <x v="149"/>
    <x v="3"/>
    <x v="260"/>
    <x v="182"/>
  </r>
  <r>
    <n v="1099205"/>
    <x v="149"/>
    <x v="3"/>
    <x v="261"/>
    <x v="34"/>
  </r>
  <r>
    <n v="1099205"/>
    <x v="149"/>
    <x v="3"/>
    <x v="249"/>
    <x v="78"/>
  </r>
  <r>
    <n v="1099205"/>
    <x v="149"/>
    <x v="3"/>
    <x v="262"/>
    <x v="4"/>
  </r>
  <r>
    <n v="1099205"/>
    <x v="149"/>
    <x v="3"/>
    <x v="263"/>
    <x v="105"/>
  </r>
  <r>
    <n v="1099205"/>
    <x v="149"/>
    <x v="3"/>
    <x v="264"/>
    <x v="77"/>
  </r>
  <r>
    <n v="1099205"/>
    <x v="149"/>
    <x v="3"/>
    <x v="316"/>
    <x v="350"/>
  </r>
  <r>
    <n v="1099205"/>
    <x v="149"/>
    <x v="3"/>
    <x v="265"/>
    <x v="198"/>
  </r>
  <r>
    <n v="1099205"/>
    <x v="149"/>
    <x v="3"/>
    <x v="204"/>
    <x v="161"/>
  </r>
  <r>
    <n v="1099205"/>
    <x v="149"/>
    <x v="3"/>
    <x v="250"/>
    <x v="161"/>
  </r>
  <r>
    <n v="1099205"/>
    <x v="149"/>
    <x v="3"/>
    <x v="139"/>
    <x v="144"/>
  </r>
  <r>
    <n v="1099205"/>
    <x v="149"/>
    <x v="3"/>
    <x v="238"/>
    <x v="357"/>
  </r>
  <r>
    <n v="1099205"/>
    <x v="149"/>
    <x v="3"/>
    <x v="245"/>
    <x v="92"/>
  </r>
  <r>
    <n v="1099205"/>
    <x v="149"/>
    <x v="3"/>
    <x v="205"/>
    <x v="198"/>
  </r>
  <r>
    <n v="1099205"/>
    <x v="149"/>
    <x v="3"/>
    <x v="206"/>
    <x v="88"/>
  </r>
  <r>
    <n v="1099205"/>
    <x v="149"/>
    <x v="3"/>
    <x v="207"/>
    <x v="61"/>
  </r>
  <r>
    <n v="1099205"/>
    <x v="149"/>
    <x v="3"/>
    <x v="208"/>
    <x v="79"/>
  </r>
  <r>
    <n v="1099205"/>
    <x v="149"/>
    <x v="3"/>
    <x v="209"/>
    <x v="351"/>
  </r>
  <r>
    <n v="1099205"/>
    <x v="149"/>
    <x v="3"/>
    <x v="210"/>
    <x v="347"/>
  </r>
  <r>
    <n v="1099205"/>
    <x v="149"/>
    <x v="3"/>
    <x v="211"/>
    <x v="77"/>
  </r>
  <r>
    <n v="1099205"/>
    <x v="149"/>
    <x v="3"/>
    <x v="212"/>
    <x v="84"/>
  </r>
  <r>
    <n v="1099205"/>
    <x v="149"/>
    <x v="3"/>
    <x v="252"/>
    <x v="88"/>
  </r>
  <r>
    <n v="1099205"/>
    <x v="149"/>
    <x v="3"/>
    <x v="314"/>
    <x v="346"/>
  </r>
  <r>
    <n v="1099205"/>
    <x v="149"/>
    <x v="3"/>
    <x v="317"/>
    <x v="156"/>
  </r>
  <r>
    <n v="1099205"/>
    <x v="149"/>
    <x v="3"/>
    <x v="218"/>
    <x v="179"/>
  </r>
  <r>
    <n v="1099205"/>
    <x v="149"/>
    <x v="3"/>
    <x v="217"/>
    <x v="146"/>
  </r>
  <r>
    <n v="1099205"/>
    <x v="149"/>
    <x v="3"/>
    <x v="219"/>
    <x v="363"/>
  </r>
  <r>
    <n v="1099205"/>
    <x v="149"/>
    <x v="3"/>
    <x v="315"/>
    <x v="364"/>
  </r>
  <r>
    <n v="1099205"/>
    <x v="149"/>
    <x v="3"/>
    <x v="318"/>
    <x v="168"/>
  </r>
  <r>
    <n v="1099205"/>
    <x v="149"/>
    <x v="3"/>
    <x v="220"/>
    <x v="144"/>
  </r>
  <r>
    <n v="1099205"/>
    <x v="149"/>
    <x v="3"/>
    <x v="221"/>
    <x v="149"/>
  </r>
  <r>
    <n v="1099205"/>
    <x v="149"/>
    <x v="3"/>
    <x v="158"/>
    <x v="361"/>
  </r>
  <r>
    <n v="1099205"/>
    <x v="149"/>
    <x v="3"/>
    <x v="342"/>
    <x v="347"/>
  </r>
  <r>
    <n v="1099205"/>
    <x v="149"/>
    <x v="3"/>
    <x v="343"/>
    <x v="64"/>
  </r>
  <r>
    <n v="1099205"/>
    <x v="149"/>
    <x v="3"/>
    <x v="14"/>
    <x v="202"/>
  </r>
  <r>
    <n v="1099205"/>
    <x v="149"/>
    <x v="3"/>
    <x v="15"/>
    <x v="362"/>
  </r>
  <r>
    <n v="1099205"/>
    <x v="149"/>
    <x v="3"/>
    <x v="12"/>
    <x v="3"/>
  </r>
  <r>
    <n v="1099205"/>
    <x v="149"/>
    <x v="3"/>
    <x v="11"/>
    <x v="347"/>
  </r>
  <r>
    <n v="1099205"/>
    <x v="149"/>
    <x v="3"/>
    <x v="344"/>
    <x v="179"/>
  </r>
  <r>
    <n v="1099205"/>
    <x v="149"/>
    <x v="3"/>
    <x v="10"/>
    <x v="105"/>
  </r>
  <r>
    <n v="1099205"/>
    <x v="149"/>
    <x v="3"/>
    <x v="9"/>
    <x v="347"/>
  </r>
  <r>
    <n v="1099205"/>
    <x v="149"/>
    <x v="3"/>
    <x v="8"/>
    <x v="176"/>
  </r>
  <r>
    <n v="1099205"/>
    <x v="149"/>
    <x v="3"/>
    <x v="7"/>
    <x v="176"/>
  </r>
  <r>
    <n v="1099205"/>
    <x v="149"/>
    <x v="3"/>
    <x v="6"/>
    <x v="198"/>
  </r>
  <r>
    <n v="1099205"/>
    <x v="149"/>
    <x v="3"/>
    <x v="13"/>
    <x v="170"/>
  </r>
  <r>
    <n v="1099205"/>
    <x v="149"/>
    <x v="3"/>
    <x v="253"/>
    <x v="197"/>
  </r>
  <r>
    <n v="1099205"/>
    <x v="149"/>
    <x v="3"/>
    <x v="254"/>
    <x v="98"/>
  </r>
  <r>
    <n v="1099205"/>
    <x v="149"/>
    <x v="3"/>
    <x v="345"/>
    <x v="153"/>
  </r>
  <r>
    <n v="1099205"/>
    <x v="149"/>
    <x v="3"/>
    <x v="346"/>
    <x v="198"/>
  </r>
  <r>
    <n v="1099205"/>
    <x v="149"/>
    <x v="3"/>
    <x v="347"/>
    <x v="42"/>
  </r>
  <r>
    <n v="1099205"/>
    <x v="149"/>
    <x v="3"/>
    <x v="348"/>
    <x v="42"/>
  </r>
  <r>
    <n v="1099205"/>
    <x v="149"/>
    <x v="3"/>
    <x v="349"/>
    <x v="170"/>
  </r>
  <r>
    <n v="1099205"/>
    <x v="149"/>
    <x v="3"/>
    <x v="331"/>
    <x v="79"/>
  </r>
  <r>
    <n v="1099205"/>
    <x v="1"/>
    <x v="1"/>
    <x v="2"/>
    <x v="2"/>
  </r>
  <r>
    <n v="1099206"/>
    <x v="150"/>
    <x v="2"/>
    <x v="76"/>
    <x v="231"/>
  </r>
  <r>
    <n v="1099206"/>
    <x v="150"/>
    <x v="2"/>
    <x v="75"/>
    <x v="173"/>
  </r>
  <r>
    <n v="1099206"/>
    <x v="150"/>
    <x v="2"/>
    <x v="71"/>
    <x v="111"/>
  </r>
  <r>
    <n v="1099206"/>
    <x v="150"/>
    <x v="2"/>
    <x v="74"/>
    <x v="51"/>
  </r>
  <r>
    <n v="1099206"/>
    <x v="150"/>
    <x v="2"/>
    <x v="62"/>
    <x v="153"/>
  </r>
  <r>
    <n v="1099206"/>
    <x v="150"/>
    <x v="2"/>
    <x v="70"/>
    <x v="197"/>
  </r>
  <r>
    <n v="1099206"/>
    <x v="150"/>
    <x v="2"/>
    <x v="58"/>
    <x v="233"/>
  </r>
  <r>
    <n v="1099206"/>
    <x v="150"/>
    <x v="2"/>
    <x v="61"/>
    <x v="234"/>
  </r>
  <r>
    <n v="1099206"/>
    <x v="150"/>
    <x v="2"/>
    <x v="84"/>
    <x v="232"/>
  </r>
  <r>
    <n v="1099206"/>
    <x v="150"/>
    <x v="2"/>
    <x v="82"/>
    <x v="162"/>
  </r>
  <r>
    <n v="1099206"/>
    <x v="150"/>
    <x v="2"/>
    <x v="77"/>
    <x v="236"/>
  </r>
  <r>
    <n v="1099206"/>
    <x v="150"/>
    <x v="2"/>
    <x v="79"/>
    <x v="227"/>
  </r>
  <r>
    <n v="1099206"/>
    <x v="150"/>
    <x v="2"/>
    <x v="78"/>
    <x v="235"/>
  </r>
  <r>
    <n v="1099206"/>
    <x v="150"/>
    <x v="2"/>
    <x v="65"/>
    <x v="98"/>
  </r>
  <r>
    <n v="1099206"/>
    <x v="150"/>
    <x v="2"/>
    <x v="66"/>
    <x v="231"/>
  </r>
  <r>
    <n v="1099206"/>
    <x v="150"/>
    <x v="2"/>
    <x v="68"/>
    <x v="230"/>
  </r>
  <r>
    <n v="1099206"/>
    <x v="150"/>
    <x v="2"/>
    <x v="60"/>
    <x v="229"/>
  </r>
  <r>
    <n v="1099206"/>
    <x v="150"/>
    <x v="2"/>
    <x v="63"/>
    <x v="97"/>
  </r>
  <r>
    <n v="1099206"/>
    <x v="150"/>
    <x v="2"/>
    <x v="56"/>
    <x v="228"/>
  </r>
  <r>
    <n v="1099206"/>
    <x v="1"/>
    <x v="1"/>
    <x v="2"/>
    <x v="2"/>
  </r>
  <r>
    <n v="1099207"/>
    <x v="151"/>
    <x v="5"/>
    <x v="303"/>
    <x v="281"/>
  </r>
  <r>
    <n v="1099207"/>
    <x v="151"/>
    <x v="5"/>
    <x v="305"/>
    <x v="283"/>
  </r>
  <r>
    <n v="1099207"/>
    <x v="151"/>
    <x v="5"/>
    <x v="304"/>
    <x v="282"/>
  </r>
  <r>
    <n v="1099207"/>
    <x v="1"/>
    <x v="1"/>
    <x v="2"/>
    <x v="2"/>
  </r>
  <r>
    <n v="1099217"/>
    <x v="152"/>
    <x v="13"/>
    <x v="421"/>
    <x v="511"/>
  </r>
  <r>
    <n v="1099217"/>
    <x v="152"/>
    <x v="13"/>
    <x v="422"/>
    <x v="512"/>
  </r>
  <r>
    <n v="1099217"/>
    <x v="1"/>
    <x v="1"/>
    <x v="2"/>
    <x v="2"/>
  </r>
  <r>
    <n v="1099219"/>
    <x v="153"/>
    <x v="2"/>
    <x v="423"/>
    <x v="2"/>
  </r>
  <r>
    <n v="1099219"/>
    <x v="1"/>
    <x v="1"/>
    <x v="2"/>
    <x v="2"/>
  </r>
  <r>
    <n v="1099220"/>
    <x v="154"/>
    <x v="0"/>
    <x v="302"/>
    <x v="2"/>
  </r>
  <r>
    <n v="1099220"/>
    <x v="1"/>
    <x v="1"/>
    <x v="2"/>
    <x v="2"/>
  </r>
  <r>
    <n v="1099222"/>
    <x v="155"/>
    <x v="5"/>
    <x v="299"/>
    <x v="2"/>
  </r>
  <r>
    <n v="1099222"/>
    <x v="1"/>
    <x v="1"/>
    <x v="2"/>
    <x v="2"/>
  </r>
  <r>
    <n v="1099229"/>
    <x v="156"/>
    <x v="5"/>
    <x v="48"/>
    <x v="287"/>
  </r>
  <r>
    <n v="1099229"/>
    <x v="156"/>
    <x v="5"/>
    <x v="53"/>
    <x v="290"/>
  </r>
  <r>
    <n v="1099229"/>
    <x v="156"/>
    <x v="5"/>
    <x v="49"/>
    <x v="289"/>
  </r>
  <r>
    <n v="1099229"/>
    <x v="156"/>
    <x v="5"/>
    <x v="47"/>
    <x v="288"/>
  </r>
  <r>
    <n v="1099229"/>
    <x v="156"/>
    <x v="5"/>
    <x v="50"/>
    <x v="291"/>
  </r>
  <r>
    <n v="1099229"/>
    <x v="1"/>
    <x v="1"/>
    <x v="2"/>
    <x v="2"/>
  </r>
  <r>
    <n v="1099233"/>
    <x v="157"/>
    <x v="3"/>
    <x v="217"/>
    <x v="201"/>
  </r>
  <r>
    <n v="1099233"/>
    <x v="157"/>
    <x v="3"/>
    <x v="9"/>
    <x v="147"/>
  </r>
  <r>
    <n v="1099233"/>
    <x v="157"/>
    <x v="3"/>
    <x v="229"/>
    <x v="513"/>
  </r>
  <r>
    <n v="1099233"/>
    <x v="157"/>
    <x v="3"/>
    <x v="218"/>
    <x v="84"/>
  </r>
  <r>
    <n v="1099233"/>
    <x v="157"/>
    <x v="3"/>
    <x v="246"/>
    <x v="392"/>
  </r>
  <r>
    <n v="1099233"/>
    <x v="157"/>
    <x v="3"/>
    <x v="342"/>
    <x v="145"/>
  </r>
  <r>
    <n v="1099233"/>
    <x v="157"/>
    <x v="3"/>
    <x v="235"/>
    <x v="173"/>
  </r>
  <r>
    <n v="1099233"/>
    <x v="157"/>
    <x v="3"/>
    <x v="157"/>
    <x v="514"/>
  </r>
  <r>
    <n v="1099233"/>
    <x v="157"/>
    <x v="3"/>
    <x v="228"/>
    <x v="515"/>
  </r>
  <r>
    <n v="1099233"/>
    <x v="157"/>
    <x v="3"/>
    <x v="11"/>
    <x v="145"/>
  </r>
  <r>
    <n v="1099233"/>
    <x v="157"/>
    <x v="3"/>
    <x v="240"/>
    <x v="82"/>
  </r>
  <r>
    <n v="1099233"/>
    <x v="157"/>
    <x v="3"/>
    <x v="150"/>
    <x v="150"/>
  </r>
  <r>
    <n v="1099233"/>
    <x v="157"/>
    <x v="3"/>
    <x v="318"/>
    <x v="232"/>
  </r>
  <r>
    <n v="1099233"/>
    <x v="157"/>
    <x v="3"/>
    <x v="5"/>
    <x v="516"/>
  </r>
  <r>
    <n v="1099233"/>
    <x v="157"/>
    <x v="3"/>
    <x v="14"/>
    <x v="175"/>
  </r>
  <r>
    <n v="1099233"/>
    <x v="157"/>
    <x v="3"/>
    <x v="226"/>
    <x v="517"/>
  </r>
  <r>
    <n v="1099233"/>
    <x v="157"/>
    <x v="3"/>
    <x v="10"/>
    <x v="364"/>
  </r>
  <r>
    <n v="1099233"/>
    <x v="157"/>
    <x v="3"/>
    <x v="141"/>
    <x v="153"/>
  </r>
  <r>
    <n v="1099233"/>
    <x v="157"/>
    <x v="3"/>
    <x v="15"/>
    <x v="441"/>
  </r>
  <r>
    <n v="1099233"/>
    <x v="157"/>
    <x v="3"/>
    <x v="155"/>
    <x v="518"/>
  </r>
  <r>
    <n v="1099233"/>
    <x v="157"/>
    <x v="3"/>
    <x v="343"/>
    <x v="80"/>
  </r>
  <r>
    <n v="1099233"/>
    <x v="157"/>
    <x v="3"/>
    <x v="237"/>
    <x v="519"/>
  </r>
  <r>
    <n v="1099233"/>
    <x v="157"/>
    <x v="3"/>
    <x v="344"/>
    <x v="84"/>
  </r>
  <r>
    <n v="1099233"/>
    <x v="157"/>
    <x v="3"/>
    <x v="313"/>
    <x v="520"/>
  </r>
  <r>
    <n v="1099233"/>
    <x v="157"/>
    <x v="3"/>
    <x v="239"/>
    <x v="119"/>
  </r>
  <r>
    <n v="1099233"/>
    <x v="157"/>
    <x v="3"/>
    <x v="143"/>
    <x v="221"/>
  </r>
  <r>
    <n v="1099233"/>
    <x v="157"/>
    <x v="3"/>
    <x v="315"/>
    <x v="368"/>
  </r>
  <r>
    <n v="1099233"/>
    <x v="157"/>
    <x v="3"/>
    <x v="251"/>
    <x v="98"/>
  </r>
  <r>
    <n v="1099233"/>
    <x v="157"/>
    <x v="3"/>
    <x v="152"/>
    <x v="347"/>
  </r>
  <r>
    <n v="1099233"/>
    <x v="157"/>
    <x v="3"/>
    <x v="8"/>
    <x v="62"/>
  </r>
  <r>
    <n v="1099233"/>
    <x v="157"/>
    <x v="3"/>
    <x v="245"/>
    <x v="212"/>
  </r>
  <r>
    <n v="1099233"/>
    <x v="1"/>
    <x v="1"/>
    <x v="2"/>
    <x v="2"/>
  </r>
  <r>
    <n v="1099234"/>
    <x v="158"/>
    <x v="5"/>
    <x v="110"/>
    <x v="503"/>
  </r>
  <r>
    <n v="1099234"/>
    <x v="158"/>
    <x v="5"/>
    <x v="111"/>
    <x v="504"/>
  </r>
  <r>
    <n v="1099234"/>
    <x v="158"/>
    <x v="5"/>
    <x v="112"/>
    <x v="505"/>
  </r>
  <r>
    <n v="1099234"/>
    <x v="158"/>
    <x v="5"/>
    <x v="114"/>
    <x v="506"/>
  </r>
  <r>
    <n v="1099234"/>
    <x v="158"/>
    <x v="5"/>
    <x v="115"/>
    <x v="507"/>
  </r>
  <r>
    <n v="1099234"/>
    <x v="1"/>
    <x v="1"/>
    <x v="2"/>
    <x v="2"/>
  </r>
  <r>
    <n v="1099246"/>
    <x v="159"/>
    <x v="6"/>
    <x v="105"/>
    <x v="127"/>
  </r>
  <r>
    <n v="1099246"/>
    <x v="159"/>
    <x v="6"/>
    <x v="101"/>
    <x v="124"/>
  </r>
  <r>
    <n v="1099246"/>
    <x v="159"/>
    <x v="6"/>
    <x v="102"/>
    <x v="125"/>
  </r>
  <r>
    <n v="1099246"/>
    <x v="159"/>
    <x v="6"/>
    <x v="106"/>
    <x v="128"/>
  </r>
  <r>
    <n v="1099246"/>
    <x v="159"/>
    <x v="6"/>
    <x v="103"/>
    <x v="126"/>
  </r>
  <r>
    <n v="1099246"/>
    <x v="159"/>
    <x v="6"/>
    <x v="107"/>
    <x v="129"/>
  </r>
  <r>
    <n v="1099246"/>
    <x v="159"/>
    <x v="6"/>
    <x v="104"/>
    <x v="126"/>
  </r>
  <r>
    <n v="1099246"/>
    <x v="1"/>
    <x v="1"/>
    <x v="2"/>
    <x v="2"/>
  </r>
  <r>
    <n v="1099247"/>
    <x v="160"/>
    <x v="12"/>
    <x v="381"/>
    <x v="398"/>
  </r>
  <r>
    <n v="1099247"/>
    <x v="160"/>
    <x v="12"/>
    <x v="379"/>
    <x v="396"/>
  </r>
  <r>
    <n v="1099247"/>
    <x v="160"/>
    <x v="12"/>
    <x v="378"/>
    <x v="395"/>
  </r>
  <r>
    <n v="1099247"/>
    <x v="160"/>
    <x v="12"/>
    <x v="380"/>
    <x v="397"/>
  </r>
  <r>
    <n v="1099247"/>
    <x v="160"/>
    <x v="12"/>
    <x v="382"/>
    <x v="399"/>
  </r>
  <r>
    <n v="1099247"/>
    <x v="1"/>
    <x v="1"/>
    <x v="2"/>
    <x v="2"/>
  </r>
  <r>
    <n v="1099262"/>
    <x v="161"/>
    <x v="2"/>
    <x v="59"/>
    <x v="521"/>
  </r>
  <r>
    <n v="1099262"/>
    <x v="161"/>
    <x v="2"/>
    <x v="67"/>
    <x v="35"/>
  </r>
  <r>
    <n v="1099262"/>
    <x v="161"/>
    <x v="2"/>
    <x v="57"/>
    <x v="522"/>
  </r>
  <r>
    <n v="1099262"/>
    <x v="161"/>
    <x v="2"/>
    <x v="81"/>
    <x v="477"/>
  </r>
  <r>
    <n v="1099262"/>
    <x v="161"/>
    <x v="2"/>
    <x v="80"/>
    <x v="523"/>
  </r>
  <r>
    <n v="1099262"/>
    <x v="161"/>
    <x v="2"/>
    <x v="73"/>
    <x v="347"/>
  </r>
  <r>
    <n v="1099262"/>
    <x v="161"/>
    <x v="2"/>
    <x v="55"/>
    <x v="146"/>
  </r>
  <r>
    <n v="1099262"/>
    <x v="161"/>
    <x v="2"/>
    <x v="83"/>
    <x v="185"/>
  </r>
  <r>
    <n v="1099262"/>
    <x v="161"/>
    <x v="2"/>
    <x v="64"/>
    <x v="524"/>
  </r>
  <r>
    <n v="1099262"/>
    <x v="161"/>
    <x v="2"/>
    <x v="69"/>
    <x v="525"/>
  </r>
  <r>
    <n v="1099262"/>
    <x v="1"/>
    <x v="1"/>
    <x v="2"/>
    <x v="2"/>
  </r>
  <r>
    <n v="1099271"/>
    <x v="162"/>
    <x v="2"/>
    <x v="420"/>
    <x v="526"/>
  </r>
  <r>
    <n v="1099271"/>
    <x v="162"/>
    <x v="2"/>
    <x v="424"/>
    <x v="527"/>
  </r>
  <r>
    <n v="1099271"/>
    <x v="162"/>
    <x v="2"/>
    <x v="419"/>
    <x v="528"/>
  </r>
  <r>
    <n v="1099271"/>
    <x v="162"/>
    <x v="2"/>
    <x v="425"/>
    <x v="529"/>
  </r>
  <r>
    <n v="1099271"/>
    <x v="162"/>
    <x v="2"/>
    <x v="418"/>
    <x v="530"/>
  </r>
  <r>
    <n v="1099271"/>
    <x v="1"/>
    <x v="1"/>
    <x v="2"/>
    <x v="2"/>
  </r>
  <r>
    <n v="1099277"/>
    <x v="163"/>
    <x v="13"/>
    <x v="383"/>
    <x v="227"/>
  </r>
  <r>
    <n v="1099277"/>
    <x v="163"/>
    <x v="13"/>
    <x v="385"/>
    <x v="531"/>
  </r>
  <r>
    <n v="1099277"/>
    <x v="163"/>
    <x v="13"/>
    <x v="386"/>
    <x v="272"/>
  </r>
  <r>
    <n v="1099277"/>
    <x v="163"/>
    <x v="13"/>
    <x v="384"/>
    <x v="532"/>
  </r>
  <r>
    <n v="1099277"/>
    <x v="163"/>
    <x v="13"/>
    <x v="330"/>
    <x v="533"/>
  </r>
  <r>
    <n v="1099277"/>
    <x v="1"/>
    <x v="1"/>
    <x v="2"/>
    <x v="2"/>
  </r>
  <r>
    <n v="1099282"/>
    <x v="164"/>
    <x v="3"/>
    <x v="136"/>
    <x v="82"/>
  </r>
  <r>
    <n v="1099282"/>
    <x v="164"/>
    <x v="3"/>
    <x v="138"/>
    <x v="149"/>
  </r>
  <r>
    <n v="1099282"/>
    <x v="164"/>
    <x v="3"/>
    <x v="144"/>
    <x v="84"/>
  </r>
  <r>
    <n v="1099282"/>
    <x v="164"/>
    <x v="3"/>
    <x v="146"/>
    <x v="78"/>
  </r>
  <r>
    <n v="1099282"/>
    <x v="164"/>
    <x v="3"/>
    <x v="148"/>
    <x v="144"/>
  </r>
  <r>
    <n v="1099282"/>
    <x v="164"/>
    <x v="3"/>
    <x v="149"/>
    <x v="154"/>
  </r>
  <r>
    <n v="1099282"/>
    <x v="164"/>
    <x v="3"/>
    <x v="152"/>
    <x v="156"/>
  </r>
  <r>
    <n v="1099282"/>
    <x v="164"/>
    <x v="3"/>
    <x v="130"/>
    <x v="145"/>
  </r>
  <r>
    <n v="1099282"/>
    <x v="164"/>
    <x v="3"/>
    <x v="140"/>
    <x v="150"/>
  </r>
  <r>
    <n v="1099282"/>
    <x v="164"/>
    <x v="3"/>
    <x v="157"/>
    <x v="159"/>
  </r>
  <r>
    <n v="1099282"/>
    <x v="164"/>
    <x v="3"/>
    <x v="160"/>
    <x v="162"/>
  </r>
  <r>
    <n v="1099282"/>
    <x v="164"/>
    <x v="3"/>
    <x v="161"/>
    <x v="163"/>
  </r>
  <r>
    <n v="1099282"/>
    <x v="164"/>
    <x v="3"/>
    <x v="126"/>
    <x v="82"/>
  </r>
  <r>
    <n v="1099282"/>
    <x v="164"/>
    <x v="3"/>
    <x v="129"/>
    <x v="42"/>
  </r>
  <r>
    <n v="1099282"/>
    <x v="164"/>
    <x v="3"/>
    <x v="131"/>
    <x v="34"/>
  </r>
  <r>
    <n v="1099282"/>
    <x v="164"/>
    <x v="3"/>
    <x v="137"/>
    <x v="79"/>
  </r>
  <r>
    <n v="1099282"/>
    <x v="164"/>
    <x v="3"/>
    <x v="141"/>
    <x v="151"/>
  </r>
  <r>
    <n v="1099282"/>
    <x v="164"/>
    <x v="3"/>
    <x v="142"/>
    <x v="152"/>
  </r>
  <r>
    <n v="1099282"/>
    <x v="164"/>
    <x v="3"/>
    <x v="143"/>
    <x v="91"/>
  </r>
  <r>
    <n v="1099282"/>
    <x v="164"/>
    <x v="3"/>
    <x v="145"/>
    <x v="153"/>
  </r>
  <r>
    <n v="1099282"/>
    <x v="164"/>
    <x v="3"/>
    <x v="147"/>
    <x v="24"/>
  </r>
  <r>
    <n v="1099282"/>
    <x v="164"/>
    <x v="3"/>
    <x v="150"/>
    <x v="155"/>
  </r>
  <r>
    <n v="1099282"/>
    <x v="164"/>
    <x v="3"/>
    <x v="151"/>
    <x v="35"/>
  </r>
  <r>
    <n v="1099282"/>
    <x v="164"/>
    <x v="3"/>
    <x v="153"/>
    <x v="147"/>
  </r>
  <r>
    <n v="1099282"/>
    <x v="164"/>
    <x v="3"/>
    <x v="139"/>
    <x v="37"/>
  </r>
  <r>
    <n v="1099282"/>
    <x v="164"/>
    <x v="3"/>
    <x v="155"/>
    <x v="157"/>
  </r>
  <r>
    <n v="1099282"/>
    <x v="164"/>
    <x v="3"/>
    <x v="156"/>
    <x v="158"/>
  </r>
  <r>
    <n v="1099282"/>
    <x v="164"/>
    <x v="3"/>
    <x v="158"/>
    <x v="160"/>
  </r>
  <r>
    <n v="1099282"/>
    <x v="164"/>
    <x v="3"/>
    <x v="159"/>
    <x v="161"/>
  </r>
  <r>
    <n v="1099282"/>
    <x v="164"/>
    <x v="3"/>
    <x v="162"/>
    <x v="164"/>
  </r>
  <r>
    <n v="1099282"/>
    <x v="164"/>
    <x v="3"/>
    <x v="154"/>
    <x v="149"/>
  </r>
  <r>
    <n v="1099282"/>
    <x v="164"/>
    <x v="3"/>
    <x v="163"/>
    <x v="83"/>
  </r>
  <r>
    <n v="1099282"/>
    <x v="164"/>
    <x v="3"/>
    <x v="124"/>
    <x v="62"/>
  </r>
  <r>
    <n v="1099282"/>
    <x v="164"/>
    <x v="3"/>
    <x v="125"/>
    <x v="144"/>
  </r>
  <r>
    <n v="1099282"/>
    <x v="164"/>
    <x v="3"/>
    <x v="127"/>
    <x v="97"/>
  </r>
  <r>
    <n v="1099282"/>
    <x v="164"/>
    <x v="3"/>
    <x v="128"/>
    <x v="92"/>
  </r>
  <r>
    <n v="1099282"/>
    <x v="164"/>
    <x v="3"/>
    <x v="132"/>
    <x v="146"/>
  </r>
  <r>
    <n v="1099282"/>
    <x v="164"/>
    <x v="3"/>
    <x v="133"/>
    <x v="147"/>
  </r>
  <r>
    <n v="1099282"/>
    <x v="164"/>
    <x v="3"/>
    <x v="134"/>
    <x v="148"/>
  </r>
  <r>
    <n v="1099282"/>
    <x v="164"/>
    <x v="3"/>
    <x v="135"/>
    <x v="64"/>
  </r>
  <r>
    <n v="1099282"/>
    <x v="1"/>
    <x v="1"/>
    <x v="2"/>
    <x v="2"/>
  </r>
  <r>
    <n v="1099290"/>
    <x v="165"/>
    <x v="5"/>
    <x v="276"/>
    <x v="2"/>
  </r>
  <r>
    <n v="1099290"/>
    <x v="1"/>
    <x v="1"/>
    <x v="2"/>
    <x v="2"/>
  </r>
  <r>
    <n v="1099296"/>
    <x v="166"/>
    <x v="13"/>
    <x v="395"/>
    <x v="430"/>
  </r>
  <r>
    <n v="1099296"/>
    <x v="166"/>
    <x v="13"/>
    <x v="394"/>
    <x v="429"/>
  </r>
  <r>
    <n v="1099296"/>
    <x v="1"/>
    <x v="1"/>
    <x v="2"/>
    <x v="2"/>
  </r>
  <r>
    <n v="1099304"/>
    <x v="167"/>
    <x v="6"/>
    <x v="231"/>
    <x v="88"/>
  </r>
  <r>
    <n v="1099304"/>
    <x v="167"/>
    <x v="6"/>
    <x v="239"/>
    <x v="198"/>
  </r>
  <r>
    <n v="1099304"/>
    <x v="167"/>
    <x v="6"/>
    <x v="247"/>
    <x v="198"/>
  </r>
  <r>
    <n v="1099304"/>
    <x v="167"/>
    <x v="6"/>
    <x v="221"/>
    <x v="198"/>
  </r>
  <r>
    <n v="1099304"/>
    <x v="167"/>
    <x v="6"/>
    <x v="174"/>
    <x v="88"/>
  </r>
  <r>
    <n v="1099304"/>
    <x v="167"/>
    <x v="6"/>
    <x v="176"/>
    <x v="83"/>
  </r>
  <r>
    <n v="1099304"/>
    <x v="167"/>
    <x v="6"/>
    <x v="166"/>
    <x v="534"/>
  </r>
  <r>
    <n v="1099304"/>
    <x v="167"/>
    <x v="6"/>
    <x v="35"/>
    <x v="178"/>
  </r>
  <r>
    <n v="1099304"/>
    <x v="167"/>
    <x v="6"/>
    <x v="41"/>
    <x v="203"/>
  </r>
  <r>
    <n v="1099304"/>
    <x v="167"/>
    <x v="6"/>
    <x v="65"/>
    <x v="351"/>
  </r>
  <r>
    <n v="1099304"/>
    <x v="167"/>
    <x v="6"/>
    <x v="58"/>
    <x v="82"/>
  </r>
  <r>
    <n v="1099304"/>
    <x v="167"/>
    <x v="6"/>
    <x v="3"/>
    <x v="24"/>
  </r>
  <r>
    <n v="1099304"/>
    <x v="167"/>
    <x v="6"/>
    <x v="4"/>
    <x v="3"/>
  </r>
  <r>
    <n v="1099304"/>
    <x v="167"/>
    <x v="6"/>
    <x v="61"/>
    <x v="172"/>
  </r>
  <r>
    <n v="1099304"/>
    <x v="167"/>
    <x v="6"/>
    <x v="159"/>
    <x v="516"/>
  </r>
  <r>
    <n v="1099304"/>
    <x v="167"/>
    <x v="6"/>
    <x v="126"/>
    <x v="516"/>
  </r>
  <r>
    <n v="1099304"/>
    <x v="167"/>
    <x v="6"/>
    <x v="128"/>
    <x v="178"/>
  </r>
  <r>
    <n v="1099304"/>
    <x v="167"/>
    <x v="6"/>
    <x v="137"/>
    <x v="535"/>
  </r>
  <r>
    <n v="1099304"/>
    <x v="167"/>
    <x v="6"/>
    <x v="141"/>
    <x v="351"/>
  </r>
  <r>
    <n v="1099304"/>
    <x v="167"/>
    <x v="6"/>
    <x v="149"/>
    <x v="516"/>
  </r>
  <r>
    <n v="1099304"/>
    <x v="167"/>
    <x v="6"/>
    <x v="151"/>
    <x v="77"/>
  </r>
  <r>
    <n v="1099304"/>
    <x v="167"/>
    <x v="6"/>
    <x v="260"/>
    <x v="83"/>
  </r>
  <r>
    <n v="1099304"/>
    <x v="167"/>
    <x v="6"/>
    <x v="249"/>
    <x v="348"/>
  </r>
  <r>
    <n v="1099304"/>
    <x v="167"/>
    <x v="6"/>
    <x v="206"/>
    <x v="535"/>
  </r>
  <r>
    <n v="1099304"/>
    <x v="167"/>
    <x v="6"/>
    <x v="208"/>
    <x v="178"/>
  </r>
  <r>
    <n v="1099304"/>
    <x v="167"/>
    <x v="6"/>
    <x v="215"/>
    <x v="516"/>
  </r>
  <r>
    <n v="1099304"/>
    <x v="167"/>
    <x v="6"/>
    <x v="226"/>
    <x v="82"/>
  </r>
  <r>
    <n v="1099304"/>
    <x v="167"/>
    <x v="6"/>
    <x v="130"/>
    <x v="348"/>
  </r>
  <r>
    <n v="1099304"/>
    <x v="167"/>
    <x v="6"/>
    <x v="251"/>
    <x v="535"/>
  </r>
  <r>
    <n v="1099304"/>
    <x v="167"/>
    <x v="6"/>
    <x v="234"/>
    <x v="4"/>
  </r>
  <r>
    <n v="1099304"/>
    <x v="167"/>
    <x v="6"/>
    <x v="236"/>
    <x v="83"/>
  </r>
  <r>
    <n v="1099304"/>
    <x v="167"/>
    <x v="6"/>
    <x v="313"/>
    <x v="98"/>
  </r>
  <r>
    <n v="1099304"/>
    <x v="167"/>
    <x v="6"/>
    <x v="243"/>
    <x v="351"/>
  </r>
  <r>
    <n v="1099304"/>
    <x v="167"/>
    <x v="6"/>
    <x v="218"/>
    <x v="346"/>
  </r>
  <r>
    <n v="1099304"/>
    <x v="167"/>
    <x v="6"/>
    <x v="315"/>
    <x v="144"/>
  </r>
  <r>
    <n v="1099304"/>
    <x v="167"/>
    <x v="6"/>
    <x v="173"/>
    <x v="516"/>
  </r>
  <r>
    <n v="1099304"/>
    <x v="167"/>
    <x v="6"/>
    <x v="168"/>
    <x v="535"/>
  </r>
  <r>
    <n v="1099304"/>
    <x v="167"/>
    <x v="6"/>
    <x v="187"/>
    <x v="98"/>
  </r>
  <r>
    <n v="1099304"/>
    <x v="167"/>
    <x v="6"/>
    <x v="175"/>
    <x v="516"/>
  </r>
  <r>
    <n v="1099304"/>
    <x v="167"/>
    <x v="6"/>
    <x v="184"/>
    <x v="516"/>
  </r>
  <r>
    <n v="1099304"/>
    <x v="167"/>
    <x v="6"/>
    <x v="177"/>
    <x v="198"/>
  </r>
  <r>
    <n v="1099304"/>
    <x v="167"/>
    <x v="6"/>
    <x v="0"/>
    <x v="529"/>
  </r>
  <r>
    <n v="1099304"/>
    <x v="167"/>
    <x v="6"/>
    <x v="38"/>
    <x v="198"/>
  </r>
  <r>
    <n v="1099304"/>
    <x v="167"/>
    <x v="6"/>
    <x v="36"/>
    <x v="34"/>
  </r>
  <r>
    <n v="1099304"/>
    <x v="167"/>
    <x v="6"/>
    <x v="34"/>
    <x v="105"/>
  </r>
  <r>
    <n v="1099304"/>
    <x v="167"/>
    <x v="6"/>
    <x v="81"/>
    <x v="229"/>
  </r>
  <r>
    <n v="1099304"/>
    <x v="167"/>
    <x v="6"/>
    <x v="77"/>
    <x v="536"/>
  </r>
  <r>
    <n v="1099304"/>
    <x v="167"/>
    <x v="6"/>
    <x v="83"/>
    <x v="348"/>
  </r>
  <r>
    <n v="1099304"/>
    <x v="167"/>
    <x v="6"/>
    <x v="60"/>
    <x v="82"/>
  </r>
  <r>
    <n v="1099304"/>
    <x v="167"/>
    <x v="6"/>
    <x v="71"/>
    <x v="97"/>
  </r>
  <r>
    <n v="1099304"/>
    <x v="167"/>
    <x v="6"/>
    <x v="201"/>
    <x v="88"/>
  </r>
  <r>
    <n v="1099304"/>
    <x v="167"/>
    <x v="6"/>
    <x v="389"/>
    <x v="537"/>
  </r>
  <r>
    <n v="1099304"/>
    <x v="167"/>
    <x v="6"/>
    <x v="69"/>
    <x v="538"/>
  </r>
  <r>
    <n v="1099304"/>
    <x v="167"/>
    <x v="6"/>
    <x v="422"/>
    <x v="154"/>
  </r>
  <r>
    <n v="1099304"/>
    <x v="167"/>
    <x v="6"/>
    <x v="14"/>
    <x v="4"/>
  </r>
  <r>
    <n v="1099304"/>
    <x v="167"/>
    <x v="6"/>
    <x v="13"/>
    <x v="535"/>
  </r>
  <r>
    <n v="1099304"/>
    <x v="167"/>
    <x v="6"/>
    <x v="333"/>
    <x v="348"/>
  </r>
  <r>
    <n v="1099304"/>
    <x v="167"/>
    <x v="6"/>
    <x v="263"/>
    <x v="83"/>
  </r>
  <r>
    <n v="1099304"/>
    <x v="167"/>
    <x v="6"/>
    <x v="209"/>
    <x v="516"/>
  </r>
  <r>
    <n v="1099304"/>
    <x v="167"/>
    <x v="6"/>
    <x v="140"/>
    <x v="4"/>
  </r>
  <r>
    <n v="1099304"/>
    <x v="167"/>
    <x v="6"/>
    <x v="228"/>
    <x v="30"/>
  </r>
  <r>
    <n v="1099304"/>
    <x v="167"/>
    <x v="6"/>
    <x v="238"/>
    <x v="375"/>
  </r>
  <r>
    <n v="1099304"/>
    <x v="167"/>
    <x v="6"/>
    <x v="245"/>
    <x v="161"/>
  </r>
  <r>
    <n v="1099304"/>
    <x v="167"/>
    <x v="6"/>
    <x v="318"/>
    <x v="88"/>
  </r>
  <r>
    <n v="1099304"/>
    <x v="167"/>
    <x v="6"/>
    <x v="193"/>
    <x v="170"/>
  </r>
  <r>
    <n v="1099304"/>
    <x v="167"/>
    <x v="6"/>
    <x v="191"/>
    <x v="178"/>
  </r>
  <r>
    <n v="1099304"/>
    <x v="167"/>
    <x v="6"/>
    <x v="189"/>
    <x v="178"/>
  </r>
  <r>
    <n v="1099304"/>
    <x v="167"/>
    <x v="6"/>
    <x v="194"/>
    <x v="516"/>
  </r>
  <r>
    <n v="1099304"/>
    <x v="167"/>
    <x v="6"/>
    <x v="40"/>
    <x v="161"/>
  </r>
  <r>
    <n v="1099304"/>
    <x v="167"/>
    <x v="6"/>
    <x v="25"/>
    <x v="105"/>
  </r>
  <r>
    <n v="1099304"/>
    <x v="167"/>
    <x v="6"/>
    <x v="390"/>
    <x v="220"/>
  </r>
  <r>
    <n v="1099304"/>
    <x v="167"/>
    <x v="6"/>
    <x v="200"/>
    <x v="179"/>
  </r>
  <r>
    <n v="1099304"/>
    <x v="167"/>
    <x v="6"/>
    <x v="62"/>
    <x v="348"/>
  </r>
  <r>
    <n v="1099304"/>
    <x v="167"/>
    <x v="6"/>
    <x v="57"/>
    <x v="36"/>
  </r>
  <r>
    <n v="1099304"/>
    <x v="167"/>
    <x v="6"/>
    <x v="395"/>
    <x v="539"/>
  </r>
  <r>
    <n v="1099304"/>
    <x v="167"/>
    <x v="6"/>
    <x v="254"/>
    <x v="178"/>
  </r>
  <r>
    <n v="1099304"/>
    <x v="167"/>
    <x v="6"/>
    <x v="350"/>
    <x v="535"/>
  </r>
  <r>
    <n v="1099304"/>
    <x v="167"/>
    <x v="6"/>
    <x v="161"/>
    <x v="351"/>
  </r>
  <r>
    <n v="1099304"/>
    <x v="167"/>
    <x v="6"/>
    <x v="131"/>
    <x v="535"/>
  </r>
  <r>
    <n v="1099304"/>
    <x v="167"/>
    <x v="6"/>
    <x v="143"/>
    <x v="178"/>
  </r>
  <r>
    <n v="1099304"/>
    <x v="167"/>
    <x v="6"/>
    <x v="153"/>
    <x v="348"/>
  </r>
  <r>
    <n v="1099304"/>
    <x v="167"/>
    <x v="6"/>
    <x v="394"/>
    <x v="54"/>
  </r>
  <r>
    <n v="1099304"/>
    <x v="167"/>
    <x v="6"/>
    <x v="343"/>
    <x v="348"/>
  </r>
  <r>
    <n v="1099304"/>
    <x v="167"/>
    <x v="6"/>
    <x v="6"/>
    <x v="516"/>
  </r>
  <r>
    <n v="1099304"/>
    <x v="167"/>
    <x v="6"/>
    <x v="332"/>
    <x v="346"/>
  </r>
  <r>
    <n v="1099304"/>
    <x v="167"/>
    <x v="6"/>
    <x v="339"/>
    <x v="348"/>
  </r>
  <r>
    <n v="1099304"/>
    <x v="167"/>
    <x v="6"/>
    <x v="127"/>
    <x v="535"/>
  </r>
  <r>
    <n v="1099304"/>
    <x v="167"/>
    <x v="6"/>
    <x v="138"/>
    <x v="351"/>
  </r>
  <r>
    <n v="1099304"/>
    <x v="167"/>
    <x v="6"/>
    <x v="150"/>
    <x v="77"/>
  </r>
  <r>
    <n v="1099304"/>
    <x v="167"/>
    <x v="6"/>
    <x v="261"/>
    <x v="348"/>
  </r>
  <r>
    <n v="1099304"/>
    <x v="167"/>
    <x v="6"/>
    <x v="207"/>
    <x v="88"/>
  </r>
  <r>
    <n v="1099304"/>
    <x v="167"/>
    <x v="6"/>
    <x v="216"/>
    <x v="198"/>
  </r>
  <r>
    <n v="1099304"/>
    <x v="167"/>
    <x v="6"/>
    <x v="426"/>
    <x v="170"/>
  </r>
  <r>
    <n v="1099304"/>
    <x v="167"/>
    <x v="6"/>
    <x v="235"/>
    <x v="83"/>
  </r>
  <r>
    <n v="1099304"/>
    <x v="167"/>
    <x v="6"/>
    <x v="242"/>
    <x v="346"/>
  </r>
  <r>
    <n v="1099304"/>
    <x v="167"/>
    <x v="6"/>
    <x v="219"/>
    <x v="77"/>
  </r>
  <r>
    <n v="1099304"/>
    <x v="167"/>
    <x v="6"/>
    <x v="185"/>
    <x v="3"/>
  </r>
  <r>
    <n v="1099304"/>
    <x v="167"/>
    <x v="6"/>
    <x v="170"/>
    <x v="178"/>
  </r>
  <r>
    <n v="1099304"/>
    <x v="167"/>
    <x v="6"/>
    <x v="172"/>
    <x v="154"/>
  </r>
  <r>
    <n v="1099304"/>
    <x v="167"/>
    <x v="6"/>
    <x v="1"/>
    <x v="540"/>
  </r>
  <r>
    <n v="1099304"/>
    <x v="167"/>
    <x v="6"/>
    <x v="27"/>
    <x v="64"/>
  </r>
  <r>
    <n v="1099304"/>
    <x v="167"/>
    <x v="6"/>
    <x v="78"/>
    <x v="541"/>
  </r>
  <r>
    <n v="1099304"/>
    <x v="167"/>
    <x v="6"/>
    <x v="75"/>
    <x v="176"/>
  </r>
  <r>
    <n v="1099304"/>
    <x v="167"/>
    <x v="6"/>
    <x v="199"/>
    <x v="542"/>
  </r>
  <r>
    <n v="1099304"/>
    <x v="167"/>
    <x v="6"/>
    <x v="387"/>
    <x v="233"/>
  </r>
  <r>
    <n v="1099304"/>
    <x v="167"/>
    <x v="6"/>
    <x v="383"/>
    <x v="220"/>
  </r>
  <r>
    <n v="1099304"/>
    <x v="167"/>
    <x v="6"/>
    <x v="158"/>
    <x v="472"/>
  </r>
  <r>
    <n v="1099304"/>
    <x v="167"/>
    <x v="6"/>
    <x v="344"/>
    <x v="346"/>
  </r>
  <r>
    <n v="1099304"/>
    <x v="167"/>
    <x v="6"/>
    <x v="347"/>
    <x v="348"/>
  </r>
  <r>
    <n v="1099304"/>
    <x v="167"/>
    <x v="6"/>
    <x v="335"/>
    <x v="348"/>
  </r>
  <r>
    <n v="1099304"/>
    <x v="167"/>
    <x v="6"/>
    <x v="163"/>
    <x v="516"/>
  </r>
  <r>
    <n v="1099304"/>
    <x v="167"/>
    <x v="6"/>
    <x v="134"/>
    <x v="178"/>
  </r>
  <r>
    <n v="1099304"/>
    <x v="167"/>
    <x v="6"/>
    <x v="146"/>
    <x v="535"/>
  </r>
  <r>
    <n v="1099304"/>
    <x v="167"/>
    <x v="6"/>
    <x v="257"/>
    <x v="198"/>
  </r>
  <r>
    <n v="1099304"/>
    <x v="167"/>
    <x v="6"/>
    <x v="265"/>
    <x v="535"/>
  </r>
  <r>
    <n v="1099304"/>
    <x v="167"/>
    <x v="6"/>
    <x v="212"/>
    <x v="4"/>
  </r>
  <r>
    <n v="1099304"/>
    <x v="167"/>
    <x v="6"/>
    <x v="223"/>
    <x v="3"/>
  </r>
  <r>
    <n v="1099304"/>
    <x v="167"/>
    <x v="6"/>
    <x v="340"/>
    <x v="78"/>
  </r>
  <r>
    <n v="1099304"/>
    <x v="167"/>
    <x v="6"/>
    <x v="229"/>
    <x v="219"/>
  </r>
  <r>
    <n v="1099304"/>
    <x v="167"/>
    <x v="6"/>
    <x v="155"/>
    <x v="331"/>
  </r>
  <r>
    <n v="1099304"/>
    <x v="167"/>
    <x v="6"/>
    <x v="341"/>
    <x v="346"/>
  </r>
  <r>
    <n v="1099304"/>
    <x v="167"/>
    <x v="6"/>
    <x v="317"/>
    <x v="346"/>
  </r>
  <r>
    <n v="1099304"/>
    <x v="167"/>
    <x v="6"/>
    <x v="186"/>
    <x v="535"/>
  </r>
  <r>
    <n v="1099304"/>
    <x v="167"/>
    <x v="6"/>
    <x v="188"/>
    <x v="88"/>
  </r>
  <r>
    <n v="1099304"/>
    <x v="167"/>
    <x v="6"/>
    <x v="164"/>
    <x v="105"/>
  </r>
  <r>
    <n v="1099304"/>
    <x v="167"/>
    <x v="6"/>
    <x v="26"/>
    <x v="351"/>
  </r>
  <r>
    <n v="1099304"/>
    <x v="167"/>
    <x v="6"/>
    <x v="42"/>
    <x v="182"/>
  </r>
  <r>
    <n v="1099304"/>
    <x v="167"/>
    <x v="6"/>
    <x v="388"/>
    <x v="37"/>
  </r>
  <r>
    <n v="1099304"/>
    <x v="167"/>
    <x v="6"/>
    <x v="203"/>
    <x v="543"/>
  </r>
  <r>
    <n v="1099304"/>
    <x v="167"/>
    <x v="6"/>
    <x v="70"/>
    <x v="198"/>
  </r>
  <r>
    <n v="1099304"/>
    <x v="167"/>
    <x v="6"/>
    <x v="73"/>
    <x v="351"/>
  </r>
  <r>
    <n v="1099304"/>
    <x v="167"/>
    <x v="6"/>
    <x v="424"/>
    <x v="170"/>
  </r>
  <r>
    <n v="1099304"/>
    <x v="167"/>
    <x v="6"/>
    <x v="385"/>
    <x v="5"/>
  </r>
  <r>
    <n v="1099304"/>
    <x v="167"/>
    <x v="6"/>
    <x v="9"/>
    <x v="348"/>
  </r>
  <r>
    <n v="1099304"/>
    <x v="167"/>
    <x v="6"/>
    <x v="8"/>
    <x v="351"/>
  </r>
  <r>
    <n v="1099304"/>
    <x v="167"/>
    <x v="6"/>
    <x v="349"/>
    <x v="535"/>
  </r>
  <r>
    <n v="1099304"/>
    <x v="167"/>
    <x v="6"/>
    <x v="337"/>
    <x v="348"/>
  </r>
  <r>
    <n v="1099304"/>
    <x v="167"/>
    <x v="6"/>
    <x v="125"/>
    <x v="535"/>
  </r>
  <r>
    <n v="1099304"/>
    <x v="167"/>
    <x v="6"/>
    <x v="136"/>
    <x v="516"/>
  </r>
  <r>
    <n v="1099304"/>
    <x v="167"/>
    <x v="6"/>
    <x v="148"/>
    <x v="535"/>
  </r>
  <r>
    <n v="1099304"/>
    <x v="167"/>
    <x v="6"/>
    <x v="259"/>
    <x v="178"/>
  </r>
  <r>
    <n v="1099304"/>
    <x v="167"/>
    <x v="6"/>
    <x v="205"/>
    <x v="516"/>
  </r>
  <r>
    <n v="1099304"/>
    <x v="167"/>
    <x v="6"/>
    <x v="214"/>
    <x v="516"/>
  </r>
  <r>
    <n v="1099304"/>
    <x v="167"/>
    <x v="6"/>
    <x v="225"/>
    <x v="4"/>
  </r>
  <r>
    <n v="1099304"/>
    <x v="167"/>
    <x v="6"/>
    <x v="233"/>
    <x v="154"/>
  </r>
  <r>
    <n v="1099304"/>
    <x v="167"/>
    <x v="6"/>
    <x v="241"/>
    <x v="178"/>
  </r>
  <r>
    <n v="1099304"/>
    <x v="167"/>
    <x v="6"/>
    <x v="217"/>
    <x v="170"/>
  </r>
  <r>
    <n v="1099304"/>
    <x v="167"/>
    <x v="6"/>
    <x v="195"/>
    <x v="535"/>
  </r>
  <r>
    <n v="1099304"/>
    <x v="167"/>
    <x v="6"/>
    <x v="192"/>
    <x v="535"/>
  </r>
  <r>
    <n v="1099304"/>
    <x v="167"/>
    <x v="6"/>
    <x v="190"/>
    <x v="346"/>
  </r>
  <r>
    <n v="1099304"/>
    <x v="167"/>
    <x v="6"/>
    <x v="28"/>
    <x v="226"/>
  </r>
  <r>
    <n v="1099304"/>
    <x v="167"/>
    <x v="6"/>
    <x v="157"/>
    <x v="544"/>
  </r>
  <r>
    <n v="1099304"/>
    <x v="167"/>
    <x v="6"/>
    <x v="11"/>
    <x v="348"/>
  </r>
  <r>
    <n v="1099304"/>
    <x v="167"/>
    <x v="6"/>
    <x v="346"/>
    <x v="516"/>
  </r>
  <r>
    <n v="1099304"/>
    <x v="167"/>
    <x v="6"/>
    <x v="352"/>
    <x v="516"/>
  </r>
  <r>
    <n v="1099304"/>
    <x v="167"/>
    <x v="6"/>
    <x v="154"/>
    <x v="351"/>
  </r>
  <r>
    <n v="1099304"/>
    <x v="167"/>
    <x v="6"/>
    <x v="133"/>
    <x v="348"/>
  </r>
  <r>
    <n v="1099304"/>
    <x v="167"/>
    <x v="6"/>
    <x v="145"/>
    <x v="351"/>
  </r>
  <r>
    <n v="1099304"/>
    <x v="167"/>
    <x v="6"/>
    <x v="256"/>
    <x v="79"/>
  </r>
  <r>
    <n v="1099304"/>
    <x v="167"/>
    <x v="6"/>
    <x v="316"/>
    <x v="347"/>
  </r>
  <r>
    <n v="1099304"/>
    <x v="167"/>
    <x v="6"/>
    <x v="211"/>
    <x v="351"/>
  </r>
  <r>
    <n v="1099304"/>
    <x v="167"/>
    <x v="6"/>
    <x v="222"/>
    <x v="77"/>
  </r>
  <r>
    <n v="1099304"/>
    <x v="167"/>
    <x v="6"/>
    <x v="230"/>
    <x v="77"/>
  </r>
  <r>
    <n v="1099304"/>
    <x v="167"/>
    <x v="6"/>
    <x v="156"/>
    <x v="545"/>
  </r>
  <r>
    <n v="1099304"/>
    <x v="167"/>
    <x v="6"/>
    <x v="246"/>
    <x v="198"/>
  </r>
  <r>
    <n v="1099304"/>
    <x v="167"/>
    <x v="6"/>
    <x v="220"/>
    <x v="178"/>
  </r>
  <r>
    <n v="1099304"/>
    <x v="167"/>
    <x v="6"/>
    <x v="169"/>
    <x v="351"/>
  </r>
  <r>
    <n v="1099304"/>
    <x v="167"/>
    <x v="6"/>
    <x v="171"/>
    <x v="351"/>
  </r>
  <r>
    <n v="1099304"/>
    <x v="167"/>
    <x v="6"/>
    <x v="165"/>
    <x v="546"/>
  </r>
  <r>
    <n v="1099304"/>
    <x v="167"/>
    <x v="6"/>
    <x v="43"/>
    <x v="351"/>
  </r>
  <r>
    <n v="1099304"/>
    <x v="167"/>
    <x v="6"/>
    <x v="29"/>
    <x v="197"/>
  </r>
  <r>
    <n v="1099304"/>
    <x v="167"/>
    <x v="6"/>
    <x v="30"/>
    <x v="203"/>
  </r>
  <r>
    <n v="1099304"/>
    <x v="167"/>
    <x v="6"/>
    <x v="31"/>
    <x v="162"/>
  </r>
  <r>
    <n v="1099304"/>
    <x v="167"/>
    <x v="6"/>
    <x v="82"/>
    <x v="346"/>
  </r>
  <r>
    <n v="1099304"/>
    <x v="167"/>
    <x v="6"/>
    <x v="202"/>
    <x v="238"/>
  </r>
  <r>
    <n v="1099304"/>
    <x v="167"/>
    <x v="6"/>
    <x v="68"/>
    <x v="98"/>
  </r>
  <r>
    <n v="1099304"/>
    <x v="167"/>
    <x v="6"/>
    <x v="63"/>
    <x v="178"/>
  </r>
  <r>
    <n v="1099304"/>
    <x v="167"/>
    <x v="6"/>
    <x v="56"/>
    <x v="69"/>
  </r>
  <r>
    <n v="1099304"/>
    <x v="167"/>
    <x v="6"/>
    <x v="55"/>
    <x v="178"/>
  </r>
  <r>
    <n v="1099304"/>
    <x v="167"/>
    <x v="6"/>
    <x v="420"/>
    <x v="547"/>
  </r>
  <r>
    <n v="1099304"/>
    <x v="167"/>
    <x v="6"/>
    <x v="425"/>
    <x v="170"/>
  </r>
  <r>
    <n v="1099304"/>
    <x v="167"/>
    <x v="6"/>
    <x v="421"/>
    <x v="58"/>
  </r>
  <r>
    <n v="1099304"/>
    <x v="167"/>
    <x v="6"/>
    <x v="15"/>
    <x v="154"/>
  </r>
  <r>
    <n v="1099304"/>
    <x v="167"/>
    <x v="6"/>
    <x v="253"/>
    <x v="170"/>
  </r>
  <r>
    <n v="1099304"/>
    <x v="167"/>
    <x v="6"/>
    <x v="334"/>
    <x v="198"/>
  </r>
  <r>
    <n v="1099304"/>
    <x v="167"/>
    <x v="6"/>
    <x v="160"/>
    <x v="351"/>
  </r>
  <r>
    <n v="1099304"/>
    <x v="167"/>
    <x v="6"/>
    <x v="129"/>
    <x v="535"/>
  </r>
  <r>
    <n v="1099304"/>
    <x v="167"/>
    <x v="6"/>
    <x v="142"/>
    <x v="83"/>
  </r>
  <r>
    <n v="1099304"/>
    <x v="167"/>
    <x v="6"/>
    <x v="152"/>
    <x v="535"/>
  </r>
  <r>
    <n v="1099304"/>
    <x v="167"/>
    <x v="6"/>
    <x v="262"/>
    <x v="351"/>
  </r>
  <r>
    <n v="1099304"/>
    <x v="167"/>
    <x v="6"/>
    <x v="250"/>
    <x v="535"/>
  </r>
  <r>
    <n v="1099304"/>
    <x v="167"/>
    <x v="6"/>
    <x v="139"/>
    <x v="178"/>
  </r>
  <r>
    <n v="1099304"/>
    <x v="167"/>
    <x v="6"/>
    <x v="227"/>
    <x v="4"/>
  </r>
  <r>
    <n v="1099304"/>
    <x v="167"/>
    <x v="6"/>
    <x v="237"/>
    <x v="548"/>
  </r>
  <r>
    <n v="1099304"/>
    <x v="167"/>
    <x v="6"/>
    <x v="244"/>
    <x v="154"/>
  </r>
  <r>
    <n v="1099304"/>
    <x v="167"/>
    <x v="6"/>
    <x v="314"/>
    <x v="516"/>
  </r>
  <r>
    <n v="1099304"/>
    <x v="167"/>
    <x v="6"/>
    <x v="179"/>
    <x v="516"/>
  </r>
  <r>
    <n v="1099304"/>
    <x v="167"/>
    <x v="6"/>
    <x v="181"/>
    <x v="161"/>
  </r>
  <r>
    <n v="1099304"/>
    <x v="167"/>
    <x v="6"/>
    <x v="183"/>
    <x v="535"/>
  </r>
  <r>
    <n v="1099304"/>
    <x v="167"/>
    <x v="6"/>
    <x v="24"/>
    <x v="88"/>
  </r>
  <r>
    <n v="1099304"/>
    <x v="167"/>
    <x v="6"/>
    <x v="39"/>
    <x v="105"/>
  </r>
  <r>
    <n v="1099304"/>
    <x v="167"/>
    <x v="6"/>
    <x v="64"/>
    <x v="549"/>
  </r>
  <r>
    <n v="1099304"/>
    <x v="167"/>
    <x v="6"/>
    <x v="59"/>
    <x v="62"/>
  </r>
  <r>
    <n v="1099304"/>
    <x v="167"/>
    <x v="6"/>
    <x v="74"/>
    <x v="154"/>
  </r>
  <r>
    <n v="1099304"/>
    <x v="167"/>
    <x v="6"/>
    <x v="80"/>
    <x v="550"/>
  </r>
  <r>
    <n v="1099304"/>
    <x v="167"/>
    <x v="6"/>
    <x v="384"/>
    <x v="551"/>
  </r>
  <r>
    <n v="1099304"/>
    <x v="167"/>
    <x v="6"/>
    <x v="342"/>
    <x v="348"/>
  </r>
  <r>
    <n v="1099304"/>
    <x v="167"/>
    <x v="6"/>
    <x v="7"/>
    <x v="351"/>
  </r>
  <r>
    <n v="1099304"/>
    <x v="167"/>
    <x v="6"/>
    <x v="331"/>
    <x v="178"/>
  </r>
  <r>
    <n v="1099304"/>
    <x v="167"/>
    <x v="6"/>
    <x v="338"/>
    <x v="346"/>
  </r>
  <r>
    <n v="1099304"/>
    <x v="167"/>
    <x v="6"/>
    <x v="386"/>
    <x v="85"/>
  </r>
  <r>
    <n v="1099304"/>
    <x v="167"/>
    <x v="6"/>
    <x v="5"/>
    <x v="3"/>
  </r>
  <r>
    <n v="1099304"/>
    <x v="167"/>
    <x v="6"/>
    <x v="10"/>
    <x v="83"/>
  </r>
  <r>
    <n v="1099304"/>
    <x v="167"/>
    <x v="6"/>
    <x v="348"/>
    <x v="178"/>
  </r>
  <r>
    <n v="1099304"/>
    <x v="167"/>
    <x v="6"/>
    <x v="336"/>
    <x v="178"/>
  </r>
  <r>
    <n v="1099304"/>
    <x v="167"/>
    <x v="6"/>
    <x v="124"/>
    <x v="351"/>
  </r>
  <r>
    <n v="1099304"/>
    <x v="167"/>
    <x v="6"/>
    <x v="135"/>
    <x v="535"/>
  </r>
  <r>
    <n v="1099304"/>
    <x v="167"/>
    <x v="6"/>
    <x v="147"/>
    <x v="535"/>
  </r>
  <r>
    <n v="1099304"/>
    <x v="167"/>
    <x v="6"/>
    <x v="258"/>
    <x v="516"/>
  </r>
  <r>
    <n v="1099304"/>
    <x v="167"/>
    <x v="6"/>
    <x v="204"/>
    <x v="535"/>
  </r>
  <r>
    <n v="1099304"/>
    <x v="167"/>
    <x v="6"/>
    <x v="213"/>
    <x v="83"/>
  </r>
  <r>
    <n v="1099304"/>
    <x v="167"/>
    <x v="6"/>
    <x v="224"/>
    <x v="144"/>
  </r>
  <r>
    <n v="1099304"/>
    <x v="167"/>
    <x v="6"/>
    <x v="232"/>
    <x v="161"/>
  </r>
  <r>
    <n v="1099304"/>
    <x v="167"/>
    <x v="6"/>
    <x v="240"/>
    <x v="535"/>
  </r>
  <r>
    <n v="1099304"/>
    <x v="167"/>
    <x v="6"/>
    <x v="248"/>
    <x v="516"/>
  </r>
  <r>
    <n v="1099304"/>
    <x v="167"/>
    <x v="6"/>
    <x v="178"/>
    <x v="516"/>
  </r>
  <r>
    <n v="1099304"/>
    <x v="167"/>
    <x v="6"/>
    <x v="180"/>
    <x v="88"/>
  </r>
  <r>
    <n v="1099304"/>
    <x v="167"/>
    <x v="6"/>
    <x v="182"/>
    <x v="516"/>
  </r>
  <r>
    <n v="1099304"/>
    <x v="167"/>
    <x v="6"/>
    <x v="33"/>
    <x v="90"/>
  </r>
  <r>
    <n v="1099304"/>
    <x v="167"/>
    <x v="6"/>
    <x v="32"/>
    <x v="62"/>
  </r>
  <r>
    <n v="1099304"/>
    <x v="167"/>
    <x v="6"/>
    <x v="37"/>
    <x v="149"/>
  </r>
  <r>
    <n v="1099304"/>
    <x v="167"/>
    <x v="6"/>
    <x v="418"/>
    <x v="552"/>
  </r>
  <r>
    <n v="1099304"/>
    <x v="167"/>
    <x v="6"/>
    <x v="66"/>
    <x v="98"/>
  </r>
  <r>
    <n v="1099304"/>
    <x v="167"/>
    <x v="6"/>
    <x v="79"/>
    <x v="69"/>
  </r>
  <r>
    <n v="1099304"/>
    <x v="167"/>
    <x v="6"/>
    <x v="419"/>
    <x v="84"/>
  </r>
  <r>
    <n v="1099304"/>
    <x v="167"/>
    <x v="6"/>
    <x v="330"/>
    <x v="553"/>
  </r>
  <r>
    <n v="1099304"/>
    <x v="167"/>
    <x v="6"/>
    <x v="12"/>
    <x v="3"/>
  </r>
  <r>
    <n v="1099304"/>
    <x v="167"/>
    <x v="6"/>
    <x v="345"/>
    <x v="346"/>
  </r>
  <r>
    <n v="1099304"/>
    <x v="167"/>
    <x v="6"/>
    <x v="351"/>
    <x v="351"/>
  </r>
  <r>
    <n v="1099304"/>
    <x v="167"/>
    <x v="6"/>
    <x v="162"/>
    <x v="535"/>
  </r>
  <r>
    <n v="1099304"/>
    <x v="167"/>
    <x v="6"/>
    <x v="132"/>
    <x v="178"/>
  </r>
  <r>
    <n v="1099304"/>
    <x v="167"/>
    <x v="6"/>
    <x v="144"/>
    <x v="348"/>
  </r>
  <r>
    <n v="1099304"/>
    <x v="167"/>
    <x v="6"/>
    <x v="255"/>
    <x v="154"/>
  </r>
  <r>
    <n v="1099304"/>
    <x v="167"/>
    <x v="6"/>
    <x v="264"/>
    <x v="351"/>
  </r>
  <r>
    <n v="1099304"/>
    <x v="167"/>
    <x v="6"/>
    <x v="210"/>
    <x v="348"/>
  </r>
  <r>
    <n v="1099304"/>
    <x v="1"/>
    <x v="1"/>
    <x v="2"/>
    <x v="2"/>
  </r>
  <r>
    <n v="1099315"/>
    <x v="168"/>
    <x v="6"/>
    <x v="427"/>
    <x v="2"/>
  </r>
  <r>
    <n v="1099315"/>
    <x v="1"/>
    <x v="1"/>
    <x v="2"/>
    <x v="2"/>
  </r>
  <r>
    <n v="1099319"/>
    <x v="169"/>
    <x v="4"/>
    <x v="16"/>
    <x v="14"/>
  </r>
  <r>
    <n v="1099319"/>
    <x v="169"/>
    <x v="4"/>
    <x v="17"/>
    <x v="15"/>
  </r>
  <r>
    <n v="1099319"/>
    <x v="1"/>
    <x v="1"/>
    <x v="2"/>
    <x v="2"/>
  </r>
  <r>
    <n v="1099321"/>
    <x v="170"/>
    <x v="5"/>
    <x v="305"/>
    <x v="283"/>
  </r>
  <r>
    <n v="1099321"/>
    <x v="170"/>
    <x v="5"/>
    <x v="304"/>
    <x v="282"/>
  </r>
  <r>
    <n v="1099321"/>
    <x v="170"/>
    <x v="5"/>
    <x v="303"/>
    <x v="281"/>
  </r>
  <r>
    <n v="1099321"/>
    <x v="1"/>
    <x v="1"/>
    <x v="2"/>
    <x v="2"/>
  </r>
  <r>
    <n v="1099323"/>
    <x v="171"/>
    <x v="2"/>
    <x v="67"/>
    <x v="35"/>
  </r>
  <r>
    <n v="1099323"/>
    <x v="171"/>
    <x v="2"/>
    <x v="59"/>
    <x v="521"/>
  </r>
  <r>
    <n v="1099323"/>
    <x v="171"/>
    <x v="2"/>
    <x v="64"/>
    <x v="524"/>
  </r>
  <r>
    <n v="1099323"/>
    <x v="171"/>
    <x v="2"/>
    <x v="81"/>
    <x v="477"/>
  </r>
  <r>
    <n v="1099323"/>
    <x v="171"/>
    <x v="2"/>
    <x v="73"/>
    <x v="347"/>
  </r>
  <r>
    <n v="1099323"/>
    <x v="171"/>
    <x v="2"/>
    <x v="69"/>
    <x v="525"/>
  </r>
  <r>
    <n v="1099323"/>
    <x v="171"/>
    <x v="2"/>
    <x v="80"/>
    <x v="523"/>
  </r>
  <r>
    <n v="1099323"/>
    <x v="171"/>
    <x v="2"/>
    <x v="57"/>
    <x v="522"/>
  </r>
  <r>
    <n v="1099323"/>
    <x v="171"/>
    <x v="2"/>
    <x v="55"/>
    <x v="146"/>
  </r>
  <r>
    <n v="1099323"/>
    <x v="171"/>
    <x v="2"/>
    <x v="83"/>
    <x v="185"/>
  </r>
  <r>
    <n v="1099323"/>
    <x v="1"/>
    <x v="1"/>
    <x v="2"/>
    <x v="2"/>
  </r>
  <r>
    <n v="1099324"/>
    <x v="172"/>
    <x v="12"/>
    <x v="379"/>
    <x v="396"/>
  </r>
  <r>
    <n v="1099324"/>
    <x v="172"/>
    <x v="12"/>
    <x v="378"/>
    <x v="395"/>
  </r>
  <r>
    <n v="1099324"/>
    <x v="172"/>
    <x v="12"/>
    <x v="380"/>
    <x v="397"/>
  </r>
  <r>
    <n v="1099324"/>
    <x v="172"/>
    <x v="12"/>
    <x v="381"/>
    <x v="398"/>
  </r>
  <r>
    <n v="1099324"/>
    <x v="172"/>
    <x v="12"/>
    <x v="382"/>
    <x v="399"/>
  </r>
  <r>
    <n v="1099324"/>
    <x v="1"/>
    <x v="1"/>
    <x v="2"/>
    <x v="2"/>
  </r>
  <r>
    <n v="1099326"/>
    <x v="173"/>
    <x v="2"/>
    <x v="80"/>
    <x v="102"/>
  </r>
  <r>
    <n v="1099326"/>
    <x v="173"/>
    <x v="2"/>
    <x v="72"/>
    <x v="100"/>
  </r>
  <r>
    <n v="1099326"/>
    <x v="173"/>
    <x v="2"/>
    <x v="81"/>
    <x v="106"/>
  </r>
  <r>
    <n v="1099326"/>
    <x v="173"/>
    <x v="2"/>
    <x v="73"/>
    <x v="34"/>
  </r>
  <r>
    <n v="1099326"/>
    <x v="173"/>
    <x v="2"/>
    <x v="69"/>
    <x v="103"/>
  </r>
  <r>
    <n v="1099326"/>
    <x v="173"/>
    <x v="2"/>
    <x v="67"/>
    <x v="99"/>
  </r>
  <r>
    <n v="1099326"/>
    <x v="173"/>
    <x v="2"/>
    <x v="57"/>
    <x v="101"/>
  </r>
  <r>
    <n v="1099326"/>
    <x v="173"/>
    <x v="2"/>
    <x v="83"/>
    <x v="105"/>
  </r>
  <r>
    <n v="1099326"/>
    <x v="173"/>
    <x v="2"/>
    <x v="55"/>
    <x v="54"/>
  </r>
  <r>
    <n v="1099326"/>
    <x v="173"/>
    <x v="2"/>
    <x v="64"/>
    <x v="107"/>
  </r>
  <r>
    <n v="1099326"/>
    <x v="173"/>
    <x v="2"/>
    <x v="59"/>
    <x v="104"/>
  </r>
  <r>
    <n v="1099326"/>
    <x v="1"/>
    <x v="1"/>
    <x v="2"/>
    <x v="2"/>
  </r>
  <r>
    <n v="1099329"/>
    <x v="174"/>
    <x v="2"/>
    <x v="201"/>
    <x v="194"/>
  </r>
  <r>
    <n v="1099329"/>
    <x v="174"/>
    <x v="2"/>
    <x v="203"/>
    <x v="195"/>
  </r>
  <r>
    <n v="1099329"/>
    <x v="174"/>
    <x v="2"/>
    <x v="202"/>
    <x v="141"/>
  </r>
  <r>
    <n v="1099329"/>
    <x v="174"/>
    <x v="2"/>
    <x v="199"/>
    <x v="192"/>
  </r>
  <r>
    <n v="1099329"/>
    <x v="174"/>
    <x v="2"/>
    <x v="200"/>
    <x v="193"/>
  </r>
  <r>
    <n v="1099329"/>
    <x v="1"/>
    <x v="1"/>
    <x v="2"/>
    <x v="2"/>
  </r>
  <r>
    <n v="1099334"/>
    <x v="175"/>
    <x v="2"/>
    <x v="418"/>
    <x v="554"/>
  </r>
  <r>
    <n v="1099334"/>
    <x v="175"/>
    <x v="2"/>
    <x v="424"/>
    <x v="555"/>
  </r>
  <r>
    <n v="1099334"/>
    <x v="175"/>
    <x v="2"/>
    <x v="425"/>
    <x v="556"/>
  </r>
  <r>
    <n v="1099334"/>
    <x v="1"/>
    <x v="1"/>
    <x v="2"/>
    <x v="2"/>
  </r>
  <r>
    <n v="1099344"/>
    <x v="176"/>
    <x v="12"/>
    <x v="428"/>
    <x v="40"/>
  </r>
  <r>
    <n v="1099344"/>
    <x v="176"/>
    <x v="12"/>
    <x v="429"/>
    <x v="456"/>
  </r>
  <r>
    <n v="1099344"/>
    <x v="176"/>
    <x v="12"/>
    <x v="430"/>
    <x v="64"/>
  </r>
  <r>
    <n v="1099344"/>
    <x v="176"/>
    <x v="12"/>
    <x v="291"/>
    <x v="114"/>
  </r>
  <r>
    <n v="1099344"/>
    <x v="176"/>
    <x v="12"/>
    <x v="431"/>
    <x v="172"/>
  </r>
  <r>
    <n v="1099344"/>
    <x v="176"/>
    <x v="12"/>
    <x v="297"/>
    <x v="51"/>
  </r>
  <r>
    <n v="1099344"/>
    <x v="176"/>
    <x v="12"/>
    <x v="288"/>
    <x v="557"/>
  </r>
  <r>
    <n v="1099344"/>
    <x v="176"/>
    <x v="12"/>
    <x v="102"/>
    <x v="558"/>
  </r>
  <r>
    <n v="1099344"/>
    <x v="176"/>
    <x v="12"/>
    <x v="432"/>
    <x v="57"/>
  </r>
  <r>
    <n v="1099344"/>
    <x v="176"/>
    <x v="12"/>
    <x v="293"/>
    <x v="559"/>
  </r>
  <r>
    <n v="1099344"/>
    <x v="176"/>
    <x v="12"/>
    <x v="105"/>
    <x v="560"/>
  </r>
  <r>
    <n v="1099344"/>
    <x v="176"/>
    <x v="12"/>
    <x v="433"/>
    <x v="149"/>
  </r>
  <r>
    <n v="1099344"/>
    <x v="176"/>
    <x v="12"/>
    <x v="296"/>
    <x v="561"/>
  </r>
  <r>
    <n v="1099344"/>
    <x v="176"/>
    <x v="12"/>
    <x v="107"/>
    <x v="222"/>
  </r>
  <r>
    <n v="1099344"/>
    <x v="176"/>
    <x v="12"/>
    <x v="434"/>
    <x v="225"/>
  </r>
  <r>
    <n v="1099344"/>
    <x v="176"/>
    <x v="12"/>
    <x v="101"/>
    <x v="232"/>
  </r>
  <r>
    <n v="1099344"/>
    <x v="176"/>
    <x v="12"/>
    <x v="435"/>
    <x v="144"/>
  </r>
  <r>
    <n v="1099344"/>
    <x v="176"/>
    <x v="12"/>
    <x v="104"/>
    <x v="552"/>
  </r>
  <r>
    <n v="1099344"/>
    <x v="176"/>
    <x v="12"/>
    <x v="292"/>
    <x v="21"/>
  </r>
  <r>
    <n v="1099344"/>
    <x v="176"/>
    <x v="12"/>
    <x v="379"/>
    <x v="562"/>
  </r>
  <r>
    <n v="1099344"/>
    <x v="176"/>
    <x v="12"/>
    <x v="436"/>
    <x v="376"/>
  </r>
  <r>
    <n v="1099344"/>
    <x v="176"/>
    <x v="12"/>
    <x v="294"/>
    <x v="58"/>
  </r>
  <r>
    <n v="1099344"/>
    <x v="176"/>
    <x v="12"/>
    <x v="378"/>
    <x v="90"/>
  </r>
  <r>
    <n v="1099344"/>
    <x v="176"/>
    <x v="12"/>
    <x v="106"/>
    <x v="150"/>
  </r>
  <r>
    <n v="1099344"/>
    <x v="176"/>
    <x v="12"/>
    <x v="295"/>
    <x v="563"/>
  </r>
  <r>
    <n v="1099344"/>
    <x v="176"/>
    <x v="12"/>
    <x v="103"/>
    <x v="552"/>
  </r>
  <r>
    <n v="1099344"/>
    <x v="176"/>
    <x v="12"/>
    <x v="290"/>
    <x v="564"/>
  </r>
  <r>
    <n v="1099344"/>
    <x v="176"/>
    <x v="12"/>
    <x v="382"/>
    <x v="565"/>
  </r>
  <r>
    <n v="1099344"/>
    <x v="176"/>
    <x v="12"/>
    <x v="381"/>
    <x v="566"/>
  </r>
  <r>
    <n v="1099344"/>
    <x v="176"/>
    <x v="12"/>
    <x v="380"/>
    <x v="21"/>
  </r>
  <r>
    <n v="1099344"/>
    <x v="176"/>
    <x v="12"/>
    <x v="298"/>
    <x v="567"/>
  </r>
  <r>
    <n v="1099344"/>
    <x v="176"/>
    <x v="12"/>
    <x v="437"/>
    <x v="213"/>
  </r>
  <r>
    <n v="1099344"/>
    <x v="176"/>
    <x v="12"/>
    <x v="287"/>
    <x v="217"/>
  </r>
  <r>
    <n v="1099344"/>
    <x v="176"/>
    <x v="12"/>
    <x v="289"/>
    <x v="568"/>
  </r>
  <r>
    <n v="1099344"/>
    <x v="1"/>
    <x v="1"/>
    <x v="2"/>
    <x v="2"/>
  </r>
  <r>
    <n v="1099348"/>
    <x v="177"/>
    <x v="5"/>
    <x v="370"/>
    <x v="377"/>
  </r>
  <r>
    <n v="1099348"/>
    <x v="177"/>
    <x v="5"/>
    <x v="371"/>
    <x v="173"/>
  </r>
  <r>
    <n v="1099348"/>
    <x v="177"/>
    <x v="5"/>
    <x v="369"/>
    <x v="376"/>
  </r>
  <r>
    <n v="1099348"/>
    <x v="177"/>
    <x v="5"/>
    <x v="358"/>
    <x v="370"/>
  </r>
  <r>
    <n v="1099348"/>
    <x v="177"/>
    <x v="5"/>
    <x v="366"/>
    <x v="218"/>
  </r>
  <r>
    <n v="1099348"/>
    <x v="177"/>
    <x v="5"/>
    <x v="377"/>
    <x v="382"/>
  </r>
  <r>
    <n v="1099348"/>
    <x v="177"/>
    <x v="5"/>
    <x v="359"/>
    <x v="371"/>
  </r>
  <r>
    <n v="1099348"/>
    <x v="177"/>
    <x v="5"/>
    <x v="367"/>
    <x v="150"/>
  </r>
  <r>
    <n v="1099348"/>
    <x v="177"/>
    <x v="5"/>
    <x v="357"/>
    <x v="369"/>
  </r>
  <r>
    <n v="1099348"/>
    <x v="177"/>
    <x v="5"/>
    <x v="365"/>
    <x v="202"/>
  </r>
  <r>
    <n v="1099348"/>
    <x v="177"/>
    <x v="5"/>
    <x v="376"/>
    <x v="381"/>
  </r>
  <r>
    <n v="1099348"/>
    <x v="177"/>
    <x v="5"/>
    <x v="354"/>
    <x v="367"/>
  </r>
  <r>
    <n v="1099348"/>
    <x v="177"/>
    <x v="5"/>
    <x v="362"/>
    <x v="374"/>
  </r>
  <r>
    <n v="1099348"/>
    <x v="177"/>
    <x v="5"/>
    <x v="373"/>
    <x v="379"/>
  </r>
  <r>
    <n v="1099348"/>
    <x v="177"/>
    <x v="5"/>
    <x v="355"/>
    <x v="322"/>
  </r>
  <r>
    <n v="1099348"/>
    <x v="177"/>
    <x v="5"/>
    <x v="360"/>
    <x v="372"/>
  </r>
  <r>
    <n v="1099348"/>
    <x v="177"/>
    <x v="5"/>
    <x v="361"/>
    <x v="373"/>
  </r>
  <r>
    <n v="1099348"/>
    <x v="177"/>
    <x v="5"/>
    <x v="363"/>
    <x v="373"/>
  </r>
  <r>
    <n v="1099348"/>
    <x v="177"/>
    <x v="5"/>
    <x v="368"/>
    <x v="375"/>
  </r>
  <r>
    <n v="1099348"/>
    <x v="177"/>
    <x v="5"/>
    <x v="372"/>
    <x v="378"/>
  </r>
  <r>
    <n v="1099348"/>
    <x v="177"/>
    <x v="5"/>
    <x v="374"/>
    <x v="380"/>
  </r>
  <r>
    <n v="1099348"/>
    <x v="177"/>
    <x v="5"/>
    <x v="356"/>
    <x v="368"/>
  </r>
  <r>
    <n v="1099348"/>
    <x v="177"/>
    <x v="5"/>
    <x v="364"/>
    <x v="57"/>
  </r>
  <r>
    <n v="1099348"/>
    <x v="177"/>
    <x v="5"/>
    <x v="375"/>
    <x v="217"/>
  </r>
  <r>
    <n v="1099348"/>
    <x v="1"/>
    <x v="1"/>
    <x v="2"/>
    <x v="2"/>
  </r>
  <r>
    <n v="1099350"/>
    <x v="178"/>
    <x v="8"/>
    <x v="164"/>
    <x v="2"/>
  </r>
  <r>
    <n v="1099350"/>
    <x v="1"/>
    <x v="1"/>
    <x v="2"/>
    <x v="2"/>
  </r>
  <r>
    <n v="1099352"/>
    <x v="179"/>
    <x v="5"/>
    <x v="50"/>
    <x v="291"/>
  </r>
  <r>
    <n v="1099352"/>
    <x v="179"/>
    <x v="5"/>
    <x v="49"/>
    <x v="289"/>
  </r>
  <r>
    <n v="1099352"/>
    <x v="179"/>
    <x v="5"/>
    <x v="47"/>
    <x v="288"/>
  </r>
  <r>
    <n v="1099352"/>
    <x v="179"/>
    <x v="5"/>
    <x v="53"/>
    <x v="290"/>
  </r>
  <r>
    <n v="1099352"/>
    <x v="179"/>
    <x v="5"/>
    <x v="48"/>
    <x v="287"/>
  </r>
  <r>
    <n v="1099352"/>
    <x v="1"/>
    <x v="1"/>
    <x v="2"/>
    <x v="2"/>
  </r>
  <r>
    <n v="1099353"/>
    <x v="180"/>
    <x v="2"/>
    <x v="70"/>
    <x v="98"/>
  </r>
  <r>
    <n v="1099353"/>
    <x v="180"/>
    <x v="2"/>
    <x v="63"/>
    <x v="88"/>
  </r>
  <r>
    <n v="1099353"/>
    <x v="180"/>
    <x v="2"/>
    <x v="58"/>
    <x v="54"/>
  </r>
  <r>
    <n v="1099353"/>
    <x v="180"/>
    <x v="2"/>
    <x v="79"/>
    <x v="339"/>
  </r>
  <r>
    <n v="1099353"/>
    <x v="180"/>
    <x v="2"/>
    <x v="56"/>
    <x v="569"/>
  </r>
  <r>
    <n v="1099353"/>
    <x v="180"/>
    <x v="2"/>
    <x v="201"/>
    <x v="164"/>
  </r>
  <r>
    <n v="1099353"/>
    <x v="180"/>
    <x v="2"/>
    <x v="199"/>
    <x v="570"/>
  </r>
  <r>
    <n v="1099353"/>
    <x v="180"/>
    <x v="2"/>
    <x v="69"/>
    <x v="571"/>
  </r>
  <r>
    <n v="1099353"/>
    <x v="180"/>
    <x v="2"/>
    <x v="80"/>
    <x v="126"/>
  </r>
  <r>
    <n v="1099353"/>
    <x v="180"/>
    <x v="2"/>
    <x v="57"/>
    <x v="572"/>
  </r>
  <r>
    <n v="1099353"/>
    <x v="180"/>
    <x v="2"/>
    <x v="73"/>
    <x v="198"/>
  </r>
  <r>
    <n v="1099353"/>
    <x v="180"/>
    <x v="2"/>
    <x v="55"/>
    <x v="154"/>
  </r>
  <r>
    <n v="1099353"/>
    <x v="180"/>
    <x v="2"/>
    <x v="3"/>
    <x v="92"/>
  </r>
  <r>
    <n v="1099353"/>
    <x v="180"/>
    <x v="2"/>
    <x v="420"/>
    <x v="573"/>
  </r>
  <r>
    <n v="1099353"/>
    <x v="180"/>
    <x v="2"/>
    <x v="389"/>
    <x v="93"/>
  </r>
  <r>
    <n v="1099353"/>
    <x v="180"/>
    <x v="2"/>
    <x v="387"/>
    <x v="142"/>
  </r>
  <r>
    <n v="1099353"/>
    <x v="180"/>
    <x v="2"/>
    <x v="61"/>
    <x v="41"/>
  </r>
  <r>
    <n v="1099353"/>
    <x v="180"/>
    <x v="2"/>
    <x v="424"/>
    <x v="97"/>
  </r>
  <r>
    <n v="1099353"/>
    <x v="180"/>
    <x v="2"/>
    <x v="425"/>
    <x v="97"/>
  </r>
  <r>
    <n v="1099353"/>
    <x v="180"/>
    <x v="2"/>
    <x v="84"/>
    <x v="168"/>
  </r>
  <r>
    <n v="1099353"/>
    <x v="180"/>
    <x v="2"/>
    <x v="76"/>
    <x v="168"/>
  </r>
  <r>
    <n v="1099353"/>
    <x v="180"/>
    <x v="2"/>
    <x v="67"/>
    <x v="61"/>
  </r>
  <r>
    <n v="1099353"/>
    <x v="180"/>
    <x v="2"/>
    <x v="4"/>
    <x v="3"/>
  </r>
  <r>
    <n v="1099353"/>
    <x v="180"/>
    <x v="2"/>
    <x v="438"/>
    <x v="176"/>
  </r>
  <r>
    <n v="1099353"/>
    <x v="180"/>
    <x v="2"/>
    <x v="72"/>
    <x v="574"/>
  </r>
  <r>
    <n v="1099353"/>
    <x v="180"/>
    <x v="2"/>
    <x v="419"/>
    <x v="99"/>
  </r>
  <r>
    <n v="1099353"/>
    <x v="180"/>
    <x v="2"/>
    <x v="81"/>
    <x v="550"/>
  </r>
  <r>
    <n v="1099353"/>
    <x v="180"/>
    <x v="2"/>
    <x v="64"/>
    <x v="575"/>
  </r>
  <r>
    <n v="1099353"/>
    <x v="180"/>
    <x v="2"/>
    <x v="390"/>
    <x v="57"/>
  </r>
  <r>
    <n v="1099353"/>
    <x v="180"/>
    <x v="2"/>
    <x v="388"/>
    <x v="207"/>
  </r>
  <r>
    <n v="1099353"/>
    <x v="180"/>
    <x v="2"/>
    <x v="418"/>
    <x v="576"/>
  </r>
  <r>
    <n v="1099353"/>
    <x v="180"/>
    <x v="2"/>
    <x v="82"/>
    <x v="176"/>
  </r>
  <r>
    <n v="1099353"/>
    <x v="180"/>
    <x v="2"/>
    <x v="77"/>
    <x v="577"/>
  </r>
  <r>
    <n v="1099353"/>
    <x v="180"/>
    <x v="2"/>
    <x v="78"/>
    <x v="578"/>
  </r>
  <r>
    <n v="1099353"/>
    <x v="180"/>
    <x v="2"/>
    <x v="83"/>
    <x v="4"/>
  </r>
  <r>
    <n v="1099353"/>
    <x v="180"/>
    <x v="2"/>
    <x v="59"/>
    <x v="230"/>
  </r>
  <r>
    <n v="1099353"/>
    <x v="180"/>
    <x v="2"/>
    <x v="439"/>
    <x v="392"/>
  </r>
  <r>
    <n v="1099353"/>
    <x v="180"/>
    <x v="2"/>
    <x v="200"/>
    <x v="114"/>
  </r>
  <r>
    <n v="1099353"/>
    <x v="180"/>
    <x v="2"/>
    <x v="203"/>
    <x v="568"/>
  </r>
  <r>
    <n v="1099353"/>
    <x v="180"/>
    <x v="2"/>
    <x v="202"/>
    <x v="579"/>
  </r>
  <r>
    <n v="1099353"/>
    <x v="180"/>
    <x v="2"/>
    <x v="65"/>
    <x v="170"/>
  </r>
  <r>
    <n v="1099353"/>
    <x v="180"/>
    <x v="2"/>
    <x v="66"/>
    <x v="168"/>
  </r>
  <r>
    <n v="1099353"/>
    <x v="180"/>
    <x v="2"/>
    <x v="68"/>
    <x v="182"/>
  </r>
  <r>
    <n v="1099353"/>
    <x v="180"/>
    <x v="2"/>
    <x v="60"/>
    <x v="117"/>
  </r>
  <r>
    <n v="1099353"/>
    <x v="180"/>
    <x v="2"/>
    <x v="75"/>
    <x v="217"/>
  </r>
  <r>
    <n v="1099353"/>
    <x v="180"/>
    <x v="2"/>
    <x v="71"/>
    <x v="202"/>
  </r>
  <r>
    <n v="1099353"/>
    <x v="180"/>
    <x v="2"/>
    <x v="74"/>
    <x v="163"/>
  </r>
  <r>
    <n v="1099353"/>
    <x v="180"/>
    <x v="2"/>
    <x v="62"/>
    <x v="77"/>
  </r>
  <r>
    <n v="1099353"/>
    <x v="1"/>
    <x v="1"/>
    <x v="2"/>
    <x v="2"/>
  </r>
  <r>
    <n v="1099354"/>
    <x v="181"/>
    <x v="5"/>
    <x v="369"/>
    <x v="580"/>
  </r>
  <r>
    <n v="1099354"/>
    <x v="181"/>
    <x v="5"/>
    <x v="370"/>
    <x v="581"/>
  </r>
  <r>
    <n v="1099354"/>
    <x v="181"/>
    <x v="5"/>
    <x v="354"/>
    <x v="582"/>
  </r>
  <r>
    <n v="1099354"/>
    <x v="181"/>
    <x v="5"/>
    <x v="355"/>
    <x v="583"/>
  </r>
  <r>
    <n v="1099354"/>
    <x v="1"/>
    <x v="1"/>
    <x v="2"/>
    <x v="2"/>
  </r>
  <r>
    <n v="1099356"/>
    <x v="182"/>
    <x v="2"/>
    <x v="81"/>
    <x v="477"/>
  </r>
  <r>
    <n v="1099356"/>
    <x v="182"/>
    <x v="2"/>
    <x v="64"/>
    <x v="524"/>
  </r>
  <r>
    <n v="1099356"/>
    <x v="182"/>
    <x v="2"/>
    <x v="67"/>
    <x v="35"/>
  </r>
  <r>
    <n v="1099356"/>
    <x v="182"/>
    <x v="2"/>
    <x v="59"/>
    <x v="521"/>
  </r>
  <r>
    <n v="1099356"/>
    <x v="182"/>
    <x v="2"/>
    <x v="83"/>
    <x v="185"/>
  </r>
  <r>
    <n v="1099356"/>
    <x v="182"/>
    <x v="2"/>
    <x v="69"/>
    <x v="525"/>
  </r>
  <r>
    <n v="1099356"/>
    <x v="182"/>
    <x v="2"/>
    <x v="80"/>
    <x v="523"/>
  </r>
  <r>
    <n v="1099356"/>
    <x v="182"/>
    <x v="2"/>
    <x v="57"/>
    <x v="522"/>
  </r>
  <r>
    <n v="1099356"/>
    <x v="182"/>
    <x v="2"/>
    <x v="73"/>
    <x v="347"/>
  </r>
  <r>
    <n v="1099356"/>
    <x v="182"/>
    <x v="2"/>
    <x v="55"/>
    <x v="146"/>
  </r>
  <r>
    <n v="1099356"/>
    <x v="1"/>
    <x v="1"/>
    <x v="2"/>
    <x v="2"/>
  </r>
  <r>
    <n v="1099362"/>
    <x v="183"/>
    <x v="8"/>
    <x v="164"/>
    <x v="165"/>
  </r>
  <r>
    <n v="1099362"/>
    <x v="183"/>
    <x v="8"/>
    <x v="165"/>
    <x v="166"/>
  </r>
  <r>
    <n v="1099362"/>
    <x v="183"/>
    <x v="8"/>
    <x v="166"/>
    <x v="167"/>
  </r>
  <r>
    <n v="1099362"/>
    <x v="1"/>
    <x v="1"/>
    <x v="2"/>
    <x v="2"/>
  </r>
  <r>
    <n v="1099363"/>
    <x v="184"/>
    <x v="6"/>
    <x v="433"/>
    <x v="368"/>
  </r>
  <r>
    <n v="1099363"/>
    <x v="184"/>
    <x v="6"/>
    <x v="437"/>
    <x v="584"/>
  </r>
  <r>
    <n v="1099363"/>
    <x v="184"/>
    <x v="6"/>
    <x v="429"/>
    <x v="585"/>
  </r>
  <r>
    <n v="1099363"/>
    <x v="184"/>
    <x v="6"/>
    <x v="434"/>
    <x v="586"/>
  </r>
  <r>
    <n v="1099363"/>
    <x v="184"/>
    <x v="6"/>
    <x v="435"/>
    <x v="441"/>
  </r>
  <r>
    <n v="1099363"/>
    <x v="184"/>
    <x v="6"/>
    <x v="436"/>
    <x v="587"/>
  </r>
  <r>
    <n v="1099363"/>
    <x v="184"/>
    <x v="6"/>
    <x v="431"/>
    <x v="588"/>
  </r>
  <r>
    <n v="1099363"/>
    <x v="184"/>
    <x v="6"/>
    <x v="432"/>
    <x v="448"/>
  </r>
  <r>
    <n v="1099363"/>
    <x v="184"/>
    <x v="6"/>
    <x v="428"/>
    <x v="589"/>
  </r>
  <r>
    <n v="1099363"/>
    <x v="184"/>
    <x v="6"/>
    <x v="430"/>
    <x v="590"/>
  </r>
  <r>
    <n v="1099363"/>
    <x v="1"/>
    <x v="1"/>
    <x v="2"/>
    <x v="2"/>
  </r>
  <r>
    <n v="1099365"/>
    <x v="185"/>
    <x v="5"/>
    <x v="54"/>
    <x v="300"/>
  </r>
  <r>
    <n v="1099365"/>
    <x v="185"/>
    <x v="5"/>
    <x v="52"/>
    <x v="30"/>
  </r>
  <r>
    <n v="1099365"/>
    <x v="185"/>
    <x v="5"/>
    <x v="51"/>
    <x v="299"/>
  </r>
  <r>
    <n v="1099365"/>
    <x v="185"/>
    <x v="5"/>
    <x v="46"/>
    <x v="298"/>
  </r>
  <r>
    <n v="1099365"/>
    <x v="1"/>
    <x v="1"/>
    <x v="2"/>
    <x v="2"/>
  </r>
  <r>
    <n v="1099367"/>
    <x v="186"/>
    <x v="13"/>
    <x v="385"/>
    <x v="418"/>
  </r>
  <r>
    <n v="1099367"/>
    <x v="186"/>
    <x v="13"/>
    <x v="386"/>
    <x v="419"/>
  </r>
  <r>
    <n v="1099367"/>
    <x v="186"/>
    <x v="13"/>
    <x v="384"/>
    <x v="417"/>
  </r>
  <r>
    <n v="1099367"/>
    <x v="186"/>
    <x v="13"/>
    <x v="383"/>
    <x v="416"/>
  </r>
  <r>
    <n v="1099367"/>
    <x v="1"/>
    <x v="1"/>
    <x v="2"/>
    <x v="2"/>
  </r>
  <r>
    <n v="1099385"/>
    <x v="187"/>
    <x v="5"/>
    <x v="113"/>
    <x v="333"/>
  </r>
  <r>
    <n v="1099385"/>
    <x v="187"/>
    <x v="5"/>
    <x v="118"/>
    <x v="332"/>
  </r>
  <r>
    <n v="1099385"/>
    <x v="187"/>
    <x v="5"/>
    <x v="122"/>
    <x v="335"/>
  </r>
  <r>
    <n v="1099385"/>
    <x v="187"/>
    <x v="5"/>
    <x v="116"/>
    <x v="334"/>
  </r>
  <r>
    <n v="1099385"/>
    <x v="1"/>
    <x v="1"/>
    <x v="2"/>
    <x v="2"/>
  </r>
  <r>
    <n v="1099387"/>
    <x v="188"/>
    <x v="5"/>
    <x v="440"/>
    <x v="591"/>
  </r>
  <r>
    <n v="1099387"/>
    <x v="188"/>
    <x v="5"/>
    <x v="441"/>
    <x v="592"/>
  </r>
  <r>
    <n v="1099387"/>
    <x v="188"/>
    <x v="5"/>
    <x v="442"/>
    <x v="593"/>
  </r>
  <r>
    <n v="1099387"/>
    <x v="188"/>
    <x v="5"/>
    <x v="443"/>
    <x v="594"/>
  </r>
  <r>
    <n v="1099387"/>
    <x v="188"/>
    <x v="5"/>
    <x v="444"/>
    <x v="548"/>
  </r>
  <r>
    <n v="1099387"/>
    <x v="188"/>
    <x v="5"/>
    <x v="445"/>
    <x v="595"/>
  </r>
  <r>
    <n v="1099387"/>
    <x v="1"/>
    <x v="1"/>
    <x v="2"/>
    <x v="2"/>
  </r>
  <r>
    <n v="1099394"/>
    <x v="189"/>
    <x v="14"/>
    <x v="391"/>
    <x v="2"/>
  </r>
  <r>
    <n v="1099394"/>
    <x v="1"/>
    <x v="1"/>
    <x v="2"/>
    <x v="2"/>
  </r>
  <r>
    <n v="1099397"/>
    <x v="190"/>
    <x v="5"/>
    <x v="113"/>
    <x v="82"/>
  </r>
  <r>
    <n v="1099397"/>
    <x v="190"/>
    <x v="5"/>
    <x v="112"/>
    <x v="105"/>
  </r>
  <r>
    <n v="1099397"/>
    <x v="190"/>
    <x v="5"/>
    <x v="114"/>
    <x v="154"/>
  </r>
  <r>
    <n v="1099397"/>
    <x v="190"/>
    <x v="5"/>
    <x v="310"/>
    <x v="472"/>
  </r>
  <r>
    <n v="1099397"/>
    <x v="190"/>
    <x v="5"/>
    <x v="312"/>
    <x v="135"/>
  </r>
  <r>
    <n v="1099397"/>
    <x v="190"/>
    <x v="5"/>
    <x v="309"/>
    <x v="135"/>
  </r>
  <r>
    <n v="1099397"/>
    <x v="190"/>
    <x v="5"/>
    <x v="328"/>
    <x v="97"/>
  </r>
  <r>
    <n v="1099397"/>
    <x v="190"/>
    <x v="5"/>
    <x v="329"/>
    <x v="142"/>
  </r>
  <r>
    <n v="1099397"/>
    <x v="190"/>
    <x v="5"/>
    <x v="445"/>
    <x v="34"/>
  </r>
  <r>
    <n v="1099397"/>
    <x v="190"/>
    <x v="5"/>
    <x v="122"/>
    <x v="363"/>
  </r>
  <r>
    <n v="1099397"/>
    <x v="190"/>
    <x v="5"/>
    <x v="118"/>
    <x v="210"/>
  </r>
  <r>
    <n v="1099397"/>
    <x v="190"/>
    <x v="5"/>
    <x v="100"/>
    <x v="119"/>
  </r>
  <r>
    <n v="1099397"/>
    <x v="190"/>
    <x v="5"/>
    <x v="54"/>
    <x v="347"/>
  </r>
  <r>
    <n v="1099397"/>
    <x v="190"/>
    <x v="5"/>
    <x v="304"/>
    <x v="229"/>
  </r>
  <r>
    <n v="1099397"/>
    <x v="190"/>
    <x v="5"/>
    <x v="99"/>
    <x v="596"/>
  </r>
  <r>
    <n v="1099397"/>
    <x v="190"/>
    <x v="5"/>
    <x v="98"/>
    <x v="92"/>
  </r>
  <r>
    <n v="1099397"/>
    <x v="190"/>
    <x v="5"/>
    <x v="92"/>
    <x v="597"/>
  </r>
  <r>
    <n v="1099397"/>
    <x v="190"/>
    <x v="5"/>
    <x v="375"/>
    <x v="348"/>
  </r>
  <r>
    <n v="1099397"/>
    <x v="190"/>
    <x v="5"/>
    <x v="376"/>
    <x v="54"/>
  </r>
  <r>
    <n v="1099397"/>
    <x v="190"/>
    <x v="5"/>
    <x v="120"/>
    <x v="598"/>
  </r>
  <r>
    <n v="1099397"/>
    <x v="190"/>
    <x v="5"/>
    <x v="119"/>
    <x v="599"/>
  </r>
  <r>
    <n v="1099397"/>
    <x v="190"/>
    <x v="5"/>
    <x v="377"/>
    <x v="600"/>
  </r>
  <r>
    <n v="1099397"/>
    <x v="190"/>
    <x v="5"/>
    <x v="440"/>
    <x v="377"/>
  </r>
  <r>
    <n v="1099397"/>
    <x v="190"/>
    <x v="5"/>
    <x v="441"/>
    <x v="550"/>
  </r>
  <r>
    <n v="1099397"/>
    <x v="190"/>
    <x v="5"/>
    <x v="53"/>
    <x v="223"/>
  </r>
  <r>
    <n v="1099397"/>
    <x v="190"/>
    <x v="5"/>
    <x v="87"/>
    <x v="132"/>
  </r>
  <r>
    <n v="1099397"/>
    <x v="190"/>
    <x v="5"/>
    <x v="93"/>
    <x v="414"/>
  </r>
  <r>
    <n v="1099397"/>
    <x v="190"/>
    <x v="5"/>
    <x v="121"/>
    <x v="151"/>
  </r>
  <r>
    <n v="1099397"/>
    <x v="190"/>
    <x v="5"/>
    <x v="117"/>
    <x v="201"/>
  </r>
  <r>
    <n v="1099397"/>
    <x v="190"/>
    <x v="5"/>
    <x v="303"/>
    <x v="601"/>
  </r>
  <r>
    <n v="1099397"/>
    <x v="190"/>
    <x v="5"/>
    <x v="305"/>
    <x v="234"/>
  </r>
  <r>
    <n v="1099397"/>
    <x v="190"/>
    <x v="5"/>
    <x v="49"/>
    <x v="182"/>
  </r>
  <r>
    <n v="1099397"/>
    <x v="190"/>
    <x v="5"/>
    <x v="46"/>
    <x v="442"/>
  </r>
  <r>
    <n v="1099397"/>
    <x v="190"/>
    <x v="5"/>
    <x v="51"/>
    <x v="602"/>
  </r>
  <r>
    <n v="1099397"/>
    <x v="190"/>
    <x v="5"/>
    <x v="48"/>
    <x v="33"/>
  </r>
  <r>
    <n v="1099397"/>
    <x v="190"/>
    <x v="5"/>
    <x v="47"/>
    <x v="603"/>
  </r>
  <r>
    <n v="1099397"/>
    <x v="190"/>
    <x v="5"/>
    <x v="50"/>
    <x v="182"/>
  </r>
  <r>
    <n v="1099397"/>
    <x v="190"/>
    <x v="5"/>
    <x v="354"/>
    <x v="84"/>
  </r>
  <r>
    <n v="1099397"/>
    <x v="190"/>
    <x v="5"/>
    <x v="355"/>
    <x v="89"/>
  </r>
  <r>
    <n v="1099397"/>
    <x v="190"/>
    <x v="5"/>
    <x v="311"/>
    <x v="90"/>
  </r>
  <r>
    <n v="1099397"/>
    <x v="190"/>
    <x v="5"/>
    <x v="96"/>
    <x v="42"/>
  </r>
  <r>
    <n v="1099397"/>
    <x v="190"/>
    <x v="5"/>
    <x v="356"/>
    <x v="64"/>
  </r>
  <r>
    <n v="1099397"/>
    <x v="190"/>
    <x v="5"/>
    <x v="94"/>
    <x v="161"/>
  </r>
  <r>
    <n v="1099397"/>
    <x v="190"/>
    <x v="5"/>
    <x v="357"/>
    <x v="219"/>
  </r>
  <r>
    <n v="1099397"/>
    <x v="190"/>
    <x v="5"/>
    <x v="52"/>
    <x v="154"/>
  </r>
  <r>
    <n v="1099397"/>
    <x v="190"/>
    <x v="5"/>
    <x v="358"/>
    <x v="37"/>
  </r>
  <r>
    <n v="1099397"/>
    <x v="190"/>
    <x v="5"/>
    <x v="359"/>
    <x v="105"/>
  </r>
  <r>
    <n v="1099397"/>
    <x v="190"/>
    <x v="5"/>
    <x v="360"/>
    <x v="182"/>
  </r>
  <r>
    <n v="1099397"/>
    <x v="190"/>
    <x v="5"/>
    <x v="88"/>
    <x v="62"/>
  </r>
  <r>
    <n v="1099397"/>
    <x v="190"/>
    <x v="5"/>
    <x v="97"/>
    <x v="604"/>
  </r>
  <r>
    <n v="1099397"/>
    <x v="190"/>
    <x v="5"/>
    <x v="89"/>
    <x v="605"/>
  </r>
  <r>
    <n v="1099397"/>
    <x v="190"/>
    <x v="5"/>
    <x v="361"/>
    <x v="197"/>
  </r>
  <r>
    <n v="1099397"/>
    <x v="190"/>
    <x v="5"/>
    <x v="362"/>
    <x v="204"/>
  </r>
  <r>
    <n v="1099397"/>
    <x v="190"/>
    <x v="5"/>
    <x v="363"/>
    <x v="197"/>
  </r>
  <r>
    <n v="1099397"/>
    <x v="190"/>
    <x v="5"/>
    <x v="90"/>
    <x v="182"/>
  </r>
  <r>
    <n v="1099397"/>
    <x v="190"/>
    <x v="5"/>
    <x v="364"/>
    <x v="98"/>
  </r>
  <r>
    <n v="1099397"/>
    <x v="190"/>
    <x v="5"/>
    <x v="115"/>
    <x v="156"/>
  </r>
  <r>
    <n v="1099397"/>
    <x v="190"/>
    <x v="5"/>
    <x v="443"/>
    <x v="214"/>
  </r>
  <r>
    <n v="1099397"/>
    <x v="190"/>
    <x v="5"/>
    <x v="95"/>
    <x v="397"/>
  </r>
  <r>
    <n v="1099397"/>
    <x v="190"/>
    <x v="5"/>
    <x v="111"/>
    <x v="219"/>
  </r>
  <r>
    <n v="1099397"/>
    <x v="190"/>
    <x v="5"/>
    <x v="442"/>
    <x v="151"/>
  </r>
  <r>
    <n v="1099397"/>
    <x v="190"/>
    <x v="5"/>
    <x v="365"/>
    <x v="170"/>
  </r>
  <r>
    <n v="1099397"/>
    <x v="190"/>
    <x v="5"/>
    <x v="366"/>
    <x v="77"/>
  </r>
  <r>
    <n v="1099397"/>
    <x v="190"/>
    <x v="5"/>
    <x v="367"/>
    <x v="24"/>
  </r>
  <r>
    <n v="1099397"/>
    <x v="190"/>
    <x v="5"/>
    <x v="368"/>
    <x v="24"/>
  </r>
  <r>
    <n v="1099397"/>
    <x v="190"/>
    <x v="5"/>
    <x v="91"/>
    <x v="42"/>
  </r>
  <r>
    <n v="1099397"/>
    <x v="190"/>
    <x v="5"/>
    <x v="444"/>
    <x v="170"/>
  </r>
  <r>
    <n v="1099397"/>
    <x v="190"/>
    <x v="5"/>
    <x v="369"/>
    <x v="176"/>
  </r>
  <r>
    <n v="1099397"/>
    <x v="190"/>
    <x v="5"/>
    <x v="370"/>
    <x v="34"/>
  </r>
  <r>
    <n v="1099397"/>
    <x v="190"/>
    <x v="5"/>
    <x v="371"/>
    <x v="161"/>
  </r>
  <r>
    <n v="1099397"/>
    <x v="190"/>
    <x v="5"/>
    <x v="372"/>
    <x v="145"/>
  </r>
  <r>
    <n v="1099397"/>
    <x v="190"/>
    <x v="5"/>
    <x v="373"/>
    <x v="145"/>
  </r>
  <r>
    <n v="1099397"/>
    <x v="190"/>
    <x v="5"/>
    <x v="374"/>
    <x v="217"/>
  </r>
  <r>
    <n v="1099397"/>
    <x v="190"/>
    <x v="5"/>
    <x v="44"/>
    <x v="97"/>
  </r>
  <r>
    <n v="1099397"/>
    <x v="190"/>
    <x v="5"/>
    <x v="45"/>
    <x v="407"/>
  </r>
  <r>
    <n v="1099397"/>
    <x v="190"/>
    <x v="5"/>
    <x v="116"/>
    <x v="552"/>
  </r>
  <r>
    <n v="1099397"/>
    <x v="190"/>
    <x v="5"/>
    <x v="110"/>
    <x v="119"/>
  </r>
  <r>
    <n v="1099397"/>
    <x v="1"/>
    <x v="1"/>
    <x v="2"/>
    <x v="2"/>
  </r>
  <r>
    <n v="1099400"/>
    <x v="191"/>
    <x v="10"/>
    <x v="330"/>
    <x v="2"/>
  </r>
  <r>
    <n v="1099400"/>
    <x v="1"/>
    <x v="1"/>
    <x v="2"/>
    <x v="2"/>
  </r>
  <r>
    <n v="1099410"/>
    <x v="192"/>
    <x v="2"/>
    <x v="56"/>
    <x v="228"/>
  </r>
  <r>
    <n v="1099410"/>
    <x v="192"/>
    <x v="2"/>
    <x v="78"/>
    <x v="235"/>
  </r>
  <r>
    <n v="1099410"/>
    <x v="192"/>
    <x v="2"/>
    <x v="71"/>
    <x v="111"/>
  </r>
  <r>
    <n v="1099410"/>
    <x v="192"/>
    <x v="2"/>
    <x v="70"/>
    <x v="197"/>
  </r>
  <r>
    <n v="1099410"/>
    <x v="192"/>
    <x v="2"/>
    <x v="82"/>
    <x v="162"/>
  </r>
  <r>
    <n v="1099410"/>
    <x v="192"/>
    <x v="2"/>
    <x v="66"/>
    <x v="231"/>
  </r>
  <r>
    <n v="1099410"/>
    <x v="192"/>
    <x v="2"/>
    <x v="58"/>
    <x v="233"/>
  </r>
  <r>
    <n v="1099410"/>
    <x v="192"/>
    <x v="2"/>
    <x v="65"/>
    <x v="98"/>
  </r>
  <r>
    <n v="1099410"/>
    <x v="192"/>
    <x v="2"/>
    <x v="63"/>
    <x v="97"/>
  </r>
  <r>
    <n v="1099410"/>
    <x v="192"/>
    <x v="2"/>
    <x v="76"/>
    <x v="231"/>
  </r>
  <r>
    <n v="1099410"/>
    <x v="192"/>
    <x v="2"/>
    <x v="77"/>
    <x v="236"/>
  </r>
  <r>
    <n v="1099410"/>
    <x v="192"/>
    <x v="2"/>
    <x v="74"/>
    <x v="51"/>
  </r>
  <r>
    <n v="1099410"/>
    <x v="192"/>
    <x v="2"/>
    <x v="68"/>
    <x v="230"/>
  </r>
  <r>
    <n v="1099410"/>
    <x v="192"/>
    <x v="2"/>
    <x v="79"/>
    <x v="227"/>
  </r>
  <r>
    <n v="1099410"/>
    <x v="192"/>
    <x v="2"/>
    <x v="75"/>
    <x v="173"/>
  </r>
  <r>
    <n v="1099410"/>
    <x v="192"/>
    <x v="2"/>
    <x v="61"/>
    <x v="234"/>
  </r>
  <r>
    <n v="1099410"/>
    <x v="192"/>
    <x v="2"/>
    <x v="84"/>
    <x v="232"/>
  </r>
  <r>
    <n v="1099410"/>
    <x v="192"/>
    <x v="2"/>
    <x v="62"/>
    <x v="153"/>
  </r>
  <r>
    <n v="1099410"/>
    <x v="192"/>
    <x v="2"/>
    <x v="60"/>
    <x v="229"/>
  </r>
  <r>
    <n v="1099410"/>
    <x v="1"/>
    <x v="1"/>
    <x v="2"/>
    <x v="2"/>
  </r>
  <r>
    <n v="1099411"/>
    <x v="193"/>
    <x v="3"/>
    <x v="244"/>
    <x v="213"/>
  </r>
  <r>
    <n v="1099411"/>
    <x v="193"/>
    <x v="3"/>
    <x v="245"/>
    <x v="218"/>
  </r>
  <r>
    <n v="1099411"/>
    <x v="193"/>
    <x v="3"/>
    <x v="217"/>
    <x v="201"/>
  </r>
  <r>
    <n v="1099411"/>
    <x v="193"/>
    <x v="3"/>
    <x v="218"/>
    <x v="202"/>
  </r>
  <r>
    <n v="1099411"/>
    <x v="193"/>
    <x v="3"/>
    <x v="220"/>
    <x v="105"/>
  </r>
  <r>
    <n v="1099411"/>
    <x v="193"/>
    <x v="3"/>
    <x v="248"/>
    <x v="161"/>
  </r>
  <r>
    <n v="1099411"/>
    <x v="193"/>
    <x v="3"/>
    <x v="219"/>
    <x v="203"/>
  </r>
  <r>
    <n v="1099411"/>
    <x v="193"/>
    <x v="3"/>
    <x v="221"/>
    <x v="204"/>
  </r>
  <r>
    <n v="1099411"/>
    <x v="193"/>
    <x v="3"/>
    <x v="252"/>
    <x v="97"/>
  </r>
  <r>
    <n v="1099411"/>
    <x v="193"/>
    <x v="3"/>
    <x v="254"/>
    <x v="221"/>
  </r>
  <r>
    <n v="1099411"/>
    <x v="193"/>
    <x v="3"/>
    <x v="256"/>
    <x v="223"/>
  </r>
  <r>
    <n v="1099411"/>
    <x v="193"/>
    <x v="3"/>
    <x v="258"/>
    <x v="77"/>
  </r>
  <r>
    <n v="1099411"/>
    <x v="193"/>
    <x v="3"/>
    <x v="249"/>
    <x v="220"/>
  </r>
  <r>
    <n v="1099411"/>
    <x v="193"/>
    <x v="3"/>
    <x v="263"/>
    <x v="226"/>
  </r>
  <r>
    <n v="1099411"/>
    <x v="193"/>
    <x v="3"/>
    <x v="265"/>
    <x v="176"/>
  </r>
  <r>
    <n v="1099411"/>
    <x v="193"/>
    <x v="3"/>
    <x v="205"/>
    <x v="77"/>
  </r>
  <r>
    <n v="1099411"/>
    <x v="193"/>
    <x v="3"/>
    <x v="250"/>
    <x v="34"/>
  </r>
  <r>
    <n v="1099411"/>
    <x v="193"/>
    <x v="3"/>
    <x v="210"/>
    <x v="147"/>
  </r>
  <r>
    <n v="1099411"/>
    <x v="193"/>
    <x v="3"/>
    <x v="212"/>
    <x v="199"/>
  </r>
  <r>
    <n v="1099411"/>
    <x v="193"/>
    <x v="3"/>
    <x v="214"/>
    <x v="77"/>
  </r>
  <r>
    <n v="1099411"/>
    <x v="193"/>
    <x v="3"/>
    <x v="223"/>
    <x v="3"/>
  </r>
  <r>
    <n v="1099411"/>
    <x v="193"/>
    <x v="3"/>
    <x v="225"/>
    <x v="59"/>
  </r>
  <r>
    <n v="1099411"/>
    <x v="193"/>
    <x v="3"/>
    <x v="227"/>
    <x v="207"/>
  </r>
  <r>
    <n v="1099411"/>
    <x v="193"/>
    <x v="3"/>
    <x v="253"/>
    <x v="119"/>
  </r>
  <r>
    <n v="1099411"/>
    <x v="193"/>
    <x v="3"/>
    <x v="255"/>
    <x v="222"/>
  </r>
  <r>
    <n v="1099411"/>
    <x v="193"/>
    <x v="3"/>
    <x v="257"/>
    <x v="224"/>
  </r>
  <r>
    <n v="1099411"/>
    <x v="193"/>
    <x v="3"/>
    <x v="259"/>
    <x v="197"/>
  </r>
  <r>
    <n v="1099411"/>
    <x v="193"/>
    <x v="3"/>
    <x v="260"/>
    <x v="225"/>
  </r>
  <r>
    <n v="1099411"/>
    <x v="193"/>
    <x v="3"/>
    <x v="261"/>
    <x v="92"/>
  </r>
  <r>
    <n v="1099411"/>
    <x v="193"/>
    <x v="3"/>
    <x v="262"/>
    <x v="164"/>
  </r>
  <r>
    <n v="1099411"/>
    <x v="193"/>
    <x v="3"/>
    <x v="264"/>
    <x v="153"/>
  </r>
  <r>
    <n v="1099411"/>
    <x v="193"/>
    <x v="3"/>
    <x v="204"/>
    <x v="97"/>
  </r>
  <r>
    <n v="1099411"/>
    <x v="193"/>
    <x v="3"/>
    <x v="206"/>
    <x v="144"/>
  </r>
  <r>
    <n v="1099411"/>
    <x v="193"/>
    <x v="3"/>
    <x v="207"/>
    <x v="196"/>
  </r>
  <r>
    <n v="1099411"/>
    <x v="193"/>
    <x v="3"/>
    <x v="208"/>
    <x v="197"/>
  </r>
  <r>
    <n v="1099411"/>
    <x v="193"/>
    <x v="3"/>
    <x v="209"/>
    <x v="198"/>
  </r>
  <r>
    <n v="1099411"/>
    <x v="193"/>
    <x v="3"/>
    <x v="211"/>
    <x v="153"/>
  </r>
  <r>
    <n v="1099411"/>
    <x v="193"/>
    <x v="3"/>
    <x v="213"/>
    <x v="200"/>
  </r>
  <r>
    <n v="1099411"/>
    <x v="193"/>
    <x v="3"/>
    <x v="215"/>
    <x v="77"/>
  </r>
  <r>
    <n v="1099411"/>
    <x v="193"/>
    <x v="3"/>
    <x v="216"/>
    <x v="114"/>
  </r>
  <r>
    <n v="1099411"/>
    <x v="193"/>
    <x v="3"/>
    <x v="222"/>
    <x v="205"/>
  </r>
  <r>
    <n v="1099411"/>
    <x v="193"/>
    <x v="3"/>
    <x v="224"/>
    <x v="93"/>
  </r>
  <r>
    <n v="1099411"/>
    <x v="193"/>
    <x v="3"/>
    <x v="226"/>
    <x v="206"/>
  </r>
  <r>
    <n v="1099411"/>
    <x v="193"/>
    <x v="3"/>
    <x v="251"/>
    <x v="176"/>
  </r>
  <r>
    <n v="1099411"/>
    <x v="193"/>
    <x v="3"/>
    <x v="228"/>
    <x v="208"/>
  </r>
  <r>
    <n v="1099411"/>
    <x v="193"/>
    <x v="3"/>
    <x v="229"/>
    <x v="209"/>
  </r>
  <r>
    <n v="1099411"/>
    <x v="193"/>
    <x v="3"/>
    <x v="230"/>
    <x v="210"/>
  </r>
  <r>
    <n v="1099411"/>
    <x v="193"/>
    <x v="3"/>
    <x v="246"/>
    <x v="219"/>
  </r>
  <r>
    <n v="1099411"/>
    <x v="193"/>
    <x v="3"/>
    <x v="231"/>
    <x v="211"/>
  </r>
  <r>
    <n v="1099411"/>
    <x v="193"/>
    <x v="3"/>
    <x v="232"/>
    <x v="212"/>
  </r>
  <r>
    <n v="1099411"/>
    <x v="193"/>
    <x v="3"/>
    <x v="233"/>
    <x v="213"/>
  </r>
  <r>
    <n v="1099411"/>
    <x v="193"/>
    <x v="3"/>
    <x v="234"/>
    <x v="175"/>
  </r>
  <r>
    <n v="1099411"/>
    <x v="193"/>
    <x v="3"/>
    <x v="235"/>
    <x v="214"/>
  </r>
  <r>
    <n v="1099411"/>
    <x v="193"/>
    <x v="3"/>
    <x v="236"/>
    <x v="173"/>
  </r>
  <r>
    <n v="1099411"/>
    <x v="193"/>
    <x v="3"/>
    <x v="237"/>
    <x v="215"/>
  </r>
  <r>
    <n v="1099411"/>
    <x v="193"/>
    <x v="3"/>
    <x v="247"/>
    <x v="119"/>
  </r>
  <r>
    <n v="1099411"/>
    <x v="193"/>
    <x v="3"/>
    <x v="238"/>
    <x v="216"/>
  </r>
  <r>
    <n v="1099411"/>
    <x v="193"/>
    <x v="3"/>
    <x v="239"/>
    <x v="119"/>
  </r>
  <r>
    <n v="1099411"/>
    <x v="193"/>
    <x v="3"/>
    <x v="240"/>
    <x v="82"/>
  </r>
  <r>
    <n v="1099411"/>
    <x v="193"/>
    <x v="3"/>
    <x v="241"/>
    <x v="217"/>
  </r>
  <r>
    <n v="1099411"/>
    <x v="193"/>
    <x v="3"/>
    <x v="242"/>
    <x v="85"/>
  </r>
  <r>
    <n v="1099411"/>
    <x v="193"/>
    <x v="3"/>
    <x v="243"/>
    <x v="163"/>
  </r>
  <r>
    <n v="1099411"/>
    <x v="1"/>
    <x v="1"/>
    <x v="2"/>
    <x v="2"/>
  </r>
  <r>
    <n v="1099422"/>
    <x v="194"/>
    <x v="5"/>
    <x v="377"/>
    <x v="606"/>
  </r>
  <r>
    <n v="1099422"/>
    <x v="194"/>
    <x v="5"/>
    <x v="356"/>
    <x v="343"/>
  </r>
  <r>
    <n v="1099422"/>
    <x v="1"/>
    <x v="1"/>
    <x v="2"/>
    <x v="2"/>
  </r>
  <r>
    <n v="1099423"/>
    <x v="195"/>
    <x v="13"/>
    <x v="422"/>
    <x v="512"/>
  </r>
  <r>
    <n v="1099423"/>
    <x v="195"/>
    <x v="13"/>
    <x v="421"/>
    <x v="511"/>
  </r>
  <r>
    <n v="1099423"/>
    <x v="1"/>
    <x v="1"/>
    <x v="2"/>
    <x v="2"/>
  </r>
  <r>
    <n v="1099424"/>
    <x v="196"/>
    <x v="2"/>
    <x v="58"/>
    <x v="233"/>
  </r>
  <r>
    <n v="1099424"/>
    <x v="196"/>
    <x v="2"/>
    <x v="61"/>
    <x v="234"/>
  </r>
  <r>
    <n v="1099424"/>
    <x v="196"/>
    <x v="2"/>
    <x v="74"/>
    <x v="51"/>
  </r>
  <r>
    <n v="1099424"/>
    <x v="196"/>
    <x v="2"/>
    <x v="70"/>
    <x v="197"/>
  </r>
  <r>
    <n v="1099424"/>
    <x v="196"/>
    <x v="2"/>
    <x v="71"/>
    <x v="111"/>
  </r>
  <r>
    <n v="1099424"/>
    <x v="196"/>
    <x v="2"/>
    <x v="76"/>
    <x v="231"/>
  </r>
  <r>
    <n v="1099424"/>
    <x v="196"/>
    <x v="2"/>
    <x v="62"/>
    <x v="153"/>
  </r>
  <r>
    <n v="1099424"/>
    <x v="196"/>
    <x v="2"/>
    <x v="84"/>
    <x v="232"/>
  </r>
  <r>
    <n v="1099424"/>
    <x v="196"/>
    <x v="2"/>
    <x v="82"/>
    <x v="162"/>
  </r>
  <r>
    <n v="1099424"/>
    <x v="196"/>
    <x v="2"/>
    <x v="65"/>
    <x v="98"/>
  </r>
  <r>
    <n v="1099424"/>
    <x v="196"/>
    <x v="2"/>
    <x v="66"/>
    <x v="231"/>
  </r>
  <r>
    <n v="1099424"/>
    <x v="196"/>
    <x v="2"/>
    <x v="68"/>
    <x v="230"/>
  </r>
  <r>
    <n v="1099424"/>
    <x v="196"/>
    <x v="2"/>
    <x v="60"/>
    <x v="229"/>
  </r>
  <r>
    <n v="1099424"/>
    <x v="196"/>
    <x v="2"/>
    <x v="63"/>
    <x v="97"/>
  </r>
  <r>
    <n v="1099424"/>
    <x v="196"/>
    <x v="2"/>
    <x v="79"/>
    <x v="227"/>
  </r>
  <r>
    <n v="1099424"/>
    <x v="196"/>
    <x v="2"/>
    <x v="56"/>
    <x v="228"/>
  </r>
  <r>
    <n v="1099424"/>
    <x v="196"/>
    <x v="2"/>
    <x v="77"/>
    <x v="236"/>
  </r>
  <r>
    <n v="1099424"/>
    <x v="196"/>
    <x v="2"/>
    <x v="78"/>
    <x v="235"/>
  </r>
  <r>
    <n v="1099424"/>
    <x v="196"/>
    <x v="2"/>
    <x v="75"/>
    <x v="173"/>
  </r>
  <r>
    <n v="1099424"/>
    <x v="1"/>
    <x v="1"/>
    <x v="2"/>
    <x v="2"/>
  </r>
  <r>
    <n v="1099425"/>
    <x v="197"/>
    <x v="2"/>
    <x v="69"/>
    <x v="607"/>
  </r>
  <r>
    <n v="1099425"/>
    <x v="197"/>
    <x v="2"/>
    <x v="67"/>
    <x v="608"/>
  </r>
  <r>
    <n v="1099425"/>
    <x v="197"/>
    <x v="2"/>
    <x v="55"/>
    <x v="37"/>
  </r>
  <r>
    <n v="1099425"/>
    <x v="197"/>
    <x v="2"/>
    <x v="80"/>
    <x v="609"/>
  </r>
  <r>
    <n v="1099425"/>
    <x v="197"/>
    <x v="2"/>
    <x v="57"/>
    <x v="610"/>
  </r>
  <r>
    <n v="1099425"/>
    <x v="197"/>
    <x v="2"/>
    <x v="73"/>
    <x v="163"/>
  </r>
  <r>
    <n v="1099425"/>
    <x v="1"/>
    <x v="1"/>
    <x v="2"/>
    <x v="2"/>
  </r>
  <r>
    <n v="1099427"/>
    <x v="198"/>
    <x v="6"/>
    <x v="404"/>
    <x v="178"/>
  </r>
  <r>
    <n v="1099427"/>
    <x v="198"/>
    <x v="6"/>
    <x v="355"/>
    <x v="198"/>
  </r>
  <r>
    <n v="1099427"/>
    <x v="198"/>
    <x v="6"/>
    <x v="409"/>
    <x v="351"/>
  </r>
  <r>
    <n v="1099427"/>
    <x v="198"/>
    <x v="6"/>
    <x v="357"/>
    <x v="83"/>
  </r>
  <r>
    <n v="1099427"/>
    <x v="198"/>
    <x v="6"/>
    <x v="115"/>
    <x v="351"/>
  </r>
  <r>
    <n v="1099427"/>
    <x v="198"/>
    <x v="6"/>
    <x v="40"/>
    <x v="346"/>
  </r>
  <r>
    <n v="1099427"/>
    <x v="198"/>
    <x v="6"/>
    <x v="25"/>
    <x v="347"/>
  </r>
  <r>
    <n v="1099427"/>
    <x v="198"/>
    <x v="6"/>
    <x v="390"/>
    <x v="156"/>
  </r>
  <r>
    <n v="1099427"/>
    <x v="198"/>
    <x v="6"/>
    <x v="389"/>
    <x v="185"/>
  </r>
  <r>
    <n v="1099427"/>
    <x v="198"/>
    <x v="6"/>
    <x v="203"/>
    <x v="54"/>
  </r>
  <r>
    <n v="1099427"/>
    <x v="198"/>
    <x v="6"/>
    <x v="63"/>
    <x v="535"/>
  </r>
  <r>
    <n v="1099427"/>
    <x v="198"/>
    <x v="6"/>
    <x v="73"/>
    <x v="535"/>
  </r>
  <r>
    <n v="1099427"/>
    <x v="198"/>
    <x v="6"/>
    <x v="422"/>
    <x v="198"/>
  </r>
  <r>
    <n v="1099427"/>
    <x v="198"/>
    <x v="6"/>
    <x v="15"/>
    <x v="198"/>
  </r>
  <r>
    <n v="1099427"/>
    <x v="198"/>
    <x v="6"/>
    <x v="253"/>
    <x v="348"/>
  </r>
  <r>
    <n v="1099427"/>
    <x v="198"/>
    <x v="6"/>
    <x v="334"/>
    <x v="178"/>
  </r>
  <r>
    <n v="1099427"/>
    <x v="198"/>
    <x v="6"/>
    <x v="160"/>
    <x v="535"/>
  </r>
  <r>
    <n v="1099427"/>
    <x v="198"/>
    <x v="6"/>
    <x v="129"/>
    <x v="516"/>
  </r>
  <r>
    <n v="1099427"/>
    <x v="198"/>
    <x v="6"/>
    <x v="142"/>
    <x v="348"/>
  </r>
  <r>
    <n v="1099427"/>
    <x v="198"/>
    <x v="6"/>
    <x v="152"/>
    <x v="516"/>
  </r>
  <r>
    <n v="1099427"/>
    <x v="198"/>
    <x v="6"/>
    <x v="262"/>
    <x v="535"/>
  </r>
  <r>
    <n v="1099427"/>
    <x v="198"/>
    <x v="6"/>
    <x v="250"/>
    <x v="516"/>
  </r>
  <r>
    <n v="1099427"/>
    <x v="198"/>
    <x v="6"/>
    <x v="139"/>
    <x v="351"/>
  </r>
  <r>
    <n v="1099427"/>
    <x v="198"/>
    <x v="6"/>
    <x v="228"/>
    <x v="53"/>
  </r>
  <r>
    <n v="1099427"/>
    <x v="198"/>
    <x v="6"/>
    <x v="238"/>
    <x v="214"/>
  </r>
  <r>
    <n v="1099427"/>
    <x v="198"/>
    <x v="6"/>
    <x v="245"/>
    <x v="346"/>
  </r>
  <r>
    <n v="1099427"/>
    <x v="198"/>
    <x v="6"/>
    <x v="318"/>
    <x v="346"/>
  </r>
  <r>
    <n v="1099427"/>
    <x v="198"/>
    <x v="6"/>
    <x v="257"/>
    <x v="178"/>
  </r>
  <r>
    <n v="1099427"/>
    <x v="198"/>
    <x v="6"/>
    <x v="265"/>
    <x v="516"/>
  </r>
  <r>
    <n v="1099427"/>
    <x v="198"/>
    <x v="6"/>
    <x v="212"/>
    <x v="170"/>
  </r>
  <r>
    <n v="1099427"/>
    <x v="198"/>
    <x v="6"/>
    <x v="232"/>
    <x v="346"/>
  </r>
  <r>
    <n v="1099427"/>
    <x v="198"/>
    <x v="6"/>
    <x v="240"/>
    <x v="516"/>
  </r>
  <r>
    <n v="1099427"/>
    <x v="198"/>
    <x v="6"/>
    <x v="248"/>
    <x v="516"/>
  </r>
  <r>
    <n v="1099427"/>
    <x v="198"/>
    <x v="6"/>
    <x v="178"/>
    <x v="516"/>
  </r>
  <r>
    <n v="1099427"/>
    <x v="198"/>
    <x v="6"/>
    <x v="180"/>
    <x v="346"/>
  </r>
  <r>
    <n v="1099427"/>
    <x v="198"/>
    <x v="6"/>
    <x v="392"/>
    <x v="64"/>
  </r>
  <r>
    <n v="1099427"/>
    <x v="198"/>
    <x v="6"/>
    <x v="320"/>
    <x v="83"/>
  </r>
  <r>
    <n v="1099427"/>
    <x v="198"/>
    <x v="6"/>
    <x v="87"/>
    <x v="69"/>
  </r>
  <r>
    <n v="1099427"/>
    <x v="198"/>
    <x v="6"/>
    <x v="270"/>
    <x v="161"/>
  </r>
  <r>
    <n v="1099427"/>
    <x v="198"/>
    <x v="6"/>
    <x v="402"/>
    <x v="178"/>
  </r>
  <r>
    <n v="1099427"/>
    <x v="198"/>
    <x v="6"/>
    <x v="50"/>
    <x v="348"/>
  </r>
  <r>
    <n v="1099427"/>
    <x v="198"/>
    <x v="6"/>
    <x v="283"/>
    <x v="77"/>
  </r>
  <r>
    <n v="1099427"/>
    <x v="198"/>
    <x v="6"/>
    <x v="94"/>
    <x v="516"/>
  </r>
  <r>
    <n v="1099427"/>
    <x v="198"/>
    <x v="6"/>
    <x v="88"/>
    <x v="178"/>
  </r>
  <r>
    <n v="1099427"/>
    <x v="198"/>
    <x v="6"/>
    <x v="90"/>
    <x v="348"/>
  </r>
  <r>
    <n v="1099427"/>
    <x v="198"/>
    <x v="6"/>
    <x v="442"/>
    <x v="178"/>
  </r>
  <r>
    <n v="1099427"/>
    <x v="198"/>
    <x v="6"/>
    <x v="28"/>
    <x v="145"/>
  </r>
  <r>
    <n v="1099427"/>
    <x v="198"/>
    <x v="6"/>
    <x v="29"/>
    <x v="97"/>
  </r>
  <r>
    <n v="1099427"/>
    <x v="198"/>
    <x v="6"/>
    <x v="31"/>
    <x v="144"/>
  </r>
  <r>
    <n v="1099427"/>
    <x v="198"/>
    <x v="6"/>
    <x v="82"/>
    <x v="178"/>
  </r>
  <r>
    <n v="1099427"/>
    <x v="198"/>
    <x v="6"/>
    <x v="424"/>
    <x v="348"/>
  </r>
  <r>
    <n v="1099427"/>
    <x v="198"/>
    <x v="6"/>
    <x v="60"/>
    <x v="83"/>
  </r>
  <r>
    <n v="1099427"/>
    <x v="198"/>
    <x v="6"/>
    <x v="199"/>
    <x v="543"/>
  </r>
  <r>
    <n v="1099427"/>
    <x v="198"/>
    <x v="6"/>
    <x v="383"/>
    <x v="34"/>
  </r>
  <r>
    <n v="1099427"/>
    <x v="198"/>
    <x v="6"/>
    <x v="10"/>
    <x v="348"/>
  </r>
  <r>
    <n v="1099427"/>
    <x v="198"/>
    <x v="6"/>
    <x v="348"/>
    <x v="351"/>
  </r>
  <r>
    <n v="1099427"/>
    <x v="198"/>
    <x v="6"/>
    <x v="336"/>
    <x v="535"/>
  </r>
  <r>
    <n v="1099427"/>
    <x v="198"/>
    <x v="6"/>
    <x v="124"/>
    <x v="535"/>
  </r>
  <r>
    <n v="1099427"/>
    <x v="198"/>
    <x v="6"/>
    <x v="135"/>
    <x v="516"/>
  </r>
  <r>
    <n v="1099427"/>
    <x v="198"/>
    <x v="6"/>
    <x v="147"/>
    <x v="516"/>
  </r>
  <r>
    <n v="1099427"/>
    <x v="198"/>
    <x v="6"/>
    <x v="258"/>
    <x v="516"/>
  </r>
  <r>
    <n v="1099427"/>
    <x v="198"/>
    <x v="6"/>
    <x v="204"/>
    <x v="516"/>
  </r>
  <r>
    <n v="1099427"/>
    <x v="198"/>
    <x v="6"/>
    <x v="213"/>
    <x v="348"/>
  </r>
  <r>
    <n v="1099427"/>
    <x v="198"/>
    <x v="6"/>
    <x v="224"/>
    <x v="154"/>
  </r>
  <r>
    <n v="1099427"/>
    <x v="198"/>
    <x v="6"/>
    <x v="0"/>
    <x v="475"/>
  </r>
  <r>
    <n v="1099427"/>
    <x v="198"/>
    <x v="6"/>
    <x v="36"/>
    <x v="77"/>
  </r>
  <r>
    <n v="1099427"/>
    <x v="198"/>
    <x v="6"/>
    <x v="77"/>
    <x v="611"/>
  </r>
  <r>
    <n v="1099427"/>
    <x v="198"/>
    <x v="6"/>
    <x v="425"/>
    <x v="348"/>
  </r>
  <r>
    <n v="1099427"/>
    <x v="198"/>
    <x v="6"/>
    <x v="75"/>
    <x v="83"/>
  </r>
  <r>
    <n v="1099427"/>
    <x v="198"/>
    <x v="6"/>
    <x v="69"/>
    <x v="612"/>
  </r>
  <r>
    <n v="1099427"/>
    <x v="198"/>
    <x v="6"/>
    <x v="386"/>
    <x v="221"/>
  </r>
  <r>
    <n v="1099427"/>
    <x v="198"/>
    <x v="6"/>
    <x v="9"/>
    <x v="351"/>
  </r>
  <r>
    <n v="1099427"/>
    <x v="198"/>
    <x v="6"/>
    <x v="8"/>
    <x v="535"/>
  </r>
  <r>
    <n v="1099427"/>
    <x v="198"/>
    <x v="6"/>
    <x v="349"/>
    <x v="516"/>
  </r>
  <r>
    <n v="1099427"/>
    <x v="198"/>
    <x v="6"/>
    <x v="337"/>
    <x v="351"/>
  </r>
  <r>
    <n v="1099427"/>
    <x v="198"/>
    <x v="6"/>
    <x v="125"/>
    <x v="516"/>
  </r>
  <r>
    <n v="1099427"/>
    <x v="198"/>
    <x v="6"/>
    <x v="136"/>
    <x v="516"/>
  </r>
  <r>
    <n v="1099427"/>
    <x v="198"/>
    <x v="6"/>
    <x v="148"/>
    <x v="516"/>
  </r>
  <r>
    <n v="1099427"/>
    <x v="198"/>
    <x v="6"/>
    <x v="259"/>
    <x v="535"/>
  </r>
  <r>
    <n v="1099427"/>
    <x v="198"/>
    <x v="6"/>
    <x v="205"/>
    <x v="516"/>
  </r>
  <r>
    <n v="1099427"/>
    <x v="198"/>
    <x v="6"/>
    <x v="214"/>
    <x v="516"/>
  </r>
  <r>
    <n v="1099427"/>
    <x v="198"/>
    <x v="6"/>
    <x v="225"/>
    <x v="170"/>
  </r>
  <r>
    <n v="1099427"/>
    <x v="198"/>
    <x v="6"/>
    <x v="234"/>
    <x v="170"/>
  </r>
  <r>
    <n v="1099427"/>
    <x v="198"/>
    <x v="6"/>
    <x v="313"/>
    <x v="88"/>
  </r>
  <r>
    <n v="1099427"/>
    <x v="198"/>
    <x v="6"/>
    <x v="218"/>
    <x v="351"/>
  </r>
  <r>
    <n v="1099427"/>
    <x v="198"/>
    <x v="6"/>
    <x v="187"/>
    <x v="88"/>
  </r>
  <r>
    <n v="1099427"/>
    <x v="198"/>
    <x v="6"/>
    <x v="184"/>
    <x v="516"/>
  </r>
  <r>
    <n v="1099427"/>
    <x v="198"/>
    <x v="6"/>
    <x v="393"/>
    <x v="156"/>
  </r>
  <r>
    <n v="1099427"/>
    <x v="198"/>
    <x v="6"/>
    <x v="109"/>
    <x v="217"/>
  </r>
  <r>
    <n v="1099427"/>
    <x v="198"/>
    <x v="6"/>
    <x v="153"/>
    <x v="351"/>
  </r>
  <r>
    <n v="1099427"/>
    <x v="198"/>
    <x v="6"/>
    <x v="263"/>
    <x v="348"/>
  </r>
  <r>
    <n v="1099427"/>
    <x v="198"/>
    <x v="6"/>
    <x v="140"/>
    <x v="198"/>
  </r>
  <r>
    <n v="1099427"/>
    <x v="198"/>
    <x v="6"/>
    <x v="229"/>
    <x v="217"/>
  </r>
  <r>
    <n v="1099427"/>
    <x v="198"/>
    <x v="6"/>
    <x v="155"/>
    <x v="205"/>
  </r>
  <r>
    <n v="1099427"/>
    <x v="198"/>
    <x v="6"/>
    <x v="341"/>
    <x v="351"/>
  </r>
  <r>
    <n v="1099427"/>
    <x v="198"/>
    <x v="6"/>
    <x v="317"/>
    <x v="178"/>
  </r>
  <r>
    <n v="1099427"/>
    <x v="198"/>
    <x v="6"/>
    <x v="186"/>
    <x v="516"/>
  </r>
  <r>
    <n v="1099427"/>
    <x v="198"/>
    <x v="6"/>
    <x v="188"/>
    <x v="346"/>
  </r>
  <r>
    <n v="1099427"/>
    <x v="198"/>
    <x v="6"/>
    <x v="164"/>
    <x v="347"/>
  </r>
  <r>
    <n v="1099427"/>
    <x v="198"/>
    <x v="6"/>
    <x v="322"/>
    <x v="85"/>
  </r>
  <r>
    <n v="1099427"/>
    <x v="198"/>
    <x v="6"/>
    <x v="53"/>
    <x v="97"/>
  </r>
  <r>
    <n v="1099427"/>
    <x v="198"/>
    <x v="6"/>
    <x v="274"/>
    <x v="84"/>
  </r>
  <r>
    <n v="1099427"/>
    <x v="198"/>
    <x v="6"/>
    <x v="405"/>
    <x v="535"/>
  </r>
  <r>
    <n v="1099427"/>
    <x v="198"/>
    <x v="6"/>
    <x v="86"/>
    <x v="37"/>
  </r>
  <r>
    <n v="1099427"/>
    <x v="198"/>
    <x v="6"/>
    <x v="358"/>
    <x v="346"/>
  </r>
  <r>
    <n v="1099427"/>
    <x v="198"/>
    <x v="6"/>
    <x v="361"/>
    <x v="178"/>
  </r>
  <r>
    <n v="1099427"/>
    <x v="198"/>
    <x v="6"/>
    <x v="284"/>
    <x v="79"/>
  </r>
  <r>
    <n v="1099427"/>
    <x v="198"/>
    <x v="6"/>
    <x v="43"/>
    <x v="535"/>
  </r>
  <r>
    <n v="1099427"/>
    <x v="198"/>
    <x v="6"/>
    <x v="30"/>
    <x v="238"/>
  </r>
  <r>
    <n v="1099427"/>
    <x v="198"/>
    <x v="6"/>
    <x v="61"/>
    <x v="51"/>
  </r>
  <r>
    <n v="1099427"/>
    <x v="198"/>
    <x v="6"/>
    <x v="65"/>
    <x v="535"/>
  </r>
  <r>
    <n v="1099427"/>
    <x v="198"/>
    <x v="6"/>
    <x v="79"/>
    <x v="151"/>
  </r>
  <r>
    <n v="1099427"/>
    <x v="198"/>
    <x v="6"/>
    <x v="395"/>
    <x v="574"/>
  </r>
  <r>
    <n v="1099427"/>
    <x v="198"/>
    <x v="6"/>
    <x v="12"/>
    <x v="3"/>
  </r>
  <r>
    <n v="1099427"/>
    <x v="198"/>
    <x v="6"/>
    <x v="345"/>
    <x v="178"/>
  </r>
  <r>
    <n v="1099427"/>
    <x v="198"/>
    <x v="6"/>
    <x v="351"/>
    <x v="535"/>
  </r>
  <r>
    <n v="1099427"/>
    <x v="198"/>
    <x v="6"/>
    <x v="162"/>
    <x v="516"/>
  </r>
  <r>
    <n v="1099427"/>
    <x v="198"/>
    <x v="6"/>
    <x v="132"/>
    <x v="535"/>
  </r>
  <r>
    <n v="1099427"/>
    <x v="198"/>
    <x v="6"/>
    <x v="144"/>
    <x v="351"/>
  </r>
  <r>
    <n v="1099427"/>
    <x v="198"/>
    <x v="6"/>
    <x v="255"/>
    <x v="198"/>
  </r>
  <r>
    <n v="1099427"/>
    <x v="198"/>
    <x v="6"/>
    <x v="264"/>
    <x v="535"/>
  </r>
  <r>
    <n v="1099427"/>
    <x v="198"/>
    <x v="6"/>
    <x v="210"/>
    <x v="351"/>
  </r>
  <r>
    <n v="1099427"/>
    <x v="198"/>
    <x v="6"/>
    <x v="340"/>
    <x v="77"/>
  </r>
  <r>
    <n v="1099427"/>
    <x v="198"/>
    <x v="6"/>
    <x v="230"/>
    <x v="170"/>
  </r>
  <r>
    <n v="1099427"/>
    <x v="198"/>
    <x v="6"/>
    <x v="156"/>
    <x v="254"/>
  </r>
  <r>
    <n v="1099427"/>
    <x v="198"/>
    <x v="6"/>
    <x v="246"/>
    <x v="178"/>
  </r>
  <r>
    <n v="1099427"/>
    <x v="198"/>
    <x v="6"/>
    <x v="193"/>
    <x v="348"/>
  </r>
  <r>
    <n v="1099427"/>
    <x v="198"/>
    <x v="6"/>
    <x v="191"/>
    <x v="535"/>
  </r>
  <r>
    <n v="1099427"/>
    <x v="198"/>
    <x v="6"/>
    <x v="189"/>
    <x v="535"/>
  </r>
  <r>
    <n v="1099427"/>
    <x v="198"/>
    <x v="6"/>
    <x v="319"/>
    <x v="85"/>
  </r>
  <r>
    <n v="1099427"/>
    <x v="198"/>
    <x v="6"/>
    <x v="321"/>
    <x v="162"/>
  </r>
  <r>
    <n v="1099427"/>
    <x v="198"/>
    <x v="6"/>
    <x v="275"/>
    <x v="69"/>
  </r>
  <r>
    <n v="1099427"/>
    <x v="198"/>
    <x v="6"/>
    <x v="397"/>
    <x v="178"/>
  </r>
  <r>
    <n v="1099427"/>
    <x v="198"/>
    <x v="6"/>
    <x v="196"/>
    <x v="474"/>
  </r>
  <r>
    <n v="1099427"/>
    <x v="198"/>
    <x v="6"/>
    <x v="440"/>
    <x v="78"/>
  </r>
  <r>
    <n v="1099427"/>
    <x v="198"/>
    <x v="6"/>
    <x v="398"/>
    <x v="516"/>
  </r>
  <r>
    <n v="1099427"/>
    <x v="198"/>
    <x v="6"/>
    <x v="271"/>
    <x v="170"/>
  </r>
  <r>
    <n v="1099427"/>
    <x v="198"/>
    <x v="6"/>
    <x v="368"/>
    <x v="535"/>
  </r>
  <r>
    <n v="1099427"/>
    <x v="198"/>
    <x v="6"/>
    <x v="209"/>
    <x v="3"/>
  </r>
  <r>
    <n v="1099427"/>
    <x v="198"/>
    <x v="6"/>
    <x v="22"/>
    <x v="348"/>
  </r>
  <r>
    <n v="1099427"/>
    <x v="198"/>
    <x v="6"/>
    <x v="33"/>
    <x v="168"/>
  </r>
  <r>
    <n v="1099427"/>
    <x v="198"/>
    <x v="6"/>
    <x v="32"/>
    <x v="42"/>
  </r>
  <r>
    <n v="1099427"/>
    <x v="198"/>
    <x v="6"/>
    <x v="37"/>
    <x v="24"/>
  </r>
  <r>
    <n v="1099427"/>
    <x v="198"/>
    <x v="6"/>
    <x v="418"/>
    <x v="148"/>
  </r>
  <r>
    <n v="1099427"/>
    <x v="198"/>
    <x v="6"/>
    <x v="68"/>
    <x v="88"/>
  </r>
  <r>
    <n v="1099427"/>
    <x v="198"/>
    <x v="6"/>
    <x v="201"/>
    <x v="346"/>
  </r>
  <r>
    <n v="1099427"/>
    <x v="198"/>
    <x v="6"/>
    <x v="330"/>
    <x v="401"/>
  </r>
  <r>
    <n v="1099427"/>
    <x v="198"/>
    <x v="6"/>
    <x v="158"/>
    <x v="204"/>
  </r>
  <r>
    <n v="1099427"/>
    <x v="198"/>
    <x v="6"/>
    <x v="344"/>
    <x v="178"/>
  </r>
  <r>
    <n v="1099427"/>
    <x v="198"/>
    <x v="6"/>
    <x v="347"/>
    <x v="351"/>
  </r>
  <r>
    <n v="1099427"/>
    <x v="198"/>
    <x v="6"/>
    <x v="335"/>
    <x v="351"/>
  </r>
  <r>
    <n v="1099427"/>
    <x v="198"/>
    <x v="6"/>
    <x v="134"/>
    <x v="535"/>
  </r>
  <r>
    <n v="1099427"/>
    <x v="198"/>
    <x v="6"/>
    <x v="146"/>
    <x v="516"/>
  </r>
  <r>
    <n v="1099427"/>
    <x v="198"/>
    <x v="6"/>
    <x v="316"/>
    <x v="82"/>
  </r>
  <r>
    <n v="1099427"/>
    <x v="198"/>
    <x v="6"/>
    <x v="211"/>
    <x v="535"/>
  </r>
  <r>
    <n v="1099427"/>
    <x v="198"/>
    <x v="6"/>
    <x v="222"/>
    <x v="170"/>
  </r>
  <r>
    <n v="1099427"/>
    <x v="198"/>
    <x v="6"/>
    <x v="231"/>
    <x v="346"/>
  </r>
  <r>
    <n v="1099427"/>
    <x v="198"/>
    <x v="6"/>
    <x v="239"/>
    <x v="178"/>
  </r>
  <r>
    <n v="1099427"/>
    <x v="198"/>
    <x v="6"/>
    <x v="247"/>
    <x v="178"/>
  </r>
  <r>
    <n v="1099427"/>
    <x v="198"/>
    <x v="6"/>
    <x v="221"/>
    <x v="178"/>
  </r>
  <r>
    <n v="1099427"/>
    <x v="198"/>
    <x v="6"/>
    <x v="174"/>
    <x v="346"/>
  </r>
  <r>
    <n v="1099427"/>
    <x v="198"/>
    <x v="6"/>
    <x v="176"/>
    <x v="348"/>
  </r>
  <r>
    <n v="1099427"/>
    <x v="198"/>
    <x v="6"/>
    <x v="166"/>
    <x v="438"/>
  </r>
  <r>
    <n v="1099427"/>
    <x v="198"/>
    <x v="6"/>
    <x v="323"/>
    <x v="153"/>
  </r>
  <r>
    <n v="1099427"/>
    <x v="198"/>
    <x v="6"/>
    <x v="400"/>
    <x v="535"/>
  </r>
  <r>
    <n v="1099427"/>
    <x v="198"/>
    <x v="6"/>
    <x v="18"/>
    <x v="535"/>
  </r>
  <r>
    <n v="1099427"/>
    <x v="198"/>
    <x v="6"/>
    <x v="47"/>
    <x v="352"/>
  </r>
  <r>
    <n v="1099427"/>
    <x v="198"/>
    <x v="6"/>
    <x v="282"/>
    <x v="97"/>
  </r>
  <r>
    <n v="1099427"/>
    <x v="198"/>
    <x v="6"/>
    <x v="356"/>
    <x v="351"/>
  </r>
  <r>
    <n v="1099427"/>
    <x v="198"/>
    <x v="6"/>
    <x v="360"/>
    <x v="348"/>
  </r>
  <r>
    <n v="1099427"/>
    <x v="198"/>
    <x v="6"/>
    <x v="363"/>
    <x v="178"/>
  </r>
  <r>
    <n v="1099427"/>
    <x v="198"/>
    <x v="6"/>
    <x v="111"/>
    <x v="83"/>
  </r>
  <r>
    <n v="1099427"/>
    <x v="198"/>
    <x v="6"/>
    <x v="1"/>
    <x v="613"/>
  </r>
  <r>
    <n v="1099427"/>
    <x v="198"/>
    <x v="6"/>
    <x v="27"/>
    <x v="82"/>
  </r>
  <r>
    <n v="1099427"/>
    <x v="198"/>
    <x v="6"/>
    <x v="78"/>
    <x v="614"/>
  </r>
  <r>
    <n v="1099427"/>
    <x v="198"/>
    <x v="6"/>
    <x v="83"/>
    <x v="351"/>
  </r>
  <r>
    <n v="1099427"/>
    <x v="198"/>
    <x v="6"/>
    <x v="74"/>
    <x v="198"/>
  </r>
  <r>
    <n v="1099427"/>
    <x v="198"/>
    <x v="6"/>
    <x v="385"/>
    <x v="375"/>
  </r>
  <r>
    <n v="1099427"/>
    <x v="198"/>
    <x v="6"/>
    <x v="342"/>
    <x v="351"/>
  </r>
  <r>
    <n v="1099427"/>
    <x v="198"/>
    <x v="6"/>
    <x v="7"/>
    <x v="535"/>
  </r>
  <r>
    <n v="1099427"/>
    <x v="198"/>
    <x v="6"/>
    <x v="331"/>
    <x v="535"/>
  </r>
  <r>
    <n v="1099427"/>
    <x v="198"/>
    <x v="6"/>
    <x v="338"/>
    <x v="178"/>
  </r>
  <r>
    <n v="1099427"/>
    <x v="198"/>
    <x v="6"/>
    <x v="126"/>
    <x v="516"/>
  </r>
  <r>
    <n v="1099427"/>
    <x v="198"/>
    <x v="6"/>
    <x v="137"/>
    <x v="516"/>
  </r>
  <r>
    <n v="1099427"/>
    <x v="198"/>
    <x v="6"/>
    <x v="149"/>
    <x v="516"/>
  </r>
  <r>
    <n v="1099427"/>
    <x v="198"/>
    <x v="6"/>
    <x v="260"/>
    <x v="346"/>
  </r>
  <r>
    <n v="1099427"/>
    <x v="198"/>
    <x v="6"/>
    <x v="206"/>
    <x v="516"/>
  </r>
  <r>
    <n v="1099427"/>
    <x v="198"/>
    <x v="6"/>
    <x v="215"/>
    <x v="516"/>
  </r>
  <r>
    <n v="1099427"/>
    <x v="198"/>
    <x v="6"/>
    <x v="426"/>
    <x v="348"/>
  </r>
  <r>
    <n v="1099427"/>
    <x v="198"/>
    <x v="6"/>
    <x v="235"/>
    <x v="348"/>
  </r>
  <r>
    <n v="1099427"/>
    <x v="198"/>
    <x v="6"/>
    <x v="233"/>
    <x v="198"/>
  </r>
  <r>
    <n v="1099427"/>
    <x v="198"/>
    <x v="6"/>
    <x v="241"/>
    <x v="535"/>
  </r>
  <r>
    <n v="1099427"/>
    <x v="198"/>
    <x v="6"/>
    <x v="217"/>
    <x v="348"/>
  </r>
  <r>
    <n v="1099427"/>
    <x v="198"/>
    <x v="6"/>
    <x v="195"/>
    <x v="516"/>
  </r>
  <r>
    <n v="1099427"/>
    <x v="198"/>
    <x v="6"/>
    <x v="192"/>
    <x v="516"/>
  </r>
  <r>
    <n v="1099427"/>
    <x v="198"/>
    <x v="6"/>
    <x v="190"/>
    <x v="178"/>
  </r>
  <r>
    <n v="1099427"/>
    <x v="198"/>
    <x v="6"/>
    <x v="391"/>
    <x v="383"/>
  </r>
  <r>
    <n v="1099427"/>
    <x v="198"/>
    <x v="6"/>
    <x v="327"/>
    <x v="179"/>
  </r>
  <r>
    <n v="1099427"/>
    <x v="198"/>
    <x v="6"/>
    <x v="93"/>
    <x v="197"/>
  </r>
  <r>
    <n v="1099427"/>
    <x v="198"/>
    <x v="6"/>
    <x v="21"/>
    <x v="516"/>
  </r>
  <r>
    <n v="1099427"/>
    <x v="198"/>
    <x v="6"/>
    <x v="49"/>
    <x v="348"/>
  </r>
  <r>
    <n v="1099427"/>
    <x v="198"/>
    <x v="6"/>
    <x v="354"/>
    <x v="198"/>
  </r>
  <r>
    <n v="1099427"/>
    <x v="198"/>
    <x v="6"/>
    <x v="406"/>
    <x v="535"/>
  </r>
  <r>
    <n v="1099427"/>
    <x v="198"/>
    <x v="6"/>
    <x v="364"/>
    <x v="535"/>
  </r>
  <r>
    <n v="1099427"/>
    <x v="198"/>
    <x v="6"/>
    <x v="26"/>
    <x v="535"/>
  </r>
  <r>
    <n v="1099427"/>
    <x v="198"/>
    <x v="6"/>
    <x v="42"/>
    <x v="64"/>
  </r>
  <r>
    <n v="1099427"/>
    <x v="198"/>
    <x v="6"/>
    <x v="388"/>
    <x v="153"/>
  </r>
  <r>
    <n v="1099427"/>
    <x v="198"/>
    <x v="6"/>
    <x v="387"/>
    <x v="220"/>
  </r>
  <r>
    <n v="1099427"/>
    <x v="198"/>
    <x v="6"/>
    <x v="202"/>
    <x v="61"/>
  </r>
  <r>
    <n v="1099427"/>
    <x v="198"/>
    <x v="6"/>
    <x v="58"/>
    <x v="83"/>
  </r>
  <r>
    <n v="1099427"/>
    <x v="198"/>
    <x v="6"/>
    <x v="55"/>
    <x v="351"/>
  </r>
  <r>
    <n v="1099427"/>
    <x v="198"/>
    <x v="6"/>
    <x v="421"/>
    <x v="136"/>
  </r>
  <r>
    <n v="1099427"/>
    <x v="198"/>
    <x v="6"/>
    <x v="254"/>
    <x v="535"/>
  </r>
  <r>
    <n v="1099427"/>
    <x v="198"/>
    <x v="6"/>
    <x v="350"/>
    <x v="516"/>
  </r>
  <r>
    <n v="1099427"/>
    <x v="198"/>
    <x v="6"/>
    <x v="161"/>
    <x v="535"/>
  </r>
  <r>
    <n v="1099427"/>
    <x v="198"/>
    <x v="6"/>
    <x v="131"/>
    <x v="516"/>
  </r>
  <r>
    <n v="1099427"/>
    <x v="198"/>
    <x v="6"/>
    <x v="143"/>
    <x v="535"/>
  </r>
  <r>
    <n v="1099427"/>
    <x v="198"/>
    <x v="6"/>
    <x v="138"/>
    <x v="535"/>
  </r>
  <r>
    <n v="1099427"/>
    <x v="198"/>
    <x v="6"/>
    <x v="150"/>
    <x v="170"/>
  </r>
  <r>
    <n v="1099427"/>
    <x v="198"/>
    <x v="6"/>
    <x v="261"/>
    <x v="351"/>
  </r>
  <r>
    <n v="1099427"/>
    <x v="198"/>
    <x v="6"/>
    <x v="207"/>
    <x v="346"/>
  </r>
  <r>
    <n v="1099427"/>
    <x v="198"/>
    <x v="6"/>
    <x v="216"/>
    <x v="178"/>
  </r>
  <r>
    <n v="1099427"/>
    <x v="198"/>
    <x v="6"/>
    <x v="226"/>
    <x v="83"/>
  </r>
  <r>
    <n v="1099427"/>
    <x v="198"/>
    <x v="6"/>
    <x v="236"/>
    <x v="348"/>
  </r>
  <r>
    <n v="1099427"/>
    <x v="198"/>
    <x v="6"/>
    <x v="243"/>
    <x v="535"/>
  </r>
  <r>
    <n v="1099427"/>
    <x v="198"/>
    <x v="6"/>
    <x v="315"/>
    <x v="154"/>
  </r>
  <r>
    <n v="1099427"/>
    <x v="198"/>
    <x v="6"/>
    <x v="168"/>
    <x v="516"/>
  </r>
  <r>
    <n v="1099427"/>
    <x v="198"/>
    <x v="6"/>
    <x v="175"/>
    <x v="516"/>
  </r>
  <r>
    <n v="1099427"/>
    <x v="198"/>
    <x v="6"/>
    <x v="177"/>
    <x v="178"/>
  </r>
  <r>
    <n v="1099427"/>
    <x v="198"/>
    <x v="6"/>
    <x v="17"/>
    <x v="544"/>
  </r>
  <r>
    <n v="1099427"/>
    <x v="198"/>
    <x v="6"/>
    <x v="325"/>
    <x v="344"/>
  </r>
  <r>
    <n v="1099427"/>
    <x v="198"/>
    <x v="6"/>
    <x v="303"/>
    <x v="220"/>
  </r>
  <r>
    <n v="1099427"/>
    <x v="198"/>
    <x v="6"/>
    <x v="20"/>
    <x v="351"/>
  </r>
  <r>
    <n v="1099427"/>
    <x v="198"/>
    <x v="6"/>
    <x v="51"/>
    <x v="182"/>
  </r>
  <r>
    <n v="1099427"/>
    <x v="198"/>
    <x v="6"/>
    <x v="281"/>
    <x v="149"/>
  </r>
  <r>
    <n v="1099427"/>
    <x v="198"/>
    <x v="6"/>
    <x v="19"/>
    <x v="516"/>
  </r>
  <r>
    <n v="1099427"/>
    <x v="198"/>
    <x v="6"/>
    <x v="52"/>
    <x v="535"/>
  </r>
  <r>
    <n v="1099427"/>
    <x v="198"/>
    <x v="6"/>
    <x v="89"/>
    <x v="220"/>
  </r>
  <r>
    <n v="1099427"/>
    <x v="198"/>
    <x v="6"/>
    <x v="95"/>
    <x v="64"/>
  </r>
  <r>
    <n v="1099427"/>
    <x v="198"/>
    <x v="6"/>
    <x v="366"/>
    <x v="535"/>
  </r>
  <r>
    <n v="1099427"/>
    <x v="198"/>
    <x v="6"/>
    <x v="24"/>
    <x v="346"/>
  </r>
  <r>
    <n v="1099427"/>
    <x v="198"/>
    <x v="6"/>
    <x v="39"/>
    <x v="64"/>
  </r>
  <r>
    <n v="1099427"/>
    <x v="198"/>
    <x v="6"/>
    <x v="64"/>
    <x v="344"/>
  </r>
  <r>
    <n v="1099427"/>
    <x v="198"/>
    <x v="6"/>
    <x v="420"/>
    <x v="85"/>
  </r>
  <r>
    <n v="1099427"/>
    <x v="198"/>
    <x v="6"/>
    <x v="200"/>
    <x v="98"/>
  </r>
  <r>
    <n v="1099427"/>
    <x v="198"/>
    <x v="6"/>
    <x v="70"/>
    <x v="178"/>
  </r>
  <r>
    <n v="1099427"/>
    <x v="198"/>
    <x v="6"/>
    <x v="57"/>
    <x v="199"/>
  </r>
  <r>
    <n v="1099427"/>
    <x v="198"/>
    <x v="6"/>
    <x v="394"/>
    <x v="78"/>
  </r>
  <r>
    <n v="1099427"/>
    <x v="198"/>
    <x v="6"/>
    <x v="14"/>
    <x v="198"/>
  </r>
  <r>
    <n v="1099427"/>
    <x v="198"/>
    <x v="6"/>
    <x v="13"/>
    <x v="516"/>
  </r>
  <r>
    <n v="1099427"/>
    <x v="198"/>
    <x v="6"/>
    <x v="333"/>
    <x v="351"/>
  </r>
  <r>
    <n v="1099427"/>
    <x v="198"/>
    <x v="6"/>
    <x v="159"/>
    <x v="516"/>
  </r>
  <r>
    <n v="1099427"/>
    <x v="198"/>
    <x v="6"/>
    <x v="128"/>
    <x v="351"/>
  </r>
  <r>
    <n v="1099427"/>
    <x v="198"/>
    <x v="6"/>
    <x v="141"/>
    <x v="535"/>
  </r>
  <r>
    <n v="1099427"/>
    <x v="198"/>
    <x v="6"/>
    <x v="220"/>
    <x v="351"/>
  </r>
  <r>
    <n v="1099427"/>
    <x v="198"/>
    <x v="6"/>
    <x v="169"/>
    <x v="535"/>
  </r>
  <r>
    <n v="1099427"/>
    <x v="198"/>
    <x v="6"/>
    <x v="171"/>
    <x v="535"/>
  </r>
  <r>
    <n v="1099427"/>
    <x v="198"/>
    <x v="6"/>
    <x v="165"/>
    <x v="475"/>
  </r>
  <r>
    <n v="1099427"/>
    <x v="198"/>
    <x v="6"/>
    <x v="272"/>
    <x v="226"/>
  </r>
  <r>
    <n v="1099427"/>
    <x v="198"/>
    <x v="6"/>
    <x v="408"/>
    <x v="516"/>
  </r>
  <r>
    <n v="1099427"/>
    <x v="198"/>
    <x v="6"/>
    <x v="414"/>
    <x v="516"/>
  </r>
  <r>
    <n v="1099427"/>
    <x v="198"/>
    <x v="6"/>
    <x v="48"/>
    <x v="62"/>
  </r>
  <r>
    <n v="1099427"/>
    <x v="198"/>
    <x v="6"/>
    <x v="415"/>
    <x v="198"/>
  </r>
  <r>
    <n v="1099427"/>
    <x v="198"/>
    <x v="6"/>
    <x v="278"/>
    <x v="179"/>
  </r>
  <r>
    <n v="1099427"/>
    <x v="198"/>
    <x v="6"/>
    <x v="359"/>
    <x v="348"/>
  </r>
  <r>
    <n v="1099427"/>
    <x v="198"/>
    <x v="6"/>
    <x v="362"/>
    <x v="170"/>
  </r>
  <r>
    <n v="1099427"/>
    <x v="198"/>
    <x v="6"/>
    <x v="4"/>
    <x v="3"/>
  </r>
  <r>
    <n v="1099427"/>
    <x v="198"/>
    <x v="6"/>
    <x v="5"/>
    <x v="3"/>
  </r>
  <r>
    <n v="1099427"/>
    <x v="198"/>
    <x v="6"/>
    <x v="71"/>
    <x v="4"/>
  </r>
  <r>
    <n v="1099427"/>
    <x v="198"/>
    <x v="6"/>
    <x v="35"/>
    <x v="535"/>
  </r>
  <r>
    <n v="1099427"/>
    <x v="198"/>
    <x v="6"/>
    <x v="41"/>
    <x v="615"/>
  </r>
  <r>
    <n v="1099427"/>
    <x v="198"/>
    <x v="6"/>
    <x v="66"/>
    <x v="88"/>
  </r>
  <r>
    <n v="1099427"/>
    <x v="198"/>
    <x v="6"/>
    <x v="56"/>
    <x v="151"/>
  </r>
  <r>
    <n v="1099427"/>
    <x v="198"/>
    <x v="6"/>
    <x v="157"/>
    <x v="204"/>
  </r>
  <r>
    <n v="1099427"/>
    <x v="198"/>
    <x v="6"/>
    <x v="11"/>
    <x v="351"/>
  </r>
  <r>
    <n v="1099427"/>
    <x v="198"/>
    <x v="6"/>
    <x v="346"/>
    <x v="516"/>
  </r>
  <r>
    <n v="1099427"/>
    <x v="198"/>
    <x v="6"/>
    <x v="352"/>
    <x v="516"/>
  </r>
  <r>
    <n v="1099427"/>
    <x v="198"/>
    <x v="6"/>
    <x v="154"/>
    <x v="535"/>
  </r>
  <r>
    <n v="1099427"/>
    <x v="198"/>
    <x v="6"/>
    <x v="133"/>
    <x v="351"/>
  </r>
  <r>
    <n v="1099427"/>
    <x v="198"/>
    <x v="6"/>
    <x v="145"/>
    <x v="535"/>
  </r>
  <r>
    <n v="1099427"/>
    <x v="198"/>
    <x v="6"/>
    <x v="256"/>
    <x v="88"/>
  </r>
  <r>
    <n v="1099427"/>
    <x v="198"/>
    <x v="6"/>
    <x v="444"/>
    <x v="516"/>
  </r>
  <r>
    <n v="1099427"/>
    <x v="198"/>
    <x v="6"/>
    <x v="369"/>
    <x v="535"/>
  </r>
  <r>
    <n v="1099427"/>
    <x v="198"/>
    <x v="6"/>
    <x v="370"/>
    <x v="351"/>
  </r>
  <r>
    <n v="1099427"/>
    <x v="198"/>
    <x v="6"/>
    <x v="371"/>
    <x v="516"/>
  </r>
  <r>
    <n v="1099427"/>
    <x v="198"/>
    <x v="6"/>
    <x v="308"/>
    <x v="198"/>
  </r>
  <r>
    <n v="1099427"/>
    <x v="198"/>
    <x v="6"/>
    <x v="372"/>
    <x v="198"/>
  </r>
  <r>
    <n v="1099427"/>
    <x v="198"/>
    <x v="6"/>
    <x v="373"/>
    <x v="198"/>
  </r>
  <r>
    <n v="1099427"/>
    <x v="198"/>
    <x v="6"/>
    <x v="92"/>
    <x v="185"/>
  </r>
  <r>
    <n v="1099427"/>
    <x v="198"/>
    <x v="6"/>
    <x v="99"/>
    <x v="197"/>
  </r>
  <r>
    <n v="1099427"/>
    <x v="198"/>
    <x v="6"/>
    <x v="374"/>
    <x v="348"/>
  </r>
  <r>
    <n v="1099427"/>
    <x v="198"/>
    <x v="6"/>
    <x v="44"/>
    <x v="351"/>
  </r>
  <r>
    <n v="1099427"/>
    <x v="198"/>
    <x v="6"/>
    <x v="45"/>
    <x v="4"/>
  </r>
  <r>
    <n v="1099427"/>
    <x v="198"/>
    <x v="6"/>
    <x v="116"/>
    <x v="88"/>
  </r>
  <r>
    <n v="1099427"/>
    <x v="198"/>
    <x v="6"/>
    <x v="110"/>
    <x v="83"/>
  </r>
  <r>
    <n v="1099427"/>
    <x v="198"/>
    <x v="6"/>
    <x v="113"/>
    <x v="535"/>
  </r>
  <r>
    <n v="1099427"/>
    <x v="198"/>
    <x v="6"/>
    <x v="112"/>
    <x v="348"/>
  </r>
  <r>
    <n v="1099427"/>
    <x v="198"/>
    <x v="6"/>
    <x v="306"/>
    <x v="178"/>
  </r>
  <r>
    <n v="1099427"/>
    <x v="198"/>
    <x v="6"/>
    <x v="114"/>
    <x v="516"/>
  </r>
  <r>
    <n v="1099427"/>
    <x v="198"/>
    <x v="6"/>
    <x v="307"/>
    <x v="202"/>
  </r>
  <r>
    <n v="1099427"/>
    <x v="198"/>
    <x v="6"/>
    <x v="310"/>
    <x v="77"/>
  </r>
  <r>
    <n v="1099427"/>
    <x v="198"/>
    <x v="6"/>
    <x v="312"/>
    <x v="154"/>
  </r>
  <r>
    <n v="1099427"/>
    <x v="198"/>
    <x v="6"/>
    <x v="309"/>
    <x v="154"/>
  </r>
  <r>
    <n v="1099427"/>
    <x v="198"/>
    <x v="6"/>
    <x v="410"/>
    <x v="178"/>
  </r>
  <r>
    <n v="1099427"/>
    <x v="198"/>
    <x v="6"/>
    <x v="403"/>
    <x v="4"/>
  </r>
  <r>
    <n v="1099427"/>
    <x v="198"/>
    <x v="6"/>
    <x v="399"/>
    <x v="176"/>
  </r>
  <r>
    <n v="1099427"/>
    <x v="198"/>
    <x v="6"/>
    <x v="273"/>
    <x v="170"/>
  </r>
  <r>
    <n v="1099427"/>
    <x v="198"/>
    <x v="6"/>
    <x v="328"/>
    <x v="351"/>
  </r>
  <r>
    <n v="1099427"/>
    <x v="198"/>
    <x v="6"/>
    <x v="329"/>
    <x v="164"/>
  </r>
  <r>
    <n v="1099427"/>
    <x v="198"/>
    <x v="6"/>
    <x v="445"/>
    <x v="351"/>
  </r>
  <r>
    <n v="1099427"/>
    <x v="198"/>
    <x v="6"/>
    <x v="417"/>
    <x v="346"/>
  </r>
  <r>
    <n v="1099427"/>
    <x v="198"/>
    <x v="6"/>
    <x v="411"/>
    <x v="346"/>
  </r>
  <r>
    <n v="1099427"/>
    <x v="198"/>
    <x v="6"/>
    <x v="122"/>
    <x v="170"/>
  </r>
  <r>
    <n v="1099427"/>
    <x v="198"/>
    <x v="6"/>
    <x v="118"/>
    <x v="98"/>
  </r>
  <r>
    <n v="1099427"/>
    <x v="198"/>
    <x v="6"/>
    <x v="285"/>
    <x v="535"/>
  </r>
  <r>
    <n v="1099427"/>
    <x v="198"/>
    <x v="6"/>
    <x v="286"/>
    <x v="24"/>
  </r>
  <r>
    <n v="1099427"/>
    <x v="198"/>
    <x v="6"/>
    <x v="280"/>
    <x v="351"/>
  </r>
  <r>
    <n v="1099427"/>
    <x v="198"/>
    <x v="6"/>
    <x v="85"/>
    <x v="182"/>
  </r>
  <r>
    <n v="1099427"/>
    <x v="198"/>
    <x v="6"/>
    <x v="242"/>
    <x v="178"/>
  </r>
  <r>
    <n v="1099427"/>
    <x v="198"/>
    <x v="6"/>
    <x v="219"/>
    <x v="170"/>
  </r>
  <r>
    <n v="1099427"/>
    <x v="198"/>
    <x v="6"/>
    <x v="170"/>
    <x v="535"/>
  </r>
  <r>
    <n v="1099427"/>
    <x v="198"/>
    <x v="6"/>
    <x v="172"/>
    <x v="198"/>
  </r>
  <r>
    <n v="1099427"/>
    <x v="198"/>
    <x v="6"/>
    <x v="16"/>
    <x v="542"/>
  </r>
  <r>
    <n v="1099427"/>
    <x v="198"/>
    <x v="6"/>
    <x v="108"/>
    <x v="105"/>
  </r>
  <r>
    <n v="1099427"/>
    <x v="198"/>
    <x v="6"/>
    <x v="413"/>
    <x v="535"/>
  </r>
  <r>
    <n v="1099427"/>
    <x v="198"/>
    <x v="6"/>
    <x v="46"/>
    <x v="24"/>
  </r>
  <r>
    <n v="1099427"/>
    <x v="198"/>
    <x v="6"/>
    <x v="266"/>
    <x v="347"/>
  </r>
  <r>
    <n v="1099427"/>
    <x v="198"/>
    <x v="6"/>
    <x v="311"/>
    <x v="83"/>
  </r>
  <r>
    <n v="1099427"/>
    <x v="198"/>
    <x v="6"/>
    <x v="416"/>
    <x v="161"/>
  </r>
  <r>
    <n v="1099427"/>
    <x v="198"/>
    <x v="6"/>
    <x v="97"/>
    <x v="69"/>
  </r>
  <r>
    <n v="1099427"/>
    <x v="198"/>
    <x v="6"/>
    <x v="443"/>
    <x v="161"/>
  </r>
  <r>
    <n v="1099427"/>
    <x v="198"/>
    <x v="6"/>
    <x v="365"/>
    <x v="516"/>
  </r>
  <r>
    <n v="1099427"/>
    <x v="198"/>
    <x v="6"/>
    <x v="38"/>
    <x v="178"/>
  </r>
  <r>
    <n v="1099427"/>
    <x v="198"/>
    <x v="6"/>
    <x v="34"/>
    <x v="64"/>
  </r>
  <r>
    <n v="1099427"/>
    <x v="198"/>
    <x v="6"/>
    <x v="81"/>
    <x v="148"/>
  </r>
  <r>
    <n v="1099427"/>
    <x v="198"/>
    <x v="6"/>
    <x v="419"/>
    <x v="62"/>
  </r>
  <r>
    <n v="1099427"/>
    <x v="198"/>
    <x v="6"/>
    <x v="59"/>
    <x v="42"/>
  </r>
  <r>
    <n v="1099427"/>
    <x v="198"/>
    <x v="6"/>
    <x v="62"/>
    <x v="351"/>
  </r>
  <r>
    <n v="1099427"/>
    <x v="198"/>
    <x v="6"/>
    <x v="80"/>
    <x v="111"/>
  </r>
  <r>
    <n v="1099427"/>
    <x v="198"/>
    <x v="6"/>
    <x v="384"/>
    <x v="395"/>
  </r>
  <r>
    <n v="1099427"/>
    <x v="198"/>
    <x v="6"/>
    <x v="343"/>
    <x v="351"/>
  </r>
  <r>
    <n v="1099427"/>
    <x v="198"/>
    <x v="6"/>
    <x v="6"/>
    <x v="516"/>
  </r>
  <r>
    <n v="1099427"/>
    <x v="198"/>
    <x v="6"/>
    <x v="332"/>
    <x v="178"/>
  </r>
  <r>
    <n v="1099427"/>
    <x v="198"/>
    <x v="6"/>
    <x v="339"/>
    <x v="351"/>
  </r>
  <r>
    <n v="1099427"/>
    <x v="198"/>
    <x v="6"/>
    <x v="127"/>
    <x v="516"/>
  </r>
  <r>
    <n v="1099427"/>
    <x v="198"/>
    <x v="6"/>
    <x v="380"/>
    <x v="198"/>
  </r>
  <r>
    <n v="1099427"/>
    <x v="198"/>
    <x v="6"/>
    <x v="379"/>
    <x v="441"/>
  </r>
  <r>
    <n v="1099427"/>
    <x v="198"/>
    <x v="6"/>
    <x v="382"/>
    <x v="376"/>
  </r>
  <r>
    <n v="1099427"/>
    <x v="198"/>
    <x v="6"/>
    <x v="298"/>
    <x v="77"/>
  </r>
  <r>
    <n v="1099427"/>
    <x v="198"/>
    <x v="6"/>
    <x v="436"/>
    <x v="154"/>
  </r>
  <r>
    <n v="1099427"/>
    <x v="198"/>
    <x v="6"/>
    <x v="437"/>
    <x v="154"/>
  </r>
  <r>
    <n v="1099427"/>
    <x v="198"/>
    <x v="6"/>
    <x v="287"/>
    <x v="178"/>
  </r>
  <r>
    <n v="1099427"/>
    <x v="198"/>
    <x v="6"/>
    <x v="295"/>
    <x v="24"/>
  </r>
  <r>
    <n v="1099427"/>
    <x v="198"/>
    <x v="6"/>
    <x v="296"/>
    <x v="24"/>
  </r>
  <r>
    <n v="1099427"/>
    <x v="198"/>
    <x v="6"/>
    <x v="289"/>
    <x v="79"/>
  </r>
  <r>
    <n v="1099427"/>
    <x v="198"/>
    <x v="6"/>
    <x v="434"/>
    <x v="83"/>
  </r>
  <r>
    <n v="1099427"/>
    <x v="198"/>
    <x v="6"/>
    <x v="428"/>
    <x v="364"/>
  </r>
  <r>
    <n v="1099427"/>
    <x v="198"/>
    <x v="6"/>
    <x v="429"/>
    <x v="170"/>
  </r>
  <r>
    <n v="1099427"/>
    <x v="198"/>
    <x v="6"/>
    <x v="430"/>
    <x v="351"/>
  </r>
  <r>
    <n v="1099427"/>
    <x v="198"/>
    <x v="6"/>
    <x v="291"/>
    <x v="170"/>
  </r>
  <r>
    <n v="1099427"/>
    <x v="198"/>
    <x v="6"/>
    <x v="431"/>
    <x v="161"/>
  </r>
  <r>
    <n v="1099427"/>
    <x v="198"/>
    <x v="6"/>
    <x v="292"/>
    <x v="198"/>
  </r>
  <r>
    <n v="1099427"/>
    <x v="198"/>
    <x v="6"/>
    <x v="297"/>
    <x v="198"/>
  </r>
  <r>
    <n v="1099427"/>
    <x v="198"/>
    <x v="6"/>
    <x v="288"/>
    <x v="80"/>
  </r>
  <r>
    <n v="1099427"/>
    <x v="198"/>
    <x v="6"/>
    <x v="102"/>
    <x v="238"/>
  </r>
  <r>
    <n v="1099427"/>
    <x v="198"/>
    <x v="6"/>
    <x v="432"/>
    <x v="4"/>
  </r>
  <r>
    <n v="1099427"/>
    <x v="198"/>
    <x v="6"/>
    <x v="294"/>
    <x v="163"/>
  </r>
  <r>
    <n v="1099427"/>
    <x v="198"/>
    <x v="6"/>
    <x v="293"/>
    <x v="200"/>
  </r>
  <r>
    <n v="1099427"/>
    <x v="198"/>
    <x v="6"/>
    <x v="106"/>
    <x v="82"/>
  </r>
  <r>
    <n v="1099427"/>
    <x v="198"/>
    <x v="6"/>
    <x v="105"/>
    <x v="82"/>
  </r>
  <r>
    <n v="1099427"/>
    <x v="198"/>
    <x v="6"/>
    <x v="433"/>
    <x v="351"/>
  </r>
  <r>
    <n v="1099427"/>
    <x v="198"/>
    <x v="6"/>
    <x v="107"/>
    <x v="154"/>
  </r>
  <r>
    <n v="1099427"/>
    <x v="198"/>
    <x v="6"/>
    <x v="101"/>
    <x v="88"/>
  </r>
  <r>
    <n v="1099427"/>
    <x v="198"/>
    <x v="6"/>
    <x v="435"/>
    <x v="535"/>
  </r>
  <r>
    <n v="1099427"/>
    <x v="198"/>
    <x v="6"/>
    <x v="103"/>
    <x v="170"/>
  </r>
  <r>
    <n v="1099427"/>
    <x v="198"/>
    <x v="6"/>
    <x v="104"/>
    <x v="170"/>
  </r>
  <r>
    <n v="1099427"/>
    <x v="198"/>
    <x v="6"/>
    <x v="290"/>
    <x v="72"/>
  </r>
  <r>
    <n v="1099427"/>
    <x v="198"/>
    <x v="6"/>
    <x v="173"/>
    <x v="3"/>
  </r>
  <r>
    <n v="1099427"/>
    <x v="198"/>
    <x v="6"/>
    <x v="198"/>
    <x v="4"/>
  </r>
  <r>
    <n v="1099427"/>
    <x v="198"/>
    <x v="6"/>
    <x v="185"/>
    <x v="3"/>
  </r>
  <r>
    <n v="1099427"/>
    <x v="198"/>
    <x v="6"/>
    <x v="3"/>
    <x v="161"/>
  </r>
  <r>
    <n v="1099427"/>
    <x v="198"/>
    <x v="6"/>
    <x v="223"/>
    <x v="3"/>
  </r>
  <r>
    <n v="1099427"/>
    <x v="198"/>
    <x v="6"/>
    <x v="151"/>
    <x v="170"/>
  </r>
  <r>
    <n v="1099427"/>
    <x v="198"/>
    <x v="6"/>
    <x v="249"/>
    <x v="351"/>
  </r>
  <r>
    <n v="1099427"/>
    <x v="198"/>
    <x v="6"/>
    <x v="208"/>
    <x v="535"/>
  </r>
  <r>
    <n v="1099427"/>
    <x v="198"/>
    <x v="6"/>
    <x v="130"/>
    <x v="351"/>
  </r>
  <r>
    <n v="1099427"/>
    <x v="198"/>
    <x v="6"/>
    <x v="227"/>
    <x v="170"/>
  </r>
  <r>
    <n v="1099427"/>
    <x v="198"/>
    <x v="6"/>
    <x v="237"/>
    <x v="214"/>
  </r>
  <r>
    <n v="1099427"/>
    <x v="198"/>
    <x v="6"/>
    <x v="244"/>
    <x v="198"/>
  </r>
  <r>
    <n v="1099427"/>
    <x v="198"/>
    <x v="6"/>
    <x v="314"/>
    <x v="516"/>
  </r>
  <r>
    <n v="1099427"/>
    <x v="198"/>
    <x v="6"/>
    <x v="179"/>
    <x v="516"/>
  </r>
  <r>
    <n v="1099427"/>
    <x v="198"/>
    <x v="6"/>
    <x v="181"/>
    <x v="346"/>
  </r>
  <r>
    <n v="1099427"/>
    <x v="198"/>
    <x v="6"/>
    <x v="183"/>
    <x v="516"/>
  </r>
  <r>
    <n v="1099427"/>
    <x v="198"/>
    <x v="6"/>
    <x v="324"/>
    <x v="198"/>
  </r>
  <r>
    <n v="1099427"/>
    <x v="198"/>
    <x v="6"/>
    <x v="326"/>
    <x v="351"/>
  </r>
  <r>
    <n v="1099427"/>
    <x v="198"/>
    <x v="6"/>
    <x v="305"/>
    <x v="537"/>
  </r>
  <r>
    <n v="1099427"/>
    <x v="198"/>
    <x v="6"/>
    <x v="401"/>
    <x v="535"/>
  </r>
  <r>
    <n v="1099427"/>
    <x v="198"/>
    <x v="6"/>
    <x v="197"/>
    <x v="211"/>
  </r>
  <r>
    <n v="1099427"/>
    <x v="198"/>
    <x v="6"/>
    <x v="96"/>
    <x v="351"/>
  </r>
  <r>
    <n v="1099427"/>
    <x v="198"/>
    <x v="6"/>
    <x v="268"/>
    <x v="348"/>
  </r>
  <r>
    <n v="1099427"/>
    <x v="198"/>
    <x v="6"/>
    <x v="367"/>
    <x v="535"/>
  </r>
  <r>
    <n v="1099427"/>
    <x v="198"/>
    <x v="6"/>
    <x v="251"/>
    <x v="516"/>
  </r>
  <r>
    <n v="1099427"/>
    <x v="198"/>
    <x v="6"/>
    <x v="98"/>
    <x v="346"/>
  </r>
  <r>
    <n v="1099427"/>
    <x v="198"/>
    <x v="6"/>
    <x v="182"/>
    <x v="3"/>
  </r>
  <r>
    <n v="1099427"/>
    <x v="198"/>
    <x v="6"/>
    <x v="23"/>
    <x v="348"/>
  </r>
  <r>
    <n v="1099427"/>
    <x v="198"/>
    <x v="6"/>
    <x v="194"/>
    <x v="516"/>
  </r>
  <r>
    <n v="1099427"/>
    <x v="198"/>
    <x v="6"/>
    <x v="163"/>
    <x v="3"/>
  </r>
  <r>
    <n v="1099427"/>
    <x v="198"/>
    <x v="6"/>
    <x v="267"/>
    <x v="3"/>
  </r>
  <r>
    <n v="1099427"/>
    <x v="198"/>
    <x v="6"/>
    <x v="91"/>
    <x v="351"/>
  </r>
  <r>
    <n v="1099427"/>
    <x v="198"/>
    <x v="6"/>
    <x v="100"/>
    <x v="83"/>
  </r>
  <r>
    <n v="1099427"/>
    <x v="198"/>
    <x v="6"/>
    <x v="54"/>
    <x v="351"/>
  </r>
  <r>
    <n v="1099427"/>
    <x v="198"/>
    <x v="6"/>
    <x v="304"/>
    <x v="88"/>
  </r>
  <r>
    <n v="1099427"/>
    <x v="198"/>
    <x v="6"/>
    <x v="375"/>
    <x v="516"/>
  </r>
  <r>
    <n v="1099427"/>
    <x v="198"/>
    <x v="6"/>
    <x v="376"/>
    <x v="348"/>
  </r>
  <r>
    <n v="1099427"/>
    <x v="198"/>
    <x v="6"/>
    <x v="120"/>
    <x v="92"/>
  </r>
  <r>
    <n v="1099427"/>
    <x v="198"/>
    <x v="6"/>
    <x v="119"/>
    <x v="84"/>
  </r>
  <r>
    <n v="1099427"/>
    <x v="198"/>
    <x v="6"/>
    <x v="269"/>
    <x v="105"/>
  </r>
  <r>
    <n v="1099427"/>
    <x v="198"/>
    <x v="6"/>
    <x v="377"/>
    <x v="69"/>
  </r>
  <r>
    <n v="1099427"/>
    <x v="198"/>
    <x v="6"/>
    <x v="279"/>
    <x v="153"/>
  </r>
  <r>
    <n v="1099427"/>
    <x v="198"/>
    <x v="6"/>
    <x v="441"/>
    <x v="64"/>
  </r>
  <r>
    <n v="1099427"/>
    <x v="198"/>
    <x v="6"/>
    <x v="121"/>
    <x v="178"/>
  </r>
  <r>
    <n v="1099427"/>
    <x v="198"/>
    <x v="6"/>
    <x v="117"/>
    <x v="88"/>
  </r>
  <r>
    <n v="1099427"/>
    <x v="198"/>
    <x v="6"/>
    <x v="407"/>
    <x v="178"/>
  </r>
  <r>
    <n v="1099427"/>
    <x v="198"/>
    <x v="6"/>
    <x v="381"/>
    <x v="21"/>
  </r>
  <r>
    <n v="1099427"/>
    <x v="198"/>
    <x v="6"/>
    <x v="378"/>
    <x v="170"/>
  </r>
  <r>
    <n v="1099427"/>
    <x v="1"/>
    <x v="1"/>
    <x v="2"/>
    <x v="2"/>
  </r>
  <r>
    <n v="1099431"/>
    <x v="199"/>
    <x v="0"/>
    <x v="302"/>
    <x v="2"/>
  </r>
  <r>
    <n v="1099431"/>
    <x v="1"/>
    <x v="1"/>
    <x v="2"/>
    <x v="2"/>
  </r>
  <r>
    <n v="1099436"/>
    <x v="200"/>
    <x v="6"/>
    <x v="427"/>
    <x v="2"/>
  </r>
  <r>
    <n v="1099436"/>
    <x v="1"/>
    <x v="1"/>
    <x v="2"/>
    <x v="2"/>
  </r>
  <r>
    <n v="1099445"/>
    <x v="201"/>
    <x v="6"/>
    <x v="293"/>
    <x v="421"/>
  </r>
  <r>
    <n v="1099445"/>
    <x v="201"/>
    <x v="6"/>
    <x v="290"/>
    <x v="422"/>
  </r>
  <r>
    <n v="1099445"/>
    <x v="201"/>
    <x v="6"/>
    <x v="294"/>
    <x v="420"/>
  </r>
  <r>
    <n v="1099445"/>
    <x v="1"/>
    <x v="1"/>
    <x v="2"/>
    <x v="2"/>
  </r>
  <r>
    <n v="1099446"/>
    <x v="202"/>
    <x v="5"/>
    <x v="98"/>
    <x v="456"/>
  </r>
  <r>
    <n v="1099446"/>
    <x v="202"/>
    <x v="5"/>
    <x v="360"/>
    <x v="39"/>
  </r>
  <r>
    <n v="1099446"/>
    <x v="202"/>
    <x v="5"/>
    <x v="89"/>
    <x v="616"/>
  </r>
  <r>
    <n v="1099446"/>
    <x v="202"/>
    <x v="5"/>
    <x v="361"/>
    <x v="84"/>
  </r>
  <r>
    <n v="1099446"/>
    <x v="202"/>
    <x v="5"/>
    <x v="362"/>
    <x v="617"/>
  </r>
  <r>
    <n v="1099446"/>
    <x v="202"/>
    <x v="5"/>
    <x v="363"/>
    <x v="84"/>
  </r>
  <r>
    <n v="1099446"/>
    <x v="202"/>
    <x v="5"/>
    <x v="90"/>
    <x v="219"/>
  </r>
  <r>
    <n v="1099446"/>
    <x v="202"/>
    <x v="5"/>
    <x v="364"/>
    <x v="179"/>
  </r>
  <r>
    <n v="1099446"/>
    <x v="202"/>
    <x v="5"/>
    <x v="115"/>
    <x v="61"/>
  </r>
  <r>
    <n v="1099446"/>
    <x v="202"/>
    <x v="5"/>
    <x v="443"/>
    <x v="560"/>
  </r>
  <r>
    <n v="1099446"/>
    <x v="202"/>
    <x v="5"/>
    <x v="111"/>
    <x v="350"/>
  </r>
  <r>
    <n v="1099446"/>
    <x v="202"/>
    <x v="5"/>
    <x v="442"/>
    <x v="80"/>
  </r>
  <r>
    <n v="1099446"/>
    <x v="202"/>
    <x v="5"/>
    <x v="365"/>
    <x v="4"/>
  </r>
  <r>
    <n v="1099446"/>
    <x v="202"/>
    <x v="5"/>
    <x v="366"/>
    <x v="78"/>
  </r>
  <r>
    <n v="1099446"/>
    <x v="202"/>
    <x v="5"/>
    <x v="367"/>
    <x v="163"/>
  </r>
  <r>
    <n v="1099446"/>
    <x v="202"/>
    <x v="5"/>
    <x v="368"/>
    <x v="149"/>
  </r>
  <r>
    <n v="1099446"/>
    <x v="202"/>
    <x v="5"/>
    <x v="91"/>
    <x v="151"/>
  </r>
  <r>
    <n v="1099446"/>
    <x v="202"/>
    <x v="5"/>
    <x v="444"/>
    <x v="77"/>
  </r>
  <r>
    <n v="1099446"/>
    <x v="202"/>
    <x v="5"/>
    <x v="370"/>
    <x v="146"/>
  </r>
  <r>
    <n v="1099446"/>
    <x v="202"/>
    <x v="5"/>
    <x v="371"/>
    <x v="24"/>
  </r>
  <r>
    <n v="1099446"/>
    <x v="202"/>
    <x v="5"/>
    <x v="373"/>
    <x v="214"/>
  </r>
  <r>
    <n v="1099446"/>
    <x v="202"/>
    <x v="5"/>
    <x v="374"/>
    <x v="349"/>
  </r>
  <r>
    <n v="1099446"/>
    <x v="202"/>
    <x v="5"/>
    <x v="45"/>
    <x v="26"/>
  </r>
  <r>
    <n v="1099446"/>
    <x v="202"/>
    <x v="5"/>
    <x v="116"/>
    <x v="315"/>
  </r>
  <r>
    <n v="1099446"/>
    <x v="202"/>
    <x v="5"/>
    <x v="110"/>
    <x v="74"/>
  </r>
  <r>
    <n v="1099446"/>
    <x v="202"/>
    <x v="5"/>
    <x v="113"/>
    <x v="347"/>
  </r>
  <r>
    <n v="1099446"/>
    <x v="202"/>
    <x v="5"/>
    <x v="112"/>
    <x v="21"/>
  </r>
  <r>
    <n v="1099446"/>
    <x v="202"/>
    <x v="5"/>
    <x v="114"/>
    <x v="24"/>
  </r>
  <r>
    <n v="1099446"/>
    <x v="202"/>
    <x v="5"/>
    <x v="309"/>
    <x v="99"/>
  </r>
  <r>
    <n v="1099446"/>
    <x v="202"/>
    <x v="5"/>
    <x v="329"/>
    <x v="618"/>
  </r>
  <r>
    <n v="1099446"/>
    <x v="202"/>
    <x v="5"/>
    <x v="445"/>
    <x v="54"/>
  </r>
  <r>
    <n v="1099446"/>
    <x v="202"/>
    <x v="5"/>
    <x v="118"/>
    <x v="619"/>
  </r>
  <r>
    <n v="1099446"/>
    <x v="202"/>
    <x v="5"/>
    <x v="100"/>
    <x v="74"/>
  </r>
  <r>
    <n v="1099446"/>
    <x v="202"/>
    <x v="5"/>
    <x v="54"/>
    <x v="91"/>
  </r>
  <r>
    <n v="1099446"/>
    <x v="202"/>
    <x v="5"/>
    <x v="304"/>
    <x v="315"/>
  </r>
  <r>
    <n v="1099446"/>
    <x v="202"/>
    <x v="5"/>
    <x v="376"/>
    <x v="363"/>
  </r>
  <r>
    <n v="1099446"/>
    <x v="202"/>
    <x v="5"/>
    <x v="119"/>
    <x v="620"/>
  </r>
  <r>
    <n v="1099446"/>
    <x v="202"/>
    <x v="5"/>
    <x v="377"/>
    <x v="621"/>
  </r>
  <r>
    <n v="1099446"/>
    <x v="202"/>
    <x v="5"/>
    <x v="440"/>
    <x v="622"/>
  </r>
  <r>
    <n v="1099446"/>
    <x v="202"/>
    <x v="5"/>
    <x v="53"/>
    <x v="33"/>
  </r>
  <r>
    <n v="1099446"/>
    <x v="202"/>
    <x v="5"/>
    <x v="93"/>
    <x v="623"/>
  </r>
  <r>
    <n v="1099446"/>
    <x v="202"/>
    <x v="5"/>
    <x v="117"/>
    <x v="624"/>
  </r>
  <r>
    <n v="1099446"/>
    <x v="202"/>
    <x v="5"/>
    <x v="305"/>
    <x v="564"/>
  </r>
  <r>
    <n v="1099446"/>
    <x v="202"/>
    <x v="5"/>
    <x v="49"/>
    <x v="392"/>
  </r>
  <r>
    <n v="1099446"/>
    <x v="202"/>
    <x v="5"/>
    <x v="51"/>
    <x v="625"/>
  </r>
  <r>
    <n v="1099446"/>
    <x v="202"/>
    <x v="5"/>
    <x v="47"/>
    <x v="626"/>
  </r>
  <r>
    <n v="1099446"/>
    <x v="202"/>
    <x v="5"/>
    <x v="50"/>
    <x v="219"/>
  </r>
  <r>
    <n v="1099446"/>
    <x v="202"/>
    <x v="5"/>
    <x v="355"/>
    <x v="196"/>
  </r>
  <r>
    <n v="1099446"/>
    <x v="202"/>
    <x v="5"/>
    <x v="311"/>
    <x v="199"/>
  </r>
  <r>
    <n v="1099446"/>
    <x v="202"/>
    <x v="5"/>
    <x v="96"/>
    <x v="62"/>
  </r>
  <r>
    <n v="1099446"/>
    <x v="202"/>
    <x v="5"/>
    <x v="356"/>
    <x v="217"/>
  </r>
  <r>
    <n v="1099446"/>
    <x v="202"/>
    <x v="5"/>
    <x v="94"/>
    <x v="79"/>
  </r>
  <r>
    <n v="1099446"/>
    <x v="202"/>
    <x v="5"/>
    <x v="357"/>
    <x v="350"/>
  </r>
  <r>
    <n v="1099446"/>
    <x v="202"/>
    <x v="5"/>
    <x v="52"/>
    <x v="144"/>
  </r>
  <r>
    <n v="1099446"/>
    <x v="202"/>
    <x v="5"/>
    <x v="358"/>
    <x v="552"/>
  </r>
  <r>
    <n v="1099446"/>
    <x v="1"/>
    <x v="1"/>
    <x v="2"/>
    <x v="2"/>
  </r>
  <r>
    <n v="1099447"/>
    <x v="203"/>
    <x v="5"/>
    <x v="197"/>
    <x v="627"/>
  </r>
  <r>
    <n v="1099447"/>
    <x v="203"/>
    <x v="5"/>
    <x v="196"/>
    <x v="628"/>
  </r>
  <r>
    <n v="1099447"/>
    <x v="1"/>
    <x v="1"/>
    <x v="2"/>
    <x v="2"/>
  </r>
  <r>
    <n v="1099449"/>
    <x v="204"/>
    <x v="3"/>
    <x v="148"/>
    <x v="170"/>
  </r>
  <r>
    <n v="1099449"/>
    <x v="204"/>
    <x v="3"/>
    <x v="153"/>
    <x v="97"/>
  </r>
  <r>
    <n v="1099449"/>
    <x v="204"/>
    <x v="3"/>
    <x v="259"/>
    <x v="79"/>
  </r>
  <r>
    <n v="1099449"/>
    <x v="204"/>
    <x v="3"/>
    <x v="263"/>
    <x v="105"/>
  </r>
  <r>
    <n v="1099449"/>
    <x v="204"/>
    <x v="3"/>
    <x v="205"/>
    <x v="198"/>
  </r>
  <r>
    <n v="1099449"/>
    <x v="204"/>
    <x v="3"/>
    <x v="209"/>
    <x v="351"/>
  </r>
  <r>
    <n v="1099449"/>
    <x v="204"/>
    <x v="3"/>
    <x v="214"/>
    <x v="198"/>
  </r>
  <r>
    <n v="1099449"/>
    <x v="204"/>
    <x v="3"/>
    <x v="140"/>
    <x v="202"/>
  </r>
  <r>
    <n v="1099449"/>
    <x v="204"/>
    <x v="3"/>
    <x v="225"/>
    <x v="89"/>
  </r>
  <r>
    <n v="1099449"/>
    <x v="204"/>
    <x v="3"/>
    <x v="230"/>
    <x v="204"/>
  </r>
  <r>
    <n v="1099449"/>
    <x v="204"/>
    <x v="3"/>
    <x v="235"/>
    <x v="217"/>
  </r>
  <r>
    <n v="1099449"/>
    <x v="204"/>
    <x v="3"/>
    <x v="156"/>
    <x v="359"/>
  </r>
  <r>
    <n v="1099449"/>
    <x v="204"/>
    <x v="3"/>
    <x v="242"/>
    <x v="156"/>
  </r>
  <r>
    <n v="1099449"/>
    <x v="204"/>
    <x v="3"/>
    <x v="132"/>
    <x v="98"/>
  </r>
  <r>
    <n v="1099449"/>
    <x v="204"/>
    <x v="3"/>
    <x v="137"/>
    <x v="170"/>
  </r>
  <r>
    <n v="1099449"/>
    <x v="204"/>
    <x v="3"/>
    <x v="144"/>
    <x v="347"/>
  </r>
  <r>
    <n v="1099449"/>
    <x v="204"/>
    <x v="3"/>
    <x v="149"/>
    <x v="348"/>
  </r>
  <r>
    <n v="1099449"/>
    <x v="204"/>
    <x v="3"/>
    <x v="255"/>
    <x v="80"/>
  </r>
  <r>
    <n v="1099449"/>
    <x v="204"/>
    <x v="3"/>
    <x v="260"/>
    <x v="182"/>
  </r>
  <r>
    <n v="1099449"/>
    <x v="204"/>
    <x v="3"/>
    <x v="264"/>
    <x v="77"/>
  </r>
  <r>
    <n v="1099449"/>
    <x v="204"/>
    <x v="3"/>
    <x v="206"/>
    <x v="88"/>
  </r>
  <r>
    <n v="1099449"/>
    <x v="204"/>
    <x v="3"/>
    <x v="210"/>
    <x v="347"/>
  </r>
  <r>
    <n v="1099449"/>
    <x v="204"/>
    <x v="3"/>
    <x v="215"/>
    <x v="198"/>
  </r>
  <r>
    <n v="1099449"/>
    <x v="204"/>
    <x v="3"/>
    <x v="340"/>
    <x v="218"/>
  </r>
  <r>
    <n v="1099449"/>
    <x v="204"/>
    <x v="3"/>
    <x v="226"/>
    <x v="224"/>
  </r>
  <r>
    <n v="1099449"/>
    <x v="204"/>
    <x v="3"/>
    <x v="231"/>
    <x v="220"/>
  </r>
  <r>
    <n v="1099449"/>
    <x v="204"/>
    <x v="3"/>
    <x v="236"/>
    <x v="217"/>
  </r>
  <r>
    <n v="1099449"/>
    <x v="204"/>
    <x v="3"/>
    <x v="239"/>
    <x v="62"/>
  </r>
  <r>
    <n v="1099449"/>
    <x v="204"/>
    <x v="3"/>
    <x v="243"/>
    <x v="82"/>
  </r>
  <r>
    <n v="1099449"/>
    <x v="204"/>
    <x v="3"/>
    <x v="247"/>
    <x v="62"/>
  </r>
  <r>
    <n v="1099449"/>
    <x v="204"/>
    <x v="3"/>
    <x v="315"/>
    <x v="364"/>
  </r>
  <r>
    <n v="1099449"/>
    <x v="204"/>
    <x v="3"/>
    <x v="221"/>
    <x v="149"/>
  </r>
  <r>
    <n v="1099449"/>
    <x v="204"/>
    <x v="3"/>
    <x v="5"/>
    <x v="3"/>
  </r>
  <r>
    <n v="1099449"/>
    <x v="204"/>
    <x v="3"/>
    <x v="208"/>
    <x v="79"/>
  </r>
  <r>
    <n v="1099449"/>
    <x v="204"/>
    <x v="3"/>
    <x v="343"/>
    <x v="64"/>
  </r>
  <r>
    <n v="1099449"/>
    <x v="204"/>
    <x v="3"/>
    <x v="11"/>
    <x v="347"/>
  </r>
  <r>
    <n v="1099449"/>
    <x v="204"/>
    <x v="3"/>
    <x v="6"/>
    <x v="198"/>
  </r>
  <r>
    <n v="1099449"/>
    <x v="204"/>
    <x v="3"/>
    <x v="346"/>
    <x v="198"/>
  </r>
  <r>
    <n v="1099449"/>
    <x v="204"/>
    <x v="3"/>
    <x v="332"/>
    <x v="156"/>
  </r>
  <r>
    <n v="1099449"/>
    <x v="204"/>
    <x v="3"/>
    <x v="352"/>
    <x v="346"/>
  </r>
  <r>
    <n v="1099449"/>
    <x v="204"/>
    <x v="3"/>
    <x v="339"/>
    <x v="34"/>
  </r>
  <r>
    <n v="1099449"/>
    <x v="204"/>
    <x v="3"/>
    <x v="154"/>
    <x v="4"/>
  </r>
  <r>
    <n v="1099449"/>
    <x v="204"/>
    <x v="3"/>
    <x v="127"/>
    <x v="83"/>
  </r>
  <r>
    <n v="1099449"/>
    <x v="204"/>
    <x v="3"/>
    <x v="133"/>
    <x v="97"/>
  </r>
  <r>
    <n v="1099449"/>
    <x v="204"/>
    <x v="3"/>
    <x v="138"/>
    <x v="4"/>
  </r>
  <r>
    <n v="1099449"/>
    <x v="204"/>
    <x v="3"/>
    <x v="145"/>
    <x v="154"/>
  </r>
  <r>
    <n v="1099449"/>
    <x v="204"/>
    <x v="3"/>
    <x v="150"/>
    <x v="349"/>
  </r>
  <r>
    <n v="1099449"/>
    <x v="204"/>
    <x v="3"/>
    <x v="256"/>
    <x v="233"/>
  </r>
  <r>
    <n v="1099449"/>
    <x v="204"/>
    <x v="3"/>
    <x v="261"/>
    <x v="34"/>
  </r>
  <r>
    <n v="1099449"/>
    <x v="204"/>
    <x v="3"/>
    <x v="316"/>
    <x v="350"/>
  </r>
  <r>
    <n v="1099449"/>
    <x v="204"/>
    <x v="3"/>
    <x v="245"/>
    <x v="92"/>
  </r>
  <r>
    <n v="1099449"/>
    <x v="204"/>
    <x v="3"/>
    <x v="217"/>
    <x v="146"/>
  </r>
  <r>
    <n v="1099449"/>
    <x v="204"/>
    <x v="3"/>
    <x v="318"/>
    <x v="168"/>
  </r>
  <r>
    <n v="1099449"/>
    <x v="204"/>
    <x v="3"/>
    <x v="204"/>
    <x v="161"/>
  </r>
  <r>
    <n v="1099449"/>
    <x v="204"/>
    <x v="3"/>
    <x v="250"/>
    <x v="161"/>
  </r>
  <r>
    <n v="1099449"/>
    <x v="204"/>
    <x v="3"/>
    <x v="213"/>
    <x v="91"/>
  </r>
  <r>
    <n v="1099449"/>
    <x v="204"/>
    <x v="3"/>
    <x v="139"/>
    <x v="144"/>
  </r>
  <r>
    <n v="1099449"/>
    <x v="204"/>
    <x v="3"/>
    <x v="224"/>
    <x v="352"/>
  </r>
  <r>
    <n v="1099449"/>
    <x v="204"/>
    <x v="3"/>
    <x v="229"/>
    <x v="355"/>
  </r>
  <r>
    <n v="1099449"/>
    <x v="204"/>
    <x v="3"/>
    <x v="234"/>
    <x v="84"/>
  </r>
  <r>
    <n v="1099449"/>
    <x v="204"/>
    <x v="3"/>
    <x v="155"/>
    <x v="358"/>
  </r>
  <r>
    <n v="1099449"/>
    <x v="204"/>
    <x v="3"/>
    <x v="313"/>
    <x v="90"/>
  </r>
  <r>
    <n v="1099449"/>
    <x v="204"/>
    <x v="3"/>
    <x v="341"/>
    <x v="64"/>
  </r>
  <r>
    <n v="1099449"/>
    <x v="204"/>
    <x v="3"/>
    <x v="218"/>
    <x v="179"/>
  </r>
  <r>
    <n v="1099449"/>
    <x v="204"/>
    <x v="3"/>
    <x v="317"/>
    <x v="156"/>
  </r>
  <r>
    <n v="1099449"/>
    <x v="204"/>
    <x v="3"/>
    <x v="252"/>
    <x v="88"/>
  </r>
  <r>
    <n v="1099449"/>
    <x v="204"/>
    <x v="3"/>
    <x v="9"/>
    <x v="347"/>
  </r>
  <r>
    <n v="1099449"/>
    <x v="204"/>
    <x v="3"/>
    <x v="8"/>
    <x v="176"/>
  </r>
  <r>
    <n v="1099449"/>
    <x v="204"/>
    <x v="3"/>
    <x v="254"/>
    <x v="98"/>
  </r>
  <r>
    <n v="1099449"/>
    <x v="204"/>
    <x v="3"/>
    <x v="349"/>
    <x v="170"/>
  </r>
  <r>
    <n v="1099449"/>
    <x v="204"/>
    <x v="3"/>
    <x v="350"/>
    <x v="88"/>
  </r>
  <r>
    <n v="1099449"/>
    <x v="204"/>
    <x v="3"/>
    <x v="337"/>
    <x v="97"/>
  </r>
  <r>
    <n v="1099449"/>
    <x v="204"/>
    <x v="3"/>
    <x v="161"/>
    <x v="4"/>
  </r>
  <r>
    <n v="1099449"/>
    <x v="204"/>
    <x v="3"/>
    <x v="125"/>
    <x v="170"/>
  </r>
  <r>
    <n v="1099449"/>
    <x v="204"/>
    <x v="3"/>
    <x v="131"/>
    <x v="88"/>
  </r>
  <r>
    <n v="1099449"/>
    <x v="204"/>
    <x v="3"/>
    <x v="136"/>
    <x v="346"/>
  </r>
  <r>
    <n v="1099449"/>
    <x v="204"/>
    <x v="3"/>
    <x v="143"/>
    <x v="98"/>
  </r>
  <r>
    <n v="1099449"/>
    <x v="204"/>
    <x v="3"/>
    <x v="251"/>
    <x v="170"/>
  </r>
  <r>
    <n v="1099449"/>
    <x v="204"/>
    <x v="3"/>
    <x v="342"/>
    <x v="347"/>
  </r>
  <r>
    <n v="1099449"/>
    <x v="204"/>
    <x v="3"/>
    <x v="12"/>
    <x v="3"/>
  </r>
  <r>
    <n v="1099449"/>
    <x v="204"/>
    <x v="3"/>
    <x v="7"/>
    <x v="176"/>
  </r>
  <r>
    <n v="1099449"/>
    <x v="204"/>
    <x v="3"/>
    <x v="345"/>
    <x v="153"/>
  </r>
  <r>
    <n v="1099449"/>
    <x v="204"/>
    <x v="3"/>
    <x v="331"/>
    <x v="79"/>
  </r>
  <r>
    <n v="1099449"/>
    <x v="204"/>
    <x v="3"/>
    <x v="351"/>
    <x v="176"/>
  </r>
  <r>
    <n v="1099449"/>
    <x v="204"/>
    <x v="3"/>
    <x v="338"/>
    <x v="179"/>
  </r>
  <r>
    <n v="1099449"/>
    <x v="204"/>
    <x v="3"/>
    <x v="162"/>
    <x v="161"/>
  </r>
  <r>
    <n v="1099449"/>
    <x v="204"/>
    <x v="3"/>
    <x v="126"/>
    <x v="346"/>
  </r>
  <r>
    <n v="1099449"/>
    <x v="204"/>
    <x v="3"/>
    <x v="207"/>
    <x v="61"/>
  </r>
  <r>
    <n v="1099449"/>
    <x v="204"/>
    <x v="3"/>
    <x v="211"/>
    <x v="77"/>
  </r>
  <r>
    <n v="1099449"/>
    <x v="204"/>
    <x v="3"/>
    <x v="216"/>
    <x v="62"/>
  </r>
  <r>
    <n v="1099449"/>
    <x v="204"/>
    <x v="3"/>
    <x v="222"/>
    <x v="51"/>
  </r>
  <r>
    <n v="1099449"/>
    <x v="204"/>
    <x v="3"/>
    <x v="227"/>
    <x v="353"/>
  </r>
  <r>
    <n v="1099449"/>
    <x v="204"/>
    <x v="3"/>
    <x v="232"/>
    <x v="92"/>
  </r>
  <r>
    <n v="1099449"/>
    <x v="204"/>
    <x v="3"/>
    <x v="237"/>
    <x v="356"/>
  </r>
  <r>
    <n v="1099449"/>
    <x v="204"/>
    <x v="3"/>
    <x v="240"/>
    <x v="198"/>
  </r>
  <r>
    <n v="1099449"/>
    <x v="204"/>
    <x v="3"/>
    <x v="244"/>
    <x v="344"/>
  </r>
  <r>
    <n v="1099449"/>
    <x v="204"/>
    <x v="3"/>
    <x v="248"/>
    <x v="348"/>
  </r>
  <r>
    <n v="1099449"/>
    <x v="204"/>
    <x v="3"/>
    <x v="314"/>
    <x v="346"/>
  </r>
  <r>
    <n v="1099449"/>
    <x v="204"/>
    <x v="3"/>
    <x v="158"/>
    <x v="361"/>
  </r>
  <r>
    <n v="1099449"/>
    <x v="204"/>
    <x v="3"/>
    <x v="15"/>
    <x v="362"/>
  </r>
  <r>
    <n v="1099449"/>
    <x v="204"/>
    <x v="3"/>
    <x v="10"/>
    <x v="105"/>
  </r>
  <r>
    <n v="1099449"/>
    <x v="204"/>
    <x v="3"/>
    <x v="253"/>
    <x v="197"/>
  </r>
  <r>
    <n v="1099449"/>
    <x v="204"/>
    <x v="3"/>
    <x v="348"/>
    <x v="42"/>
  </r>
  <r>
    <n v="1099449"/>
    <x v="204"/>
    <x v="3"/>
    <x v="334"/>
    <x v="162"/>
  </r>
  <r>
    <n v="1099449"/>
    <x v="204"/>
    <x v="3"/>
    <x v="336"/>
    <x v="144"/>
  </r>
  <r>
    <n v="1099449"/>
    <x v="204"/>
    <x v="3"/>
    <x v="160"/>
    <x v="77"/>
  </r>
  <r>
    <n v="1099449"/>
    <x v="204"/>
    <x v="3"/>
    <x v="124"/>
    <x v="77"/>
  </r>
  <r>
    <n v="1099449"/>
    <x v="204"/>
    <x v="3"/>
    <x v="129"/>
    <x v="83"/>
  </r>
  <r>
    <n v="1099449"/>
    <x v="204"/>
    <x v="3"/>
    <x v="135"/>
    <x v="161"/>
  </r>
  <r>
    <n v="1099449"/>
    <x v="204"/>
    <x v="3"/>
    <x v="142"/>
    <x v="217"/>
  </r>
  <r>
    <n v="1099449"/>
    <x v="204"/>
    <x v="3"/>
    <x v="147"/>
    <x v="170"/>
  </r>
  <r>
    <n v="1099449"/>
    <x v="204"/>
    <x v="3"/>
    <x v="152"/>
    <x v="154"/>
  </r>
  <r>
    <n v="1099449"/>
    <x v="204"/>
    <x v="3"/>
    <x v="258"/>
    <x v="198"/>
  </r>
  <r>
    <n v="1099449"/>
    <x v="204"/>
    <x v="3"/>
    <x v="262"/>
    <x v="4"/>
  </r>
  <r>
    <n v="1099449"/>
    <x v="204"/>
    <x v="3"/>
    <x v="246"/>
    <x v="151"/>
  </r>
  <r>
    <n v="1099449"/>
    <x v="204"/>
    <x v="3"/>
    <x v="157"/>
    <x v="360"/>
  </r>
  <r>
    <n v="1099449"/>
    <x v="204"/>
    <x v="3"/>
    <x v="14"/>
    <x v="202"/>
  </r>
  <r>
    <n v="1099449"/>
    <x v="204"/>
    <x v="3"/>
    <x v="344"/>
    <x v="179"/>
  </r>
  <r>
    <n v="1099449"/>
    <x v="204"/>
    <x v="3"/>
    <x v="13"/>
    <x v="170"/>
  </r>
  <r>
    <n v="1099449"/>
    <x v="204"/>
    <x v="3"/>
    <x v="347"/>
    <x v="42"/>
  </r>
  <r>
    <n v="1099449"/>
    <x v="204"/>
    <x v="3"/>
    <x v="333"/>
    <x v="42"/>
  </r>
  <r>
    <n v="1099449"/>
    <x v="204"/>
    <x v="3"/>
    <x v="335"/>
    <x v="97"/>
  </r>
  <r>
    <n v="1099449"/>
    <x v="204"/>
    <x v="3"/>
    <x v="159"/>
    <x v="178"/>
  </r>
  <r>
    <n v="1099449"/>
    <x v="204"/>
    <x v="3"/>
    <x v="163"/>
    <x v="178"/>
  </r>
  <r>
    <n v="1099449"/>
    <x v="204"/>
    <x v="3"/>
    <x v="128"/>
    <x v="42"/>
  </r>
  <r>
    <n v="1099449"/>
    <x v="204"/>
    <x v="3"/>
    <x v="134"/>
    <x v="144"/>
  </r>
  <r>
    <n v="1099449"/>
    <x v="204"/>
    <x v="3"/>
    <x v="141"/>
    <x v="77"/>
  </r>
  <r>
    <n v="1099449"/>
    <x v="204"/>
    <x v="3"/>
    <x v="146"/>
    <x v="83"/>
  </r>
  <r>
    <n v="1099449"/>
    <x v="204"/>
    <x v="3"/>
    <x v="151"/>
    <x v="204"/>
  </r>
  <r>
    <n v="1099449"/>
    <x v="204"/>
    <x v="3"/>
    <x v="257"/>
    <x v="149"/>
  </r>
  <r>
    <n v="1099449"/>
    <x v="204"/>
    <x v="3"/>
    <x v="219"/>
    <x v="363"/>
  </r>
  <r>
    <n v="1099449"/>
    <x v="204"/>
    <x v="3"/>
    <x v="220"/>
    <x v="144"/>
  </r>
  <r>
    <n v="1099449"/>
    <x v="204"/>
    <x v="3"/>
    <x v="249"/>
    <x v="78"/>
  </r>
  <r>
    <n v="1099449"/>
    <x v="204"/>
    <x v="3"/>
    <x v="265"/>
    <x v="198"/>
  </r>
  <r>
    <n v="1099449"/>
    <x v="204"/>
    <x v="3"/>
    <x v="212"/>
    <x v="84"/>
  </r>
  <r>
    <n v="1099449"/>
    <x v="204"/>
    <x v="3"/>
    <x v="130"/>
    <x v="97"/>
  </r>
  <r>
    <n v="1099449"/>
    <x v="204"/>
    <x v="3"/>
    <x v="223"/>
    <x v="3"/>
  </r>
  <r>
    <n v="1099449"/>
    <x v="204"/>
    <x v="3"/>
    <x v="228"/>
    <x v="354"/>
  </r>
  <r>
    <n v="1099449"/>
    <x v="204"/>
    <x v="3"/>
    <x v="233"/>
    <x v="344"/>
  </r>
  <r>
    <n v="1099449"/>
    <x v="204"/>
    <x v="3"/>
    <x v="238"/>
    <x v="357"/>
  </r>
  <r>
    <n v="1099449"/>
    <x v="204"/>
    <x v="3"/>
    <x v="241"/>
    <x v="144"/>
  </r>
  <r>
    <n v="1099449"/>
    <x v="1"/>
    <x v="1"/>
    <x v="2"/>
    <x v="2"/>
  </r>
  <r>
    <n v="1099455"/>
    <x v="205"/>
    <x v="2"/>
    <x v="203"/>
    <x v="448"/>
  </r>
  <r>
    <n v="1099455"/>
    <x v="205"/>
    <x v="2"/>
    <x v="419"/>
    <x v="403"/>
  </r>
  <r>
    <n v="1099455"/>
    <x v="205"/>
    <x v="2"/>
    <x v="424"/>
    <x v="231"/>
  </r>
  <r>
    <n v="1099455"/>
    <x v="205"/>
    <x v="2"/>
    <x v="4"/>
    <x v="3"/>
  </r>
  <r>
    <n v="1099455"/>
    <x v="205"/>
    <x v="2"/>
    <x v="390"/>
    <x v="629"/>
  </r>
  <r>
    <n v="1099455"/>
    <x v="205"/>
    <x v="2"/>
    <x v="388"/>
    <x v="313"/>
  </r>
  <r>
    <n v="1099455"/>
    <x v="205"/>
    <x v="2"/>
    <x v="200"/>
    <x v="630"/>
  </r>
  <r>
    <n v="1099455"/>
    <x v="205"/>
    <x v="2"/>
    <x v="202"/>
    <x v="631"/>
  </r>
  <r>
    <n v="1099455"/>
    <x v="205"/>
    <x v="2"/>
    <x v="199"/>
    <x v="632"/>
  </r>
  <r>
    <n v="1099455"/>
    <x v="205"/>
    <x v="2"/>
    <x v="389"/>
    <x v="633"/>
  </r>
  <r>
    <n v="1099455"/>
    <x v="205"/>
    <x v="2"/>
    <x v="387"/>
    <x v="634"/>
  </r>
  <r>
    <n v="1099455"/>
    <x v="205"/>
    <x v="2"/>
    <x v="425"/>
    <x v="231"/>
  </r>
  <r>
    <n v="1099455"/>
    <x v="205"/>
    <x v="2"/>
    <x v="420"/>
    <x v="635"/>
  </r>
  <r>
    <n v="1099455"/>
    <x v="205"/>
    <x v="2"/>
    <x v="418"/>
    <x v="636"/>
  </r>
  <r>
    <n v="1099455"/>
    <x v="205"/>
    <x v="2"/>
    <x v="201"/>
    <x v="181"/>
  </r>
  <r>
    <n v="1099455"/>
    <x v="205"/>
    <x v="2"/>
    <x v="3"/>
    <x v="637"/>
  </r>
  <r>
    <n v="1099455"/>
    <x v="1"/>
    <x v="1"/>
    <x v="2"/>
    <x v="2"/>
  </r>
  <r>
    <n v="1099458"/>
    <x v="206"/>
    <x v="5"/>
    <x v="286"/>
    <x v="302"/>
  </r>
  <r>
    <n v="1099458"/>
    <x v="206"/>
    <x v="5"/>
    <x v="278"/>
    <x v="303"/>
  </r>
  <r>
    <n v="1099458"/>
    <x v="206"/>
    <x v="5"/>
    <x v="284"/>
    <x v="301"/>
  </r>
  <r>
    <n v="1099458"/>
    <x v="1"/>
    <x v="1"/>
    <x v="2"/>
    <x v="2"/>
  </r>
  <r>
    <n v="1099460"/>
    <x v="207"/>
    <x v="6"/>
    <x v="292"/>
    <x v="280"/>
  </r>
  <r>
    <n v="1099460"/>
    <x v="207"/>
    <x v="6"/>
    <x v="295"/>
    <x v="278"/>
  </r>
  <r>
    <n v="1099460"/>
    <x v="207"/>
    <x v="6"/>
    <x v="291"/>
    <x v="279"/>
  </r>
  <r>
    <n v="1099460"/>
    <x v="207"/>
    <x v="6"/>
    <x v="297"/>
    <x v="275"/>
  </r>
  <r>
    <n v="1099460"/>
    <x v="207"/>
    <x v="6"/>
    <x v="296"/>
    <x v="276"/>
  </r>
  <r>
    <n v="1099460"/>
    <x v="207"/>
    <x v="6"/>
    <x v="298"/>
    <x v="277"/>
  </r>
  <r>
    <n v="1099460"/>
    <x v="1"/>
    <x v="1"/>
    <x v="2"/>
    <x v="2"/>
  </r>
  <r>
    <n v="1099464"/>
    <x v="208"/>
    <x v="2"/>
    <x v="55"/>
    <x v="37"/>
  </r>
  <r>
    <n v="1099464"/>
    <x v="208"/>
    <x v="2"/>
    <x v="67"/>
    <x v="608"/>
  </r>
  <r>
    <n v="1099464"/>
    <x v="208"/>
    <x v="2"/>
    <x v="69"/>
    <x v="607"/>
  </r>
  <r>
    <n v="1099464"/>
    <x v="208"/>
    <x v="2"/>
    <x v="80"/>
    <x v="609"/>
  </r>
  <r>
    <n v="1099464"/>
    <x v="208"/>
    <x v="2"/>
    <x v="57"/>
    <x v="610"/>
  </r>
  <r>
    <n v="1099464"/>
    <x v="208"/>
    <x v="2"/>
    <x v="73"/>
    <x v="163"/>
  </r>
  <r>
    <n v="1099464"/>
    <x v="1"/>
    <x v="1"/>
    <x v="2"/>
    <x v="2"/>
  </r>
  <r>
    <n v="1099465"/>
    <x v="209"/>
    <x v="6"/>
    <x v="288"/>
    <x v="260"/>
  </r>
  <r>
    <n v="1099465"/>
    <x v="209"/>
    <x v="6"/>
    <x v="287"/>
    <x v="259"/>
  </r>
  <r>
    <n v="1099465"/>
    <x v="209"/>
    <x v="6"/>
    <x v="289"/>
    <x v="261"/>
  </r>
  <r>
    <n v="1099465"/>
    <x v="1"/>
    <x v="1"/>
    <x v="2"/>
    <x v="2"/>
  </r>
  <r>
    <n v="1099467"/>
    <x v="210"/>
    <x v="2"/>
    <x v="82"/>
    <x v="185"/>
  </r>
  <r>
    <n v="1099467"/>
    <x v="210"/>
    <x v="2"/>
    <x v="77"/>
    <x v="184"/>
  </r>
  <r>
    <n v="1099467"/>
    <x v="210"/>
    <x v="2"/>
    <x v="78"/>
    <x v="183"/>
  </r>
  <r>
    <n v="1099467"/>
    <x v="1"/>
    <x v="1"/>
    <x v="2"/>
    <x v="2"/>
  </r>
  <r>
    <n v="1099500"/>
    <x v="211"/>
    <x v="13"/>
    <x v="383"/>
    <x v="500"/>
  </r>
  <r>
    <n v="1099500"/>
    <x v="211"/>
    <x v="13"/>
    <x v="385"/>
    <x v="508"/>
  </r>
  <r>
    <n v="1099500"/>
    <x v="1"/>
    <x v="1"/>
    <x v="2"/>
    <x v="2"/>
  </r>
  <r>
    <n v="1099503"/>
    <x v="212"/>
    <x v="13"/>
    <x v="167"/>
    <x v="2"/>
  </r>
  <r>
    <n v="1099503"/>
    <x v="1"/>
    <x v="1"/>
    <x v="2"/>
    <x v="2"/>
  </r>
  <r>
    <n v="1099519"/>
    <x v="213"/>
    <x v="2"/>
    <x v="69"/>
    <x v="571"/>
  </r>
  <r>
    <n v="1099519"/>
    <x v="213"/>
    <x v="2"/>
    <x v="80"/>
    <x v="126"/>
  </r>
  <r>
    <n v="1099519"/>
    <x v="213"/>
    <x v="2"/>
    <x v="73"/>
    <x v="198"/>
  </r>
  <r>
    <n v="1099519"/>
    <x v="213"/>
    <x v="2"/>
    <x v="3"/>
    <x v="92"/>
  </r>
  <r>
    <n v="1099519"/>
    <x v="213"/>
    <x v="2"/>
    <x v="439"/>
    <x v="392"/>
  </r>
  <r>
    <n v="1099519"/>
    <x v="213"/>
    <x v="2"/>
    <x v="76"/>
    <x v="168"/>
  </r>
  <r>
    <n v="1099519"/>
    <x v="213"/>
    <x v="2"/>
    <x v="67"/>
    <x v="61"/>
  </r>
  <r>
    <n v="1099519"/>
    <x v="213"/>
    <x v="2"/>
    <x v="72"/>
    <x v="574"/>
  </r>
  <r>
    <n v="1099519"/>
    <x v="213"/>
    <x v="2"/>
    <x v="81"/>
    <x v="550"/>
  </r>
  <r>
    <n v="1099519"/>
    <x v="213"/>
    <x v="2"/>
    <x v="4"/>
    <x v="3"/>
  </r>
  <r>
    <n v="1099519"/>
    <x v="213"/>
    <x v="2"/>
    <x v="64"/>
    <x v="575"/>
  </r>
  <r>
    <n v="1099519"/>
    <x v="213"/>
    <x v="2"/>
    <x v="390"/>
    <x v="57"/>
  </r>
  <r>
    <n v="1099519"/>
    <x v="213"/>
    <x v="2"/>
    <x v="418"/>
    <x v="576"/>
  </r>
  <r>
    <n v="1099519"/>
    <x v="213"/>
    <x v="2"/>
    <x v="82"/>
    <x v="176"/>
  </r>
  <r>
    <n v="1099519"/>
    <x v="213"/>
    <x v="2"/>
    <x v="77"/>
    <x v="577"/>
  </r>
  <r>
    <n v="1099519"/>
    <x v="213"/>
    <x v="2"/>
    <x v="78"/>
    <x v="578"/>
  </r>
  <r>
    <n v="1099519"/>
    <x v="213"/>
    <x v="2"/>
    <x v="83"/>
    <x v="4"/>
  </r>
  <r>
    <n v="1099519"/>
    <x v="213"/>
    <x v="2"/>
    <x v="59"/>
    <x v="230"/>
  </r>
  <r>
    <n v="1099519"/>
    <x v="213"/>
    <x v="2"/>
    <x v="200"/>
    <x v="114"/>
  </r>
  <r>
    <n v="1099519"/>
    <x v="213"/>
    <x v="2"/>
    <x v="203"/>
    <x v="568"/>
  </r>
  <r>
    <n v="1099519"/>
    <x v="213"/>
    <x v="2"/>
    <x v="202"/>
    <x v="579"/>
  </r>
  <r>
    <n v="1099519"/>
    <x v="213"/>
    <x v="2"/>
    <x v="66"/>
    <x v="168"/>
  </r>
  <r>
    <n v="1099519"/>
    <x v="213"/>
    <x v="2"/>
    <x v="68"/>
    <x v="182"/>
  </r>
  <r>
    <n v="1099519"/>
    <x v="213"/>
    <x v="2"/>
    <x v="60"/>
    <x v="117"/>
  </r>
  <r>
    <n v="1099519"/>
    <x v="213"/>
    <x v="2"/>
    <x v="75"/>
    <x v="217"/>
  </r>
  <r>
    <n v="1099519"/>
    <x v="213"/>
    <x v="2"/>
    <x v="71"/>
    <x v="202"/>
  </r>
  <r>
    <n v="1099519"/>
    <x v="213"/>
    <x v="2"/>
    <x v="74"/>
    <x v="163"/>
  </r>
  <r>
    <n v="1099519"/>
    <x v="213"/>
    <x v="2"/>
    <x v="62"/>
    <x v="77"/>
  </r>
  <r>
    <n v="1099519"/>
    <x v="213"/>
    <x v="2"/>
    <x v="70"/>
    <x v="98"/>
  </r>
  <r>
    <n v="1099519"/>
    <x v="213"/>
    <x v="2"/>
    <x v="58"/>
    <x v="54"/>
  </r>
  <r>
    <n v="1099519"/>
    <x v="213"/>
    <x v="2"/>
    <x v="79"/>
    <x v="339"/>
  </r>
  <r>
    <n v="1099519"/>
    <x v="213"/>
    <x v="2"/>
    <x v="56"/>
    <x v="569"/>
  </r>
  <r>
    <n v="1099519"/>
    <x v="213"/>
    <x v="2"/>
    <x v="201"/>
    <x v="164"/>
  </r>
  <r>
    <n v="1099519"/>
    <x v="213"/>
    <x v="2"/>
    <x v="199"/>
    <x v="570"/>
  </r>
  <r>
    <n v="1099519"/>
    <x v="213"/>
    <x v="2"/>
    <x v="419"/>
    <x v="99"/>
  </r>
  <r>
    <n v="1099519"/>
    <x v="213"/>
    <x v="2"/>
    <x v="420"/>
    <x v="573"/>
  </r>
  <r>
    <n v="1099519"/>
    <x v="213"/>
    <x v="2"/>
    <x v="389"/>
    <x v="93"/>
  </r>
  <r>
    <n v="1099519"/>
    <x v="213"/>
    <x v="2"/>
    <x v="387"/>
    <x v="142"/>
  </r>
  <r>
    <n v="1099519"/>
    <x v="213"/>
    <x v="2"/>
    <x v="424"/>
    <x v="97"/>
  </r>
  <r>
    <n v="1099519"/>
    <x v="213"/>
    <x v="2"/>
    <x v="425"/>
    <x v="97"/>
  </r>
  <r>
    <n v="1099519"/>
    <x v="213"/>
    <x v="2"/>
    <x v="84"/>
    <x v="168"/>
  </r>
  <r>
    <n v="1099519"/>
    <x v="213"/>
    <x v="2"/>
    <x v="388"/>
    <x v="207"/>
  </r>
  <r>
    <n v="1099519"/>
    <x v="213"/>
    <x v="2"/>
    <x v="65"/>
    <x v="170"/>
  </r>
  <r>
    <n v="1099519"/>
    <x v="213"/>
    <x v="2"/>
    <x v="63"/>
    <x v="88"/>
  </r>
  <r>
    <n v="1099519"/>
    <x v="213"/>
    <x v="2"/>
    <x v="57"/>
    <x v="572"/>
  </r>
  <r>
    <n v="1099519"/>
    <x v="213"/>
    <x v="2"/>
    <x v="61"/>
    <x v="41"/>
  </r>
  <r>
    <n v="1099519"/>
    <x v="213"/>
    <x v="2"/>
    <x v="438"/>
    <x v="176"/>
  </r>
  <r>
    <n v="1099519"/>
    <x v="213"/>
    <x v="2"/>
    <x v="55"/>
    <x v="154"/>
  </r>
  <r>
    <n v="1099519"/>
    <x v="1"/>
    <x v="1"/>
    <x v="2"/>
    <x v="2"/>
  </r>
  <r>
    <n v="1099521"/>
    <x v="214"/>
    <x v="2"/>
    <x v="3"/>
    <x v="2"/>
  </r>
  <r>
    <n v="1099521"/>
    <x v="214"/>
    <x v="2"/>
    <x v="4"/>
    <x v="3"/>
  </r>
  <r>
    <n v="1099521"/>
    <x v="1"/>
    <x v="1"/>
    <x v="2"/>
    <x v="2"/>
  </r>
  <r>
    <n v="1099528"/>
    <x v="215"/>
    <x v="5"/>
    <x v="89"/>
    <x v="638"/>
  </r>
  <r>
    <n v="1099528"/>
    <x v="215"/>
    <x v="5"/>
    <x v="90"/>
    <x v="639"/>
  </r>
  <r>
    <n v="1099528"/>
    <x v="215"/>
    <x v="5"/>
    <x v="97"/>
    <x v="640"/>
  </r>
  <r>
    <n v="1099528"/>
    <x v="1"/>
    <x v="1"/>
    <x v="2"/>
    <x v="2"/>
  </r>
  <r>
    <n v="1099532"/>
    <x v="216"/>
    <x v="0"/>
    <x v="29"/>
    <x v="641"/>
  </r>
  <r>
    <n v="1099532"/>
    <x v="216"/>
    <x v="0"/>
    <x v="42"/>
    <x v="642"/>
  </r>
  <r>
    <n v="1099532"/>
    <x v="216"/>
    <x v="0"/>
    <x v="25"/>
    <x v="643"/>
  </r>
  <r>
    <n v="1099532"/>
    <x v="216"/>
    <x v="0"/>
    <x v="32"/>
    <x v="644"/>
  </r>
  <r>
    <n v="1099532"/>
    <x v="1"/>
    <x v="1"/>
    <x v="2"/>
    <x v="2"/>
  </r>
  <r>
    <n v="1099533"/>
    <x v="217"/>
    <x v="9"/>
    <x v="319"/>
    <x v="645"/>
  </r>
  <r>
    <n v="1099533"/>
    <x v="217"/>
    <x v="9"/>
    <x v="323"/>
    <x v="646"/>
  </r>
  <r>
    <n v="1099533"/>
    <x v="217"/>
    <x v="9"/>
    <x v="322"/>
    <x v="647"/>
  </r>
  <r>
    <n v="1099533"/>
    <x v="1"/>
    <x v="1"/>
    <x v="2"/>
    <x v="2"/>
  </r>
  <r>
    <n v="1099535"/>
    <x v="218"/>
    <x v="5"/>
    <x v="377"/>
    <x v="606"/>
  </r>
  <r>
    <n v="1099535"/>
    <x v="218"/>
    <x v="5"/>
    <x v="356"/>
    <x v="343"/>
  </r>
  <r>
    <n v="1099535"/>
    <x v="1"/>
    <x v="1"/>
    <x v="2"/>
    <x v="2"/>
  </r>
  <r>
    <n v="1099538"/>
    <x v="219"/>
    <x v="6"/>
    <x v="353"/>
    <x v="2"/>
  </r>
  <r>
    <n v="1099538"/>
    <x v="1"/>
    <x v="1"/>
    <x v="2"/>
    <x v="2"/>
  </r>
  <r>
    <n v="1099542"/>
    <x v="220"/>
    <x v="2"/>
    <x v="419"/>
    <x v="491"/>
  </r>
  <r>
    <n v="1099542"/>
    <x v="220"/>
    <x v="2"/>
    <x v="420"/>
    <x v="492"/>
  </r>
  <r>
    <n v="1099542"/>
    <x v="1"/>
    <x v="1"/>
    <x v="2"/>
    <x v="2"/>
  </r>
  <r>
    <n v="1099543"/>
    <x v="221"/>
    <x v="2"/>
    <x v="276"/>
    <x v="2"/>
  </r>
  <r>
    <n v="1099543"/>
    <x v="1"/>
    <x v="1"/>
    <x v="2"/>
    <x v="2"/>
  </r>
  <r>
    <n v="1099545"/>
    <x v="222"/>
    <x v="7"/>
    <x v="321"/>
    <x v="648"/>
  </r>
  <r>
    <n v="1099545"/>
    <x v="222"/>
    <x v="7"/>
    <x v="326"/>
    <x v="459"/>
  </r>
  <r>
    <n v="1099545"/>
    <x v="222"/>
    <x v="7"/>
    <x v="325"/>
    <x v="649"/>
  </r>
  <r>
    <n v="1099545"/>
    <x v="222"/>
    <x v="7"/>
    <x v="324"/>
    <x v="194"/>
  </r>
  <r>
    <n v="1099545"/>
    <x v="222"/>
    <x v="7"/>
    <x v="108"/>
    <x v="650"/>
  </r>
  <r>
    <n v="1099545"/>
    <x v="222"/>
    <x v="7"/>
    <x v="109"/>
    <x v="651"/>
  </r>
  <r>
    <n v="1099545"/>
    <x v="1"/>
    <x v="1"/>
    <x v="2"/>
    <x v="2"/>
  </r>
  <r>
    <n v="1099548"/>
    <x v="223"/>
    <x v="6"/>
    <x v="167"/>
    <x v="2"/>
  </r>
  <r>
    <n v="1099548"/>
    <x v="1"/>
    <x v="1"/>
    <x v="2"/>
    <x v="2"/>
  </r>
  <r>
    <n v="1099555"/>
    <x v="224"/>
    <x v="6"/>
    <x v="105"/>
    <x v="127"/>
  </r>
  <r>
    <n v="1099555"/>
    <x v="224"/>
    <x v="6"/>
    <x v="103"/>
    <x v="126"/>
  </r>
  <r>
    <n v="1099555"/>
    <x v="224"/>
    <x v="6"/>
    <x v="104"/>
    <x v="126"/>
  </r>
  <r>
    <n v="1099555"/>
    <x v="224"/>
    <x v="6"/>
    <x v="106"/>
    <x v="128"/>
  </r>
  <r>
    <n v="1099555"/>
    <x v="224"/>
    <x v="6"/>
    <x v="101"/>
    <x v="124"/>
  </r>
  <r>
    <n v="1099555"/>
    <x v="224"/>
    <x v="6"/>
    <x v="102"/>
    <x v="125"/>
  </r>
  <r>
    <n v="1099555"/>
    <x v="224"/>
    <x v="6"/>
    <x v="107"/>
    <x v="129"/>
  </r>
  <r>
    <n v="1099555"/>
    <x v="1"/>
    <x v="1"/>
    <x v="2"/>
    <x v="2"/>
  </r>
  <r>
    <n v="1099558"/>
    <x v="225"/>
    <x v="5"/>
    <x v="276"/>
    <x v="2"/>
  </r>
  <r>
    <n v="1099558"/>
    <x v="1"/>
    <x v="1"/>
    <x v="2"/>
    <x v="2"/>
  </r>
  <r>
    <n v="1099559"/>
    <x v="226"/>
    <x v="3"/>
    <x v="160"/>
    <x v="162"/>
  </r>
  <r>
    <n v="1099559"/>
    <x v="226"/>
    <x v="3"/>
    <x v="149"/>
    <x v="154"/>
  </r>
  <r>
    <n v="1099559"/>
    <x v="226"/>
    <x v="3"/>
    <x v="136"/>
    <x v="82"/>
  </r>
  <r>
    <n v="1099559"/>
    <x v="226"/>
    <x v="3"/>
    <x v="128"/>
    <x v="92"/>
  </r>
  <r>
    <n v="1099559"/>
    <x v="226"/>
    <x v="3"/>
    <x v="154"/>
    <x v="149"/>
  </r>
  <r>
    <n v="1099559"/>
    <x v="226"/>
    <x v="3"/>
    <x v="155"/>
    <x v="157"/>
  </r>
  <r>
    <n v="1099559"/>
    <x v="226"/>
    <x v="3"/>
    <x v="147"/>
    <x v="24"/>
  </r>
  <r>
    <n v="1099559"/>
    <x v="226"/>
    <x v="3"/>
    <x v="137"/>
    <x v="79"/>
  </r>
  <r>
    <n v="1099559"/>
    <x v="226"/>
    <x v="3"/>
    <x v="157"/>
    <x v="159"/>
  </r>
  <r>
    <n v="1099559"/>
    <x v="226"/>
    <x v="3"/>
    <x v="148"/>
    <x v="144"/>
  </r>
  <r>
    <n v="1099559"/>
    <x v="226"/>
    <x v="3"/>
    <x v="135"/>
    <x v="64"/>
  </r>
  <r>
    <n v="1099559"/>
    <x v="226"/>
    <x v="3"/>
    <x v="127"/>
    <x v="97"/>
  </r>
  <r>
    <n v="1099559"/>
    <x v="226"/>
    <x v="3"/>
    <x v="162"/>
    <x v="164"/>
  </r>
  <r>
    <n v="1099559"/>
    <x v="226"/>
    <x v="3"/>
    <x v="139"/>
    <x v="37"/>
  </r>
  <r>
    <n v="1099559"/>
    <x v="226"/>
    <x v="3"/>
    <x v="145"/>
    <x v="153"/>
  </r>
  <r>
    <n v="1099559"/>
    <x v="226"/>
    <x v="3"/>
    <x v="126"/>
    <x v="82"/>
  </r>
  <r>
    <n v="1099559"/>
    <x v="226"/>
    <x v="3"/>
    <x v="131"/>
    <x v="34"/>
  </r>
  <r>
    <n v="1099559"/>
    <x v="226"/>
    <x v="3"/>
    <x v="130"/>
    <x v="145"/>
  </r>
  <r>
    <n v="1099559"/>
    <x v="226"/>
    <x v="3"/>
    <x v="144"/>
    <x v="84"/>
  </r>
  <r>
    <n v="1099559"/>
    <x v="226"/>
    <x v="3"/>
    <x v="133"/>
    <x v="147"/>
  </r>
  <r>
    <n v="1099559"/>
    <x v="226"/>
    <x v="3"/>
    <x v="124"/>
    <x v="62"/>
  </r>
  <r>
    <n v="1099559"/>
    <x v="226"/>
    <x v="3"/>
    <x v="158"/>
    <x v="160"/>
  </r>
  <r>
    <n v="1099559"/>
    <x v="226"/>
    <x v="3"/>
    <x v="151"/>
    <x v="35"/>
  </r>
  <r>
    <n v="1099559"/>
    <x v="226"/>
    <x v="3"/>
    <x v="142"/>
    <x v="152"/>
  </r>
  <r>
    <n v="1099559"/>
    <x v="226"/>
    <x v="3"/>
    <x v="140"/>
    <x v="150"/>
  </r>
  <r>
    <n v="1099559"/>
    <x v="226"/>
    <x v="3"/>
    <x v="146"/>
    <x v="78"/>
  </r>
  <r>
    <n v="1099559"/>
    <x v="226"/>
    <x v="3"/>
    <x v="134"/>
    <x v="148"/>
  </r>
  <r>
    <n v="1099559"/>
    <x v="226"/>
    <x v="3"/>
    <x v="125"/>
    <x v="144"/>
  </r>
  <r>
    <n v="1099559"/>
    <x v="226"/>
    <x v="3"/>
    <x v="159"/>
    <x v="161"/>
  </r>
  <r>
    <n v="1099559"/>
    <x v="226"/>
    <x v="3"/>
    <x v="153"/>
    <x v="147"/>
  </r>
  <r>
    <n v="1099559"/>
    <x v="226"/>
    <x v="3"/>
    <x v="143"/>
    <x v="91"/>
  </r>
  <r>
    <n v="1099559"/>
    <x v="226"/>
    <x v="3"/>
    <x v="129"/>
    <x v="42"/>
  </r>
  <r>
    <n v="1099559"/>
    <x v="226"/>
    <x v="3"/>
    <x v="161"/>
    <x v="163"/>
  </r>
  <r>
    <n v="1099559"/>
    <x v="226"/>
    <x v="3"/>
    <x v="152"/>
    <x v="156"/>
  </r>
  <r>
    <n v="1099559"/>
    <x v="226"/>
    <x v="3"/>
    <x v="138"/>
    <x v="149"/>
  </r>
  <r>
    <n v="1099559"/>
    <x v="226"/>
    <x v="3"/>
    <x v="132"/>
    <x v="146"/>
  </r>
  <r>
    <n v="1099559"/>
    <x v="226"/>
    <x v="3"/>
    <x v="163"/>
    <x v="83"/>
  </r>
  <r>
    <n v="1099559"/>
    <x v="226"/>
    <x v="3"/>
    <x v="156"/>
    <x v="158"/>
  </r>
  <r>
    <n v="1099559"/>
    <x v="226"/>
    <x v="3"/>
    <x v="150"/>
    <x v="155"/>
  </r>
  <r>
    <n v="1099559"/>
    <x v="226"/>
    <x v="3"/>
    <x v="141"/>
    <x v="151"/>
  </r>
  <r>
    <n v="1099559"/>
    <x v="1"/>
    <x v="1"/>
    <x v="2"/>
    <x v="2"/>
  </r>
  <r>
    <n v="1099560"/>
    <x v="227"/>
    <x v="5"/>
    <x v="267"/>
    <x v="3"/>
  </r>
  <r>
    <n v="1099560"/>
    <x v="227"/>
    <x v="5"/>
    <x v="270"/>
    <x v="242"/>
  </r>
  <r>
    <n v="1099560"/>
    <x v="227"/>
    <x v="5"/>
    <x v="268"/>
    <x v="240"/>
  </r>
  <r>
    <n v="1099560"/>
    <x v="227"/>
    <x v="5"/>
    <x v="271"/>
    <x v="243"/>
  </r>
  <r>
    <n v="1099560"/>
    <x v="227"/>
    <x v="5"/>
    <x v="266"/>
    <x v="239"/>
  </r>
  <r>
    <n v="1099560"/>
    <x v="227"/>
    <x v="5"/>
    <x v="269"/>
    <x v="241"/>
  </r>
  <r>
    <n v="1099560"/>
    <x v="1"/>
    <x v="1"/>
    <x v="2"/>
    <x v="2"/>
  </r>
  <r>
    <n v="1099562"/>
    <x v="228"/>
    <x v="5"/>
    <x v="442"/>
    <x v="593"/>
  </r>
  <r>
    <n v="1099562"/>
    <x v="228"/>
    <x v="5"/>
    <x v="440"/>
    <x v="591"/>
  </r>
  <r>
    <n v="1099562"/>
    <x v="228"/>
    <x v="5"/>
    <x v="443"/>
    <x v="594"/>
  </r>
  <r>
    <n v="1099562"/>
    <x v="228"/>
    <x v="5"/>
    <x v="444"/>
    <x v="548"/>
  </r>
  <r>
    <n v="1099562"/>
    <x v="228"/>
    <x v="5"/>
    <x v="445"/>
    <x v="595"/>
  </r>
  <r>
    <n v="1099562"/>
    <x v="228"/>
    <x v="5"/>
    <x v="441"/>
    <x v="592"/>
  </r>
  <r>
    <n v="1099562"/>
    <x v="1"/>
    <x v="1"/>
    <x v="2"/>
    <x v="2"/>
  </r>
  <r>
    <n v="1099566"/>
    <x v="229"/>
    <x v="5"/>
    <x v="361"/>
    <x v="652"/>
  </r>
  <r>
    <n v="1099566"/>
    <x v="229"/>
    <x v="5"/>
    <x v="362"/>
    <x v="653"/>
  </r>
  <r>
    <n v="1099566"/>
    <x v="229"/>
    <x v="5"/>
    <x v="366"/>
    <x v="654"/>
  </r>
  <r>
    <n v="1099566"/>
    <x v="229"/>
    <x v="5"/>
    <x v="358"/>
    <x v="655"/>
  </r>
  <r>
    <n v="1099566"/>
    <x v="229"/>
    <x v="5"/>
    <x v="357"/>
    <x v="656"/>
  </r>
  <r>
    <n v="1099566"/>
    <x v="229"/>
    <x v="5"/>
    <x v="364"/>
    <x v="657"/>
  </r>
  <r>
    <n v="1099566"/>
    <x v="1"/>
    <x v="1"/>
    <x v="2"/>
    <x v="2"/>
  </r>
  <r>
    <n v="1099571"/>
    <x v="230"/>
    <x v="2"/>
    <x v="67"/>
    <x v="35"/>
  </r>
  <r>
    <n v="1099571"/>
    <x v="230"/>
    <x v="2"/>
    <x v="59"/>
    <x v="521"/>
  </r>
  <r>
    <n v="1099571"/>
    <x v="230"/>
    <x v="2"/>
    <x v="81"/>
    <x v="477"/>
  </r>
  <r>
    <n v="1099571"/>
    <x v="230"/>
    <x v="2"/>
    <x v="80"/>
    <x v="523"/>
  </r>
  <r>
    <n v="1099571"/>
    <x v="230"/>
    <x v="2"/>
    <x v="69"/>
    <x v="525"/>
  </r>
  <r>
    <n v="1099571"/>
    <x v="230"/>
    <x v="2"/>
    <x v="73"/>
    <x v="347"/>
  </r>
  <r>
    <n v="1099571"/>
    <x v="230"/>
    <x v="2"/>
    <x v="64"/>
    <x v="524"/>
  </r>
  <r>
    <n v="1099571"/>
    <x v="230"/>
    <x v="2"/>
    <x v="57"/>
    <x v="522"/>
  </r>
  <r>
    <n v="1099571"/>
    <x v="230"/>
    <x v="2"/>
    <x v="83"/>
    <x v="185"/>
  </r>
  <r>
    <n v="1099571"/>
    <x v="230"/>
    <x v="2"/>
    <x v="55"/>
    <x v="146"/>
  </r>
  <r>
    <n v="1099571"/>
    <x v="1"/>
    <x v="1"/>
    <x v="2"/>
    <x v="2"/>
  </r>
  <r>
    <n v="1099574"/>
    <x v="231"/>
    <x v="5"/>
    <x v="285"/>
    <x v="613"/>
  </r>
  <r>
    <n v="1099574"/>
    <x v="231"/>
    <x v="5"/>
    <x v="198"/>
    <x v="658"/>
  </r>
  <r>
    <n v="1099574"/>
    <x v="231"/>
    <x v="5"/>
    <x v="280"/>
    <x v="659"/>
  </r>
  <r>
    <n v="1099574"/>
    <x v="231"/>
    <x v="5"/>
    <x v="283"/>
    <x v="660"/>
  </r>
  <r>
    <n v="1099574"/>
    <x v="231"/>
    <x v="5"/>
    <x v="279"/>
    <x v="661"/>
  </r>
  <r>
    <n v="1099574"/>
    <x v="231"/>
    <x v="5"/>
    <x v="282"/>
    <x v="662"/>
  </r>
  <r>
    <n v="1099574"/>
    <x v="231"/>
    <x v="5"/>
    <x v="281"/>
    <x v="464"/>
  </r>
  <r>
    <n v="1099574"/>
    <x v="1"/>
    <x v="1"/>
    <x v="2"/>
    <x v="2"/>
  </r>
  <r>
    <n v="1099575"/>
    <x v="232"/>
    <x v="7"/>
    <x v="325"/>
    <x v="2"/>
  </r>
  <r>
    <n v="1099575"/>
    <x v="1"/>
    <x v="1"/>
    <x v="2"/>
    <x v="2"/>
  </r>
  <r>
    <n v="1099576"/>
    <x v="233"/>
    <x v="3"/>
    <x v="15"/>
    <x v="403"/>
  </r>
  <r>
    <n v="1099576"/>
    <x v="233"/>
    <x v="3"/>
    <x v="5"/>
    <x v="346"/>
  </r>
  <r>
    <n v="1099576"/>
    <x v="233"/>
    <x v="3"/>
    <x v="12"/>
    <x v="3"/>
  </r>
  <r>
    <n v="1099576"/>
    <x v="233"/>
    <x v="3"/>
    <x v="11"/>
    <x v="228"/>
  </r>
  <r>
    <n v="1099576"/>
    <x v="233"/>
    <x v="3"/>
    <x v="334"/>
    <x v="411"/>
  </r>
  <r>
    <n v="1099576"/>
    <x v="233"/>
    <x v="3"/>
    <x v="331"/>
    <x v="48"/>
  </r>
  <r>
    <n v="1099576"/>
    <x v="233"/>
    <x v="3"/>
    <x v="338"/>
    <x v="404"/>
  </r>
  <r>
    <n v="1099576"/>
    <x v="233"/>
    <x v="3"/>
    <x v="342"/>
    <x v="227"/>
  </r>
  <r>
    <n v="1099576"/>
    <x v="233"/>
    <x v="3"/>
    <x v="6"/>
    <x v="233"/>
  </r>
  <r>
    <n v="1099576"/>
    <x v="233"/>
    <x v="3"/>
    <x v="10"/>
    <x v="405"/>
  </r>
  <r>
    <n v="1099576"/>
    <x v="233"/>
    <x v="3"/>
    <x v="7"/>
    <x v="406"/>
  </r>
  <r>
    <n v="1099576"/>
    <x v="233"/>
    <x v="3"/>
    <x v="337"/>
    <x v="413"/>
  </r>
  <r>
    <n v="1099576"/>
    <x v="233"/>
    <x v="3"/>
    <x v="346"/>
    <x v="233"/>
  </r>
  <r>
    <n v="1099576"/>
    <x v="233"/>
    <x v="3"/>
    <x v="352"/>
    <x v="219"/>
  </r>
  <r>
    <n v="1099576"/>
    <x v="233"/>
    <x v="3"/>
    <x v="343"/>
    <x v="401"/>
  </r>
  <r>
    <n v="1099576"/>
    <x v="233"/>
    <x v="3"/>
    <x v="13"/>
    <x v="407"/>
  </r>
  <r>
    <n v="1099576"/>
    <x v="233"/>
    <x v="3"/>
    <x v="344"/>
    <x v="404"/>
  </r>
  <r>
    <n v="1099576"/>
    <x v="233"/>
    <x v="3"/>
    <x v="335"/>
    <x v="415"/>
  </r>
  <r>
    <n v="1099576"/>
    <x v="233"/>
    <x v="3"/>
    <x v="349"/>
    <x v="407"/>
  </r>
  <r>
    <n v="1099576"/>
    <x v="233"/>
    <x v="3"/>
    <x v="347"/>
    <x v="409"/>
  </r>
  <r>
    <n v="1099576"/>
    <x v="233"/>
    <x v="3"/>
    <x v="9"/>
    <x v="380"/>
  </r>
  <r>
    <n v="1099576"/>
    <x v="233"/>
    <x v="3"/>
    <x v="8"/>
    <x v="180"/>
  </r>
  <r>
    <n v="1099576"/>
    <x v="233"/>
    <x v="3"/>
    <x v="14"/>
    <x v="402"/>
  </r>
  <r>
    <n v="1099576"/>
    <x v="233"/>
    <x v="3"/>
    <x v="340"/>
    <x v="400"/>
  </r>
  <r>
    <n v="1099576"/>
    <x v="233"/>
    <x v="3"/>
    <x v="350"/>
    <x v="53"/>
  </r>
  <r>
    <n v="1099576"/>
    <x v="233"/>
    <x v="3"/>
    <x v="332"/>
    <x v="410"/>
  </r>
  <r>
    <n v="1099576"/>
    <x v="233"/>
    <x v="3"/>
    <x v="339"/>
    <x v="414"/>
  </r>
  <r>
    <n v="1099576"/>
    <x v="233"/>
    <x v="3"/>
    <x v="348"/>
    <x v="123"/>
  </r>
  <r>
    <n v="1099576"/>
    <x v="233"/>
    <x v="3"/>
    <x v="333"/>
    <x v="409"/>
  </r>
  <r>
    <n v="1099576"/>
    <x v="233"/>
    <x v="3"/>
    <x v="336"/>
    <x v="412"/>
  </r>
  <r>
    <n v="1099576"/>
    <x v="233"/>
    <x v="3"/>
    <x v="345"/>
    <x v="408"/>
  </r>
  <r>
    <n v="1099576"/>
    <x v="233"/>
    <x v="3"/>
    <x v="351"/>
    <x v="406"/>
  </r>
  <r>
    <n v="1099576"/>
    <x v="1"/>
    <x v="1"/>
    <x v="2"/>
    <x v="2"/>
  </r>
  <r>
    <n v="1099577"/>
    <x v="234"/>
    <x v="9"/>
    <x v="319"/>
    <x v="645"/>
  </r>
  <r>
    <n v="1099577"/>
    <x v="234"/>
    <x v="9"/>
    <x v="322"/>
    <x v="647"/>
  </r>
  <r>
    <n v="1099577"/>
    <x v="234"/>
    <x v="9"/>
    <x v="323"/>
    <x v="646"/>
  </r>
  <r>
    <n v="1099577"/>
    <x v="1"/>
    <x v="1"/>
    <x v="2"/>
    <x v="2"/>
  </r>
  <r>
    <n v="1099579"/>
    <x v="235"/>
    <x v="14"/>
    <x v="393"/>
    <x v="663"/>
  </r>
  <r>
    <n v="1099579"/>
    <x v="235"/>
    <x v="14"/>
    <x v="391"/>
    <x v="664"/>
  </r>
  <r>
    <n v="1099579"/>
    <x v="235"/>
    <x v="14"/>
    <x v="392"/>
    <x v="665"/>
  </r>
  <r>
    <n v="1099579"/>
    <x v="1"/>
    <x v="1"/>
    <x v="2"/>
    <x v="2"/>
  </r>
  <r>
    <n v="1099580"/>
    <x v="236"/>
    <x v="13"/>
    <x v="446"/>
    <x v="2"/>
  </r>
  <r>
    <n v="1099580"/>
    <x v="1"/>
    <x v="1"/>
    <x v="2"/>
    <x v="2"/>
  </r>
  <r>
    <n v="1099582"/>
    <x v="237"/>
    <x v="5"/>
    <x v="310"/>
    <x v="666"/>
  </r>
  <r>
    <n v="1099582"/>
    <x v="237"/>
    <x v="5"/>
    <x v="309"/>
    <x v="667"/>
  </r>
  <r>
    <n v="1099582"/>
    <x v="237"/>
    <x v="5"/>
    <x v="311"/>
    <x v="668"/>
  </r>
  <r>
    <n v="1099582"/>
    <x v="237"/>
    <x v="5"/>
    <x v="312"/>
    <x v="669"/>
  </r>
  <r>
    <n v="1099582"/>
    <x v="1"/>
    <x v="1"/>
    <x v="2"/>
    <x v="2"/>
  </r>
  <r>
    <n v="1099583"/>
    <x v="238"/>
    <x v="2"/>
    <x v="3"/>
    <x v="2"/>
  </r>
  <r>
    <n v="1099583"/>
    <x v="238"/>
    <x v="2"/>
    <x v="4"/>
    <x v="3"/>
  </r>
  <r>
    <n v="1099583"/>
    <x v="1"/>
    <x v="1"/>
    <x v="2"/>
    <x v="2"/>
  </r>
  <r>
    <n v="1099585"/>
    <x v="239"/>
    <x v="13"/>
    <x v="276"/>
    <x v="2"/>
  </r>
  <r>
    <n v="1099585"/>
    <x v="1"/>
    <x v="1"/>
    <x v="2"/>
    <x v="2"/>
  </r>
  <r>
    <n v="1099587"/>
    <x v="240"/>
    <x v="2"/>
    <x v="71"/>
    <x v="111"/>
  </r>
  <r>
    <n v="1099587"/>
    <x v="240"/>
    <x v="2"/>
    <x v="61"/>
    <x v="234"/>
  </r>
  <r>
    <n v="1099587"/>
    <x v="240"/>
    <x v="2"/>
    <x v="76"/>
    <x v="231"/>
  </r>
  <r>
    <n v="1099587"/>
    <x v="240"/>
    <x v="2"/>
    <x v="68"/>
    <x v="230"/>
  </r>
  <r>
    <n v="1099587"/>
    <x v="240"/>
    <x v="2"/>
    <x v="75"/>
    <x v="173"/>
  </r>
  <r>
    <n v="1099587"/>
    <x v="240"/>
    <x v="2"/>
    <x v="84"/>
    <x v="232"/>
  </r>
  <r>
    <n v="1099587"/>
    <x v="240"/>
    <x v="2"/>
    <x v="74"/>
    <x v="51"/>
  </r>
  <r>
    <n v="1099587"/>
    <x v="240"/>
    <x v="2"/>
    <x v="77"/>
    <x v="236"/>
  </r>
  <r>
    <n v="1099587"/>
    <x v="240"/>
    <x v="2"/>
    <x v="60"/>
    <x v="229"/>
  </r>
  <r>
    <n v="1099587"/>
    <x v="240"/>
    <x v="2"/>
    <x v="56"/>
    <x v="228"/>
  </r>
  <r>
    <n v="1099587"/>
    <x v="240"/>
    <x v="2"/>
    <x v="82"/>
    <x v="162"/>
  </r>
  <r>
    <n v="1099587"/>
    <x v="240"/>
    <x v="2"/>
    <x v="79"/>
    <x v="227"/>
  </r>
  <r>
    <n v="1099587"/>
    <x v="240"/>
    <x v="2"/>
    <x v="66"/>
    <x v="231"/>
  </r>
  <r>
    <n v="1099587"/>
    <x v="240"/>
    <x v="2"/>
    <x v="58"/>
    <x v="233"/>
  </r>
  <r>
    <n v="1099587"/>
    <x v="240"/>
    <x v="2"/>
    <x v="78"/>
    <x v="235"/>
  </r>
  <r>
    <n v="1099587"/>
    <x v="240"/>
    <x v="2"/>
    <x v="65"/>
    <x v="98"/>
  </r>
  <r>
    <n v="1099587"/>
    <x v="240"/>
    <x v="2"/>
    <x v="70"/>
    <x v="197"/>
  </r>
  <r>
    <n v="1099587"/>
    <x v="240"/>
    <x v="2"/>
    <x v="62"/>
    <x v="153"/>
  </r>
  <r>
    <n v="1099587"/>
    <x v="240"/>
    <x v="2"/>
    <x v="63"/>
    <x v="97"/>
  </r>
  <r>
    <n v="1099587"/>
    <x v="1"/>
    <x v="1"/>
    <x v="2"/>
    <x v="2"/>
  </r>
  <r>
    <n v="1099589"/>
    <x v="241"/>
    <x v="6"/>
    <x v="428"/>
    <x v="589"/>
  </r>
  <r>
    <n v="1099589"/>
    <x v="241"/>
    <x v="6"/>
    <x v="431"/>
    <x v="588"/>
  </r>
  <r>
    <n v="1099589"/>
    <x v="241"/>
    <x v="6"/>
    <x v="436"/>
    <x v="587"/>
  </r>
  <r>
    <n v="1099589"/>
    <x v="241"/>
    <x v="6"/>
    <x v="437"/>
    <x v="584"/>
  </r>
  <r>
    <n v="1099589"/>
    <x v="241"/>
    <x v="6"/>
    <x v="434"/>
    <x v="586"/>
  </r>
  <r>
    <n v="1099589"/>
    <x v="241"/>
    <x v="6"/>
    <x v="429"/>
    <x v="585"/>
  </r>
  <r>
    <n v="1099589"/>
    <x v="241"/>
    <x v="6"/>
    <x v="430"/>
    <x v="590"/>
  </r>
  <r>
    <n v="1099589"/>
    <x v="241"/>
    <x v="6"/>
    <x v="433"/>
    <x v="368"/>
  </r>
  <r>
    <n v="1099589"/>
    <x v="241"/>
    <x v="6"/>
    <x v="435"/>
    <x v="441"/>
  </r>
  <r>
    <n v="1099589"/>
    <x v="241"/>
    <x v="6"/>
    <x v="432"/>
    <x v="448"/>
  </r>
  <r>
    <n v="1099589"/>
    <x v="1"/>
    <x v="1"/>
    <x v="2"/>
    <x v="2"/>
  </r>
  <r>
    <n v="1099593"/>
    <x v="242"/>
    <x v="2"/>
    <x v="56"/>
    <x v="228"/>
  </r>
  <r>
    <n v="1099593"/>
    <x v="242"/>
    <x v="2"/>
    <x v="78"/>
    <x v="235"/>
  </r>
  <r>
    <n v="1099593"/>
    <x v="242"/>
    <x v="2"/>
    <x v="71"/>
    <x v="111"/>
  </r>
  <r>
    <n v="1099593"/>
    <x v="242"/>
    <x v="2"/>
    <x v="79"/>
    <x v="227"/>
  </r>
  <r>
    <n v="1099593"/>
    <x v="242"/>
    <x v="2"/>
    <x v="61"/>
    <x v="234"/>
  </r>
  <r>
    <n v="1099593"/>
    <x v="242"/>
    <x v="2"/>
    <x v="66"/>
    <x v="231"/>
  </r>
  <r>
    <n v="1099593"/>
    <x v="242"/>
    <x v="2"/>
    <x v="62"/>
    <x v="153"/>
  </r>
  <r>
    <n v="1099593"/>
    <x v="242"/>
    <x v="2"/>
    <x v="76"/>
    <x v="231"/>
  </r>
  <r>
    <n v="1099593"/>
    <x v="242"/>
    <x v="2"/>
    <x v="84"/>
    <x v="232"/>
  </r>
  <r>
    <n v="1099593"/>
    <x v="242"/>
    <x v="2"/>
    <x v="82"/>
    <x v="162"/>
  </r>
  <r>
    <n v="1099593"/>
    <x v="242"/>
    <x v="2"/>
    <x v="60"/>
    <x v="229"/>
  </r>
  <r>
    <n v="1099593"/>
    <x v="242"/>
    <x v="2"/>
    <x v="63"/>
    <x v="97"/>
  </r>
  <r>
    <n v="1099593"/>
    <x v="242"/>
    <x v="2"/>
    <x v="75"/>
    <x v="173"/>
  </r>
  <r>
    <n v="1099593"/>
    <x v="242"/>
    <x v="2"/>
    <x v="58"/>
    <x v="233"/>
  </r>
  <r>
    <n v="1099593"/>
    <x v="242"/>
    <x v="2"/>
    <x v="77"/>
    <x v="236"/>
  </r>
  <r>
    <n v="1099593"/>
    <x v="242"/>
    <x v="2"/>
    <x v="65"/>
    <x v="98"/>
  </r>
  <r>
    <n v="1099593"/>
    <x v="242"/>
    <x v="2"/>
    <x v="68"/>
    <x v="230"/>
  </r>
  <r>
    <n v="1099593"/>
    <x v="242"/>
    <x v="2"/>
    <x v="74"/>
    <x v="51"/>
  </r>
  <r>
    <n v="1099593"/>
    <x v="242"/>
    <x v="2"/>
    <x v="70"/>
    <x v="197"/>
  </r>
  <r>
    <n v="1099593"/>
    <x v="1"/>
    <x v="1"/>
    <x v="2"/>
    <x v="2"/>
  </r>
  <r>
    <n v="1099594"/>
    <x v="243"/>
    <x v="12"/>
    <x v="381"/>
    <x v="398"/>
  </r>
  <r>
    <n v="1099594"/>
    <x v="243"/>
    <x v="12"/>
    <x v="380"/>
    <x v="397"/>
  </r>
  <r>
    <n v="1099594"/>
    <x v="243"/>
    <x v="12"/>
    <x v="382"/>
    <x v="399"/>
  </r>
  <r>
    <n v="1099594"/>
    <x v="243"/>
    <x v="12"/>
    <x v="378"/>
    <x v="395"/>
  </r>
  <r>
    <n v="1099594"/>
    <x v="243"/>
    <x v="12"/>
    <x v="379"/>
    <x v="396"/>
  </r>
  <r>
    <n v="1099594"/>
    <x v="1"/>
    <x v="1"/>
    <x v="2"/>
    <x v="2"/>
  </r>
  <r>
    <n v="1099595"/>
    <x v="244"/>
    <x v="0"/>
    <x v="447"/>
    <x v="2"/>
  </r>
  <r>
    <n v="1099595"/>
    <x v="1"/>
    <x v="1"/>
    <x v="2"/>
    <x v="2"/>
  </r>
  <r>
    <n v="1099601"/>
    <x v="245"/>
    <x v="5"/>
    <x v="88"/>
    <x v="670"/>
  </r>
  <r>
    <n v="1099601"/>
    <x v="245"/>
    <x v="5"/>
    <x v="100"/>
    <x v="671"/>
  </r>
  <r>
    <n v="1099601"/>
    <x v="245"/>
    <x v="5"/>
    <x v="92"/>
    <x v="672"/>
  </r>
  <r>
    <n v="1099601"/>
    <x v="245"/>
    <x v="5"/>
    <x v="448"/>
    <x v="3"/>
  </r>
  <r>
    <n v="1099601"/>
    <x v="245"/>
    <x v="5"/>
    <x v="99"/>
    <x v="673"/>
  </r>
  <r>
    <n v="1099601"/>
    <x v="1"/>
    <x v="1"/>
    <x v="2"/>
    <x v="2"/>
  </r>
  <r>
    <n v="1099605"/>
    <x v="246"/>
    <x v="3"/>
    <x v="161"/>
    <x v="163"/>
  </r>
  <r>
    <n v="1099605"/>
    <x v="246"/>
    <x v="3"/>
    <x v="131"/>
    <x v="34"/>
  </r>
  <r>
    <n v="1099605"/>
    <x v="246"/>
    <x v="3"/>
    <x v="143"/>
    <x v="91"/>
  </r>
  <r>
    <n v="1099605"/>
    <x v="246"/>
    <x v="3"/>
    <x v="153"/>
    <x v="147"/>
  </r>
  <r>
    <n v="1099605"/>
    <x v="246"/>
    <x v="3"/>
    <x v="160"/>
    <x v="162"/>
  </r>
  <r>
    <n v="1099605"/>
    <x v="246"/>
    <x v="3"/>
    <x v="129"/>
    <x v="42"/>
  </r>
  <r>
    <n v="1099605"/>
    <x v="246"/>
    <x v="3"/>
    <x v="152"/>
    <x v="156"/>
  </r>
  <r>
    <n v="1099605"/>
    <x v="246"/>
    <x v="3"/>
    <x v="142"/>
    <x v="152"/>
  </r>
  <r>
    <n v="1099605"/>
    <x v="246"/>
    <x v="3"/>
    <x v="158"/>
    <x v="160"/>
  </r>
  <r>
    <n v="1099605"/>
    <x v="246"/>
    <x v="3"/>
    <x v="127"/>
    <x v="97"/>
  </r>
  <r>
    <n v="1099605"/>
    <x v="246"/>
    <x v="3"/>
    <x v="138"/>
    <x v="149"/>
  </r>
  <r>
    <n v="1099605"/>
    <x v="246"/>
    <x v="3"/>
    <x v="150"/>
    <x v="155"/>
  </r>
  <r>
    <n v="1099605"/>
    <x v="246"/>
    <x v="3"/>
    <x v="124"/>
    <x v="62"/>
  </r>
  <r>
    <n v="1099605"/>
    <x v="246"/>
    <x v="3"/>
    <x v="135"/>
    <x v="64"/>
  </r>
  <r>
    <n v="1099605"/>
    <x v="246"/>
    <x v="3"/>
    <x v="147"/>
    <x v="24"/>
  </r>
  <r>
    <n v="1099605"/>
    <x v="246"/>
    <x v="3"/>
    <x v="155"/>
    <x v="157"/>
  </r>
  <r>
    <n v="1099605"/>
    <x v="246"/>
    <x v="3"/>
    <x v="151"/>
    <x v="35"/>
  </r>
  <r>
    <n v="1099605"/>
    <x v="246"/>
    <x v="3"/>
    <x v="157"/>
    <x v="159"/>
  </r>
  <r>
    <n v="1099605"/>
    <x v="246"/>
    <x v="3"/>
    <x v="126"/>
    <x v="82"/>
  </r>
  <r>
    <n v="1099605"/>
    <x v="246"/>
    <x v="3"/>
    <x v="137"/>
    <x v="79"/>
  </r>
  <r>
    <n v="1099605"/>
    <x v="246"/>
    <x v="3"/>
    <x v="149"/>
    <x v="154"/>
  </r>
  <r>
    <n v="1099605"/>
    <x v="246"/>
    <x v="3"/>
    <x v="154"/>
    <x v="149"/>
  </r>
  <r>
    <n v="1099605"/>
    <x v="246"/>
    <x v="3"/>
    <x v="133"/>
    <x v="147"/>
  </r>
  <r>
    <n v="1099605"/>
    <x v="246"/>
    <x v="3"/>
    <x v="145"/>
    <x v="153"/>
  </r>
  <r>
    <n v="1099605"/>
    <x v="246"/>
    <x v="3"/>
    <x v="139"/>
    <x v="37"/>
  </r>
  <r>
    <n v="1099605"/>
    <x v="246"/>
    <x v="3"/>
    <x v="159"/>
    <x v="161"/>
  </r>
  <r>
    <n v="1099605"/>
    <x v="246"/>
    <x v="3"/>
    <x v="128"/>
    <x v="92"/>
  </r>
  <r>
    <n v="1099605"/>
    <x v="246"/>
    <x v="3"/>
    <x v="141"/>
    <x v="151"/>
  </r>
  <r>
    <n v="1099605"/>
    <x v="246"/>
    <x v="3"/>
    <x v="125"/>
    <x v="144"/>
  </r>
  <r>
    <n v="1099605"/>
    <x v="246"/>
    <x v="3"/>
    <x v="136"/>
    <x v="82"/>
  </r>
  <r>
    <n v="1099605"/>
    <x v="246"/>
    <x v="3"/>
    <x v="148"/>
    <x v="144"/>
  </r>
  <r>
    <n v="1099605"/>
    <x v="246"/>
    <x v="3"/>
    <x v="156"/>
    <x v="158"/>
  </r>
  <r>
    <n v="1099605"/>
    <x v="246"/>
    <x v="3"/>
    <x v="163"/>
    <x v="83"/>
  </r>
  <r>
    <n v="1099605"/>
    <x v="246"/>
    <x v="3"/>
    <x v="134"/>
    <x v="148"/>
  </r>
  <r>
    <n v="1099605"/>
    <x v="246"/>
    <x v="3"/>
    <x v="130"/>
    <x v="145"/>
  </r>
  <r>
    <n v="1099605"/>
    <x v="246"/>
    <x v="3"/>
    <x v="144"/>
    <x v="84"/>
  </r>
  <r>
    <n v="1099605"/>
    <x v="246"/>
    <x v="3"/>
    <x v="132"/>
    <x v="146"/>
  </r>
  <r>
    <n v="1099605"/>
    <x v="246"/>
    <x v="3"/>
    <x v="146"/>
    <x v="78"/>
  </r>
  <r>
    <n v="1099605"/>
    <x v="246"/>
    <x v="3"/>
    <x v="140"/>
    <x v="150"/>
  </r>
  <r>
    <n v="1099605"/>
    <x v="246"/>
    <x v="3"/>
    <x v="162"/>
    <x v="164"/>
  </r>
  <r>
    <n v="1099605"/>
    <x v="1"/>
    <x v="1"/>
    <x v="2"/>
    <x v="2"/>
  </r>
  <r>
    <n v="1099606"/>
    <x v="247"/>
    <x v="3"/>
    <x v="158"/>
    <x v="160"/>
  </r>
  <r>
    <n v="1099606"/>
    <x v="247"/>
    <x v="3"/>
    <x v="127"/>
    <x v="97"/>
  </r>
  <r>
    <n v="1099606"/>
    <x v="247"/>
    <x v="3"/>
    <x v="138"/>
    <x v="149"/>
  </r>
  <r>
    <n v="1099606"/>
    <x v="247"/>
    <x v="3"/>
    <x v="150"/>
    <x v="155"/>
  </r>
  <r>
    <n v="1099606"/>
    <x v="247"/>
    <x v="3"/>
    <x v="124"/>
    <x v="62"/>
  </r>
  <r>
    <n v="1099606"/>
    <x v="247"/>
    <x v="3"/>
    <x v="135"/>
    <x v="64"/>
  </r>
  <r>
    <n v="1099606"/>
    <x v="247"/>
    <x v="3"/>
    <x v="147"/>
    <x v="24"/>
  </r>
  <r>
    <n v="1099606"/>
    <x v="247"/>
    <x v="3"/>
    <x v="155"/>
    <x v="157"/>
  </r>
  <r>
    <n v="1099606"/>
    <x v="247"/>
    <x v="3"/>
    <x v="157"/>
    <x v="159"/>
  </r>
  <r>
    <n v="1099606"/>
    <x v="247"/>
    <x v="3"/>
    <x v="126"/>
    <x v="82"/>
  </r>
  <r>
    <n v="1099606"/>
    <x v="247"/>
    <x v="3"/>
    <x v="137"/>
    <x v="79"/>
  </r>
  <r>
    <n v="1099606"/>
    <x v="247"/>
    <x v="3"/>
    <x v="149"/>
    <x v="154"/>
  </r>
  <r>
    <n v="1099606"/>
    <x v="247"/>
    <x v="3"/>
    <x v="130"/>
    <x v="145"/>
  </r>
  <r>
    <n v="1099606"/>
    <x v="247"/>
    <x v="3"/>
    <x v="154"/>
    <x v="149"/>
  </r>
  <r>
    <n v="1099606"/>
    <x v="247"/>
    <x v="3"/>
    <x v="133"/>
    <x v="147"/>
  </r>
  <r>
    <n v="1099606"/>
    <x v="247"/>
    <x v="3"/>
    <x v="145"/>
    <x v="153"/>
  </r>
  <r>
    <n v="1099606"/>
    <x v="247"/>
    <x v="3"/>
    <x v="139"/>
    <x v="37"/>
  </r>
  <r>
    <n v="1099606"/>
    <x v="247"/>
    <x v="3"/>
    <x v="159"/>
    <x v="161"/>
  </r>
  <r>
    <n v="1099606"/>
    <x v="247"/>
    <x v="3"/>
    <x v="128"/>
    <x v="92"/>
  </r>
  <r>
    <n v="1099606"/>
    <x v="247"/>
    <x v="3"/>
    <x v="141"/>
    <x v="151"/>
  </r>
  <r>
    <n v="1099606"/>
    <x v="247"/>
    <x v="3"/>
    <x v="151"/>
    <x v="35"/>
  </r>
  <r>
    <n v="1099606"/>
    <x v="247"/>
    <x v="3"/>
    <x v="125"/>
    <x v="144"/>
  </r>
  <r>
    <n v="1099606"/>
    <x v="247"/>
    <x v="3"/>
    <x v="136"/>
    <x v="82"/>
  </r>
  <r>
    <n v="1099606"/>
    <x v="247"/>
    <x v="3"/>
    <x v="148"/>
    <x v="144"/>
  </r>
  <r>
    <n v="1099606"/>
    <x v="247"/>
    <x v="3"/>
    <x v="156"/>
    <x v="158"/>
  </r>
  <r>
    <n v="1099606"/>
    <x v="247"/>
    <x v="3"/>
    <x v="163"/>
    <x v="83"/>
  </r>
  <r>
    <n v="1099606"/>
    <x v="247"/>
    <x v="3"/>
    <x v="134"/>
    <x v="148"/>
  </r>
  <r>
    <n v="1099606"/>
    <x v="247"/>
    <x v="3"/>
    <x v="146"/>
    <x v="78"/>
  </r>
  <r>
    <n v="1099606"/>
    <x v="247"/>
    <x v="3"/>
    <x v="140"/>
    <x v="150"/>
  </r>
  <r>
    <n v="1099606"/>
    <x v="247"/>
    <x v="3"/>
    <x v="162"/>
    <x v="164"/>
  </r>
  <r>
    <n v="1099606"/>
    <x v="247"/>
    <x v="3"/>
    <x v="132"/>
    <x v="146"/>
  </r>
  <r>
    <n v="1099606"/>
    <x v="247"/>
    <x v="3"/>
    <x v="144"/>
    <x v="84"/>
  </r>
  <r>
    <n v="1099606"/>
    <x v="247"/>
    <x v="3"/>
    <x v="161"/>
    <x v="163"/>
  </r>
  <r>
    <n v="1099606"/>
    <x v="247"/>
    <x v="3"/>
    <x v="131"/>
    <x v="34"/>
  </r>
  <r>
    <n v="1099606"/>
    <x v="247"/>
    <x v="3"/>
    <x v="143"/>
    <x v="91"/>
  </r>
  <r>
    <n v="1099606"/>
    <x v="247"/>
    <x v="3"/>
    <x v="153"/>
    <x v="147"/>
  </r>
  <r>
    <n v="1099606"/>
    <x v="247"/>
    <x v="3"/>
    <x v="160"/>
    <x v="162"/>
  </r>
  <r>
    <n v="1099606"/>
    <x v="247"/>
    <x v="3"/>
    <x v="129"/>
    <x v="42"/>
  </r>
  <r>
    <n v="1099606"/>
    <x v="247"/>
    <x v="3"/>
    <x v="142"/>
    <x v="152"/>
  </r>
  <r>
    <n v="1099606"/>
    <x v="247"/>
    <x v="3"/>
    <x v="152"/>
    <x v="156"/>
  </r>
  <r>
    <n v="1099606"/>
    <x v="1"/>
    <x v="1"/>
    <x v="2"/>
    <x v="2"/>
  </r>
  <r>
    <n v="1099609"/>
    <x v="248"/>
    <x v="6"/>
    <x v="432"/>
    <x v="448"/>
  </r>
  <r>
    <n v="1099609"/>
    <x v="248"/>
    <x v="6"/>
    <x v="431"/>
    <x v="588"/>
  </r>
  <r>
    <n v="1099609"/>
    <x v="248"/>
    <x v="6"/>
    <x v="435"/>
    <x v="441"/>
  </r>
  <r>
    <n v="1099609"/>
    <x v="248"/>
    <x v="6"/>
    <x v="434"/>
    <x v="586"/>
  </r>
  <r>
    <n v="1099609"/>
    <x v="248"/>
    <x v="6"/>
    <x v="437"/>
    <x v="584"/>
  </r>
  <r>
    <n v="1099609"/>
    <x v="248"/>
    <x v="6"/>
    <x v="436"/>
    <x v="587"/>
  </r>
  <r>
    <n v="1099609"/>
    <x v="248"/>
    <x v="6"/>
    <x v="430"/>
    <x v="590"/>
  </r>
  <r>
    <n v="1099609"/>
    <x v="248"/>
    <x v="6"/>
    <x v="428"/>
    <x v="589"/>
  </r>
  <r>
    <n v="1099609"/>
    <x v="248"/>
    <x v="6"/>
    <x v="429"/>
    <x v="585"/>
  </r>
  <r>
    <n v="1099609"/>
    <x v="248"/>
    <x v="6"/>
    <x v="433"/>
    <x v="368"/>
  </r>
  <r>
    <n v="1099609"/>
    <x v="1"/>
    <x v="1"/>
    <x v="2"/>
    <x v="2"/>
  </r>
  <r>
    <n v="1099610"/>
    <x v="249"/>
    <x v="3"/>
    <x v="263"/>
    <x v="226"/>
  </r>
  <r>
    <n v="1099610"/>
    <x v="249"/>
    <x v="3"/>
    <x v="259"/>
    <x v="197"/>
  </r>
  <r>
    <n v="1099610"/>
    <x v="249"/>
    <x v="3"/>
    <x v="210"/>
    <x v="147"/>
  </r>
  <r>
    <n v="1099610"/>
    <x v="249"/>
    <x v="3"/>
    <x v="215"/>
    <x v="77"/>
  </r>
  <r>
    <n v="1099610"/>
    <x v="249"/>
    <x v="3"/>
    <x v="225"/>
    <x v="59"/>
  </r>
  <r>
    <n v="1099610"/>
    <x v="249"/>
    <x v="3"/>
    <x v="230"/>
    <x v="210"/>
  </r>
  <r>
    <n v="1099610"/>
    <x v="249"/>
    <x v="3"/>
    <x v="235"/>
    <x v="214"/>
  </r>
  <r>
    <n v="1099610"/>
    <x v="249"/>
    <x v="3"/>
    <x v="240"/>
    <x v="82"/>
  </r>
  <r>
    <n v="1099610"/>
    <x v="249"/>
    <x v="3"/>
    <x v="245"/>
    <x v="218"/>
  </r>
  <r>
    <n v="1099610"/>
    <x v="249"/>
    <x v="3"/>
    <x v="218"/>
    <x v="202"/>
  </r>
  <r>
    <n v="1099610"/>
    <x v="249"/>
    <x v="3"/>
    <x v="255"/>
    <x v="222"/>
  </r>
  <r>
    <n v="1099610"/>
    <x v="249"/>
    <x v="3"/>
    <x v="260"/>
    <x v="225"/>
  </r>
  <r>
    <n v="1099610"/>
    <x v="249"/>
    <x v="3"/>
    <x v="264"/>
    <x v="153"/>
  </r>
  <r>
    <n v="1099610"/>
    <x v="249"/>
    <x v="3"/>
    <x v="207"/>
    <x v="196"/>
  </r>
  <r>
    <n v="1099610"/>
    <x v="249"/>
    <x v="3"/>
    <x v="211"/>
    <x v="153"/>
  </r>
  <r>
    <n v="1099610"/>
    <x v="249"/>
    <x v="3"/>
    <x v="216"/>
    <x v="114"/>
  </r>
  <r>
    <n v="1099610"/>
    <x v="249"/>
    <x v="3"/>
    <x v="226"/>
    <x v="206"/>
  </r>
  <r>
    <n v="1099610"/>
    <x v="249"/>
    <x v="3"/>
    <x v="231"/>
    <x v="211"/>
  </r>
  <r>
    <n v="1099610"/>
    <x v="249"/>
    <x v="3"/>
    <x v="236"/>
    <x v="173"/>
  </r>
  <r>
    <n v="1099610"/>
    <x v="249"/>
    <x v="3"/>
    <x v="241"/>
    <x v="217"/>
  </r>
  <r>
    <n v="1099610"/>
    <x v="249"/>
    <x v="3"/>
    <x v="246"/>
    <x v="219"/>
  </r>
  <r>
    <n v="1099610"/>
    <x v="249"/>
    <x v="3"/>
    <x v="219"/>
    <x v="203"/>
  </r>
  <r>
    <n v="1099610"/>
    <x v="249"/>
    <x v="3"/>
    <x v="253"/>
    <x v="119"/>
  </r>
  <r>
    <n v="1099610"/>
    <x v="249"/>
    <x v="3"/>
    <x v="258"/>
    <x v="77"/>
  </r>
  <r>
    <n v="1099610"/>
    <x v="249"/>
    <x v="3"/>
    <x v="262"/>
    <x v="164"/>
  </r>
  <r>
    <n v="1099610"/>
    <x v="249"/>
    <x v="3"/>
    <x v="205"/>
    <x v="77"/>
  </r>
  <r>
    <n v="1099610"/>
    <x v="249"/>
    <x v="3"/>
    <x v="209"/>
    <x v="198"/>
  </r>
  <r>
    <n v="1099610"/>
    <x v="249"/>
    <x v="3"/>
    <x v="214"/>
    <x v="77"/>
  </r>
  <r>
    <n v="1099610"/>
    <x v="249"/>
    <x v="3"/>
    <x v="224"/>
    <x v="93"/>
  </r>
  <r>
    <n v="1099610"/>
    <x v="249"/>
    <x v="3"/>
    <x v="229"/>
    <x v="209"/>
  </r>
  <r>
    <n v="1099610"/>
    <x v="249"/>
    <x v="3"/>
    <x v="234"/>
    <x v="175"/>
  </r>
  <r>
    <n v="1099610"/>
    <x v="249"/>
    <x v="3"/>
    <x v="239"/>
    <x v="119"/>
  </r>
  <r>
    <n v="1099610"/>
    <x v="249"/>
    <x v="3"/>
    <x v="244"/>
    <x v="213"/>
  </r>
  <r>
    <n v="1099610"/>
    <x v="249"/>
    <x v="3"/>
    <x v="217"/>
    <x v="201"/>
  </r>
  <r>
    <n v="1099610"/>
    <x v="249"/>
    <x v="3"/>
    <x v="256"/>
    <x v="223"/>
  </r>
  <r>
    <n v="1099610"/>
    <x v="249"/>
    <x v="3"/>
    <x v="261"/>
    <x v="92"/>
  </r>
  <r>
    <n v="1099610"/>
    <x v="249"/>
    <x v="3"/>
    <x v="265"/>
    <x v="176"/>
  </r>
  <r>
    <n v="1099610"/>
    <x v="249"/>
    <x v="3"/>
    <x v="208"/>
    <x v="197"/>
  </r>
  <r>
    <n v="1099610"/>
    <x v="249"/>
    <x v="3"/>
    <x v="212"/>
    <x v="199"/>
  </r>
  <r>
    <n v="1099610"/>
    <x v="249"/>
    <x v="3"/>
    <x v="222"/>
    <x v="205"/>
  </r>
  <r>
    <n v="1099610"/>
    <x v="249"/>
    <x v="3"/>
    <x v="227"/>
    <x v="207"/>
  </r>
  <r>
    <n v="1099610"/>
    <x v="249"/>
    <x v="3"/>
    <x v="232"/>
    <x v="212"/>
  </r>
  <r>
    <n v="1099610"/>
    <x v="249"/>
    <x v="3"/>
    <x v="237"/>
    <x v="215"/>
  </r>
  <r>
    <n v="1099610"/>
    <x v="249"/>
    <x v="3"/>
    <x v="242"/>
    <x v="85"/>
  </r>
  <r>
    <n v="1099610"/>
    <x v="249"/>
    <x v="3"/>
    <x v="247"/>
    <x v="119"/>
  </r>
  <r>
    <n v="1099610"/>
    <x v="249"/>
    <x v="3"/>
    <x v="220"/>
    <x v="105"/>
  </r>
  <r>
    <n v="1099610"/>
    <x v="249"/>
    <x v="3"/>
    <x v="251"/>
    <x v="176"/>
  </r>
  <r>
    <n v="1099610"/>
    <x v="249"/>
    <x v="3"/>
    <x v="257"/>
    <x v="224"/>
  </r>
  <r>
    <n v="1099610"/>
    <x v="249"/>
    <x v="3"/>
    <x v="249"/>
    <x v="220"/>
  </r>
  <r>
    <n v="1099610"/>
    <x v="249"/>
    <x v="3"/>
    <x v="204"/>
    <x v="97"/>
  </r>
  <r>
    <n v="1099610"/>
    <x v="249"/>
    <x v="3"/>
    <x v="250"/>
    <x v="34"/>
  </r>
  <r>
    <n v="1099610"/>
    <x v="249"/>
    <x v="3"/>
    <x v="213"/>
    <x v="200"/>
  </r>
  <r>
    <n v="1099610"/>
    <x v="249"/>
    <x v="3"/>
    <x v="223"/>
    <x v="3"/>
  </r>
  <r>
    <n v="1099610"/>
    <x v="249"/>
    <x v="3"/>
    <x v="228"/>
    <x v="208"/>
  </r>
  <r>
    <n v="1099610"/>
    <x v="249"/>
    <x v="3"/>
    <x v="233"/>
    <x v="213"/>
  </r>
  <r>
    <n v="1099610"/>
    <x v="249"/>
    <x v="3"/>
    <x v="238"/>
    <x v="216"/>
  </r>
  <r>
    <n v="1099610"/>
    <x v="249"/>
    <x v="3"/>
    <x v="243"/>
    <x v="163"/>
  </r>
  <r>
    <n v="1099610"/>
    <x v="249"/>
    <x v="3"/>
    <x v="248"/>
    <x v="161"/>
  </r>
  <r>
    <n v="1099610"/>
    <x v="249"/>
    <x v="3"/>
    <x v="221"/>
    <x v="204"/>
  </r>
  <r>
    <n v="1099610"/>
    <x v="249"/>
    <x v="3"/>
    <x v="252"/>
    <x v="97"/>
  </r>
  <r>
    <n v="1099610"/>
    <x v="249"/>
    <x v="3"/>
    <x v="254"/>
    <x v="221"/>
  </r>
  <r>
    <n v="1099610"/>
    <x v="249"/>
    <x v="3"/>
    <x v="206"/>
    <x v="144"/>
  </r>
  <r>
    <n v="1099610"/>
    <x v="1"/>
    <x v="1"/>
    <x v="2"/>
    <x v="2"/>
  </r>
  <r>
    <n v="1099616"/>
    <x v="250"/>
    <x v="5"/>
    <x v="285"/>
    <x v="674"/>
  </r>
  <r>
    <n v="1099616"/>
    <x v="250"/>
    <x v="5"/>
    <x v="280"/>
    <x v="408"/>
  </r>
  <r>
    <n v="1099616"/>
    <x v="250"/>
    <x v="5"/>
    <x v="279"/>
    <x v="675"/>
  </r>
  <r>
    <n v="1099616"/>
    <x v="250"/>
    <x v="5"/>
    <x v="281"/>
    <x v="676"/>
  </r>
  <r>
    <n v="1099616"/>
    <x v="1"/>
    <x v="1"/>
    <x v="2"/>
    <x v="2"/>
  </r>
  <r>
    <n v="1099618"/>
    <x v="251"/>
    <x v="12"/>
    <x v="380"/>
    <x v="397"/>
  </r>
  <r>
    <n v="1099618"/>
    <x v="251"/>
    <x v="12"/>
    <x v="381"/>
    <x v="398"/>
  </r>
  <r>
    <n v="1099618"/>
    <x v="251"/>
    <x v="12"/>
    <x v="379"/>
    <x v="396"/>
  </r>
  <r>
    <n v="1099618"/>
    <x v="251"/>
    <x v="12"/>
    <x v="378"/>
    <x v="395"/>
  </r>
  <r>
    <n v="1099618"/>
    <x v="251"/>
    <x v="12"/>
    <x v="382"/>
    <x v="399"/>
  </r>
  <r>
    <n v="1099618"/>
    <x v="1"/>
    <x v="1"/>
    <x v="2"/>
    <x v="2"/>
  </r>
  <r>
    <n v="1099619"/>
    <x v="252"/>
    <x v="5"/>
    <x v="329"/>
    <x v="502"/>
  </r>
  <r>
    <n v="1099619"/>
    <x v="252"/>
    <x v="5"/>
    <x v="328"/>
    <x v="501"/>
  </r>
  <r>
    <n v="1099619"/>
    <x v="1"/>
    <x v="1"/>
    <x v="2"/>
    <x v="2"/>
  </r>
  <r>
    <n v="1099621"/>
    <x v="253"/>
    <x v="13"/>
    <x v="167"/>
    <x v="2"/>
  </r>
  <r>
    <n v="1099621"/>
    <x v="1"/>
    <x v="1"/>
    <x v="2"/>
    <x v="2"/>
  </r>
  <r>
    <n v="1099622"/>
    <x v="254"/>
    <x v="8"/>
    <x v="193"/>
    <x v="482"/>
  </r>
  <r>
    <n v="1099622"/>
    <x v="254"/>
    <x v="8"/>
    <x v="183"/>
    <x v="472"/>
  </r>
  <r>
    <n v="1099622"/>
    <x v="254"/>
    <x v="8"/>
    <x v="177"/>
    <x v="485"/>
  </r>
  <r>
    <n v="1099622"/>
    <x v="254"/>
    <x v="8"/>
    <x v="173"/>
    <x v="148"/>
  </r>
  <r>
    <n v="1099622"/>
    <x v="254"/>
    <x v="8"/>
    <x v="192"/>
    <x v="65"/>
  </r>
  <r>
    <n v="1099622"/>
    <x v="254"/>
    <x v="8"/>
    <x v="182"/>
    <x v="69"/>
  </r>
  <r>
    <n v="1099622"/>
    <x v="254"/>
    <x v="8"/>
    <x v="194"/>
    <x v="474"/>
  </r>
  <r>
    <n v="1099622"/>
    <x v="254"/>
    <x v="8"/>
    <x v="168"/>
    <x v="65"/>
  </r>
  <r>
    <n v="1099622"/>
    <x v="254"/>
    <x v="8"/>
    <x v="170"/>
    <x v="480"/>
  </r>
  <r>
    <n v="1099622"/>
    <x v="254"/>
    <x v="8"/>
    <x v="184"/>
    <x v="135"/>
  </r>
  <r>
    <n v="1099622"/>
    <x v="254"/>
    <x v="8"/>
    <x v="178"/>
    <x v="387"/>
  </r>
  <r>
    <n v="1099622"/>
    <x v="254"/>
    <x v="8"/>
    <x v="174"/>
    <x v="477"/>
  </r>
  <r>
    <n v="1099622"/>
    <x v="254"/>
    <x v="8"/>
    <x v="171"/>
    <x v="331"/>
  </r>
  <r>
    <n v="1099622"/>
    <x v="254"/>
    <x v="8"/>
    <x v="169"/>
    <x v="368"/>
  </r>
  <r>
    <n v="1099622"/>
    <x v="254"/>
    <x v="8"/>
    <x v="188"/>
    <x v="481"/>
  </r>
  <r>
    <n v="1099622"/>
    <x v="254"/>
    <x v="8"/>
    <x v="189"/>
    <x v="484"/>
  </r>
  <r>
    <n v="1099622"/>
    <x v="254"/>
    <x v="8"/>
    <x v="195"/>
    <x v="475"/>
  </r>
  <r>
    <n v="1099622"/>
    <x v="254"/>
    <x v="8"/>
    <x v="180"/>
    <x v="19"/>
  </r>
  <r>
    <n v="1099622"/>
    <x v="254"/>
    <x v="8"/>
    <x v="176"/>
    <x v="483"/>
  </r>
  <r>
    <n v="1099622"/>
    <x v="254"/>
    <x v="8"/>
    <x v="185"/>
    <x v="34"/>
  </r>
  <r>
    <n v="1099622"/>
    <x v="254"/>
    <x v="8"/>
    <x v="187"/>
    <x v="478"/>
  </r>
  <r>
    <n v="1099622"/>
    <x v="254"/>
    <x v="8"/>
    <x v="190"/>
    <x v="71"/>
  </r>
  <r>
    <n v="1099622"/>
    <x v="254"/>
    <x v="8"/>
    <x v="179"/>
    <x v="226"/>
  </r>
  <r>
    <n v="1099622"/>
    <x v="254"/>
    <x v="8"/>
    <x v="175"/>
    <x v="258"/>
  </r>
  <r>
    <n v="1099622"/>
    <x v="254"/>
    <x v="8"/>
    <x v="172"/>
    <x v="473"/>
  </r>
  <r>
    <n v="1099622"/>
    <x v="254"/>
    <x v="8"/>
    <x v="186"/>
    <x v="476"/>
  </r>
  <r>
    <n v="1099622"/>
    <x v="254"/>
    <x v="8"/>
    <x v="191"/>
    <x v="479"/>
  </r>
  <r>
    <n v="1099622"/>
    <x v="254"/>
    <x v="8"/>
    <x v="181"/>
    <x v="294"/>
  </r>
  <r>
    <n v="1099622"/>
    <x v="1"/>
    <x v="1"/>
    <x v="2"/>
    <x v="2"/>
  </r>
  <r>
    <n v="1099624"/>
    <x v="255"/>
    <x v="2"/>
    <x v="167"/>
    <x v="2"/>
  </r>
  <r>
    <n v="1099624"/>
    <x v="1"/>
    <x v="1"/>
    <x v="2"/>
    <x v="2"/>
  </r>
  <r>
    <n v="1099626"/>
    <x v="256"/>
    <x v="2"/>
    <x v="83"/>
    <x v="185"/>
  </r>
  <r>
    <n v="1099626"/>
    <x v="256"/>
    <x v="2"/>
    <x v="69"/>
    <x v="525"/>
  </r>
  <r>
    <n v="1099626"/>
    <x v="256"/>
    <x v="2"/>
    <x v="64"/>
    <x v="524"/>
  </r>
  <r>
    <n v="1099626"/>
    <x v="256"/>
    <x v="2"/>
    <x v="55"/>
    <x v="146"/>
  </r>
  <r>
    <n v="1099626"/>
    <x v="256"/>
    <x v="2"/>
    <x v="73"/>
    <x v="347"/>
  </r>
  <r>
    <n v="1099626"/>
    <x v="256"/>
    <x v="2"/>
    <x v="80"/>
    <x v="523"/>
  </r>
  <r>
    <n v="1099626"/>
    <x v="256"/>
    <x v="2"/>
    <x v="57"/>
    <x v="522"/>
  </r>
  <r>
    <n v="1099626"/>
    <x v="256"/>
    <x v="2"/>
    <x v="67"/>
    <x v="35"/>
  </r>
  <r>
    <n v="1099626"/>
    <x v="256"/>
    <x v="2"/>
    <x v="81"/>
    <x v="477"/>
  </r>
  <r>
    <n v="1099626"/>
    <x v="256"/>
    <x v="2"/>
    <x v="59"/>
    <x v="521"/>
  </r>
  <r>
    <n v="1099626"/>
    <x v="1"/>
    <x v="1"/>
    <x v="2"/>
    <x v="2"/>
  </r>
  <r>
    <n v="1099627"/>
    <x v="257"/>
    <x v="7"/>
    <x v="324"/>
    <x v="677"/>
  </r>
  <r>
    <n v="1099627"/>
    <x v="257"/>
    <x v="7"/>
    <x v="325"/>
    <x v="678"/>
  </r>
  <r>
    <n v="1099627"/>
    <x v="1"/>
    <x v="1"/>
    <x v="2"/>
    <x v="2"/>
  </r>
  <r>
    <n v="1099628"/>
    <x v="258"/>
    <x v="5"/>
    <x v="94"/>
    <x v="679"/>
  </r>
  <r>
    <n v="1099628"/>
    <x v="258"/>
    <x v="5"/>
    <x v="96"/>
    <x v="680"/>
  </r>
  <r>
    <n v="1099628"/>
    <x v="258"/>
    <x v="5"/>
    <x v="95"/>
    <x v="681"/>
  </r>
  <r>
    <n v="1099628"/>
    <x v="258"/>
    <x v="5"/>
    <x v="91"/>
    <x v="682"/>
  </r>
  <r>
    <n v="1099628"/>
    <x v="1"/>
    <x v="1"/>
    <x v="2"/>
    <x v="2"/>
  </r>
  <r>
    <n v="1099629"/>
    <x v="259"/>
    <x v="5"/>
    <x v="412"/>
    <x v="182"/>
  </r>
  <r>
    <n v="1099629"/>
    <x v="259"/>
    <x v="5"/>
    <x v="86"/>
    <x v="683"/>
  </r>
  <r>
    <n v="1099629"/>
    <x v="259"/>
    <x v="5"/>
    <x v="85"/>
    <x v="684"/>
  </r>
  <r>
    <n v="1099629"/>
    <x v="259"/>
    <x v="5"/>
    <x v="397"/>
    <x v="321"/>
  </r>
  <r>
    <n v="1099629"/>
    <x v="259"/>
    <x v="5"/>
    <x v="407"/>
    <x v="96"/>
  </r>
  <r>
    <n v="1099629"/>
    <x v="259"/>
    <x v="5"/>
    <x v="402"/>
    <x v="685"/>
  </r>
  <r>
    <n v="1099629"/>
    <x v="1"/>
    <x v="1"/>
    <x v="2"/>
    <x v="2"/>
  </r>
  <r>
    <n v="1099632"/>
    <x v="260"/>
    <x v="7"/>
    <x v="109"/>
    <x v="131"/>
  </r>
  <r>
    <n v="1099632"/>
    <x v="260"/>
    <x v="7"/>
    <x v="108"/>
    <x v="130"/>
  </r>
  <r>
    <n v="1099632"/>
    <x v="1"/>
    <x v="1"/>
    <x v="2"/>
    <x v="2"/>
  </r>
  <r>
    <n v="1099635"/>
    <x v="261"/>
    <x v="9"/>
    <x v="272"/>
    <x v="2"/>
  </r>
  <r>
    <n v="1099635"/>
    <x v="1"/>
    <x v="1"/>
    <x v="2"/>
    <x v="2"/>
  </r>
  <r>
    <n v="1099636"/>
    <x v="262"/>
    <x v="2"/>
    <x v="167"/>
    <x v="2"/>
  </r>
  <r>
    <n v="1099636"/>
    <x v="1"/>
    <x v="1"/>
    <x v="2"/>
    <x v="2"/>
  </r>
  <r>
    <n v="1099638"/>
    <x v="263"/>
    <x v="10"/>
    <x v="330"/>
    <x v="2"/>
  </r>
  <r>
    <n v="1099638"/>
    <x v="1"/>
    <x v="1"/>
    <x v="2"/>
    <x v="2"/>
  </r>
  <r>
    <n v="1099639"/>
    <x v="264"/>
    <x v="3"/>
    <x v="6"/>
    <x v="233"/>
  </r>
  <r>
    <n v="1099639"/>
    <x v="264"/>
    <x v="3"/>
    <x v="14"/>
    <x v="402"/>
  </r>
  <r>
    <n v="1099639"/>
    <x v="264"/>
    <x v="3"/>
    <x v="346"/>
    <x v="233"/>
  </r>
  <r>
    <n v="1099639"/>
    <x v="264"/>
    <x v="3"/>
    <x v="352"/>
    <x v="219"/>
  </r>
  <r>
    <n v="1099639"/>
    <x v="264"/>
    <x v="3"/>
    <x v="344"/>
    <x v="404"/>
  </r>
  <r>
    <n v="1099639"/>
    <x v="264"/>
    <x v="3"/>
    <x v="349"/>
    <x v="407"/>
  </r>
  <r>
    <n v="1099639"/>
    <x v="264"/>
    <x v="3"/>
    <x v="337"/>
    <x v="413"/>
  </r>
  <r>
    <n v="1099639"/>
    <x v="264"/>
    <x v="3"/>
    <x v="342"/>
    <x v="227"/>
  </r>
  <r>
    <n v="1099639"/>
    <x v="264"/>
    <x v="3"/>
    <x v="8"/>
    <x v="180"/>
  </r>
  <r>
    <n v="1099639"/>
    <x v="264"/>
    <x v="3"/>
    <x v="332"/>
    <x v="410"/>
  </r>
  <r>
    <n v="1099639"/>
    <x v="264"/>
    <x v="3"/>
    <x v="339"/>
    <x v="414"/>
  </r>
  <r>
    <n v="1099639"/>
    <x v="264"/>
    <x v="3"/>
    <x v="11"/>
    <x v="228"/>
  </r>
  <r>
    <n v="1099639"/>
    <x v="264"/>
    <x v="3"/>
    <x v="348"/>
    <x v="123"/>
  </r>
  <r>
    <n v="1099639"/>
    <x v="264"/>
    <x v="3"/>
    <x v="336"/>
    <x v="412"/>
  </r>
  <r>
    <n v="1099639"/>
    <x v="264"/>
    <x v="3"/>
    <x v="9"/>
    <x v="380"/>
  </r>
  <r>
    <n v="1099639"/>
    <x v="264"/>
    <x v="3"/>
    <x v="10"/>
    <x v="405"/>
  </r>
  <r>
    <n v="1099639"/>
    <x v="264"/>
    <x v="3"/>
    <x v="331"/>
    <x v="48"/>
  </r>
  <r>
    <n v="1099639"/>
    <x v="264"/>
    <x v="3"/>
    <x v="338"/>
    <x v="404"/>
  </r>
  <r>
    <n v="1099639"/>
    <x v="264"/>
    <x v="3"/>
    <x v="345"/>
    <x v="408"/>
  </r>
  <r>
    <n v="1099639"/>
    <x v="264"/>
    <x v="3"/>
    <x v="351"/>
    <x v="406"/>
  </r>
  <r>
    <n v="1099639"/>
    <x v="264"/>
    <x v="3"/>
    <x v="12"/>
    <x v="3"/>
  </r>
  <r>
    <n v="1099639"/>
    <x v="264"/>
    <x v="3"/>
    <x v="347"/>
    <x v="409"/>
  </r>
  <r>
    <n v="1099639"/>
    <x v="264"/>
    <x v="3"/>
    <x v="335"/>
    <x v="415"/>
  </r>
  <r>
    <n v="1099639"/>
    <x v="264"/>
    <x v="3"/>
    <x v="5"/>
    <x v="346"/>
  </r>
  <r>
    <n v="1099639"/>
    <x v="264"/>
    <x v="3"/>
    <x v="7"/>
    <x v="406"/>
  </r>
  <r>
    <n v="1099639"/>
    <x v="264"/>
    <x v="3"/>
    <x v="13"/>
    <x v="407"/>
  </r>
  <r>
    <n v="1099639"/>
    <x v="264"/>
    <x v="3"/>
    <x v="333"/>
    <x v="409"/>
  </r>
  <r>
    <n v="1099639"/>
    <x v="264"/>
    <x v="3"/>
    <x v="350"/>
    <x v="53"/>
  </r>
  <r>
    <n v="1099639"/>
    <x v="264"/>
    <x v="3"/>
    <x v="340"/>
    <x v="400"/>
  </r>
  <r>
    <n v="1099639"/>
    <x v="264"/>
    <x v="3"/>
    <x v="343"/>
    <x v="401"/>
  </r>
  <r>
    <n v="1099639"/>
    <x v="264"/>
    <x v="3"/>
    <x v="15"/>
    <x v="403"/>
  </r>
  <r>
    <n v="1099639"/>
    <x v="264"/>
    <x v="3"/>
    <x v="334"/>
    <x v="411"/>
  </r>
  <r>
    <n v="1099639"/>
    <x v="1"/>
    <x v="1"/>
    <x v="2"/>
    <x v="2"/>
  </r>
  <r>
    <n v="1099641"/>
    <x v="265"/>
    <x v="13"/>
    <x v="422"/>
    <x v="512"/>
  </r>
  <r>
    <n v="1099641"/>
    <x v="265"/>
    <x v="13"/>
    <x v="421"/>
    <x v="511"/>
  </r>
  <r>
    <n v="1099641"/>
    <x v="1"/>
    <x v="1"/>
    <x v="2"/>
    <x v="2"/>
  </r>
  <r>
    <n v="1099644"/>
    <x v="266"/>
    <x v="2"/>
    <x v="353"/>
    <x v="2"/>
  </r>
  <r>
    <n v="1099644"/>
    <x v="1"/>
    <x v="1"/>
    <x v="2"/>
    <x v="2"/>
  </r>
  <r>
    <n v="1099648"/>
    <x v="267"/>
    <x v="12"/>
    <x v="382"/>
    <x v="399"/>
  </r>
  <r>
    <n v="1099648"/>
    <x v="267"/>
    <x v="12"/>
    <x v="380"/>
    <x v="397"/>
  </r>
  <r>
    <n v="1099648"/>
    <x v="267"/>
    <x v="12"/>
    <x v="379"/>
    <x v="396"/>
  </r>
  <r>
    <n v="1099648"/>
    <x v="267"/>
    <x v="12"/>
    <x v="378"/>
    <x v="395"/>
  </r>
  <r>
    <n v="1099648"/>
    <x v="267"/>
    <x v="12"/>
    <x v="381"/>
    <x v="398"/>
  </r>
  <r>
    <n v="1099648"/>
    <x v="1"/>
    <x v="1"/>
    <x v="2"/>
    <x v="2"/>
  </r>
  <r>
    <n v="1099649"/>
    <x v="268"/>
    <x v="3"/>
    <x v="5"/>
    <x v="516"/>
  </r>
  <r>
    <n v="1099649"/>
    <x v="268"/>
    <x v="3"/>
    <x v="235"/>
    <x v="173"/>
  </r>
  <r>
    <n v="1099649"/>
    <x v="268"/>
    <x v="3"/>
    <x v="239"/>
    <x v="119"/>
  </r>
  <r>
    <n v="1099649"/>
    <x v="268"/>
    <x v="3"/>
    <x v="218"/>
    <x v="84"/>
  </r>
  <r>
    <n v="1099649"/>
    <x v="268"/>
    <x v="3"/>
    <x v="14"/>
    <x v="175"/>
  </r>
  <r>
    <n v="1099649"/>
    <x v="268"/>
    <x v="3"/>
    <x v="343"/>
    <x v="80"/>
  </r>
  <r>
    <n v="1099649"/>
    <x v="268"/>
    <x v="3"/>
    <x v="226"/>
    <x v="517"/>
  </r>
  <r>
    <n v="1099649"/>
    <x v="268"/>
    <x v="3"/>
    <x v="245"/>
    <x v="212"/>
  </r>
  <r>
    <n v="1099649"/>
    <x v="268"/>
    <x v="3"/>
    <x v="141"/>
    <x v="153"/>
  </r>
  <r>
    <n v="1099649"/>
    <x v="268"/>
    <x v="3"/>
    <x v="157"/>
    <x v="514"/>
  </r>
  <r>
    <n v="1099649"/>
    <x v="268"/>
    <x v="3"/>
    <x v="143"/>
    <x v="221"/>
  </r>
  <r>
    <n v="1099649"/>
    <x v="268"/>
    <x v="3"/>
    <x v="155"/>
    <x v="518"/>
  </r>
  <r>
    <n v="1099649"/>
    <x v="268"/>
    <x v="3"/>
    <x v="217"/>
    <x v="201"/>
  </r>
  <r>
    <n v="1099649"/>
    <x v="268"/>
    <x v="3"/>
    <x v="11"/>
    <x v="145"/>
  </r>
  <r>
    <n v="1099649"/>
    <x v="268"/>
    <x v="3"/>
    <x v="229"/>
    <x v="513"/>
  </r>
  <r>
    <n v="1099649"/>
    <x v="268"/>
    <x v="3"/>
    <x v="318"/>
    <x v="232"/>
  </r>
  <r>
    <n v="1099649"/>
    <x v="268"/>
    <x v="3"/>
    <x v="10"/>
    <x v="364"/>
  </r>
  <r>
    <n v="1099649"/>
    <x v="268"/>
    <x v="3"/>
    <x v="8"/>
    <x v="62"/>
  </r>
  <r>
    <n v="1099649"/>
    <x v="268"/>
    <x v="3"/>
    <x v="237"/>
    <x v="519"/>
  </r>
  <r>
    <n v="1099649"/>
    <x v="268"/>
    <x v="3"/>
    <x v="251"/>
    <x v="98"/>
  </r>
  <r>
    <n v="1099649"/>
    <x v="268"/>
    <x v="3"/>
    <x v="342"/>
    <x v="145"/>
  </r>
  <r>
    <n v="1099649"/>
    <x v="268"/>
    <x v="3"/>
    <x v="15"/>
    <x v="441"/>
  </r>
  <r>
    <n v="1099649"/>
    <x v="268"/>
    <x v="3"/>
    <x v="152"/>
    <x v="347"/>
  </r>
  <r>
    <n v="1099649"/>
    <x v="268"/>
    <x v="3"/>
    <x v="228"/>
    <x v="515"/>
  </r>
  <r>
    <n v="1099649"/>
    <x v="268"/>
    <x v="3"/>
    <x v="313"/>
    <x v="520"/>
  </r>
  <r>
    <n v="1099649"/>
    <x v="268"/>
    <x v="3"/>
    <x v="315"/>
    <x v="368"/>
  </r>
  <r>
    <n v="1099649"/>
    <x v="268"/>
    <x v="3"/>
    <x v="9"/>
    <x v="147"/>
  </r>
  <r>
    <n v="1099649"/>
    <x v="268"/>
    <x v="3"/>
    <x v="150"/>
    <x v="150"/>
  </r>
  <r>
    <n v="1099649"/>
    <x v="268"/>
    <x v="3"/>
    <x v="240"/>
    <x v="82"/>
  </r>
  <r>
    <n v="1099649"/>
    <x v="268"/>
    <x v="3"/>
    <x v="344"/>
    <x v="84"/>
  </r>
  <r>
    <n v="1099649"/>
    <x v="268"/>
    <x v="3"/>
    <x v="246"/>
    <x v="392"/>
  </r>
  <r>
    <n v="1099649"/>
    <x v="1"/>
    <x v="1"/>
    <x v="2"/>
    <x v="2"/>
  </r>
  <r>
    <n v="1099650"/>
    <x v="269"/>
    <x v="2"/>
    <x v="276"/>
    <x v="2"/>
  </r>
  <r>
    <n v="1099650"/>
    <x v="1"/>
    <x v="1"/>
    <x v="2"/>
    <x v="2"/>
  </r>
  <r>
    <n v="1099651"/>
    <x v="270"/>
    <x v="2"/>
    <x v="276"/>
    <x v="2"/>
  </r>
  <r>
    <n v="1099651"/>
    <x v="1"/>
    <x v="1"/>
    <x v="2"/>
    <x v="2"/>
  </r>
  <r>
    <n v="1099653"/>
    <x v="271"/>
    <x v="5"/>
    <x v="276"/>
    <x v="2"/>
  </r>
  <r>
    <n v="1099653"/>
    <x v="1"/>
    <x v="1"/>
    <x v="2"/>
    <x v="2"/>
  </r>
  <r>
    <n v="1099654"/>
    <x v="272"/>
    <x v="2"/>
    <x v="276"/>
    <x v="2"/>
  </r>
  <r>
    <n v="1099654"/>
    <x v="1"/>
    <x v="1"/>
    <x v="2"/>
    <x v="2"/>
  </r>
  <r>
    <n v="1099655"/>
    <x v="273"/>
    <x v="2"/>
    <x v="78"/>
    <x v="235"/>
  </r>
  <r>
    <n v="1099655"/>
    <x v="273"/>
    <x v="2"/>
    <x v="84"/>
    <x v="232"/>
  </r>
  <r>
    <n v="1099655"/>
    <x v="273"/>
    <x v="2"/>
    <x v="76"/>
    <x v="231"/>
  </r>
  <r>
    <n v="1099655"/>
    <x v="273"/>
    <x v="2"/>
    <x v="68"/>
    <x v="230"/>
  </r>
  <r>
    <n v="1099655"/>
    <x v="273"/>
    <x v="2"/>
    <x v="56"/>
    <x v="228"/>
  </r>
  <r>
    <n v="1099655"/>
    <x v="273"/>
    <x v="2"/>
    <x v="60"/>
    <x v="229"/>
  </r>
  <r>
    <n v="1099655"/>
    <x v="273"/>
    <x v="2"/>
    <x v="61"/>
    <x v="234"/>
  </r>
  <r>
    <n v="1099655"/>
    <x v="273"/>
    <x v="2"/>
    <x v="77"/>
    <x v="236"/>
  </r>
  <r>
    <n v="1099655"/>
    <x v="273"/>
    <x v="2"/>
    <x v="70"/>
    <x v="197"/>
  </r>
  <r>
    <n v="1099655"/>
    <x v="273"/>
    <x v="2"/>
    <x v="75"/>
    <x v="173"/>
  </r>
  <r>
    <n v="1099655"/>
    <x v="273"/>
    <x v="2"/>
    <x v="65"/>
    <x v="98"/>
  </r>
  <r>
    <n v="1099655"/>
    <x v="273"/>
    <x v="2"/>
    <x v="58"/>
    <x v="233"/>
  </r>
  <r>
    <n v="1099655"/>
    <x v="273"/>
    <x v="2"/>
    <x v="82"/>
    <x v="162"/>
  </r>
  <r>
    <n v="1099655"/>
    <x v="273"/>
    <x v="2"/>
    <x v="62"/>
    <x v="153"/>
  </r>
  <r>
    <n v="1099655"/>
    <x v="273"/>
    <x v="2"/>
    <x v="66"/>
    <x v="231"/>
  </r>
  <r>
    <n v="1099655"/>
    <x v="273"/>
    <x v="2"/>
    <x v="79"/>
    <x v="227"/>
  </r>
  <r>
    <n v="1099655"/>
    <x v="273"/>
    <x v="2"/>
    <x v="71"/>
    <x v="111"/>
  </r>
  <r>
    <n v="1099655"/>
    <x v="273"/>
    <x v="2"/>
    <x v="74"/>
    <x v="51"/>
  </r>
  <r>
    <n v="1099655"/>
    <x v="273"/>
    <x v="2"/>
    <x v="63"/>
    <x v="97"/>
  </r>
  <r>
    <n v="1099655"/>
    <x v="1"/>
    <x v="1"/>
    <x v="2"/>
    <x v="2"/>
  </r>
  <r>
    <n v="1099658"/>
    <x v="274"/>
    <x v="2"/>
    <x v="77"/>
    <x v="184"/>
  </r>
  <r>
    <n v="1099658"/>
    <x v="274"/>
    <x v="2"/>
    <x v="78"/>
    <x v="183"/>
  </r>
  <r>
    <n v="1099658"/>
    <x v="274"/>
    <x v="2"/>
    <x v="82"/>
    <x v="185"/>
  </r>
  <r>
    <n v="1099658"/>
    <x v="1"/>
    <x v="1"/>
    <x v="2"/>
    <x v="2"/>
  </r>
  <r>
    <n v="1099660"/>
    <x v="275"/>
    <x v="5"/>
    <x v="167"/>
    <x v="2"/>
  </r>
  <r>
    <n v="1099660"/>
    <x v="1"/>
    <x v="1"/>
    <x v="2"/>
    <x v="2"/>
  </r>
  <r>
    <n v="1099661"/>
    <x v="276"/>
    <x v="5"/>
    <x v="50"/>
    <x v="291"/>
  </r>
  <r>
    <n v="1099661"/>
    <x v="276"/>
    <x v="5"/>
    <x v="53"/>
    <x v="290"/>
  </r>
  <r>
    <n v="1099661"/>
    <x v="276"/>
    <x v="5"/>
    <x v="48"/>
    <x v="287"/>
  </r>
  <r>
    <n v="1099661"/>
    <x v="276"/>
    <x v="5"/>
    <x v="47"/>
    <x v="288"/>
  </r>
  <r>
    <n v="1099661"/>
    <x v="276"/>
    <x v="5"/>
    <x v="49"/>
    <x v="289"/>
  </r>
  <r>
    <n v="1099661"/>
    <x v="1"/>
    <x v="1"/>
    <x v="2"/>
    <x v="2"/>
  </r>
  <r>
    <n v="1099666"/>
    <x v="277"/>
    <x v="6"/>
    <x v="432"/>
    <x v="448"/>
  </r>
  <r>
    <n v="1099666"/>
    <x v="277"/>
    <x v="6"/>
    <x v="435"/>
    <x v="441"/>
  </r>
  <r>
    <n v="1099666"/>
    <x v="277"/>
    <x v="6"/>
    <x v="437"/>
    <x v="584"/>
  </r>
  <r>
    <n v="1099666"/>
    <x v="277"/>
    <x v="6"/>
    <x v="434"/>
    <x v="586"/>
  </r>
  <r>
    <n v="1099666"/>
    <x v="277"/>
    <x v="6"/>
    <x v="428"/>
    <x v="589"/>
  </r>
  <r>
    <n v="1099666"/>
    <x v="277"/>
    <x v="6"/>
    <x v="431"/>
    <x v="588"/>
  </r>
  <r>
    <n v="1099666"/>
    <x v="277"/>
    <x v="6"/>
    <x v="436"/>
    <x v="587"/>
  </r>
  <r>
    <n v="1099666"/>
    <x v="277"/>
    <x v="6"/>
    <x v="429"/>
    <x v="585"/>
  </r>
  <r>
    <n v="1099666"/>
    <x v="277"/>
    <x v="6"/>
    <x v="433"/>
    <x v="368"/>
  </r>
  <r>
    <n v="1099666"/>
    <x v="277"/>
    <x v="6"/>
    <x v="430"/>
    <x v="590"/>
  </r>
  <r>
    <n v="1099666"/>
    <x v="1"/>
    <x v="1"/>
    <x v="2"/>
    <x v="2"/>
  </r>
  <r>
    <n v="1099670"/>
    <x v="278"/>
    <x v="0"/>
    <x v="449"/>
    <x v="2"/>
  </r>
  <r>
    <n v="1099670"/>
    <x v="1"/>
    <x v="1"/>
    <x v="2"/>
    <x v="2"/>
  </r>
  <r>
    <n v="1099672"/>
    <x v="279"/>
    <x v="5"/>
    <x v="307"/>
    <x v="285"/>
  </r>
  <r>
    <n v="1099672"/>
    <x v="279"/>
    <x v="5"/>
    <x v="306"/>
    <x v="284"/>
  </r>
  <r>
    <n v="1099672"/>
    <x v="279"/>
    <x v="5"/>
    <x v="308"/>
    <x v="286"/>
  </r>
  <r>
    <n v="1099672"/>
    <x v="1"/>
    <x v="1"/>
    <x v="2"/>
    <x v="2"/>
  </r>
  <r>
    <n v="1099675"/>
    <x v="280"/>
    <x v="7"/>
    <x v="321"/>
    <x v="432"/>
  </r>
  <r>
    <n v="1099675"/>
    <x v="280"/>
    <x v="7"/>
    <x v="326"/>
    <x v="431"/>
  </r>
  <r>
    <n v="1099675"/>
    <x v="1"/>
    <x v="1"/>
    <x v="2"/>
    <x v="2"/>
  </r>
  <r>
    <n v="1099677"/>
    <x v="281"/>
    <x v="6"/>
    <x v="167"/>
    <x v="2"/>
  </r>
  <r>
    <n v="1099677"/>
    <x v="1"/>
    <x v="1"/>
    <x v="2"/>
    <x v="2"/>
  </r>
  <r>
    <n v="1099678"/>
    <x v="282"/>
    <x v="6"/>
    <x v="422"/>
    <x v="198"/>
  </r>
  <r>
    <n v="1099678"/>
    <x v="282"/>
    <x v="6"/>
    <x v="158"/>
    <x v="204"/>
  </r>
  <r>
    <n v="1099678"/>
    <x v="282"/>
    <x v="6"/>
    <x v="14"/>
    <x v="198"/>
  </r>
  <r>
    <n v="1099678"/>
    <x v="282"/>
    <x v="6"/>
    <x v="10"/>
    <x v="348"/>
  </r>
  <r>
    <n v="1099678"/>
    <x v="282"/>
    <x v="6"/>
    <x v="253"/>
    <x v="348"/>
  </r>
  <r>
    <n v="1099678"/>
    <x v="282"/>
    <x v="6"/>
    <x v="348"/>
    <x v="351"/>
  </r>
  <r>
    <n v="1099678"/>
    <x v="282"/>
    <x v="6"/>
    <x v="334"/>
    <x v="178"/>
  </r>
  <r>
    <n v="1099678"/>
    <x v="282"/>
    <x v="6"/>
    <x v="336"/>
    <x v="535"/>
  </r>
  <r>
    <n v="1099678"/>
    <x v="282"/>
    <x v="6"/>
    <x v="160"/>
    <x v="535"/>
  </r>
  <r>
    <n v="1099678"/>
    <x v="282"/>
    <x v="6"/>
    <x v="124"/>
    <x v="535"/>
  </r>
  <r>
    <n v="1099678"/>
    <x v="282"/>
    <x v="6"/>
    <x v="129"/>
    <x v="516"/>
  </r>
  <r>
    <n v="1099678"/>
    <x v="282"/>
    <x v="6"/>
    <x v="135"/>
    <x v="516"/>
  </r>
  <r>
    <n v="1099678"/>
    <x v="282"/>
    <x v="6"/>
    <x v="142"/>
    <x v="348"/>
  </r>
  <r>
    <n v="1099678"/>
    <x v="282"/>
    <x v="6"/>
    <x v="147"/>
    <x v="516"/>
  </r>
  <r>
    <n v="1099678"/>
    <x v="282"/>
    <x v="6"/>
    <x v="152"/>
    <x v="516"/>
  </r>
  <r>
    <n v="1099678"/>
    <x v="282"/>
    <x v="6"/>
    <x v="258"/>
    <x v="516"/>
  </r>
  <r>
    <n v="1099678"/>
    <x v="282"/>
    <x v="6"/>
    <x v="262"/>
    <x v="535"/>
  </r>
  <r>
    <n v="1099678"/>
    <x v="282"/>
    <x v="6"/>
    <x v="204"/>
    <x v="516"/>
  </r>
  <r>
    <n v="1099678"/>
    <x v="282"/>
    <x v="6"/>
    <x v="250"/>
    <x v="516"/>
  </r>
  <r>
    <n v="1099678"/>
    <x v="282"/>
    <x v="6"/>
    <x v="213"/>
    <x v="348"/>
  </r>
  <r>
    <n v="1099678"/>
    <x v="282"/>
    <x v="6"/>
    <x v="139"/>
    <x v="351"/>
  </r>
  <r>
    <n v="1099678"/>
    <x v="282"/>
    <x v="6"/>
    <x v="224"/>
    <x v="154"/>
  </r>
  <r>
    <n v="1099678"/>
    <x v="282"/>
    <x v="6"/>
    <x v="227"/>
    <x v="170"/>
  </r>
  <r>
    <n v="1099678"/>
    <x v="282"/>
    <x v="6"/>
    <x v="232"/>
    <x v="346"/>
  </r>
  <r>
    <n v="1099678"/>
    <x v="282"/>
    <x v="6"/>
    <x v="237"/>
    <x v="214"/>
  </r>
  <r>
    <n v="1099678"/>
    <x v="282"/>
    <x v="6"/>
    <x v="240"/>
    <x v="516"/>
  </r>
  <r>
    <n v="1099678"/>
    <x v="282"/>
    <x v="6"/>
    <x v="244"/>
    <x v="198"/>
  </r>
  <r>
    <n v="1099678"/>
    <x v="282"/>
    <x v="6"/>
    <x v="248"/>
    <x v="516"/>
  </r>
  <r>
    <n v="1099678"/>
    <x v="282"/>
    <x v="6"/>
    <x v="314"/>
    <x v="516"/>
  </r>
  <r>
    <n v="1099678"/>
    <x v="282"/>
    <x v="6"/>
    <x v="178"/>
    <x v="516"/>
  </r>
  <r>
    <n v="1099678"/>
    <x v="282"/>
    <x v="6"/>
    <x v="179"/>
    <x v="516"/>
  </r>
  <r>
    <n v="1099678"/>
    <x v="282"/>
    <x v="6"/>
    <x v="180"/>
    <x v="346"/>
  </r>
  <r>
    <n v="1099678"/>
    <x v="282"/>
    <x v="6"/>
    <x v="181"/>
    <x v="346"/>
  </r>
  <r>
    <n v="1099678"/>
    <x v="282"/>
    <x v="6"/>
    <x v="182"/>
    <x v="3"/>
  </r>
  <r>
    <n v="1099678"/>
    <x v="282"/>
    <x v="6"/>
    <x v="183"/>
    <x v="516"/>
  </r>
  <r>
    <n v="1099678"/>
    <x v="282"/>
    <x v="6"/>
    <x v="33"/>
    <x v="168"/>
  </r>
  <r>
    <n v="1099678"/>
    <x v="282"/>
    <x v="6"/>
    <x v="24"/>
    <x v="346"/>
  </r>
  <r>
    <n v="1099678"/>
    <x v="282"/>
    <x v="6"/>
    <x v="32"/>
    <x v="42"/>
  </r>
  <r>
    <n v="1099678"/>
    <x v="282"/>
    <x v="6"/>
    <x v="39"/>
    <x v="64"/>
  </r>
  <r>
    <n v="1099678"/>
    <x v="282"/>
    <x v="6"/>
    <x v="37"/>
    <x v="24"/>
  </r>
  <r>
    <n v="1099678"/>
    <x v="282"/>
    <x v="6"/>
    <x v="16"/>
    <x v="542"/>
  </r>
  <r>
    <n v="1099678"/>
    <x v="282"/>
    <x v="6"/>
    <x v="108"/>
    <x v="105"/>
  </r>
  <r>
    <n v="1099678"/>
    <x v="282"/>
    <x v="6"/>
    <x v="78"/>
    <x v="614"/>
  </r>
  <r>
    <n v="1099678"/>
    <x v="282"/>
    <x v="6"/>
    <x v="202"/>
    <x v="61"/>
  </r>
  <r>
    <n v="1099678"/>
    <x v="282"/>
    <x v="6"/>
    <x v="75"/>
    <x v="83"/>
  </r>
  <r>
    <n v="1099678"/>
    <x v="282"/>
    <x v="6"/>
    <x v="63"/>
    <x v="535"/>
  </r>
  <r>
    <n v="1099678"/>
    <x v="282"/>
    <x v="6"/>
    <x v="199"/>
    <x v="543"/>
  </r>
  <r>
    <n v="1099678"/>
    <x v="282"/>
    <x v="6"/>
    <x v="55"/>
    <x v="351"/>
  </r>
  <r>
    <n v="1099678"/>
    <x v="282"/>
    <x v="6"/>
    <x v="387"/>
    <x v="220"/>
  </r>
  <r>
    <n v="1099678"/>
    <x v="282"/>
    <x v="6"/>
    <x v="53"/>
    <x v="97"/>
  </r>
  <r>
    <n v="1099678"/>
    <x v="282"/>
    <x v="6"/>
    <x v="275"/>
    <x v="69"/>
  </r>
  <r>
    <n v="1099678"/>
    <x v="282"/>
    <x v="6"/>
    <x v="21"/>
    <x v="516"/>
  </r>
  <r>
    <n v="1099678"/>
    <x v="282"/>
    <x v="6"/>
    <x v="397"/>
    <x v="178"/>
  </r>
  <r>
    <n v="1099678"/>
    <x v="282"/>
    <x v="6"/>
    <x v="49"/>
    <x v="348"/>
  </r>
  <r>
    <n v="1099678"/>
    <x v="282"/>
    <x v="6"/>
    <x v="86"/>
    <x v="37"/>
  </r>
  <r>
    <n v="1099678"/>
    <x v="282"/>
    <x v="6"/>
    <x v="198"/>
    <x v="4"/>
  </r>
  <r>
    <n v="1099678"/>
    <x v="282"/>
    <x v="6"/>
    <x v="355"/>
    <x v="198"/>
  </r>
  <r>
    <n v="1099678"/>
    <x v="282"/>
    <x v="6"/>
    <x v="415"/>
    <x v="198"/>
  </r>
  <r>
    <n v="1099678"/>
    <x v="282"/>
    <x v="6"/>
    <x v="311"/>
    <x v="83"/>
  </r>
  <r>
    <n v="1099678"/>
    <x v="282"/>
    <x v="6"/>
    <x v="278"/>
    <x v="179"/>
  </r>
  <r>
    <n v="1099678"/>
    <x v="282"/>
    <x v="6"/>
    <x v="416"/>
    <x v="161"/>
  </r>
  <r>
    <n v="1099678"/>
    <x v="282"/>
    <x v="6"/>
    <x v="359"/>
    <x v="348"/>
  </r>
  <r>
    <n v="1099678"/>
    <x v="282"/>
    <x v="6"/>
    <x v="90"/>
    <x v="348"/>
  </r>
  <r>
    <n v="1099678"/>
    <x v="282"/>
    <x v="6"/>
    <x v="268"/>
    <x v="348"/>
  </r>
  <r>
    <n v="1099678"/>
    <x v="282"/>
    <x v="6"/>
    <x v="442"/>
    <x v="178"/>
  </r>
  <r>
    <n v="1099678"/>
    <x v="282"/>
    <x v="6"/>
    <x v="367"/>
    <x v="535"/>
  </r>
  <r>
    <n v="1099678"/>
    <x v="282"/>
    <x v="6"/>
    <x v="370"/>
    <x v="351"/>
  </r>
  <r>
    <n v="1099678"/>
    <x v="282"/>
    <x v="6"/>
    <x v="92"/>
    <x v="185"/>
  </r>
  <r>
    <n v="1099678"/>
    <x v="282"/>
    <x v="6"/>
    <x v="116"/>
    <x v="88"/>
  </r>
  <r>
    <n v="1099678"/>
    <x v="282"/>
    <x v="6"/>
    <x v="114"/>
    <x v="516"/>
  </r>
  <r>
    <n v="1099678"/>
    <x v="282"/>
    <x v="6"/>
    <x v="410"/>
    <x v="178"/>
  </r>
  <r>
    <n v="1099678"/>
    <x v="282"/>
    <x v="6"/>
    <x v="329"/>
    <x v="164"/>
  </r>
  <r>
    <n v="1099678"/>
    <x v="282"/>
    <x v="6"/>
    <x v="118"/>
    <x v="98"/>
  </r>
  <r>
    <n v="1099678"/>
    <x v="282"/>
    <x v="6"/>
    <x v="85"/>
    <x v="182"/>
  </r>
  <r>
    <n v="1099678"/>
    <x v="282"/>
    <x v="6"/>
    <x v="376"/>
    <x v="348"/>
  </r>
  <r>
    <n v="1099678"/>
    <x v="282"/>
    <x v="6"/>
    <x v="407"/>
    <x v="178"/>
  </r>
  <r>
    <n v="1099678"/>
    <x v="282"/>
    <x v="6"/>
    <x v="382"/>
    <x v="376"/>
  </r>
  <r>
    <n v="1099678"/>
    <x v="282"/>
    <x v="6"/>
    <x v="295"/>
    <x v="24"/>
  </r>
  <r>
    <n v="1099678"/>
    <x v="282"/>
    <x v="6"/>
    <x v="429"/>
    <x v="170"/>
  </r>
  <r>
    <n v="1099678"/>
    <x v="282"/>
    <x v="6"/>
    <x v="297"/>
    <x v="198"/>
  </r>
  <r>
    <n v="1099678"/>
    <x v="282"/>
    <x v="6"/>
    <x v="293"/>
    <x v="200"/>
  </r>
  <r>
    <n v="1099678"/>
    <x v="282"/>
    <x v="6"/>
    <x v="101"/>
    <x v="88"/>
  </r>
  <r>
    <n v="1099678"/>
    <x v="282"/>
    <x v="6"/>
    <x v="384"/>
    <x v="395"/>
  </r>
  <r>
    <n v="1099678"/>
    <x v="282"/>
    <x v="6"/>
    <x v="330"/>
    <x v="401"/>
  </r>
  <r>
    <n v="1099678"/>
    <x v="282"/>
    <x v="6"/>
    <x v="342"/>
    <x v="351"/>
  </r>
  <r>
    <n v="1099678"/>
    <x v="282"/>
    <x v="6"/>
    <x v="11"/>
    <x v="351"/>
  </r>
  <r>
    <n v="1099678"/>
    <x v="282"/>
    <x v="6"/>
    <x v="6"/>
    <x v="516"/>
  </r>
  <r>
    <n v="1099678"/>
    <x v="282"/>
    <x v="6"/>
    <x v="346"/>
    <x v="516"/>
  </r>
  <r>
    <n v="1099678"/>
    <x v="282"/>
    <x v="6"/>
    <x v="332"/>
    <x v="178"/>
  </r>
  <r>
    <n v="1099678"/>
    <x v="282"/>
    <x v="6"/>
    <x v="352"/>
    <x v="516"/>
  </r>
  <r>
    <n v="1099678"/>
    <x v="282"/>
    <x v="6"/>
    <x v="339"/>
    <x v="351"/>
  </r>
  <r>
    <n v="1099678"/>
    <x v="282"/>
    <x v="6"/>
    <x v="154"/>
    <x v="535"/>
  </r>
  <r>
    <n v="1099678"/>
    <x v="282"/>
    <x v="6"/>
    <x v="127"/>
    <x v="516"/>
  </r>
  <r>
    <n v="1099678"/>
    <x v="282"/>
    <x v="6"/>
    <x v="133"/>
    <x v="351"/>
  </r>
  <r>
    <n v="1099678"/>
    <x v="282"/>
    <x v="6"/>
    <x v="138"/>
    <x v="535"/>
  </r>
  <r>
    <n v="1099678"/>
    <x v="282"/>
    <x v="6"/>
    <x v="145"/>
    <x v="535"/>
  </r>
  <r>
    <n v="1099678"/>
    <x v="282"/>
    <x v="6"/>
    <x v="150"/>
    <x v="170"/>
  </r>
  <r>
    <n v="1099678"/>
    <x v="282"/>
    <x v="6"/>
    <x v="256"/>
    <x v="88"/>
  </r>
  <r>
    <n v="1099678"/>
    <x v="282"/>
    <x v="6"/>
    <x v="261"/>
    <x v="351"/>
  </r>
  <r>
    <n v="1099678"/>
    <x v="282"/>
    <x v="6"/>
    <x v="316"/>
    <x v="82"/>
  </r>
  <r>
    <n v="1099678"/>
    <x v="282"/>
    <x v="6"/>
    <x v="207"/>
    <x v="346"/>
  </r>
  <r>
    <n v="1099678"/>
    <x v="282"/>
    <x v="6"/>
    <x v="211"/>
    <x v="535"/>
  </r>
  <r>
    <n v="1099678"/>
    <x v="282"/>
    <x v="6"/>
    <x v="216"/>
    <x v="178"/>
  </r>
  <r>
    <n v="1099678"/>
    <x v="282"/>
    <x v="6"/>
    <x v="222"/>
    <x v="170"/>
  </r>
  <r>
    <n v="1099678"/>
    <x v="282"/>
    <x v="6"/>
    <x v="383"/>
    <x v="34"/>
  </r>
  <r>
    <n v="1099678"/>
    <x v="282"/>
    <x v="6"/>
    <x v="230"/>
    <x v="170"/>
  </r>
  <r>
    <n v="1099678"/>
    <x v="282"/>
    <x v="6"/>
    <x v="235"/>
    <x v="348"/>
  </r>
  <r>
    <n v="1099678"/>
    <x v="282"/>
    <x v="6"/>
    <x v="156"/>
    <x v="254"/>
  </r>
  <r>
    <n v="1099678"/>
    <x v="282"/>
    <x v="6"/>
    <x v="242"/>
    <x v="178"/>
  </r>
  <r>
    <n v="1099678"/>
    <x v="282"/>
    <x v="6"/>
    <x v="246"/>
    <x v="178"/>
  </r>
  <r>
    <n v="1099678"/>
    <x v="282"/>
    <x v="6"/>
    <x v="219"/>
    <x v="170"/>
  </r>
  <r>
    <n v="1099678"/>
    <x v="282"/>
    <x v="6"/>
    <x v="220"/>
    <x v="351"/>
  </r>
  <r>
    <n v="1099678"/>
    <x v="282"/>
    <x v="6"/>
    <x v="185"/>
    <x v="3"/>
  </r>
  <r>
    <n v="1099678"/>
    <x v="282"/>
    <x v="6"/>
    <x v="169"/>
    <x v="535"/>
  </r>
  <r>
    <n v="1099678"/>
    <x v="282"/>
    <x v="6"/>
    <x v="170"/>
    <x v="535"/>
  </r>
  <r>
    <n v="1099678"/>
    <x v="282"/>
    <x v="6"/>
    <x v="171"/>
    <x v="535"/>
  </r>
  <r>
    <n v="1099678"/>
    <x v="282"/>
    <x v="6"/>
    <x v="172"/>
    <x v="198"/>
  </r>
  <r>
    <n v="1099678"/>
    <x v="282"/>
    <x v="6"/>
    <x v="165"/>
    <x v="475"/>
  </r>
  <r>
    <n v="1099678"/>
    <x v="282"/>
    <x v="6"/>
    <x v="1"/>
    <x v="613"/>
  </r>
  <r>
    <n v="1099678"/>
    <x v="282"/>
    <x v="6"/>
    <x v="43"/>
    <x v="535"/>
  </r>
  <r>
    <n v="1099678"/>
    <x v="282"/>
    <x v="6"/>
    <x v="27"/>
    <x v="82"/>
  </r>
  <r>
    <n v="1099678"/>
    <x v="282"/>
    <x v="6"/>
    <x v="30"/>
    <x v="238"/>
  </r>
  <r>
    <n v="1099678"/>
    <x v="282"/>
    <x v="6"/>
    <x v="391"/>
    <x v="383"/>
  </r>
  <r>
    <n v="1099678"/>
    <x v="282"/>
    <x v="6"/>
    <x v="319"/>
    <x v="85"/>
  </r>
  <r>
    <n v="1099678"/>
    <x v="282"/>
    <x v="6"/>
    <x v="327"/>
    <x v="179"/>
  </r>
  <r>
    <n v="1099678"/>
    <x v="282"/>
    <x v="6"/>
    <x v="321"/>
    <x v="162"/>
  </r>
  <r>
    <n v="1099678"/>
    <x v="282"/>
    <x v="6"/>
    <x v="390"/>
    <x v="156"/>
  </r>
  <r>
    <n v="1099678"/>
    <x v="282"/>
    <x v="6"/>
    <x v="82"/>
    <x v="178"/>
  </r>
  <r>
    <n v="1099678"/>
    <x v="282"/>
    <x v="6"/>
    <x v="200"/>
    <x v="98"/>
  </r>
  <r>
    <n v="1099678"/>
    <x v="282"/>
    <x v="6"/>
    <x v="68"/>
    <x v="88"/>
  </r>
  <r>
    <n v="1099678"/>
    <x v="282"/>
    <x v="6"/>
    <x v="62"/>
    <x v="351"/>
  </r>
  <r>
    <n v="1099678"/>
    <x v="282"/>
    <x v="6"/>
    <x v="56"/>
    <x v="151"/>
  </r>
  <r>
    <n v="1099678"/>
    <x v="282"/>
    <x v="6"/>
    <x v="57"/>
    <x v="199"/>
  </r>
  <r>
    <n v="1099678"/>
    <x v="282"/>
    <x v="6"/>
    <x v="420"/>
    <x v="85"/>
  </r>
  <r>
    <n v="1099678"/>
    <x v="282"/>
    <x v="6"/>
    <x v="425"/>
    <x v="348"/>
  </r>
  <r>
    <n v="1099678"/>
    <x v="282"/>
    <x v="6"/>
    <x v="303"/>
    <x v="220"/>
  </r>
  <r>
    <n v="1099678"/>
    <x v="282"/>
    <x v="6"/>
    <x v="400"/>
    <x v="535"/>
  </r>
  <r>
    <n v="1099678"/>
    <x v="282"/>
    <x v="6"/>
    <x v="20"/>
    <x v="351"/>
  </r>
  <r>
    <n v="1099678"/>
    <x v="282"/>
    <x v="6"/>
    <x v="18"/>
    <x v="535"/>
  </r>
  <r>
    <n v="1099678"/>
    <x v="282"/>
    <x v="6"/>
    <x v="197"/>
    <x v="211"/>
  </r>
  <r>
    <n v="1099678"/>
    <x v="282"/>
    <x v="6"/>
    <x v="22"/>
    <x v="348"/>
  </r>
  <r>
    <n v="1099678"/>
    <x v="282"/>
    <x v="6"/>
    <x v="50"/>
    <x v="348"/>
  </r>
  <r>
    <n v="1099678"/>
    <x v="282"/>
    <x v="6"/>
    <x v="98"/>
    <x v="346"/>
  </r>
  <r>
    <n v="1099678"/>
    <x v="282"/>
    <x v="6"/>
    <x v="398"/>
    <x v="516"/>
  </r>
  <r>
    <n v="1099678"/>
    <x v="282"/>
    <x v="6"/>
    <x v="406"/>
    <x v="535"/>
  </r>
  <r>
    <n v="1099678"/>
    <x v="282"/>
    <x v="6"/>
    <x v="97"/>
    <x v="69"/>
  </r>
  <r>
    <n v="1099678"/>
    <x v="282"/>
    <x v="6"/>
    <x v="362"/>
    <x v="170"/>
  </r>
  <r>
    <n v="1099678"/>
    <x v="282"/>
    <x v="6"/>
    <x v="443"/>
    <x v="161"/>
  </r>
  <r>
    <n v="1099678"/>
    <x v="282"/>
    <x v="6"/>
    <x v="365"/>
    <x v="516"/>
  </r>
  <r>
    <n v="1099678"/>
    <x v="282"/>
    <x v="6"/>
    <x v="444"/>
    <x v="516"/>
  </r>
  <r>
    <n v="1099678"/>
    <x v="282"/>
    <x v="6"/>
    <x v="372"/>
    <x v="198"/>
  </r>
  <r>
    <n v="1099678"/>
    <x v="282"/>
    <x v="6"/>
    <x v="44"/>
    <x v="351"/>
  </r>
  <r>
    <n v="1099678"/>
    <x v="282"/>
    <x v="6"/>
    <x v="112"/>
    <x v="348"/>
  </r>
  <r>
    <n v="1099678"/>
    <x v="282"/>
    <x v="6"/>
    <x v="312"/>
    <x v="154"/>
  </r>
  <r>
    <n v="1099678"/>
    <x v="282"/>
    <x v="6"/>
    <x v="273"/>
    <x v="170"/>
  </r>
  <r>
    <n v="1099678"/>
    <x v="282"/>
    <x v="6"/>
    <x v="411"/>
    <x v="346"/>
  </r>
  <r>
    <n v="1099678"/>
    <x v="282"/>
    <x v="6"/>
    <x v="286"/>
    <x v="24"/>
  </r>
  <r>
    <n v="1099678"/>
    <x v="282"/>
    <x v="6"/>
    <x v="304"/>
    <x v="88"/>
  </r>
  <r>
    <n v="1099678"/>
    <x v="282"/>
    <x v="6"/>
    <x v="269"/>
    <x v="105"/>
  </r>
  <r>
    <n v="1099678"/>
    <x v="282"/>
    <x v="6"/>
    <x v="121"/>
    <x v="178"/>
  </r>
  <r>
    <n v="1099678"/>
    <x v="282"/>
    <x v="6"/>
    <x v="380"/>
    <x v="198"/>
  </r>
  <r>
    <n v="1099678"/>
    <x v="282"/>
    <x v="6"/>
    <x v="437"/>
    <x v="154"/>
  </r>
  <r>
    <n v="1099678"/>
    <x v="282"/>
    <x v="6"/>
    <x v="434"/>
    <x v="83"/>
  </r>
  <r>
    <n v="1099678"/>
    <x v="282"/>
    <x v="6"/>
    <x v="431"/>
    <x v="161"/>
  </r>
  <r>
    <n v="1099678"/>
    <x v="282"/>
    <x v="6"/>
    <x v="432"/>
    <x v="4"/>
  </r>
  <r>
    <n v="1099678"/>
    <x v="282"/>
    <x v="6"/>
    <x v="433"/>
    <x v="351"/>
  </r>
  <r>
    <n v="1099678"/>
    <x v="282"/>
    <x v="6"/>
    <x v="104"/>
    <x v="170"/>
  </r>
  <r>
    <n v="1099678"/>
    <x v="282"/>
    <x v="6"/>
    <x v="238"/>
    <x v="214"/>
  </r>
  <r>
    <n v="1099678"/>
    <x v="282"/>
    <x v="6"/>
    <x v="272"/>
    <x v="226"/>
  </r>
  <r>
    <n v="1099678"/>
    <x v="282"/>
    <x v="6"/>
    <x v="245"/>
    <x v="346"/>
  </r>
  <r>
    <n v="1099678"/>
    <x v="282"/>
    <x v="6"/>
    <x v="217"/>
    <x v="348"/>
  </r>
  <r>
    <n v="1099678"/>
    <x v="282"/>
    <x v="6"/>
    <x v="318"/>
    <x v="346"/>
  </r>
  <r>
    <n v="1099678"/>
    <x v="282"/>
    <x v="6"/>
    <x v="195"/>
    <x v="516"/>
  </r>
  <r>
    <n v="1099678"/>
    <x v="282"/>
    <x v="6"/>
    <x v="193"/>
    <x v="348"/>
  </r>
  <r>
    <n v="1099678"/>
    <x v="282"/>
    <x v="6"/>
    <x v="192"/>
    <x v="516"/>
  </r>
  <r>
    <n v="1099678"/>
    <x v="282"/>
    <x v="6"/>
    <x v="191"/>
    <x v="535"/>
  </r>
  <r>
    <n v="1099678"/>
    <x v="282"/>
    <x v="6"/>
    <x v="190"/>
    <x v="178"/>
  </r>
  <r>
    <n v="1099678"/>
    <x v="282"/>
    <x v="6"/>
    <x v="189"/>
    <x v="535"/>
  </r>
  <r>
    <n v="1099678"/>
    <x v="282"/>
    <x v="6"/>
    <x v="28"/>
    <x v="145"/>
  </r>
  <r>
    <n v="1099678"/>
    <x v="282"/>
    <x v="6"/>
    <x v="40"/>
    <x v="346"/>
  </r>
  <r>
    <n v="1099678"/>
    <x v="282"/>
    <x v="6"/>
    <x v="29"/>
    <x v="97"/>
  </r>
  <r>
    <n v="1099678"/>
    <x v="282"/>
    <x v="6"/>
    <x v="25"/>
    <x v="347"/>
  </r>
  <r>
    <n v="1099678"/>
    <x v="282"/>
    <x v="6"/>
    <x v="31"/>
    <x v="144"/>
  </r>
  <r>
    <n v="1099678"/>
    <x v="282"/>
    <x v="6"/>
    <x v="17"/>
    <x v="544"/>
  </r>
  <r>
    <n v="1099678"/>
    <x v="282"/>
    <x v="6"/>
    <x v="323"/>
    <x v="153"/>
  </r>
  <r>
    <n v="1099678"/>
    <x v="282"/>
    <x v="6"/>
    <x v="325"/>
    <x v="344"/>
  </r>
  <r>
    <n v="1099678"/>
    <x v="282"/>
    <x v="6"/>
    <x v="81"/>
    <x v="148"/>
  </r>
  <r>
    <n v="1099678"/>
    <x v="282"/>
    <x v="6"/>
    <x v="83"/>
    <x v="351"/>
  </r>
  <r>
    <n v="1099678"/>
    <x v="282"/>
    <x v="6"/>
    <x v="65"/>
    <x v="535"/>
  </r>
  <r>
    <n v="1099678"/>
    <x v="282"/>
    <x v="6"/>
    <x v="71"/>
    <x v="4"/>
  </r>
  <r>
    <n v="1099678"/>
    <x v="282"/>
    <x v="6"/>
    <x v="58"/>
    <x v="83"/>
  </r>
  <r>
    <n v="1099678"/>
    <x v="282"/>
    <x v="6"/>
    <x v="69"/>
    <x v="612"/>
  </r>
  <r>
    <n v="1099678"/>
    <x v="282"/>
    <x v="6"/>
    <x v="3"/>
    <x v="161"/>
  </r>
  <r>
    <n v="1099678"/>
    <x v="282"/>
    <x v="6"/>
    <x v="61"/>
    <x v="51"/>
  </r>
  <r>
    <n v="1099678"/>
    <x v="282"/>
    <x v="6"/>
    <x v="87"/>
    <x v="69"/>
  </r>
  <r>
    <n v="1099678"/>
    <x v="282"/>
    <x v="6"/>
    <x v="274"/>
    <x v="84"/>
  </r>
  <r>
    <n v="1099678"/>
    <x v="282"/>
    <x v="6"/>
    <x v="404"/>
    <x v="178"/>
  </r>
  <r>
    <n v="1099678"/>
    <x v="282"/>
    <x v="6"/>
    <x v="405"/>
    <x v="535"/>
  </r>
  <r>
    <n v="1099678"/>
    <x v="282"/>
    <x v="6"/>
    <x v="46"/>
    <x v="24"/>
  </r>
  <r>
    <n v="1099678"/>
    <x v="282"/>
    <x v="6"/>
    <x v="48"/>
    <x v="62"/>
  </r>
  <r>
    <n v="1099678"/>
    <x v="282"/>
    <x v="6"/>
    <x v="267"/>
    <x v="3"/>
  </r>
  <r>
    <n v="1099678"/>
    <x v="282"/>
    <x v="6"/>
    <x v="266"/>
    <x v="347"/>
  </r>
  <r>
    <n v="1099678"/>
    <x v="282"/>
    <x v="6"/>
    <x v="282"/>
    <x v="97"/>
  </r>
  <r>
    <n v="1099678"/>
    <x v="282"/>
    <x v="6"/>
    <x v="19"/>
    <x v="516"/>
  </r>
  <r>
    <n v="1099678"/>
    <x v="282"/>
    <x v="6"/>
    <x v="356"/>
    <x v="351"/>
  </r>
  <r>
    <n v="1099678"/>
    <x v="282"/>
    <x v="6"/>
    <x v="52"/>
    <x v="535"/>
  </r>
  <r>
    <n v="1099678"/>
    <x v="282"/>
    <x v="6"/>
    <x v="360"/>
    <x v="348"/>
  </r>
  <r>
    <n v="1099678"/>
    <x v="282"/>
    <x v="6"/>
    <x v="364"/>
    <x v="535"/>
  </r>
  <r>
    <n v="1099678"/>
    <x v="282"/>
    <x v="6"/>
    <x v="271"/>
    <x v="170"/>
  </r>
  <r>
    <n v="1099678"/>
    <x v="282"/>
    <x v="6"/>
    <x v="368"/>
    <x v="535"/>
  </r>
  <r>
    <n v="1099678"/>
    <x v="282"/>
    <x v="6"/>
    <x v="371"/>
    <x v="516"/>
  </r>
  <r>
    <n v="1099678"/>
    <x v="282"/>
    <x v="6"/>
    <x v="99"/>
    <x v="197"/>
  </r>
  <r>
    <n v="1099678"/>
    <x v="282"/>
    <x v="6"/>
    <x v="110"/>
    <x v="83"/>
  </r>
  <r>
    <n v="1099678"/>
    <x v="282"/>
    <x v="6"/>
    <x v="307"/>
    <x v="202"/>
  </r>
  <r>
    <n v="1099678"/>
    <x v="282"/>
    <x v="6"/>
    <x v="403"/>
    <x v="4"/>
  </r>
  <r>
    <n v="1099678"/>
    <x v="282"/>
    <x v="6"/>
    <x v="445"/>
    <x v="351"/>
  </r>
  <r>
    <n v="1099678"/>
    <x v="282"/>
    <x v="6"/>
    <x v="194"/>
    <x v="516"/>
  </r>
  <r>
    <n v="1099678"/>
    <x v="282"/>
    <x v="6"/>
    <x v="285"/>
    <x v="535"/>
  </r>
  <r>
    <n v="1099678"/>
    <x v="282"/>
    <x v="6"/>
    <x v="100"/>
    <x v="83"/>
  </r>
  <r>
    <n v="1099678"/>
    <x v="282"/>
    <x v="6"/>
    <x v="120"/>
    <x v="92"/>
  </r>
  <r>
    <n v="1099678"/>
    <x v="282"/>
    <x v="6"/>
    <x v="279"/>
    <x v="153"/>
  </r>
  <r>
    <n v="1099678"/>
    <x v="282"/>
    <x v="6"/>
    <x v="381"/>
    <x v="21"/>
  </r>
  <r>
    <n v="1099678"/>
    <x v="282"/>
    <x v="6"/>
    <x v="298"/>
    <x v="77"/>
  </r>
  <r>
    <n v="1099678"/>
    <x v="282"/>
    <x v="6"/>
    <x v="296"/>
    <x v="24"/>
  </r>
  <r>
    <n v="1099678"/>
    <x v="282"/>
    <x v="6"/>
    <x v="430"/>
    <x v="351"/>
  </r>
  <r>
    <n v="1099678"/>
    <x v="282"/>
    <x v="6"/>
    <x v="288"/>
    <x v="80"/>
  </r>
  <r>
    <n v="1099678"/>
    <x v="282"/>
    <x v="6"/>
    <x v="106"/>
    <x v="82"/>
  </r>
  <r>
    <n v="1099678"/>
    <x v="282"/>
    <x v="6"/>
    <x v="435"/>
    <x v="535"/>
  </r>
  <r>
    <n v="1099678"/>
    <x v="282"/>
    <x v="6"/>
    <x v="386"/>
    <x v="221"/>
  </r>
  <r>
    <n v="1099678"/>
    <x v="282"/>
    <x v="6"/>
    <x v="421"/>
    <x v="136"/>
  </r>
  <r>
    <n v="1099678"/>
    <x v="282"/>
    <x v="6"/>
    <x v="5"/>
    <x v="3"/>
  </r>
  <r>
    <n v="1099678"/>
    <x v="282"/>
    <x v="6"/>
    <x v="15"/>
    <x v="198"/>
  </r>
  <r>
    <n v="1099678"/>
    <x v="282"/>
    <x v="6"/>
    <x v="426"/>
    <x v="348"/>
  </r>
  <r>
    <n v="1099678"/>
    <x v="282"/>
    <x v="6"/>
    <x v="254"/>
    <x v="535"/>
  </r>
  <r>
    <n v="1099678"/>
    <x v="282"/>
    <x v="6"/>
    <x v="349"/>
    <x v="516"/>
  </r>
  <r>
    <n v="1099678"/>
    <x v="282"/>
    <x v="6"/>
    <x v="350"/>
    <x v="516"/>
  </r>
  <r>
    <n v="1099678"/>
    <x v="282"/>
    <x v="6"/>
    <x v="337"/>
    <x v="351"/>
  </r>
  <r>
    <n v="1099678"/>
    <x v="282"/>
    <x v="6"/>
    <x v="161"/>
    <x v="535"/>
  </r>
  <r>
    <n v="1099678"/>
    <x v="282"/>
    <x v="6"/>
    <x v="125"/>
    <x v="516"/>
  </r>
  <r>
    <n v="1099678"/>
    <x v="282"/>
    <x v="6"/>
    <x v="131"/>
    <x v="516"/>
  </r>
  <r>
    <n v="1099678"/>
    <x v="282"/>
    <x v="6"/>
    <x v="136"/>
    <x v="516"/>
  </r>
  <r>
    <n v="1099678"/>
    <x v="282"/>
    <x v="6"/>
    <x v="143"/>
    <x v="535"/>
  </r>
  <r>
    <n v="1099678"/>
    <x v="282"/>
    <x v="6"/>
    <x v="148"/>
    <x v="516"/>
  </r>
  <r>
    <n v="1099678"/>
    <x v="282"/>
    <x v="6"/>
    <x v="153"/>
    <x v="351"/>
  </r>
  <r>
    <n v="1099678"/>
    <x v="282"/>
    <x v="6"/>
    <x v="259"/>
    <x v="535"/>
  </r>
  <r>
    <n v="1099678"/>
    <x v="282"/>
    <x v="6"/>
    <x v="263"/>
    <x v="348"/>
  </r>
  <r>
    <n v="1099678"/>
    <x v="282"/>
    <x v="6"/>
    <x v="205"/>
    <x v="516"/>
  </r>
  <r>
    <n v="1099678"/>
    <x v="282"/>
    <x v="6"/>
    <x v="209"/>
    <x v="3"/>
  </r>
  <r>
    <n v="1099678"/>
    <x v="282"/>
    <x v="6"/>
    <x v="214"/>
    <x v="516"/>
  </r>
  <r>
    <n v="1099678"/>
    <x v="282"/>
    <x v="6"/>
    <x v="140"/>
    <x v="198"/>
  </r>
  <r>
    <n v="1099678"/>
    <x v="282"/>
    <x v="6"/>
    <x v="225"/>
    <x v="170"/>
  </r>
  <r>
    <n v="1099678"/>
    <x v="282"/>
    <x v="6"/>
    <x v="228"/>
    <x v="53"/>
  </r>
  <r>
    <n v="1099678"/>
    <x v="282"/>
    <x v="6"/>
    <x v="233"/>
    <x v="198"/>
  </r>
  <r>
    <n v="1099678"/>
    <x v="282"/>
    <x v="6"/>
    <x v="357"/>
    <x v="83"/>
  </r>
  <r>
    <n v="1099678"/>
    <x v="282"/>
    <x v="6"/>
    <x v="358"/>
    <x v="346"/>
  </r>
  <r>
    <n v="1099678"/>
    <x v="282"/>
    <x v="6"/>
    <x v="89"/>
    <x v="220"/>
  </r>
  <r>
    <n v="1099678"/>
    <x v="282"/>
    <x v="6"/>
    <x v="363"/>
    <x v="178"/>
  </r>
  <r>
    <n v="1099678"/>
    <x v="282"/>
    <x v="6"/>
    <x v="95"/>
    <x v="64"/>
  </r>
  <r>
    <n v="1099678"/>
    <x v="282"/>
    <x v="6"/>
    <x v="111"/>
    <x v="83"/>
  </r>
  <r>
    <n v="1099678"/>
    <x v="282"/>
    <x v="6"/>
    <x v="366"/>
    <x v="535"/>
  </r>
  <r>
    <n v="1099678"/>
    <x v="282"/>
    <x v="6"/>
    <x v="369"/>
    <x v="535"/>
  </r>
  <r>
    <n v="1099678"/>
    <x v="282"/>
    <x v="6"/>
    <x v="373"/>
    <x v="198"/>
  </r>
  <r>
    <n v="1099678"/>
    <x v="282"/>
    <x v="6"/>
    <x v="45"/>
    <x v="4"/>
  </r>
  <r>
    <n v="1099678"/>
    <x v="282"/>
    <x v="6"/>
    <x v="306"/>
    <x v="178"/>
  </r>
  <r>
    <n v="1099678"/>
    <x v="282"/>
    <x v="6"/>
    <x v="309"/>
    <x v="154"/>
  </r>
  <r>
    <n v="1099678"/>
    <x v="282"/>
    <x v="6"/>
    <x v="328"/>
    <x v="351"/>
  </r>
  <r>
    <n v="1099678"/>
    <x v="282"/>
    <x v="6"/>
    <x v="122"/>
    <x v="170"/>
  </r>
  <r>
    <n v="1099678"/>
    <x v="282"/>
    <x v="6"/>
    <x v="375"/>
    <x v="516"/>
  </r>
  <r>
    <n v="1099678"/>
    <x v="282"/>
    <x v="6"/>
    <x v="377"/>
    <x v="69"/>
  </r>
  <r>
    <n v="1099678"/>
    <x v="282"/>
    <x v="6"/>
    <x v="117"/>
    <x v="88"/>
  </r>
  <r>
    <n v="1099678"/>
    <x v="282"/>
    <x v="6"/>
    <x v="379"/>
    <x v="441"/>
  </r>
  <r>
    <n v="1099678"/>
    <x v="282"/>
    <x v="6"/>
    <x v="287"/>
    <x v="178"/>
  </r>
  <r>
    <n v="1099678"/>
    <x v="282"/>
    <x v="6"/>
    <x v="428"/>
    <x v="364"/>
  </r>
  <r>
    <n v="1099678"/>
    <x v="282"/>
    <x v="6"/>
    <x v="292"/>
    <x v="198"/>
  </r>
  <r>
    <n v="1099678"/>
    <x v="282"/>
    <x v="6"/>
    <x v="294"/>
    <x v="163"/>
  </r>
  <r>
    <n v="1099678"/>
    <x v="282"/>
    <x v="6"/>
    <x v="107"/>
    <x v="154"/>
  </r>
  <r>
    <n v="1099678"/>
    <x v="282"/>
    <x v="6"/>
    <x v="290"/>
    <x v="72"/>
  </r>
  <r>
    <n v="1099678"/>
    <x v="282"/>
    <x v="6"/>
    <x v="394"/>
    <x v="78"/>
  </r>
  <r>
    <n v="1099678"/>
    <x v="282"/>
    <x v="6"/>
    <x v="157"/>
    <x v="204"/>
  </r>
  <r>
    <n v="1099678"/>
    <x v="282"/>
    <x v="6"/>
    <x v="343"/>
    <x v="351"/>
  </r>
  <r>
    <n v="1099678"/>
    <x v="282"/>
    <x v="6"/>
    <x v="344"/>
    <x v="178"/>
  </r>
  <r>
    <n v="1099678"/>
    <x v="282"/>
    <x v="6"/>
    <x v="13"/>
    <x v="516"/>
  </r>
  <r>
    <n v="1099678"/>
    <x v="282"/>
    <x v="6"/>
    <x v="347"/>
    <x v="351"/>
  </r>
  <r>
    <n v="1099678"/>
    <x v="282"/>
    <x v="6"/>
    <x v="333"/>
    <x v="351"/>
  </r>
  <r>
    <n v="1099678"/>
    <x v="282"/>
    <x v="6"/>
    <x v="335"/>
    <x v="351"/>
  </r>
  <r>
    <n v="1099678"/>
    <x v="282"/>
    <x v="6"/>
    <x v="159"/>
    <x v="516"/>
  </r>
  <r>
    <n v="1099678"/>
    <x v="282"/>
    <x v="6"/>
    <x v="163"/>
    <x v="3"/>
  </r>
  <r>
    <n v="1099678"/>
    <x v="282"/>
    <x v="6"/>
    <x v="128"/>
    <x v="351"/>
  </r>
  <r>
    <n v="1099678"/>
    <x v="282"/>
    <x v="6"/>
    <x v="134"/>
    <x v="535"/>
  </r>
  <r>
    <n v="1099678"/>
    <x v="282"/>
    <x v="6"/>
    <x v="141"/>
    <x v="535"/>
  </r>
  <r>
    <n v="1099678"/>
    <x v="282"/>
    <x v="6"/>
    <x v="146"/>
    <x v="516"/>
  </r>
  <r>
    <n v="1099678"/>
    <x v="282"/>
    <x v="6"/>
    <x v="151"/>
    <x v="170"/>
  </r>
  <r>
    <n v="1099678"/>
    <x v="282"/>
    <x v="6"/>
    <x v="257"/>
    <x v="178"/>
  </r>
  <r>
    <n v="1099678"/>
    <x v="282"/>
    <x v="6"/>
    <x v="249"/>
    <x v="351"/>
  </r>
  <r>
    <n v="1099678"/>
    <x v="282"/>
    <x v="6"/>
    <x v="265"/>
    <x v="516"/>
  </r>
  <r>
    <n v="1099678"/>
    <x v="282"/>
    <x v="6"/>
    <x v="208"/>
    <x v="535"/>
  </r>
  <r>
    <n v="1099678"/>
    <x v="282"/>
    <x v="6"/>
    <x v="241"/>
    <x v="535"/>
  </r>
  <r>
    <n v="1099678"/>
    <x v="282"/>
    <x v="6"/>
    <x v="130"/>
    <x v="351"/>
  </r>
  <r>
    <n v="1099678"/>
    <x v="282"/>
    <x v="6"/>
    <x v="223"/>
    <x v="3"/>
  </r>
  <r>
    <n v="1099678"/>
    <x v="282"/>
    <x v="6"/>
    <x v="226"/>
    <x v="83"/>
  </r>
  <r>
    <n v="1099678"/>
    <x v="282"/>
    <x v="6"/>
    <x v="231"/>
    <x v="346"/>
  </r>
  <r>
    <n v="1099678"/>
    <x v="282"/>
    <x v="6"/>
    <x v="236"/>
    <x v="348"/>
  </r>
  <r>
    <n v="1099678"/>
    <x v="282"/>
    <x v="6"/>
    <x v="239"/>
    <x v="178"/>
  </r>
  <r>
    <n v="1099678"/>
    <x v="282"/>
    <x v="6"/>
    <x v="243"/>
    <x v="535"/>
  </r>
  <r>
    <n v="1099678"/>
    <x v="282"/>
    <x v="6"/>
    <x v="247"/>
    <x v="178"/>
  </r>
  <r>
    <n v="1099678"/>
    <x v="282"/>
    <x v="6"/>
    <x v="315"/>
    <x v="154"/>
  </r>
  <r>
    <n v="1099678"/>
    <x v="282"/>
    <x v="6"/>
    <x v="221"/>
    <x v="178"/>
  </r>
  <r>
    <n v="1099678"/>
    <x v="282"/>
    <x v="6"/>
    <x v="168"/>
    <x v="516"/>
  </r>
  <r>
    <n v="1099678"/>
    <x v="282"/>
    <x v="6"/>
    <x v="174"/>
    <x v="346"/>
  </r>
  <r>
    <n v="1099678"/>
    <x v="282"/>
    <x v="6"/>
    <x v="175"/>
    <x v="516"/>
  </r>
  <r>
    <n v="1099678"/>
    <x v="282"/>
    <x v="6"/>
    <x v="176"/>
    <x v="348"/>
  </r>
  <r>
    <n v="1099678"/>
    <x v="282"/>
    <x v="6"/>
    <x v="177"/>
    <x v="178"/>
  </r>
  <r>
    <n v="1099678"/>
    <x v="282"/>
    <x v="6"/>
    <x v="166"/>
    <x v="438"/>
  </r>
  <r>
    <n v="1099678"/>
    <x v="282"/>
    <x v="6"/>
    <x v="38"/>
    <x v="178"/>
  </r>
  <r>
    <n v="1099678"/>
    <x v="282"/>
    <x v="6"/>
    <x v="35"/>
    <x v="535"/>
  </r>
  <r>
    <n v="1099678"/>
    <x v="282"/>
    <x v="6"/>
    <x v="34"/>
    <x v="64"/>
  </r>
  <r>
    <n v="1099678"/>
    <x v="282"/>
    <x v="6"/>
    <x v="41"/>
    <x v="615"/>
  </r>
  <r>
    <n v="1099678"/>
    <x v="282"/>
    <x v="6"/>
    <x v="393"/>
    <x v="156"/>
  </r>
  <r>
    <n v="1099678"/>
    <x v="282"/>
    <x v="6"/>
    <x v="322"/>
    <x v="85"/>
  </r>
  <r>
    <n v="1099678"/>
    <x v="282"/>
    <x v="6"/>
    <x v="109"/>
    <x v="217"/>
  </r>
  <r>
    <n v="1099678"/>
    <x v="282"/>
    <x v="6"/>
    <x v="388"/>
    <x v="153"/>
  </r>
  <r>
    <n v="1099678"/>
    <x v="282"/>
    <x v="6"/>
    <x v="77"/>
    <x v="611"/>
  </r>
  <r>
    <n v="1099678"/>
    <x v="282"/>
    <x v="6"/>
    <x v="203"/>
    <x v="54"/>
  </r>
  <r>
    <n v="1099678"/>
    <x v="282"/>
    <x v="6"/>
    <x v="60"/>
    <x v="83"/>
  </r>
  <r>
    <n v="1099678"/>
    <x v="282"/>
    <x v="6"/>
    <x v="70"/>
    <x v="178"/>
  </r>
  <r>
    <n v="1099678"/>
    <x v="282"/>
    <x v="6"/>
    <x v="201"/>
    <x v="346"/>
  </r>
  <r>
    <n v="1099678"/>
    <x v="282"/>
    <x v="6"/>
    <x v="73"/>
    <x v="535"/>
  </r>
  <r>
    <n v="1099678"/>
    <x v="282"/>
    <x v="6"/>
    <x v="389"/>
    <x v="185"/>
  </r>
  <r>
    <n v="1099678"/>
    <x v="282"/>
    <x v="6"/>
    <x v="4"/>
    <x v="3"/>
  </r>
  <r>
    <n v="1099678"/>
    <x v="282"/>
    <x v="6"/>
    <x v="305"/>
    <x v="537"/>
  </r>
  <r>
    <n v="1099678"/>
    <x v="282"/>
    <x v="6"/>
    <x v="270"/>
    <x v="161"/>
  </r>
  <r>
    <n v="1099678"/>
    <x v="282"/>
    <x v="6"/>
    <x v="401"/>
    <x v="535"/>
  </r>
  <r>
    <n v="1099678"/>
    <x v="282"/>
    <x v="6"/>
    <x v="402"/>
    <x v="178"/>
  </r>
  <r>
    <n v="1099678"/>
    <x v="282"/>
    <x v="6"/>
    <x v="196"/>
    <x v="474"/>
  </r>
  <r>
    <n v="1099678"/>
    <x v="282"/>
    <x v="6"/>
    <x v="23"/>
    <x v="348"/>
  </r>
  <r>
    <n v="1099678"/>
    <x v="282"/>
    <x v="6"/>
    <x v="354"/>
    <x v="198"/>
  </r>
  <r>
    <n v="1099678"/>
    <x v="282"/>
    <x v="6"/>
    <x v="440"/>
    <x v="78"/>
  </r>
  <r>
    <n v="1099678"/>
    <x v="282"/>
    <x v="6"/>
    <x v="409"/>
    <x v="351"/>
  </r>
  <r>
    <n v="1099678"/>
    <x v="282"/>
    <x v="6"/>
    <x v="385"/>
    <x v="375"/>
  </r>
  <r>
    <n v="1099678"/>
    <x v="282"/>
    <x v="6"/>
    <x v="395"/>
    <x v="574"/>
  </r>
  <r>
    <n v="1099678"/>
    <x v="282"/>
    <x v="6"/>
    <x v="9"/>
    <x v="351"/>
  </r>
  <r>
    <n v="1099678"/>
    <x v="282"/>
    <x v="6"/>
    <x v="12"/>
    <x v="3"/>
  </r>
  <r>
    <n v="1099678"/>
    <x v="282"/>
    <x v="6"/>
    <x v="7"/>
    <x v="535"/>
  </r>
  <r>
    <n v="1099678"/>
    <x v="282"/>
    <x v="6"/>
    <x v="345"/>
    <x v="178"/>
  </r>
  <r>
    <n v="1099678"/>
    <x v="282"/>
    <x v="6"/>
    <x v="331"/>
    <x v="535"/>
  </r>
  <r>
    <n v="1099678"/>
    <x v="282"/>
    <x v="6"/>
    <x v="351"/>
    <x v="535"/>
  </r>
  <r>
    <n v="1099678"/>
    <x v="282"/>
    <x v="6"/>
    <x v="338"/>
    <x v="178"/>
  </r>
  <r>
    <n v="1099678"/>
    <x v="282"/>
    <x v="6"/>
    <x v="162"/>
    <x v="516"/>
  </r>
  <r>
    <n v="1099678"/>
    <x v="282"/>
    <x v="6"/>
    <x v="126"/>
    <x v="516"/>
  </r>
  <r>
    <n v="1099678"/>
    <x v="282"/>
    <x v="6"/>
    <x v="132"/>
    <x v="535"/>
  </r>
  <r>
    <n v="1099678"/>
    <x v="282"/>
    <x v="6"/>
    <x v="137"/>
    <x v="516"/>
  </r>
  <r>
    <n v="1099678"/>
    <x v="282"/>
    <x v="6"/>
    <x v="144"/>
    <x v="351"/>
  </r>
  <r>
    <n v="1099678"/>
    <x v="282"/>
    <x v="6"/>
    <x v="149"/>
    <x v="516"/>
  </r>
  <r>
    <n v="1099678"/>
    <x v="282"/>
    <x v="6"/>
    <x v="255"/>
    <x v="198"/>
  </r>
  <r>
    <n v="1099678"/>
    <x v="282"/>
    <x v="6"/>
    <x v="260"/>
    <x v="346"/>
  </r>
  <r>
    <n v="1099678"/>
    <x v="282"/>
    <x v="6"/>
    <x v="264"/>
    <x v="535"/>
  </r>
  <r>
    <n v="1099678"/>
    <x v="282"/>
    <x v="6"/>
    <x v="206"/>
    <x v="516"/>
  </r>
  <r>
    <n v="1099678"/>
    <x v="282"/>
    <x v="6"/>
    <x v="210"/>
    <x v="351"/>
  </r>
  <r>
    <n v="1099678"/>
    <x v="282"/>
    <x v="6"/>
    <x v="215"/>
    <x v="516"/>
  </r>
  <r>
    <n v="1099678"/>
    <x v="282"/>
    <x v="6"/>
    <x v="340"/>
    <x v="77"/>
  </r>
  <r>
    <n v="1099678"/>
    <x v="282"/>
    <x v="6"/>
    <x v="8"/>
    <x v="535"/>
  </r>
  <r>
    <n v="1099678"/>
    <x v="282"/>
    <x v="6"/>
    <x v="251"/>
    <x v="516"/>
  </r>
  <r>
    <n v="1099678"/>
    <x v="282"/>
    <x v="6"/>
    <x v="229"/>
    <x v="217"/>
  </r>
  <r>
    <n v="1099678"/>
    <x v="282"/>
    <x v="6"/>
    <x v="234"/>
    <x v="170"/>
  </r>
  <r>
    <n v="1099678"/>
    <x v="282"/>
    <x v="6"/>
    <x v="155"/>
    <x v="205"/>
  </r>
  <r>
    <n v="1099678"/>
    <x v="282"/>
    <x v="6"/>
    <x v="313"/>
    <x v="88"/>
  </r>
  <r>
    <n v="1099678"/>
    <x v="282"/>
    <x v="6"/>
    <x v="341"/>
    <x v="351"/>
  </r>
  <r>
    <n v="1099678"/>
    <x v="282"/>
    <x v="6"/>
    <x v="218"/>
    <x v="351"/>
  </r>
  <r>
    <n v="1099678"/>
    <x v="282"/>
    <x v="6"/>
    <x v="317"/>
    <x v="178"/>
  </r>
  <r>
    <n v="1099678"/>
    <x v="282"/>
    <x v="6"/>
    <x v="173"/>
    <x v="3"/>
  </r>
  <r>
    <n v="1099678"/>
    <x v="282"/>
    <x v="6"/>
    <x v="186"/>
    <x v="516"/>
  </r>
  <r>
    <n v="1099678"/>
    <x v="282"/>
    <x v="6"/>
    <x v="187"/>
    <x v="88"/>
  </r>
  <r>
    <n v="1099678"/>
    <x v="282"/>
    <x v="6"/>
    <x v="188"/>
    <x v="346"/>
  </r>
  <r>
    <n v="1099678"/>
    <x v="282"/>
    <x v="6"/>
    <x v="184"/>
    <x v="516"/>
  </r>
  <r>
    <n v="1099678"/>
    <x v="282"/>
    <x v="6"/>
    <x v="164"/>
    <x v="347"/>
  </r>
  <r>
    <n v="1099678"/>
    <x v="282"/>
    <x v="6"/>
    <x v="0"/>
    <x v="475"/>
  </r>
  <r>
    <n v="1099678"/>
    <x v="282"/>
    <x v="6"/>
    <x v="26"/>
    <x v="535"/>
  </r>
  <r>
    <n v="1099678"/>
    <x v="282"/>
    <x v="6"/>
    <x v="36"/>
    <x v="77"/>
  </r>
  <r>
    <n v="1099678"/>
    <x v="282"/>
    <x v="6"/>
    <x v="42"/>
    <x v="64"/>
  </r>
  <r>
    <n v="1099678"/>
    <x v="282"/>
    <x v="6"/>
    <x v="392"/>
    <x v="64"/>
  </r>
  <r>
    <n v="1099678"/>
    <x v="282"/>
    <x v="6"/>
    <x v="324"/>
    <x v="198"/>
  </r>
  <r>
    <n v="1099678"/>
    <x v="282"/>
    <x v="6"/>
    <x v="320"/>
    <x v="83"/>
  </r>
  <r>
    <n v="1099678"/>
    <x v="282"/>
    <x v="6"/>
    <x v="326"/>
    <x v="351"/>
  </r>
  <r>
    <n v="1099678"/>
    <x v="282"/>
    <x v="6"/>
    <x v="64"/>
    <x v="344"/>
  </r>
  <r>
    <n v="1099678"/>
    <x v="282"/>
    <x v="6"/>
    <x v="418"/>
    <x v="148"/>
  </r>
  <r>
    <n v="1099678"/>
    <x v="282"/>
    <x v="6"/>
    <x v="59"/>
    <x v="42"/>
  </r>
  <r>
    <n v="1099678"/>
    <x v="282"/>
    <x v="6"/>
    <x v="66"/>
    <x v="88"/>
  </r>
  <r>
    <n v="1099678"/>
    <x v="282"/>
    <x v="6"/>
    <x v="74"/>
    <x v="198"/>
  </r>
  <r>
    <n v="1099678"/>
    <x v="282"/>
    <x v="6"/>
    <x v="79"/>
    <x v="151"/>
  </r>
  <r>
    <n v="1099678"/>
    <x v="282"/>
    <x v="6"/>
    <x v="80"/>
    <x v="111"/>
  </r>
  <r>
    <n v="1099678"/>
    <x v="282"/>
    <x v="6"/>
    <x v="419"/>
    <x v="62"/>
  </r>
  <r>
    <n v="1099678"/>
    <x v="282"/>
    <x v="6"/>
    <x v="424"/>
    <x v="348"/>
  </r>
  <r>
    <n v="1099678"/>
    <x v="282"/>
    <x v="6"/>
    <x v="93"/>
    <x v="197"/>
  </r>
  <r>
    <n v="1099678"/>
    <x v="282"/>
    <x v="6"/>
    <x v="408"/>
    <x v="516"/>
  </r>
  <r>
    <n v="1099678"/>
    <x v="282"/>
    <x v="6"/>
    <x v="413"/>
    <x v="535"/>
  </r>
  <r>
    <n v="1099678"/>
    <x v="282"/>
    <x v="6"/>
    <x v="414"/>
    <x v="516"/>
  </r>
  <r>
    <n v="1099678"/>
    <x v="282"/>
    <x v="6"/>
    <x v="51"/>
    <x v="182"/>
  </r>
  <r>
    <n v="1099678"/>
    <x v="282"/>
    <x v="6"/>
    <x v="47"/>
    <x v="352"/>
  </r>
  <r>
    <n v="1099678"/>
    <x v="282"/>
    <x v="6"/>
    <x v="281"/>
    <x v="149"/>
  </r>
  <r>
    <n v="1099678"/>
    <x v="282"/>
    <x v="6"/>
    <x v="283"/>
    <x v="77"/>
  </r>
  <r>
    <n v="1099678"/>
    <x v="282"/>
    <x v="6"/>
    <x v="96"/>
    <x v="351"/>
  </r>
  <r>
    <n v="1099678"/>
    <x v="282"/>
    <x v="6"/>
    <x v="94"/>
    <x v="516"/>
  </r>
  <r>
    <n v="1099678"/>
    <x v="282"/>
    <x v="6"/>
    <x v="88"/>
    <x v="178"/>
  </r>
  <r>
    <n v="1099678"/>
    <x v="282"/>
    <x v="6"/>
    <x v="361"/>
    <x v="178"/>
  </r>
  <r>
    <n v="1099678"/>
    <x v="282"/>
    <x v="6"/>
    <x v="115"/>
    <x v="351"/>
  </r>
  <r>
    <n v="1099678"/>
    <x v="282"/>
    <x v="6"/>
    <x v="284"/>
    <x v="79"/>
  </r>
  <r>
    <n v="1099678"/>
    <x v="282"/>
    <x v="6"/>
    <x v="91"/>
    <x v="351"/>
  </r>
  <r>
    <n v="1099678"/>
    <x v="282"/>
    <x v="6"/>
    <x v="308"/>
    <x v="198"/>
  </r>
  <r>
    <n v="1099678"/>
    <x v="282"/>
    <x v="6"/>
    <x v="374"/>
    <x v="348"/>
  </r>
  <r>
    <n v="1099678"/>
    <x v="282"/>
    <x v="6"/>
    <x v="113"/>
    <x v="535"/>
  </r>
  <r>
    <n v="1099678"/>
    <x v="282"/>
    <x v="6"/>
    <x v="310"/>
    <x v="77"/>
  </r>
  <r>
    <n v="1099678"/>
    <x v="282"/>
    <x v="6"/>
    <x v="399"/>
    <x v="176"/>
  </r>
  <r>
    <n v="1099678"/>
    <x v="282"/>
    <x v="6"/>
    <x v="417"/>
    <x v="346"/>
  </r>
  <r>
    <n v="1099678"/>
    <x v="282"/>
    <x v="6"/>
    <x v="280"/>
    <x v="351"/>
  </r>
  <r>
    <n v="1099678"/>
    <x v="282"/>
    <x v="6"/>
    <x v="54"/>
    <x v="351"/>
  </r>
  <r>
    <n v="1099678"/>
    <x v="282"/>
    <x v="6"/>
    <x v="119"/>
    <x v="84"/>
  </r>
  <r>
    <n v="1099678"/>
    <x v="282"/>
    <x v="6"/>
    <x v="441"/>
    <x v="64"/>
  </r>
  <r>
    <n v="1099678"/>
    <x v="282"/>
    <x v="6"/>
    <x v="378"/>
    <x v="170"/>
  </r>
  <r>
    <n v="1099678"/>
    <x v="282"/>
    <x v="6"/>
    <x v="436"/>
    <x v="154"/>
  </r>
  <r>
    <n v="1099678"/>
    <x v="282"/>
    <x v="6"/>
    <x v="289"/>
    <x v="79"/>
  </r>
  <r>
    <n v="1099678"/>
    <x v="282"/>
    <x v="6"/>
    <x v="291"/>
    <x v="170"/>
  </r>
  <r>
    <n v="1099678"/>
    <x v="282"/>
    <x v="6"/>
    <x v="102"/>
    <x v="238"/>
  </r>
  <r>
    <n v="1099678"/>
    <x v="282"/>
    <x v="6"/>
    <x v="105"/>
    <x v="82"/>
  </r>
  <r>
    <n v="1099678"/>
    <x v="282"/>
    <x v="6"/>
    <x v="103"/>
    <x v="170"/>
  </r>
  <r>
    <n v="1099678"/>
    <x v="282"/>
    <x v="6"/>
    <x v="212"/>
    <x v="170"/>
  </r>
  <r>
    <n v="1099678"/>
    <x v="1"/>
    <x v="1"/>
    <x v="2"/>
    <x v="2"/>
  </r>
  <r>
    <n v="1099679"/>
    <x v="283"/>
    <x v="10"/>
    <x v="330"/>
    <x v="2"/>
  </r>
  <r>
    <n v="1099679"/>
    <x v="1"/>
    <x v="1"/>
    <x v="2"/>
    <x v="2"/>
  </r>
  <r>
    <n v="1099680"/>
    <x v="284"/>
    <x v="5"/>
    <x v="111"/>
    <x v="133"/>
  </r>
  <r>
    <n v="1099680"/>
    <x v="284"/>
    <x v="5"/>
    <x v="115"/>
    <x v="136"/>
  </r>
  <r>
    <n v="1099680"/>
    <x v="284"/>
    <x v="5"/>
    <x v="119"/>
    <x v="140"/>
  </r>
  <r>
    <n v="1099680"/>
    <x v="284"/>
    <x v="5"/>
    <x v="113"/>
    <x v="135"/>
  </r>
  <r>
    <n v="1099680"/>
    <x v="284"/>
    <x v="5"/>
    <x v="112"/>
    <x v="134"/>
  </r>
  <r>
    <n v="1099680"/>
    <x v="284"/>
    <x v="5"/>
    <x v="114"/>
    <x v="119"/>
  </r>
  <r>
    <n v="1099680"/>
    <x v="284"/>
    <x v="5"/>
    <x v="117"/>
    <x v="138"/>
  </r>
  <r>
    <n v="1099680"/>
    <x v="284"/>
    <x v="5"/>
    <x v="118"/>
    <x v="139"/>
  </r>
  <r>
    <n v="1099680"/>
    <x v="284"/>
    <x v="5"/>
    <x v="110"/>
    <x v="132"/>
  </r>
  <r>
    <n v="1099680"/>
    <x v="284"/>
    <x v="5"/>
    <x v="116"/>
    <x v="137"/>
  </r>
  <r>
    <n v="1099680"/>
    <x v="284"/>
    <x v="5"/>
    <x v="121"/>
    <x v="142"/>
  </r>
  <r>
    <n v="1099680"/>
    <x v="284"/>
    <x v="5"/>
    <x v="122"/>
    <x v="143"/>
  </r>
  <r>
    <n v="1099680"/>
    <x v="284"/>
    <x v="5"/>
    <x v="120"/>
    <x v="141"/>
  </r>
  <r>
    <n v="1099680"/>
    <x v="1"/>
    <x v="1"/>
    <x v="2"/>
    <x v="2"/>
  </r>
  <r>
    <n v="1099682"/>
    <x v="285"/>
    <x v="3"/>
    <x v="161"/>
    <x v="163"/>
  </r>
  <r>
    <n v="1099682"/>
    <x v="285"/>
    <x v="3"/>
    <x v="139"/>
    <x v="37"/>
  </r>
  <r>
    <n v="1099682"/>
    <x v="285"/>
    <x v="3"/>
    <x v="153"/>
    <x v="147"/>
  </r>
  <r>
    <n v="1099682"/>
    <x v="285"/>
    <x v="3"/>
    <x v="126"/>
    <x v="82"/>
  </r>
  <r>
    <n v="1099682"/>
    <x v="285"/>
    <x v="3"/>
    <x v="144"/>
    <x v="84"/>
  </r>
  <r>
    <n v="1099682"/>
    <x v="285"/>
    <x v="3"/>
    <x v="163"/>
    <x v="83"/>
  </r>
  <r>
    <n v="1099682"/>
    <x v="285"/>
    <x v="3"/>
    <x v="141"/>
    <x v="151"/>
  </r>
  <r>
    <n v="1099682"/>
    <x v="285"/>
    <x v="3"/>
    <x v="140"/>
    <x v="150"/>
  </r>
  <r>
    <n v="1099682"/>
    <x v="285"/>
    <x v="3"/>
    <x v="158"/>
    <x v="160"/>
  </r>
  <r>
    <n v="1099682"/>
    <x v="285"/>
    <x v="3"/>
    <x v="133"/>
    <x v="147"/>
  </r>
  <r>
    <n v="1099682"/>
    <x v="285"/>
    <x v="3"/>
    <x v="150"/>
    <x v="155"/>
  </r>
  <r>
    <n v="1099682"/>
    <x v="285"/>
    <x v="3"/>
    <x v="128"/>
    <x v="92"/>
  </r>
  <r>
    <n v="1099682"/>
    <x v="285"/>
    <x v="3"/>
    <x v="146"/>
    <x v="78"/>
  </r>
  <r>
    <n v="1099682"/>
    <x v="285"/>
    <x v="3"/>
    <x v="162"/>
    <x v="164"/>
  </r>
  <r>
    <n v="1099682"/>
    <x v="285"/>
    <x v="3"/>
    <x v="125"/>
    <x v="144"/>
  </r>
  <r>
    <n v="1099682"/>
    <x v="285"/>
    <x v="3"/>
    <x v="137"/>
    <x v="79"/>
  </r>
  <r>
    <n v="1099682"/>
    <x v="285"/>
    <x v="3"/>
    <x v="143"/>
    <x v="91"/>
  </r>
  <r>
    <n v="1099682"/>
    <x v="285"/>
    <x v="3"/>
    <x v="130"/>
    <x v="145"/>
  </r>
  <r>
    <n v="1099682"/>
    <x v="285"/>
    <x v="3"/>
    <x v="156"/>
    <x v="158"/>
  </r>
  <r>
    <n v="1099682"/>
    <x v="285"/>
    <x v="3"/>
    <x v="159"/>
    <x v="161"/>
  </r>
  <r>
    <n v="1099682"/>
    <x v="285"/>
    <x v="3"/>
    <x v="160"/>
    <x v="162"/>
  </r>
  <r>
    <n v="1099682"/>
    <x v="285"/>
    <x v="3"/>
    <x v="134"/>
    <x v="148"/>
  </r>
  <r>
    <n v="1099682"/>
    <x v="285"/>
    <x v="3"/>
    <x v="135"/>
    <x v="64"/>
  </r>
  <r>
    <n v="1099682"/>
    <x v="285"/>
    <x v="3"/>
    <x v="151"/>
    <x v="35"/>
  </r>
  <r>
    <n v="1099682"/>
    <x v="285"/>
    <x v="3"/>
    <x v="152"/>
    <x v="156"/>
  </r>
  <r>
    <n v="1099682"/>
    <x v="285"/>
    <x v="3"/>
    <x v="131"/>
    <x v="34"/>
  </r>
  <r>
    <n v="1099682"/>
    <x v="285"/>
    <x v="3"/>
    <x v="148"/>
    <x v="144"/>
  </r>
  <r>
    <n v="1099682"/>
    <x v="285"/>
    <x v="3"/>
    <x v="127"/>
    <x v="97"/>
  </r>
  <r>
    <n v="1099682"/>
    <x v="285"/>
    <x v="3"/>
    <x v="145"/>
    <x v="153"/>
  </r>
  <r>
    <n v="1099682"/>
    <x v="285"/>
    <x v="3"/>
    <x v="124"/>
    <x v="62"/>
  </r>
  <r>
    <n v="1099682"/>
    <x v="285"/>
    <x v="3"/>
    <x v="142"/>
    <x v="152"/>
  </r>
  <r>
    <n v="1099682"/>
    <x v="285"/>
    <x v="3"/>
    <x v="155"/>
    <x v="157"/>
  </r>
  <r>
    <n v="1099682"/>
    <x v="285"/>
    <x v="3"/>
    <x v="129"/>
    <x v="42"/>
  </r>
  <r>
    <n v="1099682"/>
    <x v="285"/>
    <x v="3"/>
    <x v="147"/>
    <x v="24"/>
  </r>
  <r>
    <n v="1099682"/>
    <x v="285"/>
    <x v="3"/>
    <x v="157"/>
    <x v="159"/>
  </r>
  <r>
    <n v="1099682"/>
    <x v="285"/>
    <x v="3"/>
    <x v="154"/>
    <x v="149"/>
  </r>
  <r>
    <n v="1099682"/>
    <x v="285"/>
    <x v="3"/>
    <x v="132"/>
    <x v="146"/>
  </r>
  <r>
    <n v="1099682"/>
    <x v="285"/>
    <x v="3"/>
    <x v="138"/>
    <x v="149"/>
  </r>
  <r>
    <n v="1099682"/>
    <x v="285"/>
    <x v="3"/>
    <x v="149"/>
    <x v="154"/>
  </r>
  <r>
    <n v="1099682"/>
    <x v="285"/>
    <x v="3"/>
    <x v="136"/>
    <x v="82"/>
  </r>
  <r>
    <n v="1099682"/>
    <x v="1"/>
    <x v="1"/>
    <x v="2"/>
    <x v="2"/>
  </r>
  <r>
    <n v="1099683"/>
    <x v="286"/>
    <x v="3"/>
    <x v="5"/>
    <x v="346"/>
  </r>
  <r>
    <n v="1099683"/>
    <x v="286"/>
    <x v="3"/>
    <x v="13"/>
    <x v="407"/>
  </r>
  <r>
    <n v="1099683"/>
    <x v="286"/>
    <x v="3"/>
    <x v="345"/>
    <x v="408"/>
  </r>
  <r>
    <n v="1099683"/>
    <x v="286"/>
    <x v="3"/>
    <x v="346"/>
    <x v="233"/>
  </r>
  <r>
    <n v="1099683"/>
    <x v="286"/>
    <x v="3"/>
    <x v="347"/>
    <x v="409"/>
  </r>
  <r>
    <n v="1099683"/>
    <x v="286"/>
    <x v="3"/>
    <x v="348"/>
    <x v="123"/>
  </r>
  <r>
    <n v="1099683"/>
    <x v="286"/>
    <x v="3"/>
    <x v="349"/>
    <x v="407"/>
  </r>
  <r>
    <n v="1099683"/>
    <x v="286"/>
    <x v="3"/>
    <x v="331"/>
    <x v="48"/>
  </r>
  <r>
    <n v="1099683"/>
    <x v="286"/>
    <x v="3"/>
    <x v="332"/>
    <x v="410"/>
  </r>
  <r>
    <n v="1099683"/>
    <x v="286"/>
    <x v="3"/>
    <x v="333"/>
    <x v="409"/>
  </r>
  <r>
    <n v="1099683"/>
    <x v="286"/>
    <x v="3"/>
    <x v="334"/>
    <x v="411"/>
  </r>
  <r>
    <n v="1099683"/>
    <x v="286"/>
    <x v="3"/>
    <x v="350"/>
    <x v="53"/>
  </r>
  <r>
    <n v="1099683"/>
    <x v="286"/>
    <x v="3"/>
    <x v="351"/>
    <x v="406"/>
  </r>
  <r>
    <n v="1099683"/>
    <x v="286"/>
    <x v="3"/>
    <x v="352"/>
    <x v="219"/>
  </r>
  <r>
    <n v="1099683"/>
    <x v="286"/>
    <x v="3"/>
    <x v="335"/>
    <x v="415"/>
  </r>
  <r>
    <n v="1099683"/>
    <x v="286"/>
    <x v="3"/>
    <x v="336"/>
    <x v="412"/>
  </r>
  <r>
    <n v="1099683"/>
    <x v="286"/>
    <x v="3"/>
    <x v="337"/>
    <x v="413"/>
  </r>
  <r>
    <n v="1099683"/>
    <x v="286"/>
    <x v="3"/>
    <x v="338"/>
    <x v="404"/>
  </r>
  <r>
    <n v="1099683"/>
    <x v="286"/>
    <x v="3"/>
    <x v="340"/>
    <x v="400"/>
  </r>
  <r>
    <n v="1099683"/>
    <x v="286"/>
    <x v="3"/>
    <x v="339"/>
    <x v="414"/>
  </r>
  <r>
    <n v="1099683"/>
    <x v="286"/>
    <x v="3"/>
    <x v="343"/>
    <x v="401"/>
  </r>
  <r>
    <n v="1099683"/>
    <x v="286"/>
    <x v="3"/>
    <x v="14"/>
    <x v="402"/>
  </r>
  <r>
    <n v="1099683"/>
    <x v="286"/>
    <x v="3"/>
    <x v="15"/>
    <x v="403"/>
  </r>
  <r>
    <n v="1099683"/>
    <x v="286"/>
    <x v="3"/>
    <x v="12"/>
    <x v="3"/>
  </r>
  <r>
    <n v="1099683"/>
    <x v="286"/>
    <x v="3"/>
    <x v="11"/>
    <x v="228"/>
  </r>
  <r>
    <n v="1099683"/>
    <x v="286"/>
    <x v="3"/>
    <x v="344"/>
    <x v="404"/>
  </r>
  <r>
    <n v="1099683"/>
    <x v="286"/>
    <x v="3"/>
    <x v="10"/>
    <x v="405"/>
  </r>
  <r>
    <n v="1099683"/>
    <x v="286"/>
    <x v="3"/>
    <x v="9"/>
    <x v="380"/>
  </r>
  <r>
    <n v="1099683"/>
    <x v="286"/>
    <x v="3"/>
    <x v="8"/>
    <x v="180"/>
  </r>
  <r>
    <n v="1099683"/>
    <x v="286"/>
    <x v="3"/>
    <x v="7"/>
    <x v="406"/>
  </r>
  <r>
    <n v="1099683"/>
    <x v="286"/>
    <x v="3"/>
    <x v="6"/>
    <x v="233"/>
  </r>
  <r>
    <n v="1099683"/>
    <x v="286"/>
    <x v="3"/>
    <x v="342"/>
    <x v="227"/>
  </r>
  <r>
    <n v="1099683"/>
    <x v="1"/>
    <x v="1"/>
    <x v="2"/>
    <x v="2"/>
  </r>
  <r>
    <n v="1099685"/>
    <x v="287"/>
    <x v="5"/>
    <x v="85"/>
    <x v="686"/>
  </r>
  <r>
    <n v="1099685"/>
    <x v="287"/>
    <x v="5"/>
    <x v="405"/>
    <x v="229"/>
  </r>
  <r>
    <n v="1099685"/>
    <x v="287"/>
    <x v="5"/>
    <x v="401"/>
    <x v="200"/>
  </r>
  <r>
    <n v="1099685"/>
    <x v="287"/>
    <x v="5"/>
    <x v="415"/>
    <x v="687"/>
  </r>
  <r>
    <n v="1099685"/>
    <x v="287"/>
    <x v="5"/>
    <x v="22"/>
    <x v="688"/>
  </r>
  <r>
    <n v="1099685"/>
    <x v="287"/>
    <x v="5"/>
    <x v="23"/>
    <x v="688"/>
  </r>
  <r>
    <n v="1099685"/>
    <x v="287"/>
    <x v="5"/>
    <x v="414"/>
    <x v="168"/>
  </r>
  <r>
    <n v="1099685"/>
    <x v="287"/>
    <x v="5"/>
    <x v="412"/>
    <x v="78"/>
  </r>
  <r>
    <n v="1099685"/>
    <x v="287"/>
    <x v="5"/>
    <x v="18"/>
    <x v="211"/>
  </r>
  <r>
    <n v="1099685"/>
    <x v="287"/>
    <x v="5"/>
    <x v="407"/>
    <x v="689"/>
  </r>
  <r>
    <n v="1099685"/>
    <x v="287"/>
    <x v="5"/>
    <x v="404"/>
    <x v="325"/>
  </r>
  <r>
    <n v="1099685"/>
    <x v="287"/>
    <x v="5"/>
    <x v="406"/>
    <x v="200"/>
  </r>
  <r>
    <n v="1099685"/>
    <x v="287"/>
    <x v="5"/>
    <x v="408"/>
    <x v="147"/>
  </r>
  <r>
    <n v="1099685"/>
    <x v="287"/>
    <x v="5"/>
    <x v="86"/>
    <x v="690"/>
  </r>
  <r>
    <n v="1099685"/>
    <x v="287"/>
    <x v="5"/>
    <x v="409"/>
    <x v="517"/>
  </r>
  <r>
    <n v="1099685"/>
    <x v="287"/>
    <x v="5"/>
    <x v="403"/>
    <x v="691"/>
  </r>
  <r>
    <n v="1099685"/>
    <x v="287"/>
    <x v="5"/>
    <x v="417"/>
    <x v="692"/>
  </r>
  <r>
    <n v="1099685"/>
    <x v="287"/>
    <x v="5"/>
    <x v="400"/>
    <x v="455"/>
  </r>
  <r>
    <n v="1099685"/>
    <x v="287"/>
    <x v="5"/>
    <x v="397"/>
    <x v="693"/>
  </r>
  <r>
    <n v="1099685"/>
    <x v="287"/>
    <x v="5"/>
    <x v="19"/>
    <x v="457"/>
  </r>
  <r>
    <n v="1099685"/>
    <x v="287"/>
    <x v="5"/>
    <x v="411"/>
    <x v="546"/>
  </r>
  <r>
    <n v="1099685"/>
    <x v="287"/>
    <x v="5"/>
    <x v="413"/>
    <x v="537"/>
  </r>
  <r>
    <n v="1099685"/>
    <x v="287"/>
    <x v="5"/>
    <x v="416"/>
    <x v="485"/>
  </r>
  <r>
    <n v="1099685"/>
    <x v="287"/>
    <x v="5"/>
    <x v="20"/>
    <x v="476"/>
  </r>
  <r>
    <n v="1099685"/>
    <x v="287"/>
    <x v="5"/>
    <x v="410"/>
    <x v="694"/>
  </r>
  <r>
    <n v="1099685"/>
    <x v="287"/>
    <x v="5"/>
    <x v="21"/>
    <x v="51"/>
  </r>
  <r>
    <n v="1099685"/>
    <x v="287"/>
    <x v="5"/>
    <x v="398"/>
    <x v="84"/>
  </r>
  <r>
    <n v="1099685"/>
    <x v="287"/>
    <x v="5"/>
    <x v="399"/>
    <x v="695"/>
  </r>
  <r>
    <n v="1099685"/>
    <x v="1"/>
    <x v="1"/>
    <x v="2"/>
    <x v="2"/>
  </r>
  <r>
    <n v="1099687"/>
    <x v="288"/>
    <x v="6"/>
    <x v="277"/>
    <x v="2"/>
  </r>
  <r>
    <n v="1099687"/>
    <x v="1"/>
    <x v="1"/>
    <x v="2"/>
    <x v="2"/>
  </r>
  <r>
    <n v="1099688"/>
    <x v="289"/>
    <x v="2"/>
    <x v="73"/>
    <x v="347"/>
  </r>
  <r>
    <n v="1099688"/>
    <x v="289"/>
    <x v="2"/>
    <x v="67"/>
    <x v="35"/>
  </r>
  <r>
    <n v="1099688"/>
    <x v="289"/>
    <x v="2"/>
    <x v="80"/>
    <x v="523"/>
  </r>
  <r>
    <n v="1099688"/>
    <x v="289"/>
    <x v="2"/>
    <x v="57"/>
    <x v="522"/>
  </r>
  <r>
    <n v="1099688"/>
    <x v="289"/>
    <x v="2"/>
    <x v="59"/>
    <x v="521"/>
  </r>
  <r>
    <n v="1099688"/>
    <x v="289"/>
    <x v="2"/>
    <x v="81"/>
    <x v="477"/>
  </r>
  <r>
    <n v="1099688"/>
    <x v="289"/>
    <x v="2"/>
    <x v="64"/>
    <x v="524"/>
  </r>
  <r>
    <n v="1099688"/>
    <x v="289"/>
    <x v="2"/>
    <x v="83"/>
    <x v="185"/>
  </r>
  <r>
    <n v="1099688"/>
    <x v="289"/>
    <x v="2"/>
    <x v="55"/>
    <x v="146"/>
  </r>
  <r>
    <n v="1099688"/>
    <x v="289"/>
    <x v="2"/>
    <x v="69"/>
    <x v="525"/>
  </r>
  <r>
    <n v="1099688"/>
    <x v="1"/>
    <x v="1"/>
    <x v="2"/>
    <x v="2"/>
  </r>
  <r>
    <n v="1099689"/>
    <x v="290"/>
    <x v="14"/>
    <x v="391"/>
    <x v="2"/>
  </r>
  <r>
    <n v="1099689"/>
    <x v="1"/>
    <x v="1"/>
    <x v="2"/>
    <x v="2"/>
  </r>
  <r>
    <n v="1099692"/>
    <x v="291"/>
    <x v="13"/>
    <x v="385"/>
    <x v="508"/>
  </r>
  <r>
    <n v="1099692"/>
    <x v="291"/>
    <x v="13"/>
    <x v="383"/>
    <x v="500"/>
  </r>
  <r>
    <n v="1099692"/>
    <x v="1"/>
    <x v="1"/>
    <x v="2"/>
    <x v="2"/>
  </r>
  <r>
    <n v="1099694"/>
    <x v="292"/>
    <x v="5"/>
    <x v="276"/>
    <x v="2"/>
  </r>
  <r>
    <n v="1099694"/>
    <x v="1"/>
    <x v="1"/>
    <x v="2"/>
    <x v="2"/>
  </r>
  <r>
    <n v="1099696"/>
    <x v="293"/>
    <x v="6"/>
    <x v="450"/>
    <x v="2"/>
  </r>
  <r>
    <n v="1099696"/>
    <x v="1"/>
    <x v="1"/>
    <x v="2"/>
    <x v="2"/>
  </r>
  <r>
    <n v="1099698"/>
    <x v="294"/>
    <x v="2"/>
    <x v="69"/>
    <x v="696"/>
  </r>
  <r>
    <n v="1099698"/>
    <x v="294"/>
    <x v="2"/>
    <x v="73"/>
    <x v="163"/>
  </r>
  <r>
    <n v="1099698"/>
    <x v="294"/>
    <x v="2"/>
    <x v="55"/>
    <x v="92"/>
  </r>
  <r>
    <n v="1099698"/>
    <x v="294"/>
    <x v="2"/>
    <x v="57"/>
    <x v="697"/>
  </r>
  <r>
    <n v="1099698"/>
    <x v="294"/>
    <x v="2"/>
    <x v="80"/>
    <x v="698"/>
  </r>
  <r>
    <n v="1099698"/>
    <x v="1"/>
    <x v="1"/>
    <x v="2"/>
    <x v="2"/>
  </r>
  <r>
    <n v="1099700"/>
    <x v="295"/>
    <x v="2"/>
    <x v="276"/>
    <x v="2"/>
  </r>
  <r>
    <n v="1099700"/>
    <x v="1"/>
    <x v="1"/>
    <x v="2"/>
    <x v="2"/>
  </r>
  <r>
    <n v="1099702"/>
    <x v="296"/>
    <x v="5"/>
    <x v="312"/>
    <x v="669"/>
  </r>
  <r>
    <n v="1099702"/>
    <x v="296"/>
    <x v="5"/>
    <x v="309"/>
    <x v="667"/>
  </r>
  <r>
    <n v="1099702"/>
    <x v="296"/>
    <x v="5"/>
    <x v="310"/>
    <x v="666"/>
  </r>
  <r>
    <n v="1099702"/>
    <x v="296"/>
    <x v="5"/>
    <x v="311"/>
    <x v="668"/>
  </r>
  <r>
    <n v="1099702"/>
    <x v="1"/>
    <x v="1"/>
    <x v="2"/>
    <x v="2"/>
  </r>
  <r>
    <n v="1099704"/>
    <x v="297"/>
    <x v="2"/>
    <x v="276"/>
    <x v="2"/>
  </r>
  <r>
    <n v="1099704"/>
    <x v="1"/>
    <x v="1"/>
    <x v="2"/>
    <x v="2"/>
  </r>
  <r>
    <n v="1099706"/>
    <x v="298"/>
    <x v="2"/>
    <x v="200"/>
    <x v="193"/>
  </r>
  <r>
    <n v="1099706"/>
    <x v="298"/>
    <x v="2"/>
    <x v="201"/>
    <x v="194"/>
  </r>
  <r>
    <n v="1099706"/>
    <x v="298"/>
    <x v="2"/>
    <x v="203"/>
    <x v="195"/>
  </r>
  <r>
    <n v="1099706"/>
    <x v="298"/>
    <x v="2"/>
    <x v="202"/>
    <x v="141"/>
  </r>
  <r>
    <n v="1099706"/>
    <x v="298"/>
    <x v="2"/>
    <x v="199"/>
    <x v="192"/>
  </r>
  <r>
    <n v="1099706"/>
    <x v="1"/>
    <x v="1"/>
    <x v="2"/>
    <x v="2"/>
  </r>
  <r>
    <n v="1099707"/>
    <x v="299"/>
    <x v="5"/>
    <x v="276"/>
    <x v="2"/>
  </r>
  <r>
    <n v="1099707"/>
    <x v="1"/>
    <x v="1"/>
    <x v="2"/>
    <x v="2"/>
  </r>
  <r>
    <n v="1099708"/>
    <x v="300"/>
    <x v="2"/>
    <x v="276"/>
    <x v="2"/>
  </r>
  <r>
    <n v="1099708"/>
    <x v="1"/>
    <x v="1"/>
    <x v="2"/>
    <x v="2"/>
  </r>
  <r>
    <n v="1099709"/>
    <x v="301"/>
    <x v="2"/>
    <x v="276"/>
    <x v="2"/>
  </r>
  <r>
    <n v="1099709"/>
    <x v="1"/>
    <x v="1"/>
    <x v="2"/>
    <x v="2"/>
  </r>
  <r>
    <n v="1099710"/>
    <x v="302"/>
    <x v="6"/>
    <x v="450"/>
    <x v="2"/>
  </r>
  <r>
    <n v="1099710"/>
    <x v="1"/>
    <x v="1"/>
    <x v="2"/>
    <x v="2"/>
  </r>
  <r>
    <n v="1099711"/>
    <x v="303"/>
    <x v="3"/>
    <x v="245"/>
    <x v="547"/>
  </r>
  <r>
    <n v="1099711"/>
    <x v="303"/>
    <x v="3"/>
    <x v="217"/>
    <x v="233"/>
  </r>
  <r>
    <n v="1099711"/>
    <x v="303"/>
    <x v="3"/>
    <x v="221"/>
    <x v="51"/>
  </r>
  <r>
    <n v="1099711"/>
    <x v="303"/>
    <x v="3"/>
    <x v="258"/>
    <x v="4"/>
  </r>
  <r>
    <n v="1099711"/>
    <x v="303"/>
    <x v="3"/>
    <x v="262"/>
    <x v="64"/>
  </r>
  <r>
    <n v="1099711"/>
    <x v="303"/>
    <x v="3"/>
    <x v="205"/>
    <x v="4"/>
  </r>
  <r>
    <n v="1099711"/>
    <x v="303"/>
    <x v="3"/>
    <x v="209"/>
    <x v="346"/>
  </r>
  <r>
    <n v="1099711"/>
    <x v="303"/>
    <x v="3"/>
    <x v="214"/>
    <x v="77"/>
  </r>
  <r>
    <n v="1099711"/>
    <x v="303"/>
    <x v="3"/>
    <x v="224"/>
    <x v="699"/>
  </r>
  <r>
    <n v="1099711"/>
    <x v="303"/>
    <x v="3"/>
    <x v="229"/>
    <x v="700"/>
  </r>
  <r>
    <n v="1099711"/>
    <x v="303"/>
    <x v="3"/>
    <x v="234"/>
    <x v="181"/>
  </r>
  <r>
    <n v="1099711"/>
    <x v="303"/>
    <x v="3"/>
    <x v="239"/>
    <x v="392"/>
  </r>
  <r>
    <n v="1099711"/>
    <x v="303"/>
    <x v="3"/>
    <x v="243"/>
    <x v="153"/>
  </r>
  <r>
    <n v="1099711"/>
    <x v="303"/>
    <x v="3"/>
    <x v="247"/>
    <x v="392"/>
  </r>
  <r>
    <n v="1099711"/>
    <x v="303"/>
    <x v="3"/>
    <x v="314"/>
    <x v="154"/>
  </r>
  <r>
    <n v="1099711"/>
    <x v="303"/>
    <x v="3"/>
    <x v="257"/>
    <x v="204"/>
  </r>
  <r>
    <n v="1099711"/>
    <x v="303"/>
    <x v="3"/>
    <x v="249"/>
    <x v="61"/>
  </r>
  <r>
    <n v="1099711"/>
    <x v="303"/>
    <x v="3"/>
    <x v="204"/>
    <x v="97"/>
  </r>
  <r>
    <n v="1099711"/>
    <x v="303"/>
    <x v="3"/>
    <x v="250"/>
    <x v="34"/>
  </r>
  <r>
    <n v="1099711"/>
    <x v="303"/>
    <x v="3"/>
    <x v="213"/>
    <x v="201"/>
  </r>
  <r>
    <n v="1099711"/>
    <x v="303"/>
    <x v="3"/>
    <x v="223"/>
    <x v="3"/>
  </r>
  <r>
    <n v="1099711"/>
    <x v="303"/>
    <x v="3"/>
    <x v="228"/>
    <x v="701"/>
  </r>
  <r>
    <n v="1099711"/>
    <x v="303"/>
    <x v="3"/>
    <x v="233"/>
    <x v="441"/>
  </r>
  <r>
    <n v="1099711"/>
    <x v="303"/>
    <x v="3"/>
    <x v="238"/>
    <x v="702"/>
  </r>
  <r>
    <n v="1099711"/>
    <x v="303"/>
    <x v="3"/>
    <x v="242"/>
    <x v="89"/>
  </r>
  <r>
    <n v="1099711"/>
    <x v="303"/>
    <x v="3"/>
    <x v="246"/>
    <x v="39"/>
  </r>
  <r>
    <n v="1099711"/>
    <x v="303"/>
    <x v="3"/>
    <x v="219"/>
    <x v="574"/>
  </r>
  <r>
    <n v="1099711"/>
    <x v="303"/>
    <x v="3"/>
    <x v="253"/>
    <x v="119"/>
  </r>
  <r>
    <n v="1099711"/>
    <x v="303"/>
    <x v="3"/>
    <x v="254"/>
    <x v="62"/>
  </r>
  <r>
    <n v="1099711"/>
    <x v="303"/>
    <x v="3"/>
    <x v="251"/>
    <x v="176"/>
  </r>
  <r>
    <n v="1099711"/>
    <x v="303"/>
    <x v="3"/>
    <x v="256"/>
    <x v="459"/>
  </r>
  <r>
    <n v="1099711"/>
    <x v="303"/>
    <x v="3"/>
    <x v="261"/>
    <x v="37"/>
  </r>
  <r>
    <n v="1099711"/>
    <x v="303"/>
    <x v="3"/>
    <x v="265"/>
    <x v="82"/>
  </r>
  <r>
    <n v="1099711"/>
    <x v="303"/>
    <x v="3"/>
    <x v="208"/>
    <x v="197"/>
  </r>
  <r>
    <n v="1099711"/>
    <x v="303"/>
    <x v="3"/>
    <x v="212"/>
    <x v="171"/>
  </r>
  <r>
    <n v="1099711"/>
    <x v="303"/>
    <x v="3"/>
    <x v="222"/>
    <x v="567"/>
  </r>
  <r>
    <n v="1099711"/>
    <x v="303"/>
    <x v="3"/>
    <x v="227"/>
    <x v="57"/>
  </r>
  <r>
    <n v="1099711"/>
    <x v="303"/>
    <x v="3"/>
    <x v="232"/>
    <x v="474"/>
  </r>
  <r>
    <n v="1099711"/>
    <x v="303"/>
    <x v="3"/>
    <x v="237"/>
    <x v="703"/>
  </r>
  <r>
    <n v="1099711"/>
    <x v="303"/>
    <x v="3"/>
    <x v="313"/>
    <x v="704"/>
  </r>
  <r>
    <n v="1099711"/>
    <x v="303"/>
    <x v="3"/>
    <x v="341"/>
    <x v="80"/>
  </r>
  <r>
    <n v="1099711"/>
    <x v="303"/>
    <x v="3"/>
    <x v="218"/>
    <x v="69"/>
  </r>
  <r>
    <n v="1099711"/>
    <x v="303"/>
    <x v="3"/>
    <x v="252"/>
    <x v="42"/>
  </r>
  <r>
    <n v="1099711"/>
    <x v="303"/>
    <x v="3"/>
    <x v="260"/>
    <x v="364"/>
  </r>
  <r>
    <n v="1099711"/>
    <x v="303"/>
    <x v="3"/>
    <x v="263"/>
    <x v="173"/>
  </r>
  <r>
    <n v="1099711"/>
    <x v="303"/>
    <x v="3"/>
    <x v="206"/>
    <x v="144"/>
  </r>
  <r>
    <n v="1099711"/>
    <x v="303"/>
    <x v="3"/>
    <x v="210"/>
    <x v="92"/>
  </r>
  <r>
    <n v="1099711"/>
    <x v="303"/>
    <x v="3"/>
    <x v="215"/>
    <x v="4"/>
  </r>
  <r>
    <n v="1099711"/>
    <x v="303"/>
    <x v="3"/>
    <x v="225"/>
    <x v="111"/>
  </r>
  <r>
    <n v="1099711"/>
    <x v="303"/>
    <x v="3"/>
    <x v="230"/>
    <x v="705"/>
  </r>
  <r>
    <n v="1099711"/>
    <x v="303"/>
    <x v="3"/>
    <x v="235"/>
    <x v="706"/>
  </r>
  <r>
    <n v="1099711"/>
    <x v="303"/>
    <x v="3"/>
    <x v="240"/>
    <x v="82"/>
  </r>
  <r>
    <n v="1099711"/>
    <x v="303"/>
    <x v="3"/>
    <x v="244"/>
    <x v="350"/>
  </r>
  <r>
    <n v="1099711"/>
    <x v="303"/>
    <x v="3"/>
    <x v="248"/>
    <x v="161"/>
  </r>
  <r>
    <n v="1099711"/>
    <x v="303"/>
    <x v="3"/>
    <x v="220"/>
    <x v="217"/>
  </r>
  <r>
    <n v="1099711"/>
    <x v="303"/>
    <x v="3"/>
    <x v="255"/>
    <x v="707"/>
  </r>
  <r>
    <n v="1099711"/>
    <x v="303"/>
    <x v="3"/>
    <x v="259"/>
    <x v="197"/>
  </r>
  <r>
    <n v="1099711"/>
    <x v="303"/>
    <x v="3"/>
    <x v="264"/>
    <x v="153"/>
  </r>
  <r>
    <n v="1099711"/>
    <x v="303"/>
    <x v="3"/>
    <x v="207"/>
    <x v="549"/>
  </r>
  <r>
    <n v="1099711"/>
    <x v="303"/>
    <x v="3"/>
    <x v="211"/>
    <x v="156"/>
  </r>
  <r>
    <n v="1099711"/>
    <x v="303"/>
    <x v="3"/>
    <x v="216"/>
    <x v="392"/>
  </r>
  <r>
    <n v="1099711"/>
    <x v="303"/>
    <x v="3"/>
    <x v="226"/>
    <x v="708"/>
  </r>
  <r>
    <n v="1099711"/>
    <x v="303"/>
    <x v="3"/>
    <x v="231"/>
    <x v="258"/>
  </r>
  <r>
    <n v="1099711"/>
    <x v="303"/>
    <x v="3"/>
    <x v="236"/>
    <x v="200"/>
  </r>
  <r>
    <n v="1099711"/>
    <x v="303"/>
    <x v="3"/>
    <x v="241"/>
    <x v="91"/>
  </r>
  <r>
    <n v="1099711"/>
    <x v="1"/>
    <x v="1"/>
    <x v="2"/>
    <x v="2"/>
  </r>
  <r>
    <n v="1099713"/>
    <x v="304"/>
    <x v="3"/>
    <x v="157"/>
    <x v="159"/>
  </r>
  <r>
    <n v="1099713"/>
    <x v="304"/>
    <x v="3"/>
    <x v="156"/>
    <x v="158"/>
  </r>
  <r>
    <n v="1099713"/>
    <x v="304"/>
    <x v="3"/>
    <x v="126"/>
    <x v="82"/>
  </r>
  <r>
    <n v="1099713"/>
    <x v="304"/>
    <x v="3"/>
    <x v="132"/>
    <x v="146"/>
  </r>
  <r>
    <n v="1099713"/>
    <x v="304"/>
    <x v="3"/>
    <x v="137"/>
    <x v="79"/>
  </r>
  <r>
    <n v="1099713"/>
    <x v="304"/>
    <x v="3"/>
    <x v="144"/>
    <x v="84"/>
  </r>
  <r>
    <n v="1099713"/>
    <x v="304"/>
    <x v="3"/>
    <x v="149"/>
    <x v="154"/>
  </r>
  <r>
    <n v="1099713"/>
    <x v="304"/>
    <x v="3"/>
    <x v="130"/>
    <x v="145"/>
  </r>
  <r>
    <n v="1099713"/>
    <x v="304"/>
    <x v="3"/>
    <x v="159"/>
    <x v="161"/>
  </r>
  <r>
    <n v="1099713"/>
    <x v="304"/>
    <x v="3"/>
    <x v="163"/>
    <x v="83"/>
  </r>
  <r>
    <n v="1099713"/>
    <x v="304"/>
    <x v="3"/>
    <x v="128"/>
    <x v="92"/>
  </r>
  <r>
    <n v="1099713"/>
    <x v="304"/>
    <x v="3"/>
    <x v="134"/>
    <x v="148"/>
  </r>
  <r>
    <n v="1099713"/>
    <x v="304"/>
    <x v="3"/>
    <x v="141"/>
    <x v="151"/>
  </r>
  <r>
    <n v="1099713"/>
    <x v="304"/>
    <x v="3"/>
    <x v="146"/>
    <x v="78"/>
  </r>
  <r>
    <n v="1099713"/>
    <x v="304"/>
    <x v="3"/>
    <x v="151"/>
    <x v="35"/>
  </r>
  <r>
    <n v="1099713"/>
    <x v="304"/>
    <x v="3"/>
    <x v="140"/>
    <x v="150"/>
  </r>
  <r>
    <n v="1099713"/>
    <x v="304"/>
    <x v="3"/>
    <x v="158"/>
    <x v="160"/>
  </r>
  <r>
    <n v="1099713"/>
    <x v="304"/>
    <x v="3"/>
    <x v="154"/>
    <x v="149"/>
  </r>
  <r>
    <n v="1099713"/>
    <x v="304"/>
    <x v="3"/>
    <x v="127"/>
    <x v="97"/>
  </r>
  <r>
    <n v="1099713"/>
    <x v="304"/>
    <x v="3"/>
    <x v="133"/>
    <x v="147"/>
  </r>
  <r>
    <n v="1099713"/>
    <x v="304"/>
    <x v="3"/>
    <x v="138"/>
    <x v="149"/>
  </r>
  <r>
    <n v="1099713"/>
    <x v="304"/>
    <x v="3"/>
    <x v="145"/>
    <x v="153"/>
  </r>
  <r>
    <n v="1099713"/>
    <x v="304"/>
    <x v="3"/>
    <x v="150"/>
    <x v="155"/>
  </r>
  <r>
    <n v="1099713"/>
    <x v="304"/>
    <x v="3"/>
    <x v="139"/>
    <x v="37"/>
  </r>
  <r>
    <n v="1099713"/>
    <x v="304"/>
    <x v="3"/>
    <x v="160"/>
    <x v="162"/>
  </r>
  <r>
    <n v="1099713"/>
    <x v="304"/>
    <x v="3"/>
    <x v="124"/>
    <x v="62"/>
  </r>
  <r>
    <n v="1099713"/>
    <x v="304"/>
    <x v="3"/>
    <x v="129"/>
    <x v="42"/>
  </r>
  <r>
    <n v="1099713"/>
    <x v="304"/>
    <x v="3"/>
    <x v="135"/>
    <x v="64"/>
  </r>
  <r>
    <n v="1099713"/>
    <x v="304"/>
    <x v="3"/>
    <x v="142"/>
    <x v="152"/>
  </r>
  <r>
    <n v="1099713"/>
    <x v="304"/>
    <x v="3"/>
    <x v="147"/>
    <x v="24"/>
  </r>
  <r>
    <n v="1099713"/>
    <x v="304"/>
    <x v="3"/>
    <x v="152"/>
    <x v="156"/>
  </r>
  <r>
    <n v="1099713"/>
    <x v="304"/>
    <x v="3"/>
    <x v="155"/>
    <x v="157"/>
  </r>
  <r>
    <n v="1099713"/>
    <x v="304"/>
    <x v="3"/>
    <x v="161"/>
    <x v="163"/>
  </r>
  <r>
    <n v="1099713"/>
    <x v="304"/>
    <x v="3"/>
    <x v="125"/>
    <x v="144"/>
  </r>
  <r>
    <n v="1099713"/>
    <x v="304"/>
    <x v="3"/>
    <x v="131"/>
    <x v="34"/>
  </r>
  <r>
    <n v="1099713"/>
    <x v="304"/>
    <x v="3"/>
    <x v="136"/>
    <x v="82"/>
  </r>
  <r>
    <n v="1099713"/>
    <x v="304"/>
    <x v="3"/>
    <x v="143"/>
    <x v="91"/>
  </r>
  <r>
    <n v="1099713"/>
    <x v="304"/>
    <x v="3"/>
    <x v="148"/>
    <x v="144"/>
  </r>
  <r>
    <n v="1099713"/>
    <x v="304"/>
    <x v="3"/>
    <x v="153"/>
    <x v="147"/>
  </r>
  <r>
    <n v="1099713"/>
    <x v="304"/>
    <x v="3"/>
    <x v="162"/>
    <x v="164"/>
  </r>
  <r>
    <n v="1099713"/>
    <x v="1"/>
    <x v="1"/>
    <x v="2"/>
    <x v="2"/>
  </r>
  <r>
    <n v="1099714"/>
    <x v="305"/>
    <x v="2"/>
    <x v="353"/>
    <x v="2"/>
  </r>
  <r>
    <n v="1099714"/>
    <x v="1"/>
    <x v="1"/>
    <x v="2"/>
    <x v="2"/>
  </r>
  <r>
    <n v="1099715"/>
    <x v="306"/>
    <x v="6"/>
    <x v="173"/>
    <x v="516"/>
  </r>
  <r>
    <n v="1099715"/>
    <x v="306"/>
    <x v="6"/>
    <x v="187"/>
    <x v="98"/>
  </r>
  <r>
    <n v="1099715"/>
    <x v="306"/>
    <x v="6"/>
    <x v="184"/>
    <x v="516"/>
  </r>
  <r>
    <n v="1099715"/>
    <x v="306"/>
    <x v="6"/>
    <x v="0"/>
    <x v="529"/>
  </r>
  <r>
    <n v="1099715"/>
    <x v="306"/>
    <x v="6"/>
    <x v="36"/>
    <x v="34"/>
  </r>
  <r>
    <n v="1099715"/>
    <x v="306"/>
    <x v="6"/>
    <x v="77"/>
    <x v="536"/>
  </r>
  <r>
    <n v="1099715"/>
    <x v="306"/>
    <x v="6"/>
    <x v="60"/>
    <x v="82"/>
  </r>
  <r>
    <n v="1099715"/>
    <x v="306"/>
    <x v="6"/>
    <x v="201"/>
    <x v="88"/>
  </r>
  <r>
    <n v="1099715"/>
    <x v="306"/>
    <x v="6"/>
    <x v="389"/>
    <x v="537"/>
  </r>
  <r>
    <n v="1099715"/>
    <x v="306"/>
    <x v="6"/>
    <x v="383"/>
    <x v="220"/>
  </r>
  <r>
    <n v="1099715"/>
    <x v="306"/>
    <x v="6"/>
    <x v="158"/>
    <x v="472"/>
  </r>
  <r>
    <n v="1099715"/>
    <x v="306"/>
    <x v="6"/>
    <x v="344"/>
    <x v="346"/>
  </r>
  <r>
    <n v="1099715"/>
    <x v="306"/>
    <x v="6"/>
    <x v="347"/>
    <x v="348"/>
  </r>
  <r>
    <n v="1099715"/>
    <x v="306"/>
    <x v="6"/>
    <x v="335"/>
    <x v="348"/>
  </r>
  <r>
    <n v="1099715"/>
    <x v="306"/>
    <x v="6"/>
    <x v="163"/>
    <x v="516"/>
  </r>
  <r>
    <n v="1099715"/>
    <x v="306"/>
    <x v="6"/>
    <x v="134"/>
    <x v="178"/>
  </r>
  <r>
    <n v="1099715"/>
    <x v="306"/>
    <x v="6"/>
    <x v="146"/>
    <x v="535"/>
  </r>
  <r>
    <n v="1099715"/>
    <x v="306"/>
    <x v="6"/>
    <x v="257"/>
    <x v="198"/>
  </r>
  <r>
    <n v="1099715"/>
    <x v="306"/>
    <x v="6"/>
    <x v="265"/>
    <x v="535"/>
  </r>
  <r>
    <n v="1099715"/>
    <x v="306"/>
    <x v="6"/>
    <x v="212"/>
    <x v="4"/>
  </r>
  <r>
    <n v="1099715"/>
    <x v="306"/>
    <x v="6"/>
    <x v="223"/>
    <x v="3"/>
  </r>
  <r>
    <n v="1099715"/>
    <x v="306"/>
    <x v="6"/>
    <x v="231"/>
    <x v="88"/>
  </r>
  <r>
    <n v="1099715"/>
    <x v="306"/>
    <x v="6"/>
    <x v="239"/>
    <x v="198"/>
  </r>
  <r>
    <n v="1099715"/>
    <x v="306"/>
    <x v="6"/>
    <x v="247"/>
    <x v="198"/>
  </r>
  <r>
    <n v="1099715"/>
    <x v="306"/>
    <x v="6"/>
    <x v="221"/>
    <x v="198"/>
  </r>
  <r>
    <n v="1099715"/>
    <x v="306"/>
    <x v="6"/>
    <x v="174"/>
    <x v="88"/>
  </r>
  <r>
    <n v="1099715"/>
    <x v="306"/>
    <x v="6"/>
    <x v="176"/>
    <x v="83"/>
  </r>
  <r>
    <n v="1099715"/>
    <x v="306"/>
    <x v="6"/>
    <x v="166"/>
    <x v="534"/>
  </r>
  <r>
    <n v="1099715"/>
    <x v="306"/>
    <x v="6"/>
    <x v="35"/>
    <x v="178"/>
  </r>
  <r>
    <n v="1099715"/>
    <x v="306"/>
    <x v="6"/>
    <x v="41"/>
    <x v="203"/>
  </r>
  <r>
    <n v="1099715"/>
    <x v="306"/>
    <x v="6"/>
    <x v="65"/>
    <x v="351"/>
  </r>
  <r>
    <n v="1099715"/>
    <x v="306"/>
    <x v="6"/>
    <x v="58"/>
    <x v="82"/>
  </r>
  <r>
    <n v="1099715"/>
    <x v="306"/>
    <x v="6"/>
    <x v="3"/>
    <x v="24"/>
  </r>
  <r>
    <n v="1099715"/>
    <x v="306"/>
    <x v="6"/>
    <x v="4"/>
    <x v="3"/>
  </r>
  <r>
    <n v="1099715"/>
    <x v="306"/>
    <x v="6"/>
    <x v="64"/>
    <x v="549"/>
  </r>
  <r>
    <n v="1099715"/>
    <x v="306"/>
    <x v="6"/>
    <x v="59"/>
    <x v="62"/>
  </r>
  <r>
    <n v="1099715"/>
    <x v="306"/>
    <x v="6"/>
    <x v="74"/>
    <x v="154"/>
  </r>
  <r>
    <n v="1099715"/>
    <x v="306"/>
    <x v="6"/>
    <x v="80"/>
    <x v="550"/>
  </r>
  <r>
    <n v="1099715"/>
    <x v="306"/>
    <x v="6"/>
    <x v="421"/>
    <x v="58"/>
  </r>
  <r>
    <n v="1099715"/>
    <x v="306"/>
    <x v="6"/>
    <x v="15"/>
    <x v="154"/>
  </r>
  <r>
    <n v="1099715"/>
    <x v="306"/>
    <x v="6"/>
    <x v="253"/>
    <x v="170"/>
  </r>
  <r>
    <n v="1099715"/>
    <x v="306"/>
    <x v="6"/>
    <x v="334"/>
    <x v="198"/>
  </r>
  <r>
    <n v="1099715"/>
    <x v="306"/>
    <x v="6"/>
    <x v="160"/>
    <x v="351"/>
  </r>
  <r>
    <n v="1099715"/>
    <x v="306"/>
    <x v="6"/>
    <x v="129"/>
    <x v="535"/>
  </r>
  <r>
    <n v="1099715"/>
    <x v="306"/>
    <x v="6"/>
    <x v="142"/>
    <x v="83"/>
  </r>
  <r>
    <n v="1099715"/>
    <x v="306"/>
    <x v="6"/>
    <x v="152"/>
    <x v="535"/>
  </r>
  <r>
    <n v="1099715"/>
    <x v="306"/>
    <x v="6"/>
    <x v="262"/>
    <x v="351"/>
  </r>
  <r>
    <n v="1099715"/>
    <x v="306"/>
    <x v="6"/>
    <x v="250"/>
    <x v="535"/>
  </r>
  <r>
    <n v="1099715"/>
    <x v="306"/>
    <x v="6"/>
    <x v="139"/>
    <x v="178"/>
  </r>
  <r>
    <n v="1099715"/>
    <x v="306"/>
    <x v="6"/>
    <x v="227"/>
    <x v="4"/>
  </r>
  <r>
    <n v="1099715"/>
    <x v="306"/>
    <x v="6"/>
    <x v="237"/>
    <x v="548"/>
  </r>
  <r>
    <n v="1099715"/>
    <x v="306"/>
    <x v="6"/>
    <x v="384"/>
    <x v="551"/>
  </r>
  <r>
    <n v="1099715"/>
    <x v="306"/>
    <x v="6"/>
    <x v="342"/>
    <x v="348"/>
  </r>
  <r>
    <n v="1099715"/>
    <x v="306"/>
    <x v="6"/>
    <x v="141"/>
    <x v="351"/>
  </r>
  <r>
    <n v="1099715"/>
    <x v="306"/>
    <x v="6"/>
    <x v="151"/>
    <x v="77"/>
  </r>
  <r>
    <n v="1099715"/>
    <x v="306"/>
    <x v="6"/>
    <x v="249"/>
    <x v="348"/>
  </r>
  <r>
    <n v="1099715"/>
    <x v="306"/>
    <x v="6"/>
    <x v="208"/>
    <x v="178"/>
  </r>
  <r>
    <n v="1099715"/>
    <x v="306"/>
    <x v="6"/>
    <x v="130"/>
    <x v="348"/>
  </r>
  <r>
    <n v="1099715"/>
    <x v="306"/>
    <x v="6"/>
    <x v="226"/>
    <x v="82"/>
  </r>
  <r>
    <n v="1099715"/>
    <x v="306"/>
    <x v="6"/>
    <x v="236"/>
    <x v="83"/>
  </r>
  <r>
    <n v="1099715"/>
    <x v="306"/>
    <x v="6"/>
    <x v="243"/>
    <x v="351"/>
  </r>
  <r>
    <n v="1099715"/>
    <x v="306"/>
    <x v="6"/>
    <x v="315"/>
    <x v="144"/>
  </r>
  <r>
    <n v="1099715"/>
    <x v="306"/>
    <x v="6"/>
    <x v="168"/>
    <x v="535"/>
  </r>
  <r>
    <n v="1099715"/>
    <x v="306"/>
    <x v="6"/>
    <x v="175"/>
    <x v="516"/>
  </r>
  <r>
    <n v="1099715"/>
    <x v="306"/>
    <x v="6"/>
    <x v="177"/>
    <x v="198"/>
  </r>
  <r>
    <n v="1099715"/>
    <x v="306"/>
    <x v="6"/>
    <x v="38"/>
    <x v="198"/>
  </r>
  <r>
    <n v="1099715"/>
    <x v="306"/>
    <x v="6"/>
    <x v="34"/>
    <x v="105"/>
  </r>
  <r>
    <n v="1099715"/>
    <x v="306"/>
    <x v="6"/>
    <x v="81"/>
    <x v="229"/>
  </r>
  <r>
    <n v="1099715"/>
    <x v="306"/>
    <x v="6"/>
    <x v="83"/>
    <x v="348"/>
  </r>
  <r>
    <n v="1099715"/>
    <x v="306"/>
    <x v="6"/>
    <x v="71"/>
    <x v="97"/>
  </r>
  <r>
    <n v="1099715"/>
    <x v="306"/>
    <x v="6"/>
    <x v="69"/>
    <x v="538"/>
  </r>
  <r>
    <n v="1099715"/>
    <x v="306"/>
    <x v="6"/>
    <x v="61"/>
    <x v="172"/>
  </r>
  <r>
    <n v="1099715"/>
    <x v="306"/>
    <x v="6"/>
    <x v="386"/>
    <x v="85"/>
  </r>
  <r>
    <n v="1099715"/>
    <x v="306"/>
    <x v="6"/>
    <x v="5"/>
    <x v="3"/>
  </r>
  <r>
    <n v="1099715"/>
    <x v="306"/>
    <x v="6"/>
    <x v="10"/>
    <x v="83"/>
  </r>
  <r>
    <n v="1099715"/>
    <x v="306"/>
    <x v="6"/>
    <x v="348"/>
    <x v="178"/>
  </r>
  <r>
    <n v="1099715"/>
    <x v="306"/>
    <x v="6"/>
    <x v="336"/>
    <x v="178"/>
  </r>
  <r>
    <n v="1099715"/>
    <x v="306"/>
    <x v="6"/>
    <x v="124"/>
    <x v="351"/>
  </r>
  <r>
    <n v="1099715"/>
    <x v="306"/>
    <x v="6"/>
    <x v="135"/>
    <x v="535"/>
  </r>
  <r>
    <n v="1099715"/>
    <x v="306"/>
    <x v="6"/>
    <x v="147"/>
    <x v="535"/>
  </r>
  <r>
    <n v="1099715"/>
    <x v="306"/>
    <x v="6"/>
    <x v="258"/>
    <x v="516"/>
  </r>
  <r>
    <n v="1099715"/>
    <x v="306"/>
    <x v="6"/>
    <x v="204"/>
    <x v="535"/>
  </r>
  <r>
    <n v="1099715"/>
    <x v="306"/>
    <x v="6"/>
    <x v="213"/>
    <x v="83"/>
  </r>
  <r>
    <n v="1099715"/>
    <x v="306"/>
    <x v="6"/>
    <x v="224"/>
    <x v="144"/>
  </r>
  <r>
    <n v="1099715"/>
    <x v="306"/>
    <x v="6"/>
    <x v="232"/>
    <x v="161"/>
  </r>
  <r>
    <n v="1099715"/>
    <x v="306"/>
    <x v="6"/>
    <x v="240"/>
    <x v="535"/>
  </r>
  <r>
    <n v="1099715"/>
    <x v="306"/>
    <x v="6"/>
    <x v="248"/>
    <x v="516"/>
  </r>
  <r>
    <n v="1099715"/>
    <x v="306"/>
    <x v="6"/>
    <x v="178"/>
    <x v="516"/>
  </r>
  <r>
    <n v="1099715"/>
    <x v="306"/>
    <x v="6"/>
    <x v="180"/>
    <x v="88"/>
  </r>
  <r>
    <n v="1099715"/>
    <x v="306"/>
    <x v="6"/>
    <x v="182"/>
    <x v="516"/>
  </r>
  <r>
    <n v="1099715"/>
    <x v="306"/>
    <x v="6"/>
    <x v="33"/>
    <x v="90"/>
  </r>
  <r>
    <n v="1099715"/>
    <x v="306"/>
    <x v="6"/>
    <x v="32"/>
    <x v="62"/>
  </r>
  <r>
    <n v="1099715"/>
    <x v="306"/>
    <x v="6"/>
    <x v="37"/>
    <x v="149"/>
  </r>
  <r>
    <n v="1099715"/>
    <x v="306"/>
    <x v="6"/>
    <x v="418"/>
    <x v="552"/>
  </r>
  <r>
    <n v="1099715"/>
    <x v="306"/>
    <x v="6"/>
    <x v="66"/>
    <x v="98"/>
  </r>
  <r>
    <n v="1099715"/>
    <x v="306"/>
    <x v="6"/>
    <x v="79"/>
    <x v="69"/>
  </r>
  <r>
    <n v="1099715"/>
    <x v="306"/>
    <x v="6"/>
    <x v="419"/>
    <x v="84"/>
  </r>
  <r>
    <n v="1099715"/>
    <x v="306"/>
    <x v="6"/>
    <x v="194"/>
    <x v="516"/>
  </r>
  <r>
    <n v="1099715"/>
    <x v="306"/>
    <x v="6"/>
    <x v="394"/>
    <x v="54"/>
  </r>
  <r>
    <n v="1099715"/>
    <x v="306"/>
    <x v="6"/>
    <x v="343"/>
    <x v="348"/>
  </r>
  <r>
    <n v="1099715"/>
    <x v="306"/>
    <x v="6"/>
    <x v="6"/>
    <x v="516"/>
  </r>
  <r>
    <n v="1099715"/>
    <x v="306"/>
    <x v="6"/>
    <x v="332"/>
    <x v="346"/>
  </r>
  <r>
    <n v="1099715"/>
    <x v="306"/>
    <x v="6"/>
    <x v="339"/>
    <x v="348"/>
  </r>
  <r>
    <n v="1099715"/>
    <x v="306"/>
    <x v="6"/>
    <x v="127"/>
    <x v="535"/>
  </r>
  <r>
    <n v="1099715"/>
    <x v="306"/>
    <x v="6"/>
    <x v="7"/>
    <x v="351"/>
  </r>
  <r>
    <n v="1099715"/>
    <x v="306"/>
    <x v="6"/>
    <x v="331"/>
    <x v="178"/>
  </r>
  <r>
    <n v="1099715"/>
    <x v="306"/>
    <x v="6"/>
    <x v="338"/>
    <x v="346"/>
  </r>
  <r>
    <n v="1099715"/>
    <x v="306"/>
    <x v="6"/>
    <x v="126"/>
    <x v="516"/>
  </r>
  <r>
    <n v="1099715"/>
    <x v="306"/>
    <x v="6"/>
    <x v="137"/>
    <x v="535"/>
  </r>
  <r>
    <n v="1099715"/>
    <x v="306"/>
    <x v="6"/>
    <x v="149"/>
    <x v="516"/>
  </r>
  <r>
    <n v="1099715"/>
    <x v="306"/>
    <x v="6"/>
    <x v="260"/>
    <x v="83"/>
  </r>
  <r>
    <n v="1099715"/>
    <x v="306"/>
    <x v="6"/>
    <x v="206"/>
    <x v="535"/>
  </r>
  <r>
    <n v="1099715"/>
    <x v="306"/>
    <x v="6"/>
    <x v="215"/>
    <x v="516"/>
  </r>
  <r>
    <n v="1099715"/>
    <x v="306"/>
    <x v="6"/>
    <x v="251"/>
    <x v="535"/>
  </r>
  <r>
    <n v="1099715"/>
    <x v="306"/>
    <x v="6"/>
    <x v="234"/>
    <x v="4"/>
  </r>
  <r>
    <n v="1099715"/>
    <x v="306"/>
    <x v="6"/>
    <x v="313"/>
    <x v="98"/>
  </r>
  <r>
    <n v="1099715"/>
    <x v="306"/>
    <x v="6"/>
    <x v="218"/>
    <x v="346"/>
  </r>
  <r>
    <n v="1099715"/>
    <x v="306"/>
    <x v="6"/>
    <x v="27"/>
    <x v="64"/>
  </r>
  <r>
    <n v="1099715"/>
    <x v="306"/>
    <x v="6"/>
    <x v="78"/>
    <x v="541"/>
  </r>
  <r>
    <n v="1099715"/>
    <x v="306"/>
    <x v="6"/>
    <x v="75"/>
    <x v="176"/>
  </r>
  <r>
    <n v="1099715"/>
    <x v="306"/>
    <x v="6"/>
    <x v="199"/>
    <x v="542"/>
  </r>
  <r>
    <n v="1099715"/>
    <x v="306"/>
    <x v="6"/>
    <x v="387"/>
    <x v="233"/>
  </r>
  <r>
    <n v="1099715"/>
    <x v="306"/>
    <x v="6"/>
    <x v="157"/>
    <x v="544"/>
  </r>
  <r>
    <n v="1099715"/>
    <x v="306"/>
    <x v="6"/>
    <x v="11"/>
    <x v="348"/>
  </r>
  <r>
    <n v="1099715"/>
    <x v="306"/>
    <x v="6"/>
    <x v="346"/>
    <x v="516"/>
  </r>
  <r>
    <n v="1099715"/>
    <x v="306"/>
    <x v="6"/>
    <x v="352"/>
    <x v="516"/>
  </r>
  <r>
    <n v="1099715"/>
    <x v="306"/>
    <x v="6"/>
    <x v="154"/>
    <x v="351"/>
  </r>
  <r>
    <n v="1099715"/>
    <x v="306"/>
    <x v="6"/>
    <x v="133"/>
    <x v="348"/>
  </r>
  <r>
    <n v="1099715"/>
    <x v="306"/>
    <x v="6"/>
    <x v="145"/>
    <x v="351"/>
  </r>
  <r>
    <n v="1099715"/>
    <x v="306"/>
    <x v="6"/>
    <x v="256"/>
    <x v="79"/>
  </r>
  <r>
    <n v="1099715"/>
    <x v="306"/>
    <x v="6"/>
    <x v="316"/>
    <x v="347"/>
  </r>
  <r>
    <n v="1099715"/>
    <x v="306"/>
    <x v="6"/>
    <x v="211"/>
    <x v="351"/>
  </r>
  <r>
    <n v="1099715"/>
    <x v="306"/>
    <x v="6"/>
    <x v="222"/>
    <x v="77"/>
  </r>
  <r>
    <n v="1099715"/>
    <x v="306"/>
    <x v="6"/>
    <x v="230"/>
    <x v="77"/>
  </r>
  <r>
    <n v="1099715"/>
    <x v="306"/>
    <x v="6"/>
    <x v="156"/>
    <x v="545"/>
  </r>
  <r>
    <n v="1099715"/>
    <x v="306"/>
    <x v="6"/>
    <x v="246"/>
    <x v="198"/>
  </r>
  <r>
    <n v="1099715"/>
    <x v="306"/>
    <x v="6"/>
    <x v="220"/>
    <x v="178"/>
  </r>
  <r>
    <n v="1099715"/>
    <x v="306"/>
    <x v="6"/>
    <x v="169"/>
    <x v="351"/>
  </r>
  <r>
    <n v="1099715"/>
    <x v="306"/>
    <x v="6"/>
    <x v="171"/>
    <x v="351"/>
  </r>
  <r>
    <n v="1099715"/>
    <x v="306"/>
    <x v="6"/>
    <x v="165"/>
    <x v="546"/>
  </r>
  <r>
    <n v="1099715"/>
    <x v="306"/>
    <x v="6"/>
    <x v="43"/>
    <x v="351"/>
  </r>
  <r>
    <n v="1099715"/>
    <x v="306"/>
    <x v="6"/>
    <x v="30"/>
    <x v="203"/>
  </r>
  <r>
    <n v="1099715"/>
    <x v="306"/>
    <x v="6"/>
    <x v="202"/>
    <x v="238"/>
  </r>
  <r>
    <n v="1099715"/>
    <x v="306"/>
    <x v="6"/>
    <x v="63"/>
    <x v="178"/>
  </r>
  <r>
    <n v="1099715"/>
    <x v="306"/>
    <x v="6"/>
    <x v="55"/>
    <x v="178"/>
  </r>
  <r>
    <n v="1099715"/>
    <x v="306"/>
    <x v="6"/>
    <x v="425"/>
    <x v="170"/>
  </r>
  <r>
    <n v="1099715"/>
    <x v="306"/>
    <x v="6"/>
    <x v="330"/>
    <x v="553"/>
  </r>
  <r>
    <n v="1099715"/>
    <x v="306"/>
    <x v="6"/>
    <x v="12"/>
    <x v="3"/>
  </r>
  <r>
    <n v="1099715"/>
    <x v="306"/>
    <x v="6"/>
    <x v="345"/>
    <x v="346"/>
  </r>
  <r>
    <n v="1099715"/>
    <x v="306"/>
    <x v="6"/>
    <x v="351"/>
    <x v="351"/>
  </r>
  <r>
    <n v="1099715"/>
    <x v="306"/>
    <x v="6"/>
    <x v="162"/>
    <x v="535"/>
  </r>
  <r>
    <n v="1099715"/>
    <x v="306"/>
    <x v="6"/>
    <x v="132"/>
    <x v="178"/>
  </r>
  <r>
    <n v="1099715"/>
    <x v="306"/>
    <x v="6"/>
    <x v="144"/>
    <x v="348"/>
  </r>
  <r>
    <n v="1099715"/>
    <x v="306"/>
    <x v="6"/>
    <x v="255"/>
    <x v="154"/>
  </r>
  <r>
    <n v="1099715"/>
    <x v="306"/>
    <x v="6"/>
    <x v="264"/>
    <x v="351"/>
  </r>
  <r>
    <n v="1099715"/>
    <x v="306"/>
    <x v="6"/>
    <x v="210"/>
    <x v="348"/>
  </r>
  <r>
    <n v="1099715"/>
    <x v="306"/>
    <x v="6"/>
    <x v="340"/>
    <x v="78"/>
  </r>
  <r>
    <n v="1099715"/>
    <x v="306"/>
    <x v="6"/>
    <x v="229"/>
    <x v="219"/>
  </r>
  <r>
    <n v="1099715"/>
    <x v="306"/>
    <x v="6"/>
    <x v="155"/>
    <x v="331"/>
  </r>
  <r>
    <n v="1099715"/>
    <x v="306"/>
    <x v="6"/>
    <x v="341"/>
    <x v="346"/>
  </r>
  <r>
    <n v="1099715"/>
    <x v="306"/>
    <x v="6"/>
    <x v="317"/>
    <x v="346"/>
  </r>
  <r>
    <n v="1099715"/>
    <x v="306"/>
    <x v="6"/>
    <x v="186"/>
    <x v="535"/>
  </r>
  <r>
    <n v="1099715"/>
    <x v="306"/>
    <x v="6"/>
    <x v="188"/>
    <x v="88"/>
  </r>
  <r>
    <n v="1099715"/>
    <x v="306"/>
    <x v="6"/>
    <x v="164"/>
    <x v="105"/>
  </r>
  <r>
    <n v="1099715"/>
    <x v="306"/>
    <x v="6"/>
    <x v="26"/>
    <x v="351"/>
  </r>
  <r>
    <n v="1099715"/>
    <x v="306"/>
    <x v="6"/>
    <x v="42"/>
    <x v="182"/>
  </r>
  <r>
    <n v="1099715"/>
    <x v="306"/>
    <x v="6"/>
    <x v="388"/>
    <x v="37"/>
  </r>
  <r>
    <n v="1099715"/>
    <x v="306"/>
    <x v="6"/>
    <x v="203"/>
    <x v="543"/>
  </r>
  <r>
    <n v="1099715"/>
    <x v="306"/>
    <x v="6"/>
    <x v="244"/>
    <x v="154"/>
  </r>
  <r>
    <n v="1099715"/>
    <x v="306"/>
    <x v="6"/>
    <x v="314"/>
    <x v="516"/>
  </r>
  <r>
    <n v="1099715"/>
    <x v="306"/>
    <x v="6"/>
    <x v="179"/>
    <x v="516"/>
  </r>
  <r>
    <n v="1099715"/>
    <x v="306"/>
    <x v="6"/>
    <x v="181"/>
    <x v="161"/>
  </r>
  <r>
    <n v="1099715"/>
    <x v="306"/>
    <x v="6"/>
    <x v="183"/>
    <x v="535"/>
  </r>
  <r>
    <n v="1099715"/>
    <x v="306"/>
    <x v="6"/>
    <x v="24"/>
    <x v="88"/>
  </r>
  <r>
    <n v="1099715"/>
    <x v="306"/>
    <x v="6"/>
    <x v="39"/>
    <x v="105"/>
  </r>
  <r>
    <n v="1099715"/>
    <x v="306"/>
    <x v="6"/>
    <x v="422"/>
    <x v="154"/>
  </r>
  <r>
    <n v="1099715"/>
    <x v="306"/>
    <x v="6"/>
    <x v="14"/>
    <x v="4"/>
  </r>
  <r>
    <n v="1099715"/>
    <x v="306"/>
    <x v="6"/>
    <x v="13"/>
    <x v="535"/>
  </r>
  <r>
    <n v="1099715"/>
    <x v="306"/>
    <x v="6"/>
    <x v="333"/>
    <x v="348"/>
  </r>
  <r>
    <n v="1099715"/>
    <x v="306"/>
    <x v="6"/>
    <x v="159"/>
    <x v="516"/>
  </r>
  <r>
    <n v="1099715"/>
    <x v="306"/>
    <x v="6"/>
    <x v="128"/>
    <x v="178"/>
  </r>
  <r>
    <n v="1099715"/>
    <x v="306"/>
    <x v="6"/>
    <x v="70"/>
    <x v="198"/>
  </r>
  <r>
    <n v="1099715"/>
    <x v="306"/>
    <x v="6"/>
    <x v="73"/>
    <x v="351"/>
  </r>
  <r>
    <n v="1099715"/>
    <x v="306"/>
    <x v="6"/>
    <x v="424"/>
    <x v="170"/>
  </r>
  <r>
    <n v="1099715"/>
    <x v="306"/>
    <x v="6"/>
    <x v="205"/>
    <x v="516"/>
  </r>
  <r>
    <n v="1099715"/>
    <x v="306"/>
    <x v="6"/>
    <x v="214"/>
    <x v="516"/>
  </r>
  <r>
    <n v="1099715"/>
    <x v="306"/>
    <x v="6"/>
    <x v="225"/>
    <x v="4"/>
  </r>
  <r>
    <n v="1099715"/>
    <x v="306"/>
    <x v="6"/>
    <x v="233"/>
    <x v="154"/>
  </r>
  <r>
    <n v="1099715"/>
    <x v="306"/>
    <x v="6"/>
    <x v="241"/>
    <x v="178"/>
  </r>
  <r>
    <n v="1099715"/>
    <x v="306"/>
    <x v="6"/>
    <x v="217"/>
    <x v="170"/>
  </r>
  <r>
    <n v="1099715"/>
    <x v="306"/>
    <x v="6"/>
    <x v="195"/>
    <x v="535"/>
  </r>
  <r>
    <n v="1099715"/>
    <x v="306"/>
    <x v="6"/>
    <x v="192"/>
    <x v="535"/>
  </r>
  <r>
    <n v="1099715"/>
    <x v="306"/>
    <x v="6"/>
    <x v="190"/>
    <x v="346"/>
  </r>
  <r>
    <n v="1099715"/>
    <x v="306"/>
    <x v="6"/>
    <x v="28"/>
    <x v="226"/>
  </r>
  <r>
    <n v="1099715"/>
    <x v="306"/>
    <x v="6"/>
    <x v="29"/>
    <x v="197"/>
  </r>
  <r>
    <n v="1099715"/>
    <x v="306"/>
    <x v="6"/>
    <x v="31"/>
    <x v="162"/>
  </r>
  <r>
    <n v="1099715"/>
    <x v="306"/>
    <x v="6"/>
    <x v="82"/>
    <x v="346"/>
  </r>
  <r>
    <n v="1099715"/>
    <x v="306"/>
    <x v="6"/>
    <x v="68"/>
    <x v="98"/>
  </r>
  <r>
    <n v="1099715"/>
    <x v="306"/>
    <x v="6"/>
    <x v="56"/>
    <x v="69"/>
  </r>
  <r>
    <n v="1099715"/>
    <x v="306"/>
    <x v="6"/>
    <x v="420"/>
    <x v="547"/>
  </r>
  <r>
    <n v="1099715"/>
    <x v="306"/>
    <x v="6"/>
    <x v="349"/>
    <x v="535"/>
  </r>
  <r>
    <n v="1099715"/>
    <x v="306"/>
    <x v="6"/>
    <x v="337"/>
    <x v="348"/>
  </r>
  <r>
    <n v="1099715"/>
    <x v="306"/>
    <x v="6"/>
    <x v="125"/>
    <x v="535"/>
  </r>
  <r>
    <n v="1099715"/>
    <x v="306"/>
    <x v="6"/>
    <x v="136"/>
    <x v="516"/>
  </r>
  <r>
    <n v="1099715"/>
    <x v="306"/>
    <x v="6"/>
    <x v="148"/>
    <x v="535"/>
  </r>
  <r>
    <n v="1099715"/>
    <x v="306"/>
    <x v="6"/>
    <x v="259"/>
    <x v="178"/>
  </r>
  <r>
    <n v="1099715"/>
    <x v="306"/>
    <x v="6"/>
    <x v="385"/>
    <x v="5"/>
  </r>
  <r>
    <n v="1099715"/>
    <x v="306"/>
    <x v="6"/>
    <x v="9"/>
    <x v="348"/>
  </r>
  <r>
    <n v="1099715"/>
    <x v="306"/>
    <x v="6"/>
    <x v="8"/>
    <x v="351"/>
  </r>
  <r>
    <n v="1099715"/>
    <x v="306"/>
    <x v="6"/>
    <x v="395"/>
    <x v="539"/>
  </r>
  <r>
    <n v="1099715"/>
    <x v="306"/>
    <x v="6"/>
    <x v="254"/>
    <x v="178"/>
  </r>
  <r>
    <n v="1099715"/>
    <x v="306"/>
    <x v="6"/>
    <x v="350"/>
    <x v="535"/>
  </r>
  <r>
    <n v="1099715"/>
    <x v="306"/>
    <x v="6"/>
    <x v="161"/>
    <x v="351"/>
  </r>
  <r>
    <n v="1099715"/>
    <x v="306"/>
    <x v="6"/>
    <x v="131"/>
    <x v="535"/>
  </r>
  <r>
    <n v="1099715"/>
    <x v="306"/>
    <x v="6"/>
    <x v="143"/>
    <x v="178"/>
  </r>
  <r>
    <n v="1099715"/>
    <x v="306"/>
    <x v="6"/>
    <x v="153"/>
    <x v="348"/>
  </r>
  <r>
    <n v="1099715"/>
    <x v="306"/>
    <x v="6"/>
    <x v="263"/>
    <x v="83"/>
  </r>
  <r>
    <n v="1099715"/>
    <x v="306"/>
    <x v="6"/>
    <x v="209"/>
    <x v="516"/>
  </r>
  <r>
    <n v="1099715"/>
    <x v="306"/>
    <x v="6"/>
    <x v="140"/>
    <x v="4"/>
  </r>
  <r>
    <n v="1099715"/>
    <x v="306"/>
    <x v="6"/>
    <x v="228"/>
    <x v="30"/>
  </r>
  <r>
    <n v="1099715"/>
    <x v="306"/>
    <x v="6"/>
    <x v="238"/>
    <x v="375"/>
  </r>
  <r>
    <n v="1099715"/>
    <x v="306"/>
    <x v="6"/>
    <x v="245"/>
    <x v="161"/>
  </r>
  <r>
    <n v="1099715"/>
    <x v="306"/>
    <x v="6"/>
    <x v="318"/>
    <x v="88"/>
  </r>
  <r>
    <n v="1099715"/>
    <x v="306"/>
    <x v="6"/>
    <x v="193"/>
    <x v="170"/>
  </r>
  <r>
    <n v="1099715"/>
    <x v="306"/>
    <x v="6"/>
    <x v="191"/>
    <x v="178"/>
  </r>
  <r>
    <n v="1099715"/>
    <x v="306"/>
    <x v="6"/>
    <x v="189"/>
    <x v="178"/>
  </r>
  <r>
    <n v="1099715"/>
    <x v="306"/>
    <x v="6"/>
    <x v="40"/>
    <x v="161"/>
  </r>
  <r>
    <n v="1099715"/>
    <x v="306"/>
    <x v="6"/>
    <x v="25"/>
    <x v="105"/>
  </r>
  <r>
    <n v="1099715"/>
    <x v="306"/>
    <x v="6"/>
    <x v="390"/>
    <x v="220"/>
  </r>
  <r>
    <n v="1099715"/>
    <x v="306"/>
    <x v="6"/>
    <x v="200"/>
    <x v="179"/>
  </r>
  <r>
    <n v="1099715"/>
    <x v="306"/>
    <x v="6"/>
    <x v="62"/>
    <x v="348"/>
  </r>
  <r>
    <n v="1099715"/>
    <x v="306"/>
    <x v="6"/>
    <x v="57"/>
    <x v="36"/>
  </r>
  <r>
    <n v="1099715"/>
    <x v="306"/>
    <x v="6"/>
    <x v="138"/>
    <x v="351"/>
  </r>
  <r>
    <n v="1099715"/>
    <x v="306"/>
    <x v="6"/>
    <x v="150"/>
    <x v="77"/>
  </r>
  <r>
    <n v="1099715"/>
    <x v="306"/>
    <x v="6"/>
    <x v="261"/>
    <x v="348"/>
  </r>
  <r>
    <n v="1099715"/>
    <x v="306"/>
    <x v="6"/>
    <x v="207"/>
    <x v="88"/>
  </r>
  <r>
    <n v="1099715"/>
    <x v="306"/>
    <x v="6"/>
    <x v="216"/>
    <x v="198"/>
  </r>
  <r>
    <n v="1099715"/>
    <x v="306"/>
    <x v="6"/>
    <x v="426"/>
    <x v="170"/>
  </r>
  <r>
    <n v="1099715"/>
    <x v="306"/>
    <x v="6"/>
    <x v="235"/>
    <x v="83"/>
  </r>
  <r>
    <n v="1099715"/>
    <x v="306"/>
    <x v="6"/>
    <x v="242"/>
    <x v="346"/>
  </r>
  <r>
    <n v="1099715"/>
    <x v="306"/>
    <x v="6"/>
    <x v="219"/>
    <x v="77"/>
  </r>
  <r>
    <n v="1099715"/>
    <x v="306"/>
    <x v="6"/>
    <x v="185"/>
    <x v="3"/>
  </r>
  <r>
    <n v="1099715"/>
    <x v="306"/>
    <x v="6"/>
    <x v="170"/>
    <x v="178"/>
  </r>
  <r>
    <n v="1099715"/>
    <x v="306"/>
    <x v="6"/>
    <x v="172"/>
    <x v="154"/>
  </r>
  <r>
    <n v="1099715"/>
    <x v="306"/>
    <x v="6"/>
    <x v="1"/>
    <x v="540"/>
  </r>
  <r>
    <n v="1099715"/>
    <x v="1"/>
    <x v="1"/>
    <x v="2"/>
    <x v="2"/>
  </r>
  <r>
    <n v="1099717"/>
    <x v="307"/>
    <x v="6"/>
    <x v="427"/>
    <x v="2"/>
  </r>
  <r>
    <n v="1099717"/>
    <x v="1"/>
    <x v="1"/>
    <x v="2"/>
    <x v="2"/>
  </r>
  <r>
    <n v="1099720"/>
    <x v="308"/>
    <x v="14"/>
    <x v="391"/>
    <x v="664"/>
  </r>
  <r>
    <n v="1099720"/>
    <x v="308"/>
    <x v="14"/>
    <x v="392"/>
    <x v="665"/>
  </r>
  <r>
    <n v="1099720"/>
    <x v="308"/>
    <x v="14"/>
    <x v="393"/>
    <x v="663"/>
  </r>
  <r>
    <n v="1099720"/>
    <x v="1"/>
    <x v="1"/>
    <x v="2"/>
    <x v="2"/>
  </r>
  <r>
    <n v="1099724"/>
    <x v="309"/>
    <x v="10"/>
    <x v="330"/>
    <x v="2"/>
  </r>
  <r>
    <n v="1099724"/>
    <x v="1"/>
    <x v="1"/>
    <x v="2"/>
    <x v="2"/>
  </r>
  <r>
    <n v="1099725"/>
    <x v="310"/>
    <x v="5"/>
    <x v="121"/>
    <x v="151"/>
  </r>
  <r>
    <n v="1099725"/>
    <x v="310"/>
    <x v="5"/>
    <x v="117"/>
    <x v="201"/>
  </r>
  <r>
    <n v="1099725"/>
    <x v="310"/>
    <x v="5"/>
    <x v="303"/>
    <x v="601"/>
  </r>
  <r>
    <n v="1099725"/>
    <x v="310"/>
    <x v="5"/>
    <x v="305"/>
    <x v="234"/>
  </r>
  <r>
    <n v="1099725"/>
    <x v="310"/>
    <x v="5"/>
    <x v="49"/>
    <x v="182"/>
  </r>
  <r>
    <n v="1099725"/>
    <x v="310"/>
    <x v="5"/>
    <x v="46"/>
    <x v="442"/>
  </r>
  <r>
    <n v="1099725"/>
    <x v="310"/>
    <x v="5"/>
    <x v="51"/>
    <x v="602"/>
  </r>
  <r>
    <n v="1099725"/>
    <x v="310"/>
    <x v="5"/>
    <x v="48"/>
    <x v="33"/>
  </r>
  <r>
    <n v="1099725"/>
    <x v="310"/>
    <x v="5"/>
    <x v="47"/>
    <x v="603"/>
  </r>
  <r>
    <n v="1099725"/>
    <x v="310"/>
    <x v="5"/>
    <x v="50"/>
    <x v="182"/>
  </r>
  <r>
    <n v="1099725"/>
    <x v="310"/>
    <x v="5"/>
    <x v="354"/>
    <x v="84"/>
  </r>
  <r>
    <n v="1099725"/>
    <x v="310"/>
    <x v="5"/>
    <x v="355"/>
    <x v="89"/>
  </r>
  <r>
    <n v="1099725"/>
    <x v="310"/>
    <x v="5"/>
    <x v="98"/>
    <x v="92"/>
  </r>
  <r>
    <n v="1099725"/>
    <x v="310"/>
    <x v="5"/>
    <x v="311"/>
    <x v="90"/>
  </r>
  <r>
    <n v="1099725"/>
    <x v="310"/>
    <x v="5"/>
    <x v="96"/>
    <x v="42"/>
  </r>
  <r>
    <n v="1099725"/>
    <x v="310"/>
    <x v="5"/>
    <x v="356"/>
    <x v="64"/>
  </r>
  <r>
    <n v="1099725"/>
    <x v="310"/>
    <x v="5"/>
    <x v="94"/>
    <x v="161"/>
  </r>
  <r>
    <n v="1099725"/>
    <x v="310"/>
    <x v="5"/>
    <x v="357"/>
    <x v="219"/>
  </r>
  <r>
    <n v="1099725"/>
    <x v="310"/>
    <x v="5"/>
    <x v="52"/>
    <x v="154"/>
  </r>
  <r>
    <n v="1099725"/>
    <x v="310"/>
    <x v="5"/>
    <x v="358"/>
    <x v="37"/>
  </r>
  <r>
    <n v="1099725"/>
    <x v="310"/>
    <x v="5"/>
    <x v="359"/>
    <x v="105"/>
  </r>
  <r>
    <n v="1099725"/>
    <x v="310"/>
    <x v="5"/>
    <x v="360"/>
    <x v="182"/>
  </r>
  <r>
    <n v="1099725"/>
    <x v="310"/>
    <x v="5"/>
    <x v="88"/>
    <x v="62"/>
  </r>
  <r>
    <n v="1099725"/>
    <x v="310"/>
    <x v="5"/>
    <x v="97"/>
    <x v="604"/>
  </r>
  <r>
    <n v="1099725"/>
    <x v="310"/>
    <x v="5"/>
    <x v="89"/>
    <x v="605"/>
  </r>
  <r>
    <n v="1099725"/>
    <x v="310"/>
    <x v="5"/>
    <x v="361"/>
    <x v="197"/>
  </r>
  <r>
    <n v="1099725"/>
    <x v="310"/>
    <x v="5"/>
    <x v="362"/>
    <x v="204"/>
  </r>
  <r>
    <n v="1099725"/>
    <x v="310"/>
    <x v="5"/>
    <x v="363"/>
    <x v="197"/>
  </r>
  <r>
    <n v="1099725"/>
    <x v="310"/>
    <x v="5"/>
    <x v="92"/>
    <x v="597"/>
  </r>
  <r>
    <n v="1099725"/>
    <x v="310"/>
    <x v="5"/>
    <x v="99"/>
    <x v="596"/>
  </r>
  <r>
    <n v="1099725"/>
    <x v="310"/>
    <x v="5"/>
    <x v="440"/>
    <x v="377"/>
  </r>
  <r>
    <n v="1099725"/>
    <x v="310"/>
    <x v="5"/>
    <x v="441"/>
    <x v="550"/>
  </r>
  <r>
    <n v="1099725"/>
    <x v="310"/>
    <x v="5"/>
    <x v="90"/>
    <x v="182"/>
  </r>
  <r>
    <n v="1099725"/>
    <x v="310"/>
    <x v="5"/>
    <x v="364"/>
    <x v="98"/>
  </r>
  <r>
    <n v="1099725"/>
    <x v="310"/>
    <x v="5"/>
    <x v="115"/>
    <x v="156"/>
  </r>
  <r>
    <n v="1099725"/>
    <x v="310"/>
    <x v="5"/>
    <x v="443"/>
    <x v="214"/>
  </r>
  <r>
    <n v="1099725"/>
    <x v="310"/>
    <x v="5"/>
    <x v="95"/>
    <x v="397"/>
  </r>
  <r>
    <n v="1099725"/>
    <x v="310"/>
    <x v="5"/>
    <x v="111"/>
    <x v="219"/>
  </r>
  <r>
    <n v="1099725"/>
    <x v="310"/>
    <x v="5"/>
    <x v="442"/>
    <x v="151"/>
  </r>
  <r>
    <n v="1099725"/>
    <x v="310"/>
    <x v="5"/>
    <x v="365"/>
    <x v="170"/>
  </r>
  <r>
    <n v="1099725"/>
    <x v="310"/>
    <x v="5"/>
    <x v="366"/>
    <x v="77"/>
  </r>
  <r>
    <n v="1099725"/>
    <x v="310"/>
    <x v="5"/>
    <x v="367"/>
    <x v="24"/>
  </r>
  <r>
    <n v="1099725"/>
    <x v="310"/>
    <x v="5"/>
    <x v="368"/>
    <x v="24"/>
  </r>
  <r>
    <n v="1099725"/>
    <x v="310"/>
    <x v="5"/>
    <x v="91"/>
    <x v="42"/>
  </r>
  <r>
    <n v="1099725"/>
    <x v="310"/>
    <x v="5"/>
    <x v="444"/>
    <x v="170"/>
  </r>
  <r>
    <n v="1099725"/>
    <x v="310"/>
    <x v="5"/>
    <x v="369"/>
    <x v="176"/>
  </r>
  <r>
    <n v="1099725"/>
    <x v="310"/>
    <x v="5"/>
    <x v="370"/>
    <x v="34"/>
  </r>
  <r>
    <n v="1099725"/>
    <x v="310"/>
    <x v="5"/>
    <x v="371"/>
    <x v="161"/>
  </r>
  <r>
    <n v="1099725"/>
    <x v="310"/>
    <x v="5"/>
    <x v="373"/>
    <x v="145"/>
  </r>
  <r>
    <n v="1099725"/>
    <x v="310"/>
    <x v="5"/>
    <x v="372"/>
    <x v="145"/>
  </r>
  <r>
    <n v="1099725"/>
    <x v="310"/>
    <x v="5"/>
    <x v="374"/>
    <x v="217"/>
  </r>
  <r>
    <n v="1099725"/>
    <x v="310"/>
    <x v="5"/>
    <x v="44"/>
    <x v="97"/>
  </r>
  <r>
    <n v="1099725"/>
    <x v="310"/>
    <x v="5"/>
    <x v="45"/>
    <x v="407"/>
  </r>
  <r>
    <n v="1099725"/>
    <x v="310"/>
    <x v="5"/>
    <x v="116"/>
    <x v="552"/>
  </r>
  <r>
    <n v="1099725"/>
    <x v="310"/>
    <x v="5"/>
    <x v="110"/>
    <x v="119"/>
  </r>
  <r>
    <n v="1099725"/>
    <x v="310"/>
    <x v="5"/>
    <x v="113"/>
    <x v="82"/>
  </r>
  <r>
    <n v="1099725"/>
    <x v="310"/>
    <x v="5"/>
    <x v="112"/>
    <x v="105"/>
  </r>
  <r>
    <n v="1099725"/>
    <x v="310"/>
    <x v="5"/>
    <x v="114"/>
    <x v="154"/>
  </r>
  <r>
    <n v="1099725"/>
    <x v="310"/>
    <x v="5"/>
    <x v="310"/>
    <x v="472"/>
  </r>
  <r>
    <n v="1099725"/>
    <x v="310"/>
    <x v="5"/>
    <x v="312"/>
    <x v="135"/>
  </r>
  <r>
    <n v="1099725"/>
    <x v="310"/>
    <x v="5"/>
    <x v="309"/>
    <x v="135"/>
  </r>
  <r>
    <n v="1099725"/>
    <x v="310"/>
    <x v="5"/>
    <x v="328"/>
    <x v="97"/>
  </r>
  <r>
    <n v="1099725"/>
    <x v="310"/>
    <x v="5"/>
    <x v="329"/>
    <x v="142"/>
  </r>
  <r>
    <n v="1099725"/>
    <x v="310"/>
    <x v="5"/>
    <x v="445"/>
    <x v="34"/>
  </r>
  <r>
    <n v="1099725"/>
    <x v="310"/>
    <x v="5"/>
    <x v="122"/>
    <x v="363"/>
  </r>
  <r>
    <n v="1099725"/>
    <x v="310"/>
    <x v="5"/>
    <x v="118"/>
    <x v="210"/>
  </r>
  <r>
    <n v="1099725"/>
    <x v="310"/>
    <x v="5"/>
    <x v="100"/>
    <x v="119"/>
  </r>
  <r>
    <n v="1099725"/>
    <x v="310"/>
    <x v="5"/>
    <x v="54"/>
    <x v="347"/>
  </r>
  <r>
    <n v="1099725"/>
    <x v="310"/>
    <x v="5"/>
    <x v="304"/>
    <x v="229"/>
  </r>
  <r>
    <n v="1099725"/>
    <x v="310"/>
    <x v="5"/>
    <x v="375"/>
    <x v="348"/>
  </r>
  <r>
    <n v="1099725"/>
    <x v="310"/>
    <x v="5"/>
    <x v="376"/>
    <x v="54"/>
  </r>
  <r>
    <n v="1099725"/>
    <x v="310"/>
    <x v="5"/>
    <x v="120"/>
    <x v="598"/>
  </r>
  <r>
    <n v="1099725"/>
    <x v="310"/>
    <x v="5"/>
    <x v="119"/>
    <x v="599"/>
  </r>
  <r>
    <n v="1099725"/>
    <x v="310"/>
    <x v="5"/>
    <x v="377"/>
    <x v="600"/>
  </r>
  <r>
    <n v="1099725"/>
    <x v="310"/>
    <x v="5"/>
    <x v="53"/>
    <x v="223"/>
  </r>
  <r>
    <n v="1099725"/>
    <x v="310"/>
    <x v="5"/>
    <x v="87"/>
    <x v="132"/>
  </r>
  <r>
    <n v="1099725"/>
    <x v="310"/>
    <x v="5"/>
    <x v="93"/>
    <x v="414"/>
  </r>
  <r>
    <n v="1099725"/>
    <x v="1"/>
    <x v="1"/>
    <x v="2"/>
    <x v="2"/>
  </r>
  <r>
    <n v="1099726"/>
    <x v="311"/>
    <x v="5"/>
    <x v="442"/>
    <x v="196"/>
  </r>
  <r>
    <n v="1099726"/>
    <x v="311"/>
    <x v="5"/>
    <x v="444"/>
    <x v="347"/>
  </r>
  <r>
    <n v="1099726"/>
    <x v="311"/>
    <x v="5"/>
    <x v="445"/>
    <x v="21"/>
  </r>
  <r>
    <n v="1099726"/>
    <x v="311"/>
    <x v="5"/>
    <x v="99"/>
    <x v="709"/>
  </r>
  <r>
    <n v="1099726"/>
    <x v="311"/>
    <x v="5"/>
    <x v="87"/>
    <x v="710"/>
  </r>
  <r>
    <n v="1099726"/>
    <x v="311"/>
    <x v="5"/>
    <x v="97"/>
    <x v="711"/>
  </r>
  <r>
    <n v="1099726"/>
    <x v="311"/>
    <x v="5"/>
    <x v="92"/>
    <x v="712"/>
  </r>
  <r>
    <n v="1099726"/>
    <x v="311"/>
    <x v="5"/>
    <x v="91"/>
    <x v="89"/>
  </r>
  <r>
    <n v="1099726"/>
    <x v="311"/>
    <x v="5"/>
    <x v="100"/>
    <x v="659"/>
  </r>
  <r>
    <n v="1099726"/>
    <x v="311"/>
    <x v="5"/>
    <x v="88"/>
    <x v="547"/>
  </r>
  <r>
    <n v="1099726"/>
    <x v="311"/>
    <x v="5"/>
    <x v="93"/>
    <x v="713"/>
  </r>
  <r>
    <n v="1099726"/>
    <x v="311"/>
    <x v="5"/>
    <x v="98"/>
    <x v="305"/>
  </r>
  <r>
    <n v="1099726"/>
    <x v="311"/>
    <x v="5"/>
    <x v="96"/>
    <x v="353"/>
  </r>
  <r>
    <n v="1099726"/>
    <x v="311"/>
    <x v="5"/>
    <x v="94"/>
    <x v="149"/>
  </r>
  <r>
    <n v="1099726"/>
    <x v="311"/>
    <x v="5"/>
    <x v="89"/>
    <x v="714"/>
  </r>
  <r>
    <n v="1099726"/>
    <x v="311"/>
    <x v="5"/>
    <x v="90"/>
    <x v="59"/>
  </r>
  <r>
    <n v="1099726"/>
    <x v="311"/>
    <x v="5"/>
    <x v="95"/>
    <x v="715"/>
  </r>
  <r>
    <n v="1099726"/>
    <x v="311"/>
    <x v="5"/>
    <x v="440"/>
    <x v="716"/>
  </r>
  <r>
    <n v="1099726"/>
    <x v="311"/>
    <x v="5"/>
    <x v="443"/>
    <x v="717"/>
  </r>
  <r>
    <n v="1099726"/>
    <x v="311"/>
    <x v="5"/>
    <x v="441"/>
    <x v="187"/>
  </r>
  <r>
    <n v="1099726"/>
    <x v="1"/>
    <x v="1"/>
    <x v="2"/>
    <x v="2"/>
  </r>
  <r>
    <n v="1099727"/>
    <x v="312"/>
    <x v="5"/>
    <x v="161"/>
    <x v="163"/>
  </r>
  <r>
    <n v="1099727"/>
    <x v="312"/>
    <x v="5"/>
    <x v="140"/>
    <x v="150"/>
  </r>
  <r>
    <n v="1099727"/>
    <x v="312"/>
    <x v="5"/>
    <x v="131"/>
    <x v="34"/>
  </r>
  <r>
    <n v="1099727"/>
    <x v="312"/>
    <x v="5"/>
    <x v="136"/>
    <x v="82"/>
  </r>
  <r>
    <n v="1099727"/>
    <x v="312"/>
    <x v="5"/>
    <x v="143"/>
    <x v="91"/>
  </r>
  <r>
    <n v="1099727"/>
    <x v="312"/>
    <x v="5"/>
    <x v="148"/>
    <x v="144"/>
  </r>
  <r>
    <n v="1099727"/>
    <x v="312"/>
    <x v="5"/>
    <x v="153"/>
    <x v="147"/>
  </r>
  <r>
    <n v="1099727"/>
    <x v="312"/>
    <x v="5"/>
    <x v="156"/>
    <x v="158"/>
  </r>
  <r>
    <n v="1099727"/>
    <x v="312"/>
    <x v="5"/>
    <x v="160"/>
    <x v="162"/>
  </r>
  <r>
    <n v="1099727"/>
    <x v="312"/>
    <x v="5"/>
    <x v="124"/>
    <x v="62"/>
  </r>
  <r>
    <n v="1099727"/>
    <x v="312"/>
    <x v="5"/>
    <x v="129"/>
    <x v="42"/>
  </r>
  <r>
    <n v="1099727"/>
    <x v="312"/>
    <x v="5"/>
    <x v="135"/>
    <x v="64"/>
  </r>
  <r>
    <n v="1099727"/>
    <x v="312"/>
    <x v="5"/>
    <x v="142"/>
    <x v="152"/>
  </r>
  <r>
    <n v="1099727"/>
    <x v="312"/>
    <x v="5"/>
    <x v="147"/>
    <x v="24"/>
  </r>
  <r>
    <n v="1099727"/>
    <x v="312"/>
    <x v="5"/>
    <x v="152"/>
    <x v="156"/>
  </r>
  <r>
    <n v="1099727"/>
    <x v="312"/>
    <x v="5"/>
    <x v="155"/>
    <x v="157"/>
  </r>
  <r>
    <n v="1099727"/>
    <x v="312"/>
    <x v="5"/>
    <x v="158"/>
    <x v="160"/>
  </r>
  <r>
    <n v="1099727"/>
    <x v="312"/>
    <x v="5"/>
    <x v="154"/>
    <x v="149"/>
  </r>
  <r>
    <n v="1099727"/>
    <x v="312"/>
    <x v="5"/>
    <x v="127"/>
    <x v="97"/>
  </r>
  <r>
    <n v="1099727"/>
    <x v="312"/>
    <x v="5"/>
    <x v="133"/>
    <x v="147"/>
  </r>
  <r>
    <n v="1099727"/>
    <x v="312"/>
    <x v="5"/>
    <x v="138"/>
    <x v="149"/>
  </r>
  <r>
    <n v="1099727"/>
    <x v="312"/>
    <x v="5"/>
    <x v="145"/>
    <x v="153"/>
  </r>
  <r>
    <n v="1099727"/>
    <x v="312"/>
    <x v="5"/>
    <x v="150"/>
    <x v="155"/>
  </r>
  <r>
    <n v="1099727"/>
    <x v="312"/>
    <x v="5"/>
    <x v="139"/>
    <x v="37"/>
  </r>
  <r>
    <n v="1099727"/>
    <x v="312"/>
    <x v="5"/>
    <x v="157"/>
    <x v="159"/>
  </r>
  <r>
    <n v="1099727"/>
    <x v="312"/>
    <x v="5"/>
    <x v="162"/>
    <x v="164"/>
  </r>
  <r>
    <n v="1099727"/>
    <x v="312"/>
    <x v="5"/>
    <x v="126"/>
    <x v="82"/>
  </r>
  <r>
    <n v="1099727"/>
    <x v="312"/>
    <x v="5"/>
    <x v="132"/>
    <x v="146"/>
  </r>
  <r>
    <n v="1099727"/>
    <x v="312"/>
    <x v="5"/>
    <x v="137"/>
    <x v="79"/>
  </r>
  <r>
    <n v="1099727"/>
    <x v="312"/>
    <x v="5"/>
    <x v="144"/>
    <x v="84"/>
  </r>
  <r>
    <n v="1099727"/>
    <x v="312"/>
    <x v="5"/>
    <x v="149"/>
    <x v="154"/>
  </r>
  <r>
    <n v="1099727"/>
    <x v="312"/>
    <x v="5"/>
    <x v="130"/>
    <x v="145"/>
  </r>
  <r>
    <n v="1099727"/>
    <x v="312"/>
    <x v="5"/>
    <x v="159"/>
    <x v="161"/>
  </r>
  <r>
    <n v="1099727"/>
    <x v="312"/>
    <x v="5"/>
    <x v="163"/>
    <x v="83"/>
  </r>
  <r>
    <n v="1099727"/>
    <x v="312"/>
    <x v="5"/>
    <x v="128"/>
    <x v="92"/>
  </r>
  <r>
    <n v="1099727"/>
    <x v="312"/>
    <x v="5"/>
    <x v="134"/>
    <x v="148"/>
  </r>
  <r>
    <n v="1099727"/>
    <x v="312"/>
    <x v="5"/>
    <x v="141"/>
    <x v="151"/>
  </r>
  <r>
    <n v="1099727"/>
    <x v="312"/>
    <x v="5"/>
    <x v="146"/>
    <x v="78"/>
  </r>
  <r>
    <n v="1099727"/>
    <x v="312"/>
    <x v="5"/>
    <x v="151"/>
    <x v="35"/>
  </r>
  <r>
    <n v="1099727"/>
    <x v="312"/>
    <x v="5"/>
    <x v="125"/>
    <x v="144"/>
  </r>
  <r>
    <n v="1099727"/>
    <x v="1"/>
    <x v="1"/>
    <x v="2"/>
    <x v="2"/>
  </r>
  <r>
    <n v="1099728"/>
    <x v="313"/>
    <x v="2"/>
    <x v="84"/>
    <x v="232"/>
  </r>
  <r>
    <n v="1099728"/>
    <x v="313"/>
    <x v="2"/>
    <x v="61"/>
    <x v="234"/>
  </r>
  <r>
    <n v="1099728"/>
    <x v="313"/>
    <x v="2"/>
    <x v="66"/>
    <x v="231"/>
  </r>
  <r>
    <n v="1099728"/>
    <x v="313"/>
    <x v="2"/>
    <x v="75"/>
    <x v="173"/>
  </r>
  <r>
    <n v="1099728"/>
    <x v="313"/>
    <x v="2"/>
    <x v="74"/>
    <x v="51"/>
  </r>
  <r>
    <n v="1099728"/>
    <x v="313"/>
    <x v="2"/>
    <x v="63"/>
    <x v="97"/>
  </r>
  <r>
    <n v="1099728"/>
    <x v="313"/>
    <x v="2"/>
    <x v="79"/>
    <x v="227"/>
  </r>
  <r>
    <n v="1099728"/>
    <x v="313"/>
    <x v="2"/>
    <x v="77"/>
    <x v="236"/>
  </r>
  <r>
    <n v="1099728"/>
    <x v="313"/>
    <x v="2"/>
    <x v="71"/>
    <x v="111"/>
  </r>
  <r>
    <n v="1099728"/>
    <x v="313"/>
    <x v="2"/>
    <x v="62"/>
    <x v="153"/>
  </r>
  <r>
    <n v="1099728"/>
    <x v="313"/>
    <x v="2"/>
    <x v="58"/>
    <x v="233"/>
  </r>
  <r>
    <n v="1099728"/>
    <x v="313"/>
    <x v="2"/>
    <x v="56"/>
    <x v="228"/>
  </r>
  <r>
    <n v="1099728"/>
    <x v="313"/>
    <x v="2"/>
    <x v="60"/>
    <x v="229"/>
  </r>
  <r>
    <n v="1099728"/>
    <x v="313"/>
    <x v="2"/>
    <x v="70"/>
    <x v="197"/>
  </r>
  <r>
    <n v="1099728"/>
    <x v="313"/>
    <x v="2"/>
    <x v="82"/>
    <x v="162"/>
  </r>
  <r>
    <n v="1099728"/>
    <x v="313"/>
    <x v="2"/>
    <x v="65"/>
    <x v="98"/>
  </r>
  <r>
    <n v="1099728"/>
    <x v="313"/>
    <x v="2"/>
    <x v="68"/>
    <x v="230"/>
  </r>
  <r>
    <n v="1099728"/>
    <x v="313"/>
    <x v="2"/>
    <x v="78"/>
    <x v="235"/>
  </r>
  <r>
    <n v="1099728"/>
    <x v="313"/>
    <x v="2"/>
    <x v="76"/>
    <x v="231"/>
  </r>
  <r>
    <n v="1099728"/>
    <x v="1"/>
    <x v="1"/>
    <x v="2"/>
    <x v="2"/>
  </r>
  <r>
    <n v="1099729"/>
    <x v="314"/>
    <x v="3"/>
    <x v="150"/>
    <x v="53"/>
  </r>
  <r>
    <n v="1099729"/>
    <x v="314"/>
    <x v="3"/>
    <x v="151"/>
    <x v="57"/>
  </r>
  <r>
    <n v="1099729"/>
    <x v="314"/>
    <x v="3"/>
    <x v="152"/>
    <x v="78"/>
  </r>
  <r>
    <n v="1099729"/>
    <x v="314"/>
    <x v="3"/>
    <x v="153"/>
    <x v="217"/>
  </r>
  <r>
    <n v="1099729"/>
    <x v="314"/>
    <x v="3"/>
    <x v="316"/>
    <x v="718"/>
  </r>
  <r>
    <n v="1099729"/>
    <x v="314"/>
    <x v="3"/>
    <x v="130"/>
    <x v="105"/>
  </r>
  <r>
    <n v="1099729"/>
    <x v="314"/>
    <x v="3"/>
    <x v="139"/>
    <x v="146"/>
  </r>
  <r>
    <n v="1099729"/>
    <x v="314"/>
    <x v="3"/>
    <x v="140"/>
    <x v="707"/>
  </r>
  <r>
    <n v="1099729"/>
    <x v="314"/>
    <x v="3"/>
    <x v="344"/>
    <x v="80"/>
  </r>
  <r>
    <n v="1099729"/>
    <x v="314"/>
    <x v="3"/>
    <x v="10"/>
    <x v="456"/>
  </r>
  <r>
    <n v="1099729"/>
    <x v="314"/>
    <x v="3"/>
    <x v="9"/>
    <x v="148"/>
  </r>
  <r>
    <n v="1099729"/>
    <x v="314"/>
    <x v="3"/>
    <x v="8"/>
    <x v="149"/>
  </r>
  <r>
    <n v="1099729"/>
    <x v="314"/>
    <x v="3"/>
    <x v="7"/>
    <x v="163"/>
  </r>
  <r>
    <n v="1099729"/>
    <x v="314"/>
    <x v="3"/>
    <x v="6"/>
    <x v="4"/>
  </r>
  <r>
    <n v="1099729"/>
    <x v="314"/>
    <x v="3"/>
    <x v="13"/>
    <x v="176"/>
  </r>
  <r>
    <n v="1099729"/>
    <x v="314"/>
    <x v="3"/>
    <x v="345"/>
    <x v="69"/>
  </r>
  <r>
    <n v="1099729"/>
    <x v="314"/>
    <x v="3"/>
    <x v="346"/>
    <x v="4"/>
  </r>
  <r>
    <n v="1099729"/>
    <x v="314"/>
    <x v="3"/>
    <x v="347"/>
    <x v="91"/>
  </r>
  <r>
    <n v="1099729"/>
    <x v="314"/>
    <x v="3"/>
    <x v="348"/>
    <x v="146"/>
  </r>
  <r>
    <n v="1099729"/>
    <x v="314"/>
    <x v="3"/>
    <x v="349"/>
    <x v="176"/>
  </r>
  <r>
    <n v="1099729"/>
    <x v="314"/>
    <x v="3"/>
    <x v="331"/>
    <x v="62"/>
  </r>
  <r>
    <n v="1099729"/>
    <x v="314"/>
    <x v="3"/>
    <x v="11"/>
    <x v="220"/>
  </r>
  <r>
    <n v="1099729"/>
    <x v="314"/>
    <x v="3"/>
    <x v="318"/>
    <x v="173"/>
  </r>
  <r>
    <n v="1099729"/>
    <x v="314"/>
    <x v="3"/>
    <x v="317"/>
    <x v="362"/>
  </r>
  <r>
    <n v="1099729"/>
    <x v="314"/>
    <x v="3"/>
    <x v="157"/>
    <x v="719"/>
  </r>
  <r>
    <n v="1099729"/>
    <x v="314"/>
    <x v="3"/>
    <x v="158"/>
    <x v="720"/>
  </r>
  <r>
    <n v="1099729"/>
    <x v="314"/>
    <x v="3"/>
    <x v="342"/>
    <x v="220"/>
  </r>
  <r>
    <n v="1099729"/>
    <x v="314"/>
    <x v="3"/>
    <x v="15"/>
    <x v="218"/>
  </r>
  <r>
    <n v="1099729"/>
    <x v="314"/>
    <x v="3"/>
    <x v="12"/>
    <x v="3"/>
  </r>
  <r>
    <n v="1099729"/>
    <x v="314"/>
    <x v="3"/>
    <x v="5"/>
    <x v="516"/>
  </r>
  <r>
    <n v="1099729"/>
    <x v="314"/>
    <x v="3"/>
    <x v="343"/>
    <x v="37"/>
  </r>
  <r>
    <n v="1099729"/>
    <x v="314"/>
    <x v="3"/>
    <x v="14"/>
    <x v="472"/>
  </r>
  <r>
    <n v="1099729"/>
    <x v="314"/>
    <x v="3"/>
    <x v="332"/>
    <x v="344"/>
  </r>
  <r>
    <n v="1099729"/>
    <x v="314"/>
    <x v="3"/>
    <x v="333"/>
    <x v="91"/>
  </r>
  <r>
    <n v="1099729"/>
    <x v="314"/>
    <x v="3"/>
    <x v="334"/>
    <x v="363"/>
  </r>
  <r>
    <n v="1099729"/>
    <x v="314"/>
    <x v="3"/>
    <x v="350"/>
    <x v="144"/>
  </r>
  <r>
    <n v="1099729"/>
    <x v="314"/>
    <x v="3"/>
    <x v="351"/>
    <x v="163"/>
  </r>
  <r>
    <n v="1099729"/>
    <x v="314"/>
    <x v="3"/>
    <x v="352"/>
    <x v="161"/>
  </r>
  <r>
    <n v="1099729"/>
    <x v="314"/>
    <x v="3"/>
    <x v="335"/>
    <x v="105"/>
  </r>
  <r>
    <n v="1099729"/>
    <x v="314"/>
    <x v="3"/>
    <x v="336"/>
    <x v="117"/>
  </r>
  <r>
    <n v="1099729"/>
    <x v="314"/>
    <x v="3"/>
    <x v="337"/>
    <x v="217"/>
  </r>
  <r>
    <n v="1099729"/>
    <x v="314"/>
    <x v="3"/>
    <x v="338"/>
    <x v="80"/>
  </r>
  <r>
    <n v="1099729"/>
    <x v="314"/>
    <x v="3"/>
    <x v="339"/>
    <x v="168"/>
  </r>
  <r>
    <n v="1099729"/>
    <x v="314"/>
    <x v="3"/>
    <x v="159"/>
    <x v="170"/>
  </r>
  <r>
    <n v="1099729"/>
    <x v="314"/>
    <x v="3"/>
    <x v="160"/>
    <x v="64"/>
  </r>
  <r>
    <n v="1099729"/>
    <x v="314"/>
    <x v="3"/>
    <x v="161"/>
    <x v="347"/>
  </r>
  <r>
    <n v="1099729"/>
    <x v="314"/>
    <x v="3"/>
    <x v="162"/>
    <x v="42"/>
  </r>
  <r>
    <n v="1099729"/>
    <x v="314"/>
    <x v="3"/>
    <x v="154"/>
    <x v="347"/>
  </r>
  <r>
    <n v="1099729"/>
    <x v="314"/>
    <x v="3"/>
    <x v="315"/>
    <x v="721"/>
  </r>
  <r>
    <n v="1099729"/>
    <x v="314"/>
    <x v="3"/>
    <x v="163"/>
    <x v="198"/>
  </r>
  <r>
    <n v="1099729"/>
    <x v="314"/>
    <x v="3"/>
    <x v="124"/>
    <x v="164"/>
  </r>
  <r>
    <n v="1099729"/>
    <x v="314"/>
    <x v="3"/>
    <x v="125"/>
    <x v="176"/>
  </r>
  <r>
    <n v="1099729"/>
    <x v="314"/>
    <x v="3"/>
    <x v="126"/>
    <x v="154"/>
  </r>
  <r>
    <n v="1099729"/>
    <x v="314"/>
    <x v="3"/>
    <x v="127"/>
    <x v="98"/>
  </r>
  <r>
    <n v="1099729"/>
    <x v="314"/>
    <x v="3"/>
    <x v="128"/>
    <x v="146"/>
  </r>
  <r>
    <n v="1099729"/>
    <x v="314"/>
    <x v="3"/>
    <x v="129"/>
    <x v="98"/>
  </r>
  <r>
    <n v="1099729"/>
    <x v="314"/>
    <x v="3"/>
    <x v="131"/>
    <x v="24"/>
  </r>
  <r>
    <n v="1099729"/>
    <x v="314"/>
    <x v="3"/>
    <x v="132"/>
    <x v="149"/>
  </r>
  <r>
    <n v="1099729"/>
    <x v="314"/>
    <x v="3"/>
    <x v="340"/>
    <x v="722"/>
  </r>
  <r>
    <n v="1099729"/>
    <x v="314"/>
    <x v="3"/>
    <x v="133"/>
    <x v="217"/>
  </r>
  <r>
    <n v="1099729"/>
    <x v="314"/>
    <x v="3"/>
    <x v="134"/>
    <x v="117"/>
  </r>
  <r>
    <n v="1099729"/>
    <x v="314"/>
    <x v="3"/>
    <x v="135"/>
    <x v="42"/>
  </r>
  <r>
    <n v="1099729"/>
    <x v="314"/>
    <x v="3"/>
    <x v="136"/>
    <x v="154"/>
  </r>
  <r>
    <n v="1099729"/>
    <x v="314"/>
    <x v="3"/>
    <x v="137"/>
    <x v="82"/>
  </r>
  <r>
    <n v="1099729"/>
    <x v="314"/>
    <x v="3"/>
    <x v="138"/>
    <x v="347"/>
  </r>
  <r>
    <n v="1099729"/>
    <x v="314"/>
    <x v="3"/>
    <x v="141"/>
    <x v="164"/>
  </r>
  <r>
    <n v="1099729"/>
    <x v="314"/>
    <x v="3"/>
    <x v="142"/>
    <x v="229"/>
  </r>
  <r>
    <n v="1099729"/>
    <x v="314"/>
    <x v="3"/>
    <x v="155"/>
    <x v="256"/>
  </r>
  <r>
    <n v="1099729"/>
    <x v="314"/>
    <x v="3"/>
    <x v="156"/>
    <x v="723"/>
  </r>
  <r>
    <n v="1099729"/>
    <x v="314"/>
    <x v="3"/>
    <x v="143"/>
    <x v="149"/>
  </r>
  <r>
    <n v="1099729"/>
    <x v="314"/>
    <x v="3"/>
    <x v="144"/>
    <x v="148"/>
  </r>
  <r>
    <n v="1099729"/>
    <x v="314"/>
    <x v="3"/>
    <x v="145"/>
    <x v="34"/>
  </r>
  <r>
    <n v="1099729"/>
    <x v="314"/>
    <x v="3"/>
    <x v="146"/>
    <x v="79"/>
  </r>
  <r>
    <n v="1099729"/>
    <x v="314"/>
    <x v="3"/>
    <x v="147"/>
    <x v="82"/>
  </r>
  <r>
    <n v="1099729"/>
    <x v="314"/>
    <x v="3"/>
    <x v="148"/>
    <x v="176"/>
  </r>
  <r>
    <n v="1099729"/>
    <x v="314"/>
    <x v="3"/>
    <x v="149"/>
    <x v="88"/>
  </r>
  <r>
    <n v="1099729"/>
    <x v="1"/>
    <x v="1"/>
    <x v="2"/>
    <x v="2"/>
  </r>
  <r>
    <n v="1099735"/>
    <x v="315"/>
    <x v="6"/>
    <x v="353"/>
    <x v="2"/>
  </r>
  <r>
    <n v="1099735"/>
    <x v="1"/>
    <x v="1"/>
    <x v="2"/>
    <x v="2"/>
  </r>
  <r>
    <n v="1099736"/>
    <x v="316"/>
    <x v="8"/>
    <x v="194"/>
    <x v="474"/>
  </r>
  <r>
    <n v="1099736"/>
    <x v="316"/>
    <x v="8"/>
    <x v="190"/>
    <x v="71"/>
  </r>
  <r>
    <n v="1099736"/>
    <x v="316"/>
    <x v="8"/>
    <x v="195"/>
    <x v="475"/>
  </r>
  <r>
    <n v="1099736"/>
    <x v="316"/>
    <x v="8"/>
    <x v="173"/>
    <x v="148"/>
  </r>
  <r>
    <n v="1099736"/>
    <x v="316"/>
    <x v="8"/>
    <x v="185"/>
    <x v="34"/>
  </r>
  <r>
    <n v="1099736"/>
    <x v="316"/>
    <x v="8"/>
    <x v="168"/>
    <x v="65"/>
  </r>
  <r>
    <n v="1099736"/>
    <x v="316"/>
    <x v="8"/>
    <x v="177"/>
    <x v="485"/>
  </r>
  <r>
    <n v="1099736"/>
    <x v="316"/>
    <x v="8"/>
    <x v="179"/>
    <x v="226"/>
  </r>
  <r>
    <n v="1099736"/>
    <x v="316"/>
    <x v="8"/>
    <x v="193"/>
    <x v="482"/>
  </r>
  <r>
    <n v="1099736"/>
    <x v="316"/>
    <x v="8"/>
    <x v="186"/>
    <x v="476"/>
  </r>
  <r>
    <n v="1099736"/>
    <x v="316"/>
    <x v="8"/>
    <x v="169"/>
    <x v="368"/>
  </r>
  <r>
    <n v="1099736"/>
    <x v="316"/>
    <x v="8"/>
    <x v="174"/>
    <x v="477"/>
  </r>
  <r>
    <n v="1099736"/>
    <x v="316"/>
    <x v="8"/>
    <x v="183"/>
    <x v="472"/>
  </r>
  <r>
    <n v="1099736"/>
    <x v="316"/>
    <x v="8"/>
    <x v="180"/>
    <x v="19"/>
  </r>
  <r>
    <n v="1099736"/>
    <x v="316"/>
    <x v="8"/>
    <x v="192"/>
    <x v="65"/>
  </r>
  <r>
    <n v="1099736"/>
    <x v="316"/>
    <x v="8"/>
    <x v="187"/>
    <x v="478"/>
  </r>
  <r>
    <n v="1099736"/>
    <x v="316"/>
    <x v="8"/>
    <x v="170"/>
    <x v="480"/>
  </r>
  <r>
    <n v="1099736"/>
    <x v="316"/>
    <x v="8"/>
    <x v="175"/>
    <x v="258"/>
  </r>
  <r>
    <n v="1099736"/>
    <x v="316"/>
    <x v="8"/>
    <x v="181"/>
    <x v="294"/>
  </r>
  <r>
    <n v="1099736"/>
    <x v="316"/>
    <x v="8"/>
    <x v="191"/>
    <x v="479"/>
  </r>
  <r>
    <n v="1099736"/>
    <x v="316"/>
    <x v="8"/>
    <x v="184"/>
    <x v="135"/>
  </r>
  <r>
    <n v="1099736"/>
    <x v="316"/>
    <x v="8"/>
    <x v="172"/>
    <x v="473"/>
  </r>
  <r>
    <n v="1099736"/>
    <x v="316"/>
    <x v="8"/>
    <x v="189"/>
    <x v="484"/>
  </r>
  <r>
    <n v="1099736"/>
    <x v="316"/>
    <x v="8"/>
    <x v="188"/>
    <x v="481"/>
  </r>
  <r>
    <n v="1099736"/>
    <x v="316"/>
    <x v="8"/>
    <x v="171"/>
    <x v="331"/>
  </r>
  <r>
    <n v="1099736"/>
    <x v="316"/>
    <x v="8"/>
    <x v="176"/>
    <x v="483"/>
  </r>
  <r>
    <n v="1099736"/>
    <x v="316"/>
    <x v="8"/>
    <x v="182"/>
    <x v="69"/>
  </r>
  <r>
    <n v="1099736"/>
    <x v="316"/>
    <x v="8"/>
    <x v="178"/>
    <x v="387"/>
  </r>
  <r>
    <n v="1099736"/>
    <x v="1"/>
    <x v="1"/>
    <x v="2"/>
    <x v="2"/>
  </r>
  <r>
    <n v="1099737"/>
    <x v="317"/>
    <x v="12"/>
    <x v="451"/>
    <x v="2"/>
  </r>
  <r>
    <n v="1099737"/>
    <x v="1"/>
    <x v="1"/>
    <x v="2"/>
    <x v="2"/>
  </r>
  <r>
    <n v="1099738"/>
    <x v="318"/>
    <x v="6"/>
    <x v="167"/>
    <x v="2"/>
  </r>
  <r>
    <n v="1099738"/>
    <x v="1"/>
    <x v="1"/>
    <x v="2"/>
    <x v="2"/>
  </r>
  <r>
    <n v="1099739"/>
    <x v="319"/>
    <x v="13"/>
    <x v="395"/>
    <x v="430"/>
  </r>
  <r>
    <n v="1099739"/>
    <x v="319"/>
    <x v="13"/>
    <x v="394"/>
    <x v="429"/>
  </r>
  <r>
    <n v="1099739"/>
    <x v="1"/>
    <x v="1"/>
    <x v="2"/>
    <x v="2"/>
  </r>
  <r>
    <n v="1099740"/>
    <x v="320"/>
    <x v="13"/>
    <x v="386"/>
    <x v="419"/>
  </r>
  <r>
    <n v="1099740"/>
    <x v="320"/>
    <x v="13"/>
    <x v="385"/>
    <x v="418"/>
  </r>
  <r>
    <n v="1099740"/>
    <x v="320"/>
    <x v="13"/>
    <x v="383"/>
    <x v="416"/>
  </r>
  <r>
    <n v="1099740"/>
    <x v="320"/>
    <x v="13"/>
    <x v="384"/>
    <x v="417"/>
  </r>
  <r>
    <n v="1099740"/>
    <x v="1"/>
    <x v="1"/>
    <x v="2"/>
    <x v="2"/>
  </r>
  <r>
    <n v="1099741"/>
    <x v="321"/>
    <x v="7"/>
    <x v="272"/>
    <x v="311"/>
  </r>
  <r>
    <n v="1099741"/>
    <x v="321"/>
    <x v="7"/>
    <x v="17"/>
    <x v="310"/>
  </r>
  <r>
    <n v="1099741"/>
    <x v="321"/>
    <x v="7"/>
    <x v="324"/>
    <x v="225"/>
  </r>
  <r>
    <n v="1099741"/>
    <x v="321"/>
    <x v="7"/>
    <x v="319"/>
    <x v="312"/>
  </r>
  <r>
    <n v="1099741"/>
    <x v="321"/>
    <x v="7"/>
    <x v="109"/>
    <x v="313"/>
  </r>
  <r>
    <n v="1099741"/>
    <x v="321"/>
    <x v="7"/>
    <x v="320"/>
    <x v="315"/>
  </r>
  <r>
    <n v="1099741"/>
    <x v="321"/>
    <x v="7"/>
    <x v="321"/>
    <x v="316"/>
  </r>
  <r>
    <n v="1099741"/>
    <x v="321"/>
    <x v="7"/>
    <x v="16"/>
    <x v="314"/>
  </r>
  <r>
    <n v="1099741"/>
    <x v="321"/>
    <x v="7"/>
    <x v="322"/>
    <x v="317"/>
  </r>
  <r>
    <n v="1099741"/>
    <x v="321"/>
    <x v="7"/>
    <x v="323"/>
    <x v="318"/>
  </r>
  <r>
    <n v="1099741"/>
    <x v="321"/>
    <x v="7"/>
    <x v="108"/>
    <x v="319"/>
  </r>
  <r>
    <n v="1099741"/>
    <x v="321"/>
    <x v="7"/>
    <x v="325"/>
    <x v="320"/>
  </r>
  <r>
    <n v="1099741"/>
    <x v="321"/>
    <x v="7"/>
    <x v="326"/>
    <x v="168"/>
  </r>
  <r>
    <n v="1099741"/>
    <x v="321"/>
    <x v="7"/>
    <x v="327"/>
    <x v="321"/>
  </r>
  <r>
    <n v="1099741"/>
    <x v="1"/>
    <x v="1"/>
    <x v="2"/>
    <x v="2"/>
  </r>
  <r>
    <n v="1099743"/>
    <x v="322"/>
    <x v="9"/>
    <x v="319"/>
    <x v="393"/>
  </r>
  <r>
    <n v="1099743"/>
    <x v="322"/>
    <x v="9"/>
    <x v="322"/>
    <x v="394"/>
  </r>
  <r>
    <n v="1099743"/>
    <x v="1"/>
    <x v="1"/>
    <x v="2"/>
    <x v="2"/>
  </r>
  <r>
    <n v="1099747"/>
    <x v="323"/>
    <x v="2"/>
    <x v="77"/>
    <x v="184"/>
  </r>
  <r>
    <n v="1099747"/>
    <x v="323"/>
    <x v="2"/>
    <x v="82"/>
    <x v="185"/>
  </r>
  <r>
    <n v="1099747"/>
    <x v="323"/>
    <x v="2"/>
    <x v="78"/>
    <x v="183"/>
  </r>
  <r>
    <n v="1099747"/>
    <x v="1"/>
    <x v="1"/>
    <x v="2"/>
    <x v="2"/>
  </r>
  <r>
    <n v="1099748"/>
    <x v="324"/>
    <x v="13"/>
    <x v="395"/>
    <x v="430"/>
  </r>
  <r>
    <n v="1099748"/>
    <x v="324"/>
    <x v="13"/>
    <x v="394"/>
    <x v="429"/>
  </r>
  <r>
    <n v="1099748"/>
    <x v="1"/>
    <x v="1"/>
    <x v="2"/>
    <x v="2"/>
  </r>
  <r>
    <n v="1099754"/>
    <x v="325"/>
    <x v="0"/>
    <x v="42"/>
    <x v="642"/>
  </r>
  <r>
    <n v="1099754"/>
    <x v="325"/>
    <x v="0"/>
    <x v="29"/>
    <x v="641"/>
  </r>
  <r>
    <n v="1099754"/>
    <x v="325"/>
    <x v="0"/>
    <x v="25"/>
    <x v="643"/>
  </r>
  <r>
    <n v="1099754"/>
    <x v="325"/>
    <x v="0"/>
    <x v="32"/>
    <x v="644"/>
  </r>
  <r>
    <n v="1099754"/>
    <x v="1"/>
    <x v="1"/>
    <x v="2"/>
    <x v="2"/>
  </r>
  <r>
    <n v="1099755"/>
    <x v="326"/>
    <x v="5"/>
    <x v="417"/>
    <x v="724"/>
  </r>
  <r>
    <n v="1099755"/>
    <x v="326"/>
    <x v="5"/>
    <x v="406"/>
    <x v="725"/>
  </r>
  <r>
    <n v="1099755"/>
    <x v="326"/>
    <x v="5"/>
    <x v="408"/>
    <x v="726"/>
  </r>
  <r>
    <n v="1099755"/>
    <x v="326"/>
    <x v="5"/>
    <x v="411"/>
    <x v="727"/>
  </r>
  <r>
    <n v="1099755"/>
    <x v="326"/>
    <x v="5"/>
    <x v="413"/>
    <x v="728"/>
  </r>
  <r>
    <n v="1099755"/>
    <x v="326"/>
    <x v="5"/>
    <x v="405"/>
    <x v="729"/>
  </r>
  <r>
    <n v="1099755"/>
    <x v="1"/>
    <x v="1"/>
    <x v="2"/>
    <x v="2"/>
  </r>
  <r>
    <n v="1099756"/>
    <x v="327"/>
    <x v="13"/>
    <x v="384"/>
    <x v="417"/>
  </r>
  <r>
    <n v="1099756"/>
    <x v="327"/>
    <x v="13"/>
    <x v="386"/>
    <x v="419"/>
  </r>
  <r>
    <n v="1099756"/>
    <x v="327"/>
    <x v="13"/>
    <x v="385"/>
    <x v="418"/>
  </r>
  <r>
    <n v="1099756"/>
    <x v="327"/>
    <x v="13"/>
    <x v="383"/>
    <x v="416"/>
  </r>
  <r>
    <n v="1099756"/>
    <x v="1"/>
    <x v="1"/>
    <x v="2"/>
    <x v="2"/>
  </r>
  <r>
    <n v="1099758"/>
    <x v="328"/>
    <x v="5"/>
    <x v="276"/>
    <x v="2"/>
  </r>
  <r>
    <n v="1099758"/>
    <x v="1"/>
    <x v="1"/>
    <x v="2"/>
    <x v="2"/>
  </r>
  <r>
    <n v="1099759"/>
    <x v="329"/>
    <x v="9"/>
    <x v="319"/>
    <x v="730"/>
  </r>
  <r>
    <n v="1099759"/>
    <x v="329"/>
    <x v="9"/>
    <x v="320"/>
    <x v="731"/>
  </r>
  <r>
    <n v="1099759"/>
    <x v="329"/>
    <x v="9"/>
    <x v="272"/>
    <x v="732"/>
  </r>
  <r>
    <n v="1099759"/>
    <x v="329"/>
    <x v="9"/>
    <x v="322"/>
    <x v="733"/>
  </r>
  <r>
    <n v="1099759"/>
    <x v="329"/>
    <x v="9"/>
    <x v="323"/>
    <x v="734"/>
  </r>
  <r>
    <n v="1099759"/>
    <x v="329"/>
    <x v="9"/>
    <x v="327"/>
    <x v="735"/>
  </r>
  <r>
    <n v="1099759"/>
    <x v="1"/>
    <x v="1"/>
    <x v="2"/>
    <x v="2"/>
  </r>
  <r>
    <n v="1099760"/>
    <x v="330"/>
    <x v="2"/>
    <x v="276"/>
    <x v="2"/>
  </r>
  <r>
    <n v="1099760"/>
    <x v="1"/>
    <x v="1"/>
    <x v="2"/>
    <x v="2"/>
  </r>
  <r>
    <n v="1099762"/>
    <x v="331"/>
    <x v="0"/>
    <x v="34"/>
    <x v="736"/>
  </r>
  <r>
    <n v="1099762"/>
    <x v="331"/>
    <x v="0"/>
    <x v="24"/>
    <x v="737"/>
  </r>
  <r>
    <n v="1099762"/>
    <x v="331"/>
    <x v="0"/>
    <x v="39"/>
    <x v="738"/>
  </r>
  <r>
    <n v="1099762"/>
    <x v="331"/>
    <x v="0"/>
    <x v="40"/>
    <x v="739"/>
  </r>
  <r>
    <n v="1099762"/>
    <x v="1"/>
    <x v="1"/>
    <x v="2"/>
    <x v="2"/>
  </r>
  <r>
    <n v="1099763"/>
    <x v="332"/>
    <x v="2"/>
    <x v="387"/>
    <x v="423"/>
  </r>
  <r>
    <n v="1099763"/>
    <x v="332"/>
    <x v="2"/>
    <x v="389"/>
    <x v="425"/>
  </r>
  <r>
    <n v="1099763"/>
    <x v="332"/>
    <x v="2"/>
    <x v="390"/>
    <x v="426"/>
  </r>
  <r>
    <n v="1099763"/>
    <x v="332"/>
    <x v="2"/>
    <x v="388"/>
    <x v="424"/>
  </r>
  <r>
    <n v="1099763"/>
    <x v="1"/>
    <x v="1"/>
    <x v="2"/>
    <x v="2"/>
  </r>
  <r>
    <n v="1099764"/>
    <x v="333"/>
    <x v="12"/>
    <x v="382"/>
    <x v="399"/>
  </r>
  <r>
    <n v="1099764"/>
    <x v="333"/>
    <x v="12"/>
    <x v="381"/>
    <x v="398"/>
  </r>
  <r>
    <n v="1099764"/>
    <x v="333"/>
    <x v="12"/>
    <x v="380"/>
    <x v="397"/>
  </r>
  <r>
    <n v="1099764"/>
    <x v="333"/>
    <x v="12"/>
    <x v="378"/>
    <x v="395"/>
  </r>
  <r>
    <n v="1099764"/>
    <x v="333"/>
    <x v="12"/>
    <x v="379"/>
    <x v="396"/>
  </r>
  <r>
    <n v="1099764"/>
    <x v="1"/>
    <x v="1"/>
    <x v="2"/>
    <x v="2"/>
  </r>
  <r>
    <n v="1099767"/>
    <x v="334"/>
    <x v="6"/>
    <x v="106"/>
    <x v="62"/>
  </r>
  <r>
    <n v="1099767"/>
    <x v="334"/>
    <x v="6"/>
    <x v="319"/>
    <x v="305"/>
  </r>
  <r>
    <n v="1099767"/>
    <x v="334"/>
    <x v="6"/>
    <x v="321"/>
    <x v="615"/>
  </r>
  <r>
    <n v="1099767"/>
    <x v="334"/>
    <x v="6"/>
    <x v="274"/>
    <x v="206"/>
  </r>
  <r>
    <n v="1099767"/>
    <x v="334"/>
    <x v="6"/>
    <x v="405"/>
    <x v="178"/>
  </r>
  <r>
    <n v="1099767"/>
    <x v="334"/>
    <x v="6"/>
    <x v="48"/>
    <x v="706"/>
  </r>
  <r>
    <n v="1099767"/>
    <x v="334"/>
    <x v="6"/>
    <x v="440"/>
    <x v="80"/>
  </r>
  <r>
    <n v="1099767"/>
    <x v="334"/>
    <x v="6"/>
    <x v="358"/>
    <x v="82"/>
  </r>
  <r>
    <n v="1099767"/>
    <x v="334"/>
    <x v="6"/>
    <x v="363"/>
    <x v="161"/>
  </r>
  <r>
    <n v="1099767"/>
    <x v="334"/>
    <x v="6"/>
    <x v="111"/>
    <x v="42"/>
  </r>
  <r>
    <n v="1099767"/>
    <x v="334"/>
    <x v="6"/>
    <x v="369"/>
    <x v="348"/>
  </r>
  <r>
    <n v="1099767"/>
    <x v="334"/>
    <x v="6"/>
    <x v="45"/>
    <x v="149"/>
  </r>
  <r>
    <n v="1099767"/>
    <x v="334"/>
    <x v="6"/>
    <x v="309"/>
    <x v="179"/>
  </r>
  <r>
    <n v="1099767"/>
    <x v="334"/>
    <x v="6"/>
    <x v="122"/>
    <x v="24"/>
  </r>
  <r>
    <n v="1099767"/>
    <x v="334"/>
    <x v="6"/>
    <x v="375"/>
    <x v="535"/>
  </r>
  <r>
    <n v="1099767"/>
    <x v="334"/>
    <x v="6"/>
    <x v="117"/>
    <x v="347"/>
  </r>
  <r>
    <n v="1099767"/>
    <x v="334"/>
    <x v="6"/>
    <x v="287"/>
    <x v="88"/>
  </r>
  <r>
    <n v="1099767"/>
    <x v="334"/>
    <x v="6"/>
    <x v="292"/>
    <x v="98"/>
  </r>
  <r>
    <n v="1099767"/>
    <x v="334"/>
    <x v="6"/>
    <x v="107"/>
    <x v="156"/>
  </r>
  <r>
    <n v="1099767"/>
    <x v="334"/>
    <x v="6"/>
    <x v="393"/>
    <x v="21"/>
  </r>
  <r>
    <n v="1099767"/>
    <x v="334"/>
    <x v="6"/>
    <x v="324"/>
    <x v="176"/>
  </r>
  <r>
    <n v="1099767"/>
    <x v="334"/>
    <x v="6"/>
    <x v="23"/>
    <x v="154"/>
  </r>
  <r>
    <n v="1099767"/>
    <x v="334"/>
    <x v="6"/>
    <x v="322"/>
    <x v="305"/>
  </r>
  <r>
    <n v="1099767"/>
    <x v="334"/>
    <x v="6"/>
    <x v="53"/>
    <x v="457"/>
  </r>
  <r>
    <n v="1099767"/>
    <x v="334"/>
    <x v="6"/>
    <x v="408"/>
    <x v="351"/>
  </r>
  <r>
    <n v="1099767"/>
    <x v="334"/>
    <x v="6"/>
    <x v="414"/>
    <x v="535"/>
  </r>
  <r>
    <n v="1099767"/>
    <x v="334"/>
    <x v="6"/>
    <x v="47"/>
    <x v="619"/>
  </r>
  <r>
    <n v="1099767"/>
    <x v="334"/>
    <x v="6"/>
    <x v="415"/>
    <x v="98"/>
  </r>
  <r>
    <n v="1099767"/>
    <x v="334"/>
    <x v="6"/>
    <x v="278"/>
    <x v="224"/>
  </r>
  <r>
    <n v="1099767"/>
    <x v="334"/>
    <x v="6"/>
    <x v="359"/>
    <x v="4"/>
  </r>
  <r>
    <n v="1099767"/>
    <x v="334"/>
    <x v="6"/>
    <x v="90"/>
    <x v="4"/>
  </r>
  <r>
    <n v="1099767"/>
    <x v="334"/>
    <x v="6"/>
    <x v="272"/>
    <x v="659"/>
  </r>
  <r>
    <n v="1099767"/>
    <x v="334"/>
    <x v="6"/>
    <x v="400"/>
    <x v="178"/>
  </r>
  <r>
    <n v="1099767"/>
    <x v="334"/>
    <x v="6"/>
    <x v="18"/>
    <x v="348"/>
  </r>
  <r>
    <n v="1099767"/>
    <x v="334"/>
    <x v="6"/>
    <x v="267"/>
    <x v="3"/>
  </r>
  <r>
    <n v="1099767"/>
    <x v="334"/>
    <x v="6"/>
    <x v="282"/>
    <x v="147"/>
  </r>
  <r>
    <n v="1099767"/>
    <x v="334"/>
    <x v="6"/>
    <x v="356"/>
    <x v="170"/>
  </r>
  <r>
    <n v="1099767"/>
    <x v="334"/>
    <x v="6"/>
    <x v="360"/>
    <x v="4"/>
  </r>
  <r>
    <n v="1099767"/>
    <x v="334"/>
    <x v="6"/>
    <x v="364"/>
    <x v="348"/>
  </r>
  <r>
    <n v="1099767"/>
    <x v="334"/>
    <x v="6"/>
    <x v="371"/>
    <x v="351"/>
  </r>
  <r>
    <n v="1099767"/>
    <x v="334"/>
    <x v="6"/>
    <x v="110"/>
    <x v="97"/>
  </r>
  <r>
    <n v="1099767"/>
    <x v="334"/>
    <x v="6"/>
    <x v="403"/>
    <x v="163"/>
  </r>
  <r>
    <n v="1099767"/>
    <x v="334"/>
    <x v="6"/>
    <x v="285"/>
    <x v="346"/>
  </r>
  <r>
    <n v="1099767"/>
    <x v="334"/>
    <x v="6"/>
    <x v="120"/>
    <x v="181"/>
  </r>
  <r>
    <n v="1099767"/>
    <x v="334"/>
    <x v="6"/>
    <x v="381"/>
    <x v="740"/>
  </r>
  <r>
    <n v="1099767"/>
    <x v="334"/>
    <x v="6"/>
    <x v="296"/>
    <x v="61"/>
  </r>
  <r>
    <n v="1099767"/>
    <x v="334"/>
    <x v="6"/>
    <x v="288"/>
    <x v="315"/>
  </r>
  <r>
    <n v="1099767"/>
    <x v="334"/>
    <x v="6"/>
    <x v="435"/>
    <x v="348"/>
  </r>
  <r>
    <n v="1099767"/>
    <x v="334"/>
    <x v="6"/>
    <x v="442"/>
    <x v="88"/>
  </r>
  <r>
    <n v="1099767"/>
    <x v="334"/>
    <x v="6"/>
    <x v="370"/>
    <x v="198"/>
  </r>
  <r>
    <n v="1099767"/>
    <x v="334"/>
    <x v="6"/>
    <x v="116"/>
    <x v="34"/>
  </r>
  <r>
    <n v="1099767"/>
    <x v="334"/>
    <x v="6"/>
    <x v="410"/>
    <x v="88"/>
  </r>
  <r>
    <n v="1099767"/>
    <x v="334"/>
    <x v="6"/>
    <x v="441"/>
    <x v="353"/>
  </r>
  <r>
    <n v="1099767"/>
    <x v="334"/>
    <x v="6"/>
    <x v="436"/>
    <x v="156"/>
  </r>
  <r>
    <n v="1099767"/>
    <x v="334"/>
    <x v="6"/>
    <x v="291"/>
    <x v="79"/>
  </r>
  <r>
    <n v="1099767"/>
    <x v="334"/>
    <x v="6"/>
    <x v="105"/>
    <x v="221"/>
  </r>
  <r>
    <n v="1099767"/>
    <x v="334"/>
    <x v="6"/>
    <x v="323"/>
    <x v="392"/>
  </r>
  <r>
    <n v="1099767"/>
    <x v="334"/>
    <x v="6"/>
    <x v="270"/>
    <x v="179"/>
  </r>
  <r>
    <n v="1099767"/>
    <x v="334"/>
    <x v="6"/>
    <x v="402"/>
    <x v="83"/>
  </r>
  <r>
    <n v="1099767"/>
    <x v="334"/>
    <x v="6"/>
    <x v="283"/>
    <x v="62"/>
  </r>
  <r>
    <n v="1099767"/>
    <x v="334"/>
    <x v="6"/>
    <x v="94"/>
    <x v="351"/>
  </r>
  <r>
    <n v="1099767"/>
    <x v="334"/>
    <x v="6"/>
    <x v="88"/>
    <x v="88"/>
  </r>
  <r>
    <n v="1099767"/>
    <x v="334"/>
    <x v="6"/>
    <x v="115"/>
    <x v="170"/>
  </r>
  <r>
    <n v="1099767"/>
    <x v="334"/>
    <x v="6"/>
    <x v="308"/>
    <x v="176"/>
  </r>
  <r>
    <n v="1099767"/>
    <x v="334"/>
    <x v="6"/>
    <x v="113"/>
    <x v="178"/>
  </r>
  <r>
    <n v="1099767"/>
    <x v="334"/>
    <x v="6"/>
    <x v="399"/>
    <x v="54"/>
  </r>
  <r>
    <n v="1099767"/>
    <x v="334"/>
    <x v="6"/>
    <x v="280"/>
    <x v="346"/>
  </r>
  <r>
    <n v="1099767"/>
    <x v="334"/>
    <x v="6"/>
    <x v="119"/>
    <x v="206"/>
  </r>
  <r>
    <n v="1099767"/>
    <x v="334"/>
    <x v="6"/>
    <x v="378"/>
    <x v="24"/>
  </r>
  <r>
    <n v="1099767"/>
    <x v="334"/>
    <x v="6"/>
    <x v="289"/>
    <x v="105"/>
  </r>
  <r>
    <n v="1099767"/>
    <x v="334"/>
    <x v="6"/>
    <x v="102"/>
    <x v="741"/>
  </r>
  <r>
    <n v="1099767"/>
    <x v="334"/>
    <x v="6"/>
    <x v="103"/>
    <x v="144"/>
  </r>
  <r>
    <n v="1099767"/>
    <x v="334"/>
    <x v="6"/>
    <x v="17"/>
    <x v="742"/>
  </r>
  <r>
    <n v="1099767"/>
    <x v="334"/>
    <x v="6"/>
    <x v="118"/>
    <x v="217"/>
  </r>
  <r>
    <n v="1099767"/>
    <x v="334"/>
    <x v="6"/>
    <x v="376"/>
    <x v="161"/>
  </r>
  <r>
    <n v="1099767"/>
    <x v="334"/>
    <x v="6"/>
    <x v="407"/>
    <x v="83"/>
  </r>
  <r>
    <n v="1099767"/>
    <x v="334"/>
    <x v="6"/>
    <x v="295"/>
    <x v="61"/>
  </r>
  <r>
    <n v="1099767"/>
    <x v="334"/>
    <x v="6"/>
    <x v="297"/>
    <x v="176"/>
  </r>
  <r>
    <n v="1099767"/>
    <x v="334"/>
    <x v="6"/>
    <x v="101"/>
    <x v="34"/>
  </r>
  <r>
    <n v="1099767"/>
    <x v="334"/>
    <x v="6"/>
    <x v="392"/>
    <x v="51"/>
  </r>
  <r>
    <n v="1099767"/>
    <x v="334"/>
    <x v="6"/>
    <x v="320"/>
    <x v="78"/>
  </r>
  <r>
    <n v="1099767"/>
    <x v="334"/>
    <x v="6"/>
    <x v="87"/>
    <x v="210"/>
  </r>
  <r>
    <n v="1099767"/>
    <x v="334"/>
    <x v="6"/>
    <x v="21"/>
    <x v="351"/>
  </r>
  <r>
    <n v="1099767"/>
    <x v="334"/>
    <x v="6"/>
    <x v="49"/>
    <x v="4"/>
  </r>
  <r>
    <n v="1099767"/>
    <x v="334"/>
    <x v="6"/>
    <x v="50"/>
    <x v="4"/>
  </r>
  <r>
    <n v="1099767"/>
    <x v="334"/>
    <x v="6"/>
    <x v="98"/>
    <x v="82"/>
  </r>
  <r>
    <n v="1099767"/>
    <x v="334"/>
    <x v="6"/>
    <x v="406"/>
    <x v="178"/>
  </r>
  <r>
    <n v="1099767"/>
    <x v="334"/>
    <x v="6"/>
    <x v="97"/>
    <x v="210"/>
  </r>
  <r>
    <n v="1099767"/>
    <x v="334"/>
    <x v="6"/>
    <x v="443"/>
    <x v="64"/>
  </r>
  <r>
    <n v="1099767"/>
    <x v="334"/>
    <x v="6"/>
    <x v="365"/>
    <x v="535"/>
  </r>
  <r>
    <n v="1099767"/>
    <x v="334"/>
    <x v="6"/>
    <x v="372"/>
    <x v="176"/>
  </r>
  <r>
    <n v="1099767"/>
    <x v="334"/>
    <x v="6"/>
    <x v="112"/>
    <x v="4"/>
  </r>
  <r>
    <n v="1099767"/>
    <x v="334"/>
    <x v="6"/>
    <x v="273"/>
    <x v="144"/>
  </r>
  <r>
    <n v="1099767"/>
    <x v="334"/>
    <x v="6"/>
    <x v="286"/>
    <x v="185"/>
  </r>
  <r>
    <n v="1099767"/>
    <x v="334"/>
    <x v="6"/>
    <x v="269"/>
    <x v="211"/>
  </r>
  <r>
    <n v="1099767"/>
    <x v="334"/>
    <x v="6"/>
    <x v="380"/>
    <x v="98"/>
  </r>
  <r>
    <n v="1099767"/>
    <x v="334"/>
    <x v="6"/>
    <x v="434"/>
    <x v="78"/>
  </r>
  <r>
    <n v="1099767"/>
    <x v="334"/>
    <x v="6"/>
    <x v="432"/>
    <x v="149"/>
  </r>
  <r>
    <n v="1099767"/>
    <x v="334"/>
    <x v="6"/>
    <x v="104"/>
    <x v="144"/>
  </r>
  <r>
    <n v="1099767"/>
    <x v="334"/>
    <x v="6"/>
    <x v="16"/>
    <x v="134"/>
  </r>
  <r>
    <n v="1099767"/>
    <x v="334"/>
    <x v="6"/>
    <x v="108"/>
    <x v="474"/>
  </r>
  <r>
    <n v="1099767"/>
    <x v="334"/>
    <x v="6"/>
    <x v="303"/>
    <x v="376"/>
  </r>
  <r>
    <n v="1099767"/>
    <x v="334"/>
    <x v="6"/>
    <x v="20"/>
    <x v="170"/>
  </r>
  <r>
    <n v="1099767"/>
    <x v="334"/>
    <x v="6"/>
    <x v="197"/>
    <x v="743"/>
  </r>
  <r>
    <n v="1099767"/>
    <x v="334"/>
    <x v="6"/>
    <x v="266"/>
    <x v="85"/>
  </r>
  <r>
    <n v="1099767"/>
    <x v="334"/>
    <x v="6"/>
    <x v="19"/>
    <x v="351"/>
  </r>
  <r>
    <n v="1099767"/>
    <x v="334"/>
    <x v="6"/>
    <x v="52"/>
    <x v="178"/>
  </r>
  <r>
    <n v="1099767"/>
    <x v="334"/>
    <x v="6"/>
    <x v="271"/>
    <x v="24"/>
  </r>
  <r>
    <n v="1099767"/>
    <x v="334"/>
    <x v="6"/>
    <x v="368"/>
    <x v="346"/>
  </r>
  <r>
    <n v="1099767"/>
    <x v="334"/>
    <x v="6"/>
    <x v="99"/>
    <x v="455"/>
  </r>
  <r>
    <n v="1099767"/>
    <x v="334"/>
    <x v="6"/>
    <x v="307"/>
    <x v="560"/>
  </r>
  <r>
    <n v="1099767"/>
    <x v="334"/>
    <x v="6"/>
    <x v="445"/>
    <x v="198"/>
  </r>
  <r>
    <n v="1099767"/>
    <x v="334"/>
    <x v="6"/>
    <x v="100"/>
    <x v="97"/>
  </r>
  <r>
    <n v="1099767"/>
    <x v="334"/>
    <x v="6"/>
    <x v="279"/>
    <x v="392"/>
  </r>
  <r>
    <n v="1099767"/>
    <x v="334"/>
    <x v="6"/>
    <x v="298"/>
    <x v="162"/>
  </r>
  <r>
    <n v="1099767"/>
    <x v="334"/>
    <x v="6"/>
    <x v="430"/>
    <x v="346"/>
  </r>
  <r>
    <n v="1099767"/>
    <x v="334"/>
    <x v="6"/>
    <x v="391"/>
    <x v="744"/>
  </r>
  <r>
    <n v="1099767"/>
    <x v="334"/>
    <x v="6"/>
    <x v="327"/>
    <x v="224"/>
  </r>
  <r>
    <n v="1099767"/>
    <x v="334"/>
    <x v="6"/>
    <x v="93"/>
    <x v="455"/>
  </r>
  <r>
    <n v="1099767"/>
    <x v="334"/>
    <x v="6"/>
    <x v="404"/>
    <x v="83"/>
  </r>
  <r>
    <n v="1099767"/>
    <x v="334"/>
    <x v="6"/>
    <x v="46"/>
    <x v="61"/>
  </r>
  <r>
    <n v="1099767"/>
    <x v="334"/>
    <x v="6"/>
    <x v="354"/>
    <x v="79"/>
  </r>
  <r>
    <n v="1099767"/>
    <x v="334"/>
    <x v="6"/>
    <x v="409"/>
    <x v="198"/>
  </r>
  <r>
    <n v="1099767"/>
    <x v="334"/>
    <x v="6"/>
    <x v="357"/>
    <x v="42"/>
  </r>
  <r>
    <n v="1099767"/>
    <x v="334"/>
    <x v="6"/>
    <x v="89"/>
    <x v="376"/>
  </r>
  <r>
    <n v="1099767"/>
    <x v="334"/>
    <x v="6"/>
    <x v="95"/>
    <x v="363"/>
  </r>
  <r>
    <n v="1099767"/>
    <x v="334"/>
    <x v="6"/>
    <x v="366"/>
    <x v="178"/>
  </r>
  <r>
    <n v="1099767"/>
    <x v="334"/>
    <x v="6"/>
    <x v="373"/>
    <x v="176"/>
  </r>
  <r>
    <n v="1099767"/>
    <x v="334"/>
    <x v="6"/>
    <x v="306"/>
    <x v="88"/>
  </r>
  <r>
    <n v="1099767"/>
    <x v="334"/>
    <x v="6"/>
    <x v="328"/>
    <x v="198"/>
  </r>
  <r>
    <n v="1099767"/>
    <x v="334"/>
    <x v="6"/>
    <x v="377"/>
    <x v="745"/>
  </r>
  <r>
    <n v="1099767"/>
    <x v="334"/>
    <x v="6"/>
    <x v="379"/>
    <x v="23"/>
  </r>
  <r>
    <n v="1099767"/>
    <x v="334"/>
    <x v="6"/>
    <x v="294"/>
    <x v="387"/>
  </r>
  <r>
    <n v="1099767"/>
    <x v="334"/>
    <x v="6"/>
    <x v="290"/>
    <x v="746"/>
  </r>
  <r>
    <n v="1099767"/>
    <x v="334"/>
    <x v="6"/>
    <x v="428"/>
    <x v="30"/>
  </r>
  <r>
    <n v="1099767"/>
    <x v="334"/>
    <x v="6"/>
    <x v="22"/>
    <x v="154"/>
  </r>
  <r>
    <n v="1099767"/>
    <x v="334"/>
    <x v="6"/>
    <x v="198"/>
    <x v="149"/>
  </r>
  <r>
    <n v="1099767"/>
    <x v="334"/>
    <x v="6"/>
    <x v="109"/>
    <x v="152"/>
  </r>
  <r>
    <n v="1099767"/>
    <x v="334"/>
    <x v="6"/>
    <x v="326"/>
    <x v="170"/>
  </r>
  <r>
    <n v="1099767"/>
    <x v="334"/>
    <x v="6"/>
    <x v="275"/>
    <x v="745"/>
  </r>
  <r>
    <n v="1099767"/>
    <x v="334"/>
    <x v="6"/>
    <x v="413"/>
    <x v="178"/>
  </r>
  <r>
    <n v="1099767"/>
    <x v="334"/>
    <x v="6"/>
    <x v="397"/>
    <x v="161"/>
  </r>
  <r>
    <n v="1099767"/>
    <x v="334"/>
    <x v="6"/>
    <x v="51"/>
    <x v="407"/>
  </r>
  <r>
    <n v="1099767"/>
    <x v="334"/>
    <x v="6"/>
    <x v="86"/>
    <x v="213"/>
  </r>
  <r>
    <n v="1099767"/>
    <x v="334"/>
    <x v="6"/>
    <x v="355"/>
    <x v="79"/>
  </r>
  <r>
    <n v="1099767"/>
    <x v="334"/>
    <x v="6"/>
    <x v="311"/>
    <x v="78"/>
  </r>
  <r>
    <n v="1099767"/>
    <x v="334"/>
    <x v="6"/>
    <x v="398"/>
    <x v="351"/>
  </r>
  <r>
    <n v="1099767"/>
    <x v="334"/>
    <x v="6"/>
    <x v="416"/>
    <x v="64"/>
  </r>
  <r>
    <n v="1099767"/>
    <x v="334"/>
    <x v="6"/>
    <x v="362"/>
    <x v="144"/>
  </r>
  <r>
    <n v="1099767"/>
    <x v="334"/>
    <x v="6"/>
    <x v="268"/>
    <x v="154"/>
  </r>
  <r>
    <n v="1099767"/>
    <x v="334"/>
    <x v="6"/>
    <x v="367"/>
    <x v="346"/>
  </r>
  <r>
    <n v="1099767"/>
    <x v="334"/>
    <x v="6"/>
    <x v="444"/>
    <x v="535"/>
  </r>
  <r>
    <n v="1099767"/>
    <x v="334"/>
    <x v="6"/>
    <x v="92"/>
    <x v="617"/>
  </r>
  <r>
    <n v="1099767"/>
    <x v="334"/>
    <x v="6"/>
    <x v="44"/>
    <x v="346"/>
  </r>
  <r>
    <n v="1099767"/>
    <x v="334"/>
    <x v="6"/>
    <x v="114"/>
    <x v="351"/>
  </r>
  <r>
    <n v="1099767"/>
    <x v="334"/>
    <x v="6"/>
    <x v="312"/>
    <x v="179"/>
  </r>
  <r>
    <n v="1099767"/>
    <x v="334"/>
    <x v="6"/>
    <x v="329"/>
    <x v="51"/>
  </r>
  <r>
    <n v="1099767"/>
    <x v="334"/>
    <x v="6"/>
    <x v="411"/>
    <x v="82"/>
  </r>
  <r>
    <n v="1099767"/>
    <x v="334"/>
    <x v="6"/>
    <x v="85"/>
    <x v="407"/>
  </r>
  <r>
    <n v="1099767"/>
    <x v="334"/>
    <x v="6"/>
    <x v="304"/>
    <x v="34"/>
  </r>
  <r>
    <n v="1099767"/>
    <x v="334"/>
    <x v="6"/>
    <x v="121"/>
    <x v="88"/>
  </r>
  <r>
    <n v="1099767"/>
    <x v="334"/>
    <x v="6"/>
    <x v="382"/>
    <x v="38"/>
  </r>
  <r>
    <n v="1099767"/>
    <x v="334"/>
    <x v="6"/>
    <x v="437"/>
    <x v="153"/>
  </r>
  <r>
    <n v="1099767"/>
    <x v="334"/>
    <x v="6"/>
    <x v="429"/>
    <x v="42"/>
  </r>
  <r>
    <n v="1099767"/>
    <x v="334"/>
    <x v="6"/>
    <x v="431"/>
    <x v="164"/>
  </r>
  <r>
    <n v="1099767"/>
    <x v="334"/>
    <x v="6"/>
    <x v="293"/>
    <x v="747"/>
  </r>
  <r>
    <n v="1099767"/>
    <x v="334"/>
    <x v="6"/>
    <x v="433"/>
    <x v="170"/>
  </r>
  <r>
    <n v="1099767"/>
    <x v="334"/>
    <x v="6"/>
    <x v="325"/>
    <x v="205"/>
  </r>
  <r>
    <n v="1099767"/>
    <x v="334"/>
    <x v="6"/>
    <x v="305"/>
    <x v="136"/>
  </r>
  <r>
    <n v="1099767"/>
    <x v="334"/>
    <x v="6"/>
    <x v="401"/>
    <x v="178"/>
  </r>
  <r>
    <n v="1099767"/>
    <x v="334"/>
    <x v="6"/>
    <x v="196"/>
    <x v="748"/>
  </r>
  <r>
    <n v="1099767"/>
    <x v="334"/>
    <x v="6"/>
    <x v="281"/>
    <x v="238"/>
  </r>
  <r>
    <n v="1099767"/>
    <x v="334"/>
    <x v="6"/>
    <x v="96"/>
    <x v="346"/>
  </r>
  <r>
    <n v="1099767"/>
    <x v="334"/>
    <x v="6"/>
    <x v="361"/>
    <x v="161"/>
  </r>
  <r>
    <n v="1099767"/>
    <x v="334"/>
    <x v="6"/>
    <x v="284"/>
    <x v="105"/>
  </r>
  <r>
    <n v="1099767"/>
    <x v="334"/>
    <x v="6"/>
    <x v="91"/>
    <x v="346"/>
  </r>
  <r>
    <n v="1099767"/>
    <x v="334"/>
    <x v="6"/>
    <x v="374"/>
    <x v="154"/>
  </r>
  <r>
    <n v="1099767"/>
    <x v="334"/>
    <x v="6"/>
    <x v="310"/>
    <x v="151"/>
  </r>
  <r>
    <n v="1099767"/>
    <x v="334"/>
    <x v="6"/>
    <x v="417"/>
    <x v="82"/>
  </r>
  <r>
    <n v="1099767"/>
    <x v="334"/>
    <x v="6"/>
    <x v="54"/>
    <x v="198"/>
  </r>
  <r>
    <n v="1099767"/>
    <x v="1"/>
    <x v="1"/>
    <x v="2"/>
    <x v="2"/>
  </r>
  <r>
    <n v="1099768"/>
    <x v="335"/>
    <x v="0"/>
    <x v="39"/>
    <x v="738"/>
  </r>
  <r>
    <n v="1099768"/>
    <x v="335"/>
    <x v="0"/>
    <x v="40"/>
    <x v="739"/>
  </r>
  <r>
    <n v="1099768"/>
    <x v="335"/>
    <x v="0"/>
    <x v="24"/>
    <x v="737"/>
  </r>
  <r>
    <n v="1099768"/>
    <x v="335"/>
    <x v="0"/>
    <x v="34"/>
    <x v="736"/>
  </r>
  <r>
    <n v="1099768"/>
    <x v="1"/>
    <x v="1"/>
    <x v="2"/>
    <x v="2"/>
  </r>
  <r>
    <n v="1099769"/>
    <x v="336"/>
    <x v="6"/>
    <x v="432"/>
    <x v="448"/>
  </r>
  <r>
    <n v="1099769"/>
    <x v="336"/>
    <x v="6"/>
    <x v="435"/>
    <x v="441"/>
  </r>
  <r>
    <n v="1099769"/>
    <x v="336"/>
    <x v="6"/>
    <x v="436"/>
    <x v="587"/>
  </r>
  <r>
    <n v="1099769"/>
    <x v="336"/>
    <x v="6"/>
    <x v="434"/>
    <x v="586"/>
  </r>
  <r>
    <n v="1099769"/>
    <x v="336"/>
    <x v="6"/>
    <x v="431"/>
    <x v="588"/>
  </r>
  <r>
    <n v="1099769"/>
    <x v="336"/>
    <x v="6"/>
    <x v="433"/>
    <x v="368"/>
  </r>
  <r>
    <n v="1099769"/>
    <x v="336"/>
    <x v="6"/>
    <x v="437"/>
    <x v="584"/>
  </r>
  <r>
    <n v="1099769"/>
    <x v="336"/>
    <x v="6"/>
    <x v="428"/>
    <x v="589"/>
  </r>
  <r>
    <n v="1099769"/>
    <x v="336"/>
    <x v="6"/>
    <x v="430"/>
    <x v="590"/>
  </r>
  <r>
    <n v="1099769"/>
    <x v="336"/>
    <x v="6"/>
    <x v="429"/>
    <x v="585"/>
  </r>
  <r>
    <n v="1099769"/>
    <x v="1"/>
    <x v="1"/>
    <x v="2"/>
    <x v="2"/>
  </r>
  <r>
    <n v="1099770"/>
    <x v="337"/>
    <x v="5"/>
    <x v="275"/>
    <x v="246"/>
  </r>
  <r>
    <n v="1099770"/>
    <x v="337"/>
    <x v="5"/>
    <x v="273"/>
    <x v="244"/>
  </r>
  <r>
    <n v="1099770"/>
    <x v="337"/>
    <x v="5"/>
    <x v="274"/>
    <x v="245"/>
  </r>
  <r>
    <n v="1099770"/>
    <x v="1"/>
    <x v="1"/>
    <x v="2"/>
    <x v="2"/>
  </r>
  <r>
    <n v="1099771"/>
    <x v="338"/>
    <x v="13"/>
    <x v="276"/>
    <x v="2"/>
  </r>
  <r>
    <n v="1099771"/>
    <x v="1"/>
    <x v="1"/>
    <x v="2"/>
    <x v="2"/>
  </r>
  <r>
    <n v="1099772"/>
    <x v="339"/>
    <x v="13"/>
    <x v="276"/>
    <x v="2"/>
  </r>
  <r>
    <n v="1099772"/>
    <x v="1"/>
    <x v="1"/>
    <x v="2"/>
    <x v="2"/>
  </r>
  <r>
    <n v="1099773"/>
    <x v="340"/>
    <x v="13"/>
    <x v="383"/>
    <x v="500"/>
  </r>
  <r>
    <n v="1099773"/>
    <x v="340"/>
    <x v="13"/>
    <x v="385"/>
    <x v="508"/>
  </r>
  <r>
    <n v="1099773"/>
    <x v="1"/>
    <x v="1"/>
    <x v="2"/>
    <x v="2"/>
  </r>
  <r>
    <n v="1099774"/>
    <x v="341"/>
    <x v="6"/>
    <x v="370"/>
    <x v="198"/>
  </r>
  <r>
    <n v="1099774"/>
    <x v="341"/>
    <x v="6"/>
    <x v="45"/>
    <x v="149"/>
  </r>
  <r>
    <n v="1099774"/>
    <x v="341"/>
    <x v="6"/>
    <x v="312"/>
    <x v="179"/>
  </r>
  <r>
    <n v="1099774"/>
    <x v="341"/>
    <x v="6"/>
    <x v="417"/>
    <x v="82"/>
  </r>
  <r>
    <n v="1099774"/>
    <x v="341"/>
    <x v="6"/>
    <x v="100"/>
    <x v="97"/>
  </r>
  <r>
    <n v="1099774"/>
    <x v="341"/>
    <x v="6"/>
    <x v="379"/>
    <x v="23"/>
  </r>
  <r>
    <n v="1099774"/>
    <x v="341"/>
    <x v="6"/>
    <x v="434"/>
    <x v="78"/>
  </r>
  <r>
    <n v="1099774"/>
    <x v="341"/>
    <x v="6"/>
    <x v="102"/>
    <x v="741"/>
  </r>
  <r>
    <n v="1099774"/>
    <x v="341"/>
    <x v="6"/>
    <x v="435"/>
    <x v="348"/>
  </r>
  <r>
    <n v="1099774"/>
    <x v="341"/>
    <x v="6"/>
    <x v="323"/>
    <x v="392"/>
  </r>
  <r>
    <n v="1099774"/>
    <x v="341"/>
    <x v="6"/>
    <x v="270"/>
    <x v="179"/>
  </r>
  <r>
    <n v="1099774"/>
    <x v="341"/>
    <x v="6"/>
    <x v="402"/>
    <x v="83"/>
  </r>
  <r>
    <n v="1099774"/>
    <x v="341"/>
    <x v="6"/>
    <x v="283"/>
    <x v="62"/>
  </r>
  <r>
    <n v="1099774"/>
    <x v="341"/>
    <x v="6"/>
    <x v="94"/>
    <x v="351"/>
  </r>
  <r>
    <n v="1099774"/>
    <x v="341"/>
    <x v="6"/>
    <x v="22"/>
    <x v="154"/>
  </r>
  <r>
    <n v="1099774"/>
    <x v="341"/>
    <x v="6"/>
    <x v="272"/>
    <x v="659"/>
  </r>
  <r>
    <n v="1099774"/>
    <x v="341"/>
    <x v="6"/>
    <x v="400"/>
    <x v="178"/>
  </r>
  <r>
    <n v="1099774"/>
    <x v="341"/>
    <x v="6"/>
    <x v="18"/>
    <x v="348"/>
  </r>
  <r>
    <n v="1099774"/>
    <x v="341"/>
    <x v="6"/>
    <x v="267"/>
    <x v="3"/>
  </r>
  <r>
    <n v="1099774"/>
    <x v="341"/>
    <x v="6"/>
    <x v="282"/>
    <x v="147"/>
  </r>
  <r>
    <n v="1099774"/>
    <x v="341"/>
    <x v="6"/>
    <x v="356"/>
    <x v="170"/>
  </r>
  <r>
    <n v="1099774"/>
    <x v="341"/>
    <x v="6"/>
    <x v="360"/>
    <x v="4"/>
  </r>
  <r>
    <n v="1099774"/>
    <x v="341"/>
    <x v="6"/>
    <x v="90"/>
    <x v="4"/>
  </r>
  <r>
    <n v="1099774"/>
    <x v="341"/>
    <x v="6"/>
    <x v="111"/>
    <x v="42"/>
  </r>
  <r>
    <n v="1099774"/>
    <x v="341"/>
    <x v="6"/>
    <x v="444"/>
    <x v="535"/>
  </r>
  <r>
    <n v="1099774"/>
    <x v="341"/>
    <x v="6"/>
    <x v="374"/>
    <x v="154"/>
  </r>
  <r>
    <n v="1099774"/>
    <x v="341"/>
    <x v="6"/>
    <x v="307"/>
    <x v="560"/>
  </r>
  <r>
    <n v="1099774"/>
    <x v="341"/>
    <x v="6"/>
    <x v="329"/>
    <x v="51"/>
  </r>
  <r>
    <n v="1099774"/>
    <x v="341"/>
    <x v="6"/>
    <x v="269"/>
    <x v="211"/>
  </r>
  <r>
    <n v="1099774"/>
    <x v="341"/>
    <x v="6"/>
    <x v="378"/>
    <x v="24"/>
  </r>
  <r>
    <n v="1099774"/>
    <x v="341"/>
    <x v="6"/>
    <x v="296"/>
    <x v="61"/>
  </r>
  <r>
    <n v="1099774"/>
    <x v="341"/>
    <x v="6"/>
    <x v="297"/>
    <x v="176"/>
  </r>
  <r>
    <n v="1099774"/>
    <x v="341"/>
    <x v="6"/>
    <x v="107"/>
    <x v="156"/>
  </r>
  <r>
    <n v="1099774"/>
    <x v="341"/>
    <x v="6"/>
    <x v="442"/>
    <x v="88"/>
  </r>
  <r>
    <n v="1099774"/>
    <x v="341"/>
    <x v="6"/>
    <x v="369"/>
    <x v="348"/>
  </r>
  <r>
    <n v="1099774"/>
    <x v="341"/>
    <x v="6"/>
    <x v="44"/>
    <x v="346"/>
  </r>
  <r>
    <n v="1099774"/>
    <x v="341"/>
    <x v="6"/>
    <x v="310"/>
    <x v="151"/>
  </r>
  <r>
    <n v="1099774"/>
    <x v="341"/>
    <x v="6"/>
    <x v="445"/>
    <x v="198"/>
  </r>
  <r>
    <n v="1099774"/>
    <x v="341"/>
    <x v="6"/>
    <x v="85"/>
    <x v="407"/>
  </r>
  <r>
    <n v="1099774"/>
    <x v="341"/>
    <x v="6"/>
    <x v="377"/>
    <x v="745"/>
  </r>
  <r>
    <n v="1099774"/>
    <x v="341"/>
    <x v="6"/>
    <x v="380"/>
    <x v="98"/>
  </r>
  <r>
    <n v="1099774"/>
    <x v="341"/>
    <x v="6"/>
    <x v="289"/>
    <x v="105"/>
  </r>
  <r>
    <n v="1099774"/>
    <x v="341"/>
    <x v="6"/>
    <x v="288"/>
    <x v="315"/>
  </r>
  <r>
    <n v="1099774"/>
    <x v="341"/>
    <x v="6"/>
    <x v="101"/>
    <x v="34"/>
  </r>
  <r>
    <n v="1099774"/>
    <x v="341"/>
    <x v="6"/>
    <x v="392"/>
    <x v="51"/>
  </r>
  <r>
    <n v="1099774"/>
    <x v="341"/>
    <x v="6"/>
    <x v="319"/>
    <x v="305"/>
  </r>
  <r>
    <n v="1099774"/>
    <x v="341"/>
    <x v="6"/>
    <x v="320"/>
    <x v="78"/>
  </r>
  <r>
    <n v="1099774"/>
    <x v="341"/>
    <x v="6"/>
    <x v="321"/>
    <x v="615"/>
  </r>
  <r>
    <n v="1099774"/>
    <x v="341"/>
    <x v="6"/>
    <x v="87"/>
    <x v="210"/>
  </r>
  <r>
    <n v="1099774"/>
    <x v="341"/>
    <x v="6"/>
    <x v="274"/>
    <x v="206"/>
  </r>
  <r>
    <n v="1099774"/>
    <x v="341"/>
    <x v="6"/>
    <x v="21"/>
    <x v="351"/>
  </r>
  <r>
    <n v="1099774"/>
    <x v="341"/>
    <x v="6"/>
    <x v="405"/>
    <x v="178"/>
  </r>
  <r>
    <n v="1099774"/>
    <x v="341"/>
    <x v="6"/>
    <x v="368"/>
    <x v="346"/>
  </r>
  <r>
    <n v="1099774"/>
    <x v="341"/>
    <x v="6"/>
    <x v="92"/>
    <x v="617"/>
  </r>
  <r>
    <n v="1099774"/>
    <x v="341"/>
    <x v="6"/>
    <x v="306"/>
    <x v="88"/>
  </r>
  <r>
    <n v="1099774"/>
    <x v="341"/>
    <x v="6"/>
    <x v="273"/>
    <x v="144"/>
  </r>
  <r>
    <n v="1099774"/>
    <x v="341"/>
    <x v="6"/>
    <x v="280"/>
    <x v="346"/>
  </r>
  <r>
    <n v="1099774"/>
    <x v="341"/>
    <x v="6"/>
    <x v="120"/>
    <x v="181"/>
  </r>
  <r>
    <n v="1099774"/>
    <x v="341"/>
    <x v="6"/>
    <x v="407"/>
    <x v="83"/>
  </r>
  <r>
    <n v="1099774"/>
    <x v="341"/>
    <x v="6"/>
    <x v="287"/>
    <x v="88"/>
  </r>
  <r>
    <n v="1099774"/>
    <x v="341"/>
    <x v="6"/>
    <x v="431"/>
    <x v="164"/>
  </r>
  <r>
    <n v="1099774"/>
    <x v="341"/>
    <x v="6"/>
    <x v="105"/>
    <x v="221"/>
  </r>
  <r>
    <n v="1099774"/>
    <x v="341"/>
    <x v="6"/>
    <x v="198"/>
    <x v="149"/>
  </r>
  <r>
    <n v="1099774"/>
    <x v="341"/>
    <x v="6"/>
    <x v="324"/>
    <x v="176"/>
  </r>
  <r>
    <n v="1099774"/>
    <x v="341"/>
    <x v="6"/>
    <x v="326"/>
    <x v="170"/>
  </r>
  <r>
    <n v="1099774"/>
    <x v="341"/>
    <x v="6"/>
    <x v="275"/>
    <x v="745"/>
  </r>
  <r>
    <n v="1099774"/>
    <x v="341"/>
    <x v="6"/>
    <x v="397"/>
    <x v="161"/>
  </r>
  <r>
    <n v="1099774"/>
    <x v="341"/>
    <x v="6"/>
    <x v="86"/>
    <x v="213"/>
  </r>
  <r>
    <n v="1099774"/>
    <x v="341"/>
    <x v="6"/>
    <x v="398"/>
    <x v="351"/>
  </r>
  <r>
    <n v="1099774"/>
    <x v="341"/>
    <x v="6"/>
    <x v="361"/>
    <x v="161"/>
  </r>
  <r>
    <n v="1099774"/>
    <x v="341"/>
    <x v="6"/>
    <x v="271"/>
    <x v="24"/>
  </r>
  <r>
    <n v="1099774"/>
    <x v="341"/>
    <x v="6"/>
    <x v="367"/>
    <x v="346"/>
  </r>
  <r>
    <n v="1099774"/>
    <x v="341"/>
    <x v="6"/>
    <x v="373"/>
    <x v="176"/>
  </r>
  <r>
    <n v="1099774"/>
    <x v="341"/>
    <x v="6"/>
    <x v="112"/>
    <x v="4"/>
  </r>
  <r>
    <n v="1099774"/>
    <x v="341"/>
    <x v="6"/>
    <x v="399"/>
    <x v="54"/>
  </r>
  <r>
    <n v="1099774"/>
    <x v="341"/>
    <x v="6"/>
    <x v="285"/>
    <x v="346"/>
  </r>
  <r>
    <n v="1099774"/>
    <x v="341"/>
    <x v="6"/>
    <x v="376"/>
    <x v="161"/>
  </r>
  <r>
    <n v="1099774"/>
    <x v="341"/>
    <x v="6"/>
    <x v="117"/>
    <x v="347"/>
  </r>
  <r>
    <n v="1099774"/>
    <x v="341"/>
    <x v="6"/>
    <x v="437"/>
    <x v="153"/>
  </r>
  <r>
    <n v="1099774"/>
    <x v="341"/>
    <x v="6"/>
    <x v="291"/>
    <x v="79"/>
  </r>
  <r>
    <n v="1099774"/>
    <x v="341"/>
    <x v="6"/>
    <x v="106"/>
    <x v="62"/>
  </r>
  <r>
    <n v="1099774"/>
    <x v="341"/>
    <x v="6"/>
    <x v="393"/>
    <x v="21"/>
  </r>
  <r>
    <n v="1099774"/>
    <x v="341"/>
    <x v="6"/>
    <x v="109"/>
    <x v="152"/>
  </r>
  <r>
    <n v="1099774"/>
    <x v="341"/>
    <x v="6"/>
    <x v="413"/>
    <x v="178"/>
  </r>
  <r>
    <n v="1099774"/>
    <x v="341"/>
    <x v="6"/>
    <x v="51"/>
    <x v="407"/>
  </r>
  <r>
    <n v="1099774"/>
    <x v="341"/>
    <x v="6"/>
    <x v="355"/>
    <x v="79"/>
  </r>
  <r>
    <n v="1099774"/>
    <x v="341"/>
    <x v="6"/>
    <x v="311"/>
    <x v="78"/>
  </r>
  <r>
    <n v="1099774"/>
    <x v="341"/>
    <x v="6"/>
    <x v="416"/>
    <x v="64"/>
  </r>
  <r>
    <n v="1099774"/>
    <x v="341"/>
    <x v="6"/>
    <x v="89"/>
    <x v="376"/>
  </r>
  <r>
    <n v="1099774"/>
    <x v="341"/>
    <x v="6"/>
    <x v="443"/>
    <x v="64"/>
  </r>
  <r>
    <n v="1099774"/>
    <x v="341"/>
    <x v="6"/>
    <x v="371"/>
    <x v="351"/>
  </r>
  <r>
    <n v="1099774"/>
    <x v="341"/>
    <x v="6"/>
    <x v="116"/>
    <x v="34"/>
  </r>
  <r>
    <n v="1099774"/>
    <x v="341"/>
    <x v="6"/>
    <x v="309"/>
    <x v="179"/>
  </r>
  <r>
    <n v="1099774"/>
    <x v="341"/>
    <x v="6"/>
    <x v="411"/>
    <x v="82"/>
  </r>
  <r>
    <n v="1099774"/>
    <x v="341"/>
    <x v="6"/>
    <x v="54"/>
    <x v="198"/>
  </r>
  <r>
    <n v="1099774"/>
    <x v="341"/>
    <x v="6"/>
    <x v="279"/>
    <x v="392"/>
  </r>
  <r>
    <n v="1099774"/>
    <x v="341"/>
    <x v="6"/>
    <x v="382"/>
    <x v="38"/>
  </r>
  <r>
    <n v="1099774"/>
    <x v="341"/>
    <x v="6"/>
    <x v="428"/>
    <x v="30"/>
  </r>
  <r>
    <n v="1099774"/>
    <x v="341"/>
    <x v="6"/>
    <x v="432"/>
    <x v="149"/>
  </r>
  <r>
    <n v="1099774"/>
    <x v="341"/>
    <x v="6"/>
    <x v="103"/>
    <x v="144"/>
  </r>
  <r>
    <n v="1099774"/>
    <x v="341"/>
    <x v="6"/>
    <x v="17"/>
    <x v="742"/>
  </r>
  <r>
    <n v="1099774"/>
    <x v="341"/>
    <x v="6"/>
    <x v="325"/>
    <x v="205"/>
  </r>
  <r>
    <n v="1099774"/>
    <x v="341"/>
    <x v="6"/>
    <x v="305"/>
    <x v="136"/>
  </r>
  <r>
    <n v="1099774"/>
    <x v="341"/>
    <x v="6"/>
    <x v="401"/>
    <x v="178"/>
  </r>
  <r>
    <n v="1099774"/>
    <x v="341"/>
    <x v="6"/>
    <x v="196"/>
    <x v="748"/>
  </r>
  <r>
    <n v="1099774"/>
    <x v="341"/>
    <x v="6"/>
    <x v="23"/>
    <x v="154"/>
  </r>
  <r>
    <n v="1099774"/>
    <x v="341"/>
    <x v="6"/>
    <x v="391"/>
    <x v="744"/>
  </r>
  <r>
    <n v="1099774"/>
    <x v="341"/>
    <x v="6"/>
    <x v="327"/>
    <x v="224"/>
  </r>
  <r>
    <n v="1099774"/>
    <x v="341"/>
    <x v="6"/>
    <x v="93"/>
    <x v="455"/>
  </r>
  <r>
    <n v="1099774"/>
    <x v="341"/>
    <x v="6"/>
    <x v="404"/>
    <x v="83"/>
  </r>
  <r>
    <n v="1099774"/>
    <x v="341"/>
    <x v="6"/>
    <x v="46"/>
    <x v="61"/>
  </r>
  <r>
    <n v="1099774"/>
    <x v="341"/>
    <x v="6"/>
    <x v="354"/>
    <x v="79"/>
  </r>
  <r>
    <n v="1099774"/>
    <x v="341"/>
    <x v="6"/>
    <x v="409"/>
    <x v="198"/>
  </r>
  <r>
    <n v="1099774"/>
    <x v="341"/>
    <x v="6"/>
    <x v="357"/>
    <x v="42"/>
  </r>
  <r>
    <n v="1099774"/>
    <x v="341"/>
    <x v="6"/>
    <x v="97"/>
    <x v="210"/>
  </r>
  <r>
    <n v="1099774"/>
    <x v="341"/>
    <x v="6"/>
    <x v="115"/>
    <x v="170"/>
  </r>
  <r>
    <n v="1099774"/>
    <x v="341"/>
    <x v="6"/>
    <x v="281"/>
    <x v="238"/>
  </r>
  <r>
    <n v="1099774"/>
    <x v="341"/>
    <x v="6"/>
    <x v="96"/>
    <x v="346"/>
  </r>
  <r>
    <n v="1099774"/>
    <x v="341"/>
    <x v="6"/>
    <x v="268"/>
    <x v="154"/>
  </r>
  <r>
    <n v="1099774"/>
    <x v="341"/>
    <x v="6"/>
    <x v="366"/>
    <x v="178"/>
  </r>
  <r>
    <n v="1099774"/>
    <x v="341"/>
    <x v="6"/>
    <x v="372"/>
    <x v="176"/>
  </r>
  <r>
    <n v="1099774"/>
    <x v="341"/>
    <x v="6"/>
    <x v="113"/>
    <x v="178"/>
  </r>
  <r>
    <n v="1099774"/>
    <x v="341"/>
    <x v="6"/>
    <x v="403"/>
    <x v="163"/>
  </r>
  <r>
    <n v="1099774"/>
    <x v="341"/>
    <x v="6"/>
    <x v="118"/>
    <x v="217"/>
  </r>
  <r>
    <n v="1099774"/>
    <x v="341"/>
    <x v="6"/>
    <x v="375"/>
    <x v="535"/>
  </r>
  <r>
    <n v="1099774"/>
    <x v="341"/>
    <x v="6"/>
    <x v="121"/>
    <x v="88"/>
  </r>
  <r>
    <n v="1099774"/>
    <x v="341"/>
    <x v="6"/>
    <x v="436"/>
    <x v="156"/>
  </r>
  <r>
    <n v="1099774"/>
    <x v="341"/>
    <x v="6"/>
    <x v="430"/>
    <x v="346"/>
  </r>
  <r>
    <n v="1099774"/>
    <x v="341"/>
    <x v="6"/>
    <x v="293"/>
    <x v="747"/>
  </r>
  <r>
    <n v="1099774"/>
    <x v="341"/>
    <x v="6"/>
    <x v="290"/>
    <x v="746"/>
  </r>
  <r>
    <n v="1099774"/>
    <x v="341"/>
    <x v="6"/>
    <x v="359"/>
    <x v="4"/>
  </r>
  <r>
    <n v="1099774"/>
    <x v="341"/>
    <x v="6"/>
    <x v="363"/>
    <x v="161"/>
  </r>
  <r>
    <n v="1099774"/>
    <x v="341"/>
    <x v="6"/>
    <x v="91"/>
    <x v="346"/>
  </r>
  <r>
    <n v="1099774"/>
    <x v="341"/>
    <x v="6"/>
    <x v="99"/>
    <x v="455"/>
  </r>
  <r>
    <n v="1099774"/>
    <x v="341"/>
    <x v="6"/>
    <x v="114"/>
    <x v="351"/>
  </r>
  <r>
    <n v="1099774"/>
    <x v="341"/>
    <x v="6"/>
    <x v="328"/>
    <x v="198"/>
  </r>
  <r>
    <n v="1099774"/>
    <x v="341"/>
    <x v="6"/>
    <x v="286"/>
    <x v="185"/>
  </r>
  <r>
    <n v="1099774"/>
    <x v="341"/>
    <x v="6"/>
    <x v="119"/>
    <x v="206"/>
  </r>
  <r>
    <n v="1099774"/>
    <x v="341"/>
    <x v="6"/>
    <x v="381"/>
    <x v="740"/>
  </r>
  <r>
    <n v="1099774"/>
    <x v="341"/>
    <x v="6"/>
    <x v="292"/>
    <x v="98"/>
  </r>
  <r>
    <n v="1099774"/>
    <x v="341"/>
    <x v="6"/>
    <x v="433"/>
    <x v="170"/>
  </r>
  <r>
    <n v="1099774"/>
    <x v="341"/>
    <x v="6"/>
    <x v="295"/>
    <x v="61"/>
  </r>
  <r>
    <n v="1099774"/>
    <x v="341"/>
    <x v="6"/>
    <x v="16"/>
    <x v="134"/>
  </r>
  <r>
    <n v="1099774"/>
    <x v="341"/>
    <x v="6"/>
    <x v="322"/>
    <x v="305"/>
  </r>
  <r>
    <n v="1099774"/>
    <x v="341"/>
    <x v="6"/>
    <x v="108"/>
    <x v="474"/>
  </r>
  <r>
    <n v="1099774"/>
    <x v="341"/>
    <x v="6"/>
    <x v="53"/>
    <x v="457"/>
  </r>
  <r>
    <n v="1099774"/>
    <x v="341"/>
    <x v="6"/>
    <x v="303"/>
    <x v="376"/>
  </r>
  <r>
    <n v="1099774"/>
    <x v="341"/>
    <x v="6"/>
    <x v="408"/>
    <x v="351"/>
  </r>
  <r>
    <n v="1099774"/>
    <x v="341"/>
    <x v="6"/>
    <x v="20"/>
    <x v="170"/>
  </r>
  <r>
    <n v="1099774"/>
    <x v="341"/>
    <x v="6"/>
    <x v="414"/>
    <x v="535"/>
  </r>
  <r>
    <n v="1099774"/>
    <x v="341"/>
    <x v="6"/>
    <x v="197"/>
    <x v="743"/>
  </r>
  <r>
    <n v="1099774"/>
    <x v="341"/>
    <x v="6"/>
    <x v="47"/>
    <x v="619"/>
  </r>
  <r>
    <n v="1099774"/>
    <x v="341"/>
    <x v="6"/>
    <x v="266"/>
    <x v="85"/>
  </r>
  <r>
    <n v="1099774"/>
    <x v="341"/>
    <x v="6"/>
    <x v="415"/>
    <x v="98"/>
  </r>
  <r>
    <n v="1099774"/>
    <x v="341"/>
    <x v="6"/>
    <x v="19"/>
    <x v="351"/>
  </r>
  <r>
    <n v="1099774"/>
    <x v="341"/>
    <x v="6"/>
    <x v="278"/>
    <x v="224"/>
  </r>
  <r>
    <n v="1099774"/>
    <x v="341"/>
    <x v="6"/>
    <x v="52"/>
    <x v="178"/>
  </r>
  <r>
    <n v="1099774"/>
    <x v="341"/>
    <x v="6"/>
    <x v="95"/>
    <x v="363"/>
  </r>
  <r>
    <n v="1099774"/>
    <x v="341"/>
    <x v="6"/>
    <x v="365"/>
    <x v="535"/>
  </r>
  <r>
    <n v="1099774"/>
    <x v="341"/>
    <x v="6"/>
    <x v="308"/>
    <x v="176"/>
  </r>
  <r>
    <n v="1099774"/>
    <x v="341"/>
    <x v="6"/>
    <x v="110"/>
    <x v="97"/>
  </r>
  <r>
    <n v="1099774"/>
    <x v="341"/>
    <x v="6"/>
    <x v="410"/>
    <x v="88"/>
  </r>
  <r>
    <n v="1099774"/>
    <x v="341"/>
    <x v="6"/>
    <x v="122"/>
    <x v="24"/>
  </r>
  <r>
    <n v="1099774"/>
    <x v="341"/>
    <x v="6"/>
    <x v="304"/>
    <x v="34"/>
  </r>
  <r>
    <n v="1099774"/>
    <x v="341"/>
    <x v="6"/>
    <x v="441"/>
    <x v="353"/>
  </r>
  <r>
    <n v="1099774"/>
    <x v="341"/>
    <x v="6"/>
    <x v="298"/>
    <x v="162"/>
  </r>
  <r>
    <n v="1099774"/>
    <x v="341"/>
    <x v="6"/>
    <x v="429"/>
    <x v="42"/>
  </r>
  <r>
    <n v="1099774"/>
    <x v="341"/>
    <x v="6"/>
    <x v="294"/>
    <x v="387"/>
  </r>
  <r>
    <n v="1099774"/>
    <x v="341"/>
    <x v="6"/>
    <x v="104"/>
    <x v="144"/>
  </r>
  <r>
    <n v="1099774"/>
    <x v="341"/>
    <x v="6"/>
    <x v="49"/>
    <x v="4"/>
  </r>
  <r>
    <n v="1099774"/>
    <x v="341"/>
    <x v="6"/>
    <x v="48"/>
    <x v="706"/>
  </r>
  <r>
    <n v="1099774"/>
    <x v="341"/>
    <x v="6"/>
    <x v="50"/>
    <x v="4"/>
  </r>
  <r>
    <n v="1099774"/>
    <x v="341"/>
    <x v="6"/>
    <x v="440"/>
    <x v="80"/>
  </r>
  <r>
    <n v="1099774"/>
    <x v="341"/>
    <x v="6"/>
    <x v="98"/>
    <x v="82"/>
  </r>
  <r>
    <n v="1099774"/>
    <x v="341"/>
    <x v="6"/>
    <x v="406"/>
    <x v="178"/>
  </r>
  <r>
    <n v="1099774"/>
    <x v="341"/>
    <x v="6"/>
    <x v="358"/>
    <x v="82"/>
  </r>
  <r>
    <n v="1099774"/>
    <x v="341"/>
    <x v="6"/>
    <x v="88"/>
    <x v="88"/>
  </r>
  <r>
    <n v="1099774"/>
    <x v="341"/>
    <x v="6"/>
    <x v="362"/>
    <x v="144"/>
  </r>
  <r>
    <n v="1099774"/>
    <x v="341"/>
    <x v="6"/>
    <x v="364"/>
    <x v="348"/>
  </r>
  <r>
    <n v="1099774"/>
    <x v="341"/>
    <x v="6"/>
    <x v="284"/>
    <x v="105"/>
  </r>
  <r>
    <n v="1099774"/>
    <x v="1"/>
    <x v="1"/>
    <x v="2"/>
    <x v="2"/>
  </r>
  <r>
    <n v="1099779"/>
    <x v="342"/>
    <x v="6"/>
    <x v="450"/>
    <x v="2"/>
  </r>
  <r>
    <n v="1099779"/>
    <x v="1"/>
    <x v="1"/>
    <x v="2"/>
    <x v="2"/>
  </r>
  <r>
    <n v="1099780"/>
    <x v="343"/>
    <x v="6"/>
    <x v="450"/>
    <x v="2"/>
  </r>
  <r>
    <n v="1099780"/>
    <x v="1"/>
    <x v="1"/>
    <x v="2"/>
    <x v="2"/>
  </r>
  <r>
    <n v="1099781"/>
    <x v="344"/>
    <x v="2"/>
    <x v="300"/>
    <x v="2"/>
  </r>
  <r>
    <n v="1099781"/>
    <x v="1"/>
    <x v="1"/>
    <x v="2"/>
    <x v="2"/>
  </r>
  <r>
    <n v="1099783"/>
    <x v="345"/>
    <x v="6"/>
    <x v="161"/>
    <x v="351"/>
  </r>
  <r>
    <n v="1099783"/>
    <x v="345"/>
    <x v="6"/>
    <x v="131"/>
    <x v="535"/>
  </r>
  <r>
    <n v="1099783"/>
    <x v="345"/>
    <x v="6"/>
    <x v="143"/>
    <x v="178"/>
  </r>
  <r>
    <n v="1099783"/>
    <x v="345"/>
    <x v="6"/>
    <x v="153"/>
    <x v="348"/>
  </r>
  <r>
    <n v="1099783"/>
    <x v="345"/>
    <x v="6"/>
    <x v="263"/>
    <x v="83"/>
  </r>
  <r>
    <n v="1099783"/>
    <x v="345"/>
    <x v="6"/>
    <x v="209"/>
    <x v="516"/>
  </r>
  <r>
    <n v="1099783"/>
    <x v="345"/>
    <x v="6"/>
    <x v="140"/>
    <x v="4"/>
  </r>
  <r>
    <n v="1099783"/>
    <x v="345"/>
    <x v="6"/>
    <x v="228"/>
    <x v="30"/>
  </r>
  <r>
    <n v="1099783"/>
    <x v="345"/>
    <x v="6"/>
    <x v="238"/>
    <x v="375"/>
  </r>
  <r>
    <n v="1099783"/>
    <x v="345"/>
    <x v="6"/>
    <x v="245"/>
    <x v="161"/>
  </r>
  <r>
    <n v="1099783"/>
    <x v="345"/>
    <x v="6"/>
    <x v="318"/>
    <x v="88"/>
  </r>
  <r>
    <n v="1099783"/>
    <x v="345"/>
    <x v="6"/>
    <x v="193"/>
    <x v="170"/>
  </r>
  <r>
    <n v="1099783"/>
    <x v="345"/>
    <x v="6"/>
    <x v="191"/>
    <x v="178"/>
  </r>
  <r>
    <n v="1099783"/>
    <x v="345"/>
    <x v="6"/>
    <x v="189"/>
    <x v="178"/>
  </r>
  <r>
    <n v="1099783"/>
    <x v="345"/>
    <x v="6"/>
    <x v="40"/>
    <x v="161"/>
  </r>
  <r>
    <n v="1099783"/>
    <x v="345"/>
    <x v="6"/>
    <x v="25"/>
    <x v="105"/>
  </r>
  <r>
    <n v="1099783"/>
    <x v="345"/>
    <x v="6"/>
    <x v="390"/>
    <x v="220"/>
  </r>
  <r>
    <n v="1099783"/>
    <x v="345"/>
    <x v="6"/>
    <x v="200"/>
    <x v="179"/>
  </r>
  <r>
    <n v="1099783"/>
    <x v="345"/>
    <x v="6"/>
    <x v="62"/>
    <x v="348"/>
  </r>
  <r>
    <n v="1099783"/>
    <x v="345"/>
    <x v="6"/>
    <x v="422"/>
    <x v="154"/>
  </r>
  <r>
    <n v="1099783"/>
    <x v="345"/>
    <x v="6"/>
    <x v="14"/>
    <x v="4"/>
  </r>
  <r>
    <n v="1099783"/>
    <x v="345"/>
    <x v="6"/>
    <x v="13"/>
    <x v="535"/>
  </r>
  <r>
    <n v="1099783"/>
    <x v="345"/>
    <x v="6"/>
    <x v="333"/>
    <x v="348"/>
  </r>
  <r>
    <n v="1099783"/>
    <x v="345"/>
    <x v="6"/>
    <x v="159"/>
    <x v="516"/>
  </r>
  <r>
    <n v="1099783"/>
    <x v="345"/>
    <x v="6"/>
    <x v="128"/>
    <x v="178"/>
  </r>
  <r>
    <n v="1099783"/>
    <x v="345"/>
    <x v="6"/>
    <x v="141"/>
    <x v="351"/>
  </r>
  <r>
    <n v="1099783"/>
    <x v="345"/>
    <x v="6"/>
    <x v="151"/>
    <x v="77"/>
  </r>
  <r>
    <n v="1099783"/>
    <x v="345"/>
    <x v="6"/>
    <x v="249"/>
    <x v="348"/>
  </r>
  <r>
    <n v="1099783"/>
    <x v="345"/>
    <x v="6"/>
    <x v="208"/>
    <x v="178"/>
  </r>
  <r>
    <n v="1099783"/>
    <x v="345"/>
    <x v="6"/>
    <x v="130"/>
    <x v="348"/>
  </r>
  <r>
    <n v="1099783"/>
    <x v="345"/>
    <x v="6"/>
    <x v="226"/>
    <x v="82"/>
  </r>
  <r>
    <n v="1099783"/>
    <x v="345"/>
    <x v="6"/>
    <x v="236"/>
    <x v="83"/>
  </r>
  <r>
    <n v="1099783"/>
    <x v="345"/>
    <x v="6"/>
    <x v="243"/>
    <x v="351"/>
  </r>
  <r>
    <n v="1099783"/>
    <x v="345"/>
    <x v="6"/>
    <x v="315"/>
    <x v="144"/>
  </r>
  <r>
    <n v="1099783"/>
    <x v="345"/>
    <x v="6"/>
    <x v="168"/>
    <x v="535"/>
  </r>
  <r>
    <n v="1099783"/>
    <x v="345"/>
    <x v="6"/>
    <x v="175"/>
    <x v="516"/>
  </r>
  <r>
    <n v="1099783"/>
    <x v="345"/>
    <x v="6"/>
    <x v="177"/>
    <x v="198"/>
  </r>
  <r>
    <n v="1099783"/>
    <x v="345"/>
    <x v="6"/>
    <x v="38"/>
    <x v="198"/>
  </r>
  <r>
    <n v="1099783"/>
    <x v="345"/>
    <x v="6"/>
    <x v="34"/>
    <x v="105"/>
  </r>
  <r>
    <n v="1099783"/>
    <x v="345"/>
    <x v="6"/>
    <x v="81"/>
    <x v="229"/>
  </r>
  <r>
    <n v="1099783"/>
    <x v="345"/>
    <x v="6"/>
    <x v="83"/>
    <x v="348"/>
  </r>
  <r>
    <n v="1099783"/>
    <x v="345"/>
    <x v="6"/>
    <x v="71"/>
    <x v="97"/>
  </r>
  <r>
    <n v="1099783"/>
    <x v="345"/>
    <x v="6"/>
    <x v="69"/>
    <x v="538"/>
  </r>
  <r>
    <n v="1099783"/>
    <x v="345"/>
    <x v="6"/>
    <x v="61"/>
    <x v="172"/>
  </r>
  <r>
    <n v="1099783"/>
    <x v="345"/>
    <x v="6"/>
    <x v="385"/>
    <x v="5"/>
  </r>
  <r>
    <n v="1099783"/>
    <x v="345"/>
    <x v="6"/>
    <x v="9"/>
    <x v="348"/>
  </r>
  <r>
    <n v="1099783"/>
    <x v="345"/>
    <x v="6"/>
    <x v="8"/>
    <x v="351"/>
  </r>
  <r>
    <n v="1099783"/>
    <x v="345"/>
    <x v="6"/>
    <x v="349"/>
    <x v="535"/>
  </r>
  <r>
    <n v="1099783"/>
    <x v="345"/>
    <x v="6"/>
    <x v="337"/>
    <x v="348"/>
  </r>
  <r>
    <n v="1099783"/>
    <x v="345"/>
    <x v="6"/>
    <x v="125"/>
    <x v="535"/>
  </r>
  <r>
    <n v="1099783"/>
    <x v="345"/>
    <x v="6"/>
    <x v="136"/>
    <x v="516"/>
  </r>
  <r>
    <n v="1099783"/>
    <x v="345"/>
    <x v="6"/>
    <x v="148"/>
    <x v="535"/>
  </r>
  <r>
    <n v="1099783"/>
    <x v="345"/>
    <x v="6"/>
    <x v="259"/>
    <x v="178"/>
  </r>
  <r>
    <n v="1099783"/>
    <x v="345"/>
    <x v="6"/>
    <x v="64"/>
    <x v="549"/>
  </r>
  <r>
    <n v="1099783"/>
    <x v="345"/>
    <x v="6"/>
    <x v="59"/>
    <x v="62"/>
  </r>
  <r>
    <n v="1099783"/>
    <x v="345"/>
    <x v="6"/>
    <x v="74"/>
    <x v="154"/>
  </r>
  <r>
    <n v="1099783"/>
    <x v="345"/>
    <x v="6"/>
    <x v="80"/>
    <x v="550"/>
  </r>
  <r>
    <n v="1099783"/>
    <x v="345"/>
    <x v="6"/>
    <x v="32"/>
    <x v="62"/>
  </r>
  <r>
    <n v="1099783"/>
    <x v="345"/>
    <x v="6"/>
    <x v="37"/>
    <x v="149"/>
  </r>
  <r>
    <n v="1099783"/>
    <x v="345"/>
    <x v="6"/>
    <x v="418"/>
    <x v="552"/>
  </r>
  <r>
    <n v="1099783"/>
    <x v="345"/>
    <x v="6"/>
    <x v="66"/>
    <x v="98"/>
  </r>
  <r>
    <n v="1099783"/>
    <x v="345"/>
    <x v="6"/>
    <x v="79"/>
    <x v="69"/>
  </r>
  <r>
    <n v="1099783"/>
    <x v="345"/>
    <x v="6"/>
    <x v="419"/>
    <x v="84"/>
  </r>
  <r>
    <n v="1099783"/>
    <x v="345"/>
    <x v="6"/>
    <x v="383"/>
    <x v="220"/>
  </r>
  <r>
    <n v="1099783"/>
    <x v="345"/>
    <x v="6"/>
    <x v="158"/>
    <x v="472"/>
  </r>
  <r>
    <n v="1099783"/>
    <x v="345"/>
    <x v="6"/>
    <x v="344"/>
    <x v="346"/>
  </r>
  <r>
    <n v="1099783"/>
    <x v="345"/>
    <x v="6"/>
    <x v="347"/>
    <x v="348"/>
  </r>
  <r>
    <n v="1099783"/>
    <x v="345"/>
    <x v="6"/>
    <x v="335"/>
    <x v="348"/>
  </r>
  <r>
    <n v="1099783"/>
    <x v="345"/>
    <x v="6"/>
    <x v="163"/>
    <x v="516"/>
  </r>
  <r>
    <n v="1099783"/>
    <x v="345"/>
    <x v="6"/>
    <x v="134"/>
    <x v="178"/>
  </r>
  <r>
    <n v="1099783"/>
    <x v="345"/>
    <x v="6"/>
    <x v="146"/>
    <x v="535"/>
  </r>
  <r>
    <n v="1099783"/>
    <x v="345"/>
    <x v="6"/>
    <x v="257"/>
    <x v="198"/>
  </r>
  <r>
    <n v="1099783"/>
    <x v="345"/>
    <x v="6"/>
    <x v="205"/>
    <x v="516"/>
  </r>
  <r>
    <n v="1099783"/>
    <x v="345"/>
    <x v="6"/>
    <x v="214"/>
    <x v="516"/>
  </r>
  <r>
    <n v="1099783"/>
    <x v="345"/>
    <x v="6"/>
    <x v="225"/>
    <x v="4"/>
  </r>
  <r>
    <n v="1099783"/>
    <x v="345"/>
    <x v="6"/>
    <x v="233"/>
    <x v="154"/>
  </r>
  <r>
    <n v="1099783"/>
    <x v="345"/>
    <x v="6"/>
    <x v="241"/>
    <x v="178"/>
  </r>
  <r>
    <n v="1099783"/>
    <x v="345"/>
    <x v="6"/>
    <x v="217"/>
    <x v="170"/>
  </r>
  <r>
    <n v="1099783"/>
    <x v="345"/>
    <x v="6"/>
    <x v="195"/>
    <x v="535"/>
  </r>
  <r>
    <n v="1099783"/>
    <x v="345"/>
    <x v="6"/>
    <x v="192"/>
    <x v="535"/>
  </r>
  <r>
    <n v="1099783"/>
    <x v="345"/>
    <x v="6"/>
    <x v="190"/>
    <x v="346"/>
  </r>
  <r>
    <n v="1099783"/>
    <x v="345"/>
    <x v="6"/>
    <x v="28"/>
    <x v="226"/>
  </r>
  <r>
    <n v="1099783"/>
    <x v="345"/>
    <x v="6"/>
    <x v="29"/>
    <x v="197"/>
  </r>
  <r>
    <n v="1099783"/>
    <x v="345"/>
    <x v="6"/>
    <x v="31"/>
    <x v="162"/>
  </r>
  <r>
    <n v="1099783"/>
    <x v="345"/>
    <x v="6"/>
    <x v="82"/>
    <x v="346"/>
  </r>
  <r>
    <n v="1099783"/>
    <x v="345"/>
    <x v="6"/>
    <x v="68"/>
    <x v="98"/>
  </r>
  <r>
    <n v="1099783"/>
    <x v="345"/>
    <x v="6"/>
    <x v="56"/>
    <x v="69"/>
  </r>
  <r>
    <n v="1099783"/>
    <x v="345"/>
    <x v="6"/>
    <x v="420"/>
    <x v="547"/>
  </r>
  <r>
    <n v="1099783"/>
    <x v="345"/>
    <x v="6"/>
    <x v="194"/>
    <x v="516"/>
  </r>
  <r>
    <n v="1099783"/>
    <x v="345"/>
    <x v="6"/>
    <x v="330"/>
    <x v="553"/>
  </r>
  <r>
    <n v="1099783"/>
    <x v="345"/>
    <x v="6"/>
    <x v="12"/>
    <x v="3"/>
  </r>
  <r>
    <n v="1099783"/>
    <x v="345"/>
    <x v="6"/>
    <x v="345"/>
    <x v="346"/>
  </r>
  <r>
    <n v="1099783"/>
    <x v="345"/>
    <x v="6"/>
    <x v="351"/>
    <x v="351"/>
  </r>
  <r>
    <n v="1099783"/>
    <x v="345"/>
    <x v="6"/>
    <x v="162"/>
    <x v="535"/>
  </r>
  <r>
    <n v="1099783"/>
    <x v="345"/>
    <x v="6"/>
    <x v="132"/>
    <x v="178"/>
  </r>
  <r>
    <n v="1099783"/>
    <x v="345"/>
    <x v="6"/>
    <x v="144"/>
    <x v="348"/>
  </r>
  <r>
    <n v="1099783"/>
    <x v="345"/>
    <x v="6"/>
    <x v="255"/>
    <x v="154"/>
  </r>
  <r>
    <n v="1099783"/>
    <x v="345"/>
    <x v="6"/>
    <x v="264"/>
    <x v="351"/>
  </r>
  <r>
    <n v="1099783"/>
    <x v="345"/>
    <x v="6"/>
    <x v="210"/>
    <x v="348"/>
  </r>
  <r>
    <n v="1099783"/>
    <x v="345"/>
    <x v="6"/>
    <x v="340"/>
    <x v="78"/>
  </r>
  <r>
    <n v="1099783"/>
    <x v="345"/>
    <x v="6"/>
    <x v="229"/>
    <x v="219"/>
  </r>
  <r>
    <n v="1099783"/>
    <x v="345"/>
    <x v="6"/>
    <x v="155"/>
    <x v="331"/>
  </r>
  <r>
    <n v="1099783"/>
    <x v="345"/>
    <x v="6"/>
    <x v="341"/>
    <x v="346"/>
  </r>
  <r>
    <n v="1099783"/>
    <x v="345"/>
    <x v="6"/>
    <x v="317"/>
    <x v="346"/>
  </r>
  <r>
    <n v="1099783"/>
    <x v="345"/>
    <x v="6"/>
    <x v="186"/>
    <x v="535"/>
  </r>
  <r>
    <n v="1099783"/>
    <x v="345"/>
    <x v="6"/>
    <x v="188"/>
    <x v="88"/>
  </r>
  <r>
    <n v="1099783"/>
    <x v="345"/>
    <x v="6"/>
    <x v="164"/>
    <x v="105"/>
  </r>
  <r>
    <n v="1099783"/>
    <x v="345"/>
    <x v="6"/>
    <x v="26"/>
    <x v="351"/>
  </r>
  <r>
    <n v="1099783"/>
    <x v="345"/>
    <x v="6"/>
    <x v="42"/>
    <x v="182"/>
  </r>
  <r>
    <n v="1099783"/>
    <x v="345"/>
    <x v="6"/>
    <x v="388"/>
    <x v="37"/>
  </r>
  <r>
    <n v="1099783"/>
    <x v="345"/>
    <x v="6"/>
    <x v="203"/>
    <x v="543"/>
  </r>
  <r>
    <n v="1099783"/>
    <x v="345"/>
    <x v="6"/>
    <x v="70"/>
    <x v="198"/>
  </r>
  <r>
    <n v="1099783"/>
    <x v="345"/>
    <x v="6"/>
    <x v="73"/>
    <x v="351"/>
  </r>
  <r>
    <n v="1099783"/>
    <x v="345"/>
    <x v="6"/>
    <x v="424"/>
    <x v="170"/>
  </r>
  <r>
    <n v="1099783"/>
    <x v="345"/>
    <x v="6"/>
    <x v="395"/>
    <x v="539"/>
  </r>
  <r>
    <n v="1099783"/>
    <x v="345"/>
    <x v="6"/>
    <x v="254"/>
    <x v="178"/>
  </r>
  <r>
    <n v="1099783"/>
    <x v="345"/>
    <x v="6"/>
    <x v="350"/>
    <x v="535"/>
  </r>
  <r>
    <n v="1099783"/>
    <x v="345"/>
    <x v="6"/>
    <x v="207"/>
    <x v="88"/>
  </r>
  <r>
    <n v="1099783"/>
    <x v="345"/>
    <x v="6"/>
    <x v="216"/>
    <x v="198"/>
  </r>
  <r>
    <n v="1099783"/>
    <x v="345"/>
    <x v="6"/>
    <x v="426"/>
    <x v="170"/>
  </r>
  <r>
    <n v="1099783"/>
    <x v="345"/>
    <x v="6"/>
    <x v="235"/>
    <x v="83"/>
  </r>
  <r>
    <n v="1099783"/>
    <x v="345"/>
    <x v="6"/>
    <x v="242"/>
    <x v="346"/>
  </r>
  <r>
    <n v="1099783"/>
    <x v="345"/>
    <x v="6"/>
    <x v="219"/>
    <x v="77"/>
  </r>
  <r>
    <n v="1099783"/>
    <x v="345"/>
    <x v="6"/>
    <x v="185"/>
    <x v="3"/>
  </r>
  <r>
    <n v="1099783"/>
    <x v="345"/>
    <x v="6"/>
    <x v="170"/>
    <x v="178"/>
  </r>
  <r>
    <n v="1099783"/>
    <x v="345"/>
    <x v="6"/>
    <x v="172"/>
    <x v="154"/>
  </r>
  <r>
    <n v="1099783"/>
    <x v="345"/>
    <x v="6"/>
    <x v="1"/>
    <x v="540"/>
  </r>
  <r>
    <n v="1099783"/>
    <x v="345"/>
    <x v="6"/>
    <x v="27"/>
    <x v="64"/>
  </r>
  <r>
    <n v="1099783"/>
    <x v="345"/>
    <x v="6"/>
    <x v="78"/>
    <x v="541"/>
  </r>
  <r>
    <n v="1099783"/>
    <x v="345"/>
    <x v="6"/>
    <x v="75"/>
    <x v="176"/>
  </r>
  <r>
    <n v="1099783"/>
    <x v="345"/>
    <x v="6"/>
    <x v="199"/>
    <x v="542"/>
  </r>
  <r>
    <n v="1099783"/>
    <x v="345"/>
    <x v="6"/>
    <x v="387"/>
    <x v="233"/>
  </r>
  <r>
    <n v="1099783"/>
    <x v="345"/>
    <x v="6"/>
    <x v="11"/>
    <x v="348"/>
  </r>
  <r>
    <n v="1099783"/>
    <x v="345"/>
    <x v="6"/>
    <x v="346"/>
    <x v="516"/>
  </r>
  <r>
    <n v="1099783"/>
    <x v="345"/>
    <x v="6"/>
    <x v="352"/>
    <x v="516"/>
  </r>
  <r>
    <n v="1099783"/>
    <x v="345"/>
    <x v="6"/>
    <x v="154"/>
    <x v="351"/>
  </r>
  <r>
    <n v="1099783"/>
    <x v="345"/>
    <x v="6"/>
    <x v="57"/>
    <x v="36"/>
  </r>
  <r>
    <n v="1099783"/>
    <x v="345"/>
    <x v="6"/>
    <x v="384"/>
    <x v="551"/>
  </r>
  <r>
    <n v="1099783"/>
    <x v="345"/>
    <x v="6"/>
    <x v="342"/>
    <x v="348"/>
  </r>
  <r>
    <n v="1099783"/>
    <x v="345"/>
    <x v="6"/>
    <x v="7"/>
    <x v="351"/>
  </r>
  <r>
    <n v="1099783"/>
    <x v="345"/>
    <x v="6"/>
    <x v="331"/>
    <x v="178"/>
  </r>
  <r>
    <n v="1099783"/>
    <x v="345"/>
    <x v="6"/>
    <x v="338"/>
    <x v="346"/>
  </r>
  <r>
    <n v="1099783"/>
    <x v="345"/>
    <x v="6"/>
    <x v="126"/>
    <x v="516"/>
  </r>
  <r>
    <n v="1099783"/>
    <x v="345"/>
    <x v="6"/>
    <x v="137"/>
    <x v="535"/>
  </r>
  <r>
    <n v="1099783"/>
    <x v="345"/>
    <x v="6"/>
    <x v="149"/>
    <x v="516"/>
  </r>
  <r>
    <n v="1099783"/>
    <x v="345"/>
    <x v="6"/>
    <x v="260"/>
    <x v="83"/>
  </r>
  <r>
    <n v="1099783"/>
    <x v="345"/>
    <x v="6"/>
    <x v="206"/>
    <x v="535"/>
  </r>
  <r>
    <n v="1099783"/>
    <x v="345"/>
    <x v="6"/>
    <x v="215"/>
    <x v="516"/>
  </r>
  <r>
    <n v="1099783"/>
    <x v="345"/>
    <x v="6"/>
    <x v="251"/>
    <x v="535"/>
  </r>
  <r>
    <n v="1099783"/>
    <x v="345"/>
    <x v="6"/>
    <x v="234"/>
    <x v="4"/>
  </r>
  <r>
    <n v="1099783"/>
    <x v="345"/>
    <x v="6"/>
    <x v="313"/>
    <x v="98"/>
  </r>
  <r>
    <n v="1099783"/>
    <x v="345"/>
    <x v="6"/>
    <x v="218"/>
    <x v="346"/>
  </r>
  <r>
    <n v="1099783"/>
    <x v="345"/>
    <x v="6"/>
    <x v="173"/>
    <x v="516"/>
  </r>
  <r>
    <n v="1099783"/>
    <x v="345"/>
    <x v="6"/>
    <x v="187"/>
    <x v="98"/>
  </r>
  <r>
    <n v="1099783"/>
    <x v="345"/>
    <x v="6"/>
    <x v="184"/>
    <x v="516"/>
  </r>
  <r>
    <n v="1099783"/>
    <x v="345"/>
    <x v="6"/>
    <x v="0"/>
    <x v="529"/>
  </r>
  <r>
    <n v="1099783"/>
    <x v="345"/>
    <x v="6"/>
    <x v="36"/>
    <x v="34"/>
  </r>
  <r>
    <n v="1099783"/>
    <x v="345"/>
    <x v="6"/>
    <x v="77"/>
    <x v="536"/>
  </r>
  <r>
    <n v="1099783"/>
    <x v="345"/>
    <x v="6"/>
    <x v="60"/>
    <x v="82"/>
  </r>
  <r>
    <n v="1099783"/>
    <x v="345"/>
    <x v="6"/>
    <x v="201"/>
    <x v="88"/>
  </r>
  <r>
    <n v="1099783"/>
    <x v="345"/>
    <x v="6"/>
    <x v="389"/>
    <x v="537"/>
  </r>
  <r>
    <n v="1099783"/>
    <x v="345"/>
    <x v="6"/>
    <x v="421"/>
    <x v="58"/>
  </r>
  <r>
    <n v="1099783"/>
    <x v="345"/>
    <x v="6"/>
    <x v="15"/>
    <x v="154"/>
  </r>
  <r>
    <n v="1099783"/>
    <x v="345"/>
    <x v="6"/>
    <x v="253"/>
    <x v="170"/>
  </r>
  <r>
    <n v="1099783"/>
    <x v="345"/>
    <x v="6"/>
    <x v="334"/>
    <x v="198"/>
  </r>
  <r>
    <n v="1099783"/>
    <x v="345"/>
    <x v="6"/>
    <x v="160"/>
    <x v="351"/>
  </r>
  <r>
    <n v="1099783"/>
    <x v="345"/>
    <x v="6"/>
    <x v="129"/>
    <x v="535"/>
  </r>
  <r>
    <n v="1099783"/>
    <x v="345"/>
    <x v="6"/>
    <x v="142"/>
    <x v="83"/>
  </r>
  <r>
    <n v="1099783"/>
    <x v="345"/>
    <x v="6"/>
    <x v="152"/>
    <x v="535"/>
  </r>
  <r>
    <n v="1099783"/>
    <x v="345"/>
    <x v="6"/>
    <x v="262"/>
    <x v="351"/>
  </r>
  <r>
    <n v="1099783"/>
    <x v="345"/>
    <x v="6"/>
    <x v="250"/>
    <x v="535"/>
  </r>
  <r>
    <n v="1099783"/>
    <x v="345"/>
    <x v="6"/>
    <x v="139"/>
    <x v="178"/>
  </r>
  <r>
    <n v="1099783"/>
    <x v="345"/>
    <x v="6"/>
    <x v="227"/>
    <x v="4"/>
  </r>
  <r>
    <n v="1099783"/>
    <x v="345"/>
    <x v="6"/>
    <x v="237"/>
    <x v="548"/>
  </r>
  <r>
    <n v="1099783"/>
    <x v="345"/>
    <x v="6"/>
    <x v="244"/>
    <x v="154"/>
  </r>
  <r>
    <n v="1099783"/>
    <x v="345"/>
    <x v="6"/>
    <x v="314"/>
    <x v="516"/>
  </r>
  <r>
    <n v="1099783"/>
    <x v="345"/>
    <x v="6"/>
    <x v="179"/>
    <x v="516"/>
  </r>
  <r>
    <n v="1099783"/>
    <x v="345"/>
    <x v="6"/>
    <x v="181"/>
    <x v="161"/>
  </r>
  <r>
    <n v="1099783"/>
    <x v="345"/>
    <x v="6"/>
    <x v="183"/>
    <x v="535"/>
  </r>
  <r>
    <n v="1099783"/>
    <x v="345"/>
    <x v="6"/>
    <x v="24"/>
    <x v="88"/>
  </r>
  <r>
    <n v="1099783"/>
    <x v="345"/>
    <x v="6"/>
    <x v="39"/>
    <x v="105"/>
  </r>
  <r>
    <n v="1099783"/>
    <x v="345"/>
    <x v="6"/>
    <x v="133"/>
    <x v="348"/>
  </r>
  <r>
    <n v="1099783"/>
    <x v="345"/>
    <x v="6"/>
    <x v="145"/>
    <x v="351"/>
  </r>
  <r>
    <n v="1099783"/>
    <x v="345"/>
    <x v="6"/>
    <x v="256"/>
    <x v="79"/>
  </r>
  <r>
    <n v="1099783"/>
    <x v="345"/>
    <x v="6"/>
    <x v="316"/>
    <x v="347"/>
  </r>
  <r>
    <n v="1099783"/>
    <x v="345"/>
    <x v="6"/>
    <x v="211"/>
    <x v="351"/>
  </r>
  <r>
    <n v="1099783"/>
    <x v="345"/>
    <x v="6"/>
    <x v="222"/>
    <x v="77"/>
  </r>
  <r>
    <n v="1099783"/>
    <x v="345"/>
    <x v="6"/>
    <x v="230"/>
    <x v="77"/>
  </r>
  <r>
    <n v="1099783"/>
    <x v="345"/>
    <x v="6"/>
    <x v="156"/>
    <x v="545"/>
  </r>
  <r>
    <n v="1099783"/>
    <x v="345"/>
    <x v="6"/>
    <x v="246"/>
    <x v="198"/>
  </r>
  <r>
    <n v="1099783"/>
    <x v="345"/>
    <x v="6"/>
    <x v="220"/>
    <x v="178"/>
  </r>
  <r>
    <n v="1099783"/>
    <x v="345"/>
    <x v="6"/>
    <x v="169"/>
    <x v="351"/>
  </r>
  <r>
    <n v="1099783"/>
    <x v="345"/>
    <x v="6"/>
    <x v="171"/>
    <x v="351"/>
  </r>
  <r>
    <n v="1099783"/>
    <x v="345"/>
    <x v="6"/>
    <x v="165"/>
    <x v="546"/>
  </r>
  <r>
    <n v="1099783"/>
    <x v="345"/>
    <x v="6"/>
    <x v="43"/>
    <x v="351"/>
  </r>
  <r>
    <n v="1099783"/>
    <x v="345"/>
    <x v="6"/>
    <x v="30"/>
    <x v="203"/>
  </r>
  <r>
    <n v="1099783"/>
    <x v="345"/>
    <x v="6"/>
    <x v="202"/>
    <x v="238"/>
  </r>
  <r>
    <n v="1099783"/>
    <x v="345"/>
    <x v="6"/>
    <x v="63"/>
    <x v="178"/>
  </r>
  <r>
    <n v="1099783"/>
    <x v="345"/>
    <x v="6"/>
    <x v="55"/>
    <x v="178"/>
  </r>
  <r>
    <n v="1099783"/>
    <x v="345"/>
    <x v="6"/>
    <x v="425"/>
    <x v="170"/>
  </r>
  <r>
    <n v="1099783"/>
    <x v="345"/>
    <x v="6"/>
    <x v="265"/>
    <x v="535"/>
  </r>
  <r>
    <n v="1099783"/>
    <x v="345"/>
    <x v="6"/>
    <x v="212"/>
    <x v="4"/>
  </r>
  <r>
    <n v="1099783"/>
    <x v="345"/>
    <x v="6"/>
    <x v="223"/>
    <x v="3"/>
  </r>
  <r>
    <n v="1099783"/>
    <x v="345"/>
    <x v="6"/>
    <x v="231"/>
    <x v="88"/>
  </r>
  <r>
    <n v="1099783"/>
    <x v="345"/>
    <x v="6"/>
    <x v="239"/>
    <x v="198"/>
  </r>
  <r>
    <n v="1099783"/>
    <x v="345"/>
    <x v="6"/>
    <x v="247"/>
    <x v="198"/>
  </r>
  <r>
    <n v="1099783"/>
    <x v="345"/>
    <x v="6"/>
    <x v="221"/>
    <x v="198"/>
  </r>
  <r>
    <n v="1099783"/>
    <x v="345"/>
    <x v="6"/>
    <x v="174"/>
    <x v="88"/>
  </r>
  <r>
    <n v="1099783"/>
    <x v="345"/>
    <x v="6"/>
    <x v="176"/>
    <x v="83"/>
  </r>
  <r>
    <n v="1099783"/>
    <x v="345"/>
    <x v="6"/>
    <x v="166"/>
    <x v="534"/>
  </r>
  <r>
    <n v="1099783"/>
    <x v="345"/>
    <x v="6"/>
    <x v="35"/>
    <x v="178"/>
  </r>
  <r>
    <n v="1099783"/>
    <x v="345"/>
    <x v="6"/>
    <x v="41"/>
    <x v="203"/>
  </r>
  <r>
    <n v="1099783"/>
    <x v="345"/>
    <x v="6"/>
    <x v="65"/>
    <x v="351"/>
  </r>
  <r>
    <n v="1099783"/>
    <x v="345"/>
    <x v="6"/>
    <x v="58"/>
    <x v="82"/>
  </r>
  <r>
    <n v="1099783"/>
    <x v="345"/>
    <x v="6"/>
    <x v="3"/>
    <x v="24"/>
  </r>
  <r>
    <n v="1099783"/>
    <x v="345"/>
    <x v="6"/>
    <x v="4"/>
    <x v="3"/>
  </r>
  <r>
    <n v="1099783"/>
    <x v="345"/>
    <x v="6"/>
    <x v="386"/>
    <x v="85"/>
  </r>
  <r>
    <n v="1099783"/>
    <x v="345"/>
    <x v="6"/>
    <x v="5"/>
    <x v="3"/>
  </r>
  <r>
    <n v="1099783"/>
    <x v="345"/>
    <x v="6"/>
    <x v="10"/>
    <x v="83"/>
  </r>
  <r>
    <n v="1099783"/>
    <x v="345"/>
    <x v="6"/>
    <x v="348"/>
    <x v="178"/>
  </r>
  <r>
    <n v="1099783"/>
    <x v="345"/>
    <x v="6"/>
    <x v="336"/>
    <x v="178"/>
  </r>
  <r>
    <n v="1099783"/>
    <x v="345"/>
    <x v="6"/>
    <x v="124"/>
    <x v="351"/>
  </r>
  <r>
    <n v="1099783"/>
    <x v="345"/>
    <x v="6"/>
    <x v="135"/>
    <x v="535"/>
  </r>
  <r>
    <n v="1099783"/>
    <x v="345"/>
    <x v="6"/>
    <x v="147"/>
    <x v="535"/>
  </r>
  <r>
    <n v="1099783"/>
    <x v="345"/>
    <x v="6"/>
    <x v="258"/>
    <x v="516"/>
  </r>
  <r>
    <n v="1099783"/>
    <x v="345"/>
    <x v="6"/>
    <x v="204"/>
    <x v="535"/>
  </r>
  <r>
    <n v="1099783"/>
    <x v="345"/>
    <x v="6"/>
    <x v="213"/>
    <x v="83"/>
  </r>
  <r>
    <n v="1099783"/>
    <x v="345"/>
    <x v="6"/>
    <x v="224"/>
    <x v="144"/>
  </r>
  <r>
    <n v="1099783"/>
    <x v="345"/>
    <x v="6"/>
    <x v="232"/>
    <x v="161"/>
  </r>
  <r>
    <n v="1099783"/>
    <x v="345"/>
    <x v="6"/>
    <x v="240"/>
    <x v="535"/>
  </r>
  <r>
    <n v="1099783"/>
    <x v="345"/>
    <x v="6"/>
    <x v="248"/>
    <x v="516"/>
  </r>
  <r>
    <n v="1099783"/>
    <x v="345"/>
    <x v="6"/>
    <x v="178"/>
    <x v="516"/>
  </r>
  <r>
    <n v="1099783"/>
    <x v="345"/>
    <x v="6"/>
    <x v="180"/>
    <x v="88"/>
  </r>
  <r>
    <n v="1099783"/>
    <x v="345"/>
    <x v="6"/>
    <x v="182"/>
    <x v="516"/>
  </r>
  <r>
    <n v="1099783"/>
    <x v="345"/>
    <x v="6"/>
    <x v="33"/>
    <x v="90"/>
  </r>
  <r>
    <n v="1099783"/>
    <x v="345"/>
    <x v="6"/>
    <x v="394"/>
    <x v="54"/>
  </r>
  <r>
    <n v="1099783"/>
    <x v="345"/>
    <x v="6"/>
    <x v="343"/>
    <x v="348"/>
  </r>
  <r>
    <n v="1099783"/>
    <x v="345"/>
    <x v="6"/>
    <x v="6"/>
    <x v="516"/>
  </r>
  <r>
    <n v="1099783"/>
    <x v="345"/>
    <x v="6"/>
    <x v="332"/>
    <x v="346"/>
  </r>
  <r>
    <n v="1099783"/>
    <x v="345"/>
    <x v="6"/>
    <x v="339"/>
    <x v="348"/>
  </r>
  <r>
    <n v="1099783"/>
    <x v="345"/>
    <x v="6"/>
    <x v="127"/>
    <x v="535"/>
  </r>
  <r>
    <n v="1099783"/>
    <x v="345"/>
    <x v="6"/>
    <x v="138"/>
    <x v="351"/>
  </r>
  <r>
    <n v="1099783"/>
    <x v="345"/>
    <x v="6"/>
    <x v="150"/>
    <x v="77"/>
  </r>
  <r>
    <n v="1099783"/>
    <x v="345"/>
    <x v="6"/>
    <x v="157"/>
    <x v="544"/>
  </r>
  <r>
    <n v="1099783"/>
    <x v="345"/>
    <x v="6"/>
    <x v="261"/>
    <x v="348"/>
  </r>
  <r>
    <n v="1099783"/>
    <x v="1"/>
    <x v="1"/>
    <x v="2"/>
    <x v="2"/>
  </r>
  <r>
    <n v="1099786"/>
    <x v="346"/>
    <x v="13"/>
    <x v="446"/>
    <x v="2"/>
  </r>
  <r>
    <n v="1099786"/>
    <x v="1"/>
    <x v="1"/>
    <x v="2"/>
    <x v="2"/>
  </r>
  <r>
    <n v="1099788"/>
    <x v="347"/>
    <x v="5"/>
    <x v="299"/>
    <x v="2"/>
  </r>
  <r>
    <n v="1099788"/>
    <x v="1"/>
    <x v="1"/>
    <x v="2"/>
    <x v="2"/>
  </r>
  <r>
    <n v="1099790"/>
    <x v="348"/>
    <x v="6"/>
    <x v="92"/>
    <x v="617"/>
  </r>
  <r>
    <n v="1099790"/>
    <x v="348"/>
    <x v="6"/>
    <x v="114"/>
    <x v="351"/>
  </r>
  <r>
    <n v="1099790"/>
    <x v="348"/>
    <x v="6"/>
    <x v="329"/>
    <x v="51"/>
  </r>
  <r>
    <n v="1099790"/>
    <x v="348"/>
    <x v="6"/>
    <x v="85"/>
    <x v="407"/>
  </r>
  <r>
    <n v="1099790"/>
    <x v="348"/>
    <x v="6"/>
    <x v="382"/>
    <x v="38"/>
  </r>
  <r>
    <n v="1099790"/>
    <x v="348"/>
    <x v="6"/>
    <x v="429"/>
    <x v="42"/>
  </r>
  <r>
    <n v="1099790"/>
    <x v="348"/>
    <x v="6"/>
    <x v="293"/>
    <x v="747"/>
  </r>
  <r>
    <n v="1099790"/>
    <x v="348"/>
    <x v="6"/>
    <x v="392"/>
    <x v="51"/>
  </r>
  <r>
    <n v="1099790"/>
    <x v="348"/>
    <x v="6"/>
    <x v="320"/>
    <x v="78"/>
  </r>
  <r>
    <n v="1099790"/>
    <x v="348"/>
    <x v="6"/>
    <x v="87"/>
    <x v="210"/>
  </r>
  <r>
    <n v="1099790"/>
    <x v="348"/>
    <x v="6"/>
    <x v="21"/>
    <x v="351"/>
  </r>
  <r>
    <n v="1099790"/>
    <x v="348"/>
    <x v="6"/>
    <x v="49"/>
    <x v="4"/>
  </r>
  <r>
    <n v="1099790"/>
    <x v="348"/>
    <x v="6"/>
    <x v="50"/>
    <x v="4"/>
  </r>
  <r>
    <n v="1099790"/>
    <x v="348"/>
    <x v="6"/>
    <x v="98"/>
    <x v="82"/>
  </r>
  <r>
    <n v="1099790"/>
    <x v="348"/>
    <x v="6"/>
    <x v="406"/>
    <x v="178"/>
  </r>
  <r>
    <n v="1099790"/>
    <x v="348"/>
    <x v="6"/>
    <x v="97"/>
    <x v="210"/>
  </r>
  <r>
    <n v="1099790"/>
    <x v="348"/>
    <x v="6"/>
    <x v="443"/>
    <x v="64"/>
  </r>
  <r>
    <n v="1099790"/>
    <x v="348"/>
    <x v="6"/>
    <x v="365"/>
    <x v="535"/>
  </r>
  <r>
    <n v="1099790"/>
    <x v="348"/>
    <x v="6"/>
    <x v="372"/>
    <x v="176"/>
  </r>
  <r>
    <n v="1099790"/>
    <x v="348"/>
    <x v="6"/>
    <x v="112"/>
    <x v="4"/>
  </r>
  <r>
    <n v="1099790"/>
    <x v="348"/>
    <x v="6"/>
    <x v="273"/>
    <x v="144"/>
  </r>
  <r>
    <n v="1099790"/>
    <x v="348"/>
    <x v="6"/>
    <x v="286"/>
    <x v="185"/>
  </r>
  <r>
    <n v="1099790"/>
    <x v="348"/>
    <x v="6"/>
    <x v="269"/>
    <x v="211"/>
  </r>
  <r>
    <n v="1099790"/>
    <x v="348"/>
    <x v="6"/>
    <x v="380"/>
    <x v="98"/>
  </r>
  <r>
    <n v="1099790"/>
    <x v="348"/>
    <x v="6"/>
    <x v="434"/>
    <x v="78"/>
  </r>
  <r>
    <n v="1099790"/>
    <x v="348"/>
    <x v="6"/>
    <x v="432"/>
    <x v="149"/>
  </r>
  <r>
    <n v="1099790"/>
    <x v="348"/>
    <x v="6"/>
    <x v="104"/>
    <x v="144"/>
  </r>
  <r>
    <n v="1099790"/>
    <x v="348"/>
    <x v="6"/>
    <x v="324"/>
    <x v="176"/>
  </r>
  <r>
    <n v="1099790"/>
    <x v="348"/>
    <x v="6"/>
    <x v="326"/>
    <x v="170"/>
  </r>
  <r>
    <n v="1099790"/>
    <x v="348"/>
    <x v="6"/>
    <x v="275"/>
    <x v="745"/>
  </r>
  <r>
    <n v="1099790"/>
    <x v="348"/>
    <x v="6"/>
    <x v="397"/>
    <x v="161"/>
  </r>
  <r>
    <n v="1099790"/>
    <x v="348"/>
    <x v="6"/>
    <x v="86"/>
    <x v="213"/>
  </r>
  <r>
    <n v="1099790"/>
    <x v="348"/>
    <x v="6"/>
    <x v="398"/>
    <x v="351"/>
  </r>
  <r>
    <n v="1099790"/>
    <x v="348"/>
    <x v="6"/>
    <x v="362"/>
    <x v="144"/>
  </r>
  <r>
    <n v="1099790"/>
    <x v="348"/>
    <x v="6"/>
    <x v="444"/>
    <x v="535"/>
  </r>
  <r>
    <n v="1099790"/>
    <x v="348"/>
    <x v="6"/>
    <x v="44"/>
    <x v="346"/>
  </r>
  <r>
    <n v="1099790"/>
    <x v="348"/>
    <x v="6"/>
    <x v="312"/>
    <x v="179"/>
  </r>
  <r>
    <n v="1099790"/>
    <x v="348"/>
    <x v="6"/>
    <x v="411"/>
    <x v="82"/>
  </r>
  <r>
    <n v="1099790"/>
    <x v="348"/>
    <x v="6"/>
    <x v="304"/>
    <x v="34"/>
  </r>
  <r>
    <n v="1099790"/>
    <x v="348"/>
    <x v="6"/>
    <x v="121"/>
    <x v="88"/>
  </r>
  <r>
    <n v="1099790"/>
    <x v="348"/>
    <x v="6"/>
    <x v="437"/>
    <x v="153"/>
  </r>
  <r>
    <n v="1099790"/>
    <x v="348"/>
    <x v="6"/>
    <x v="431"/>
    <x v="164"/>
  </r>
  <r>
    <n v="1099790"/>
    <x v="348"/>
    <x v="6"/>
    <x v="433"/>
    <x v="170"/>
  </r>
  <r>
    <n v="1099790"/>
    <x v="348"/>
    <x v="6"/>
    <x v="323"/>
    <x v="392"/>
  </r>
  <r>
    <n v="1099790"/>
    <x v="348"/>
    <x v="6"/>
    <x v="391"/>
    <x v="744"/>
  </r>
  <r>
    <n v="1099790"/>
    <x v="348"/>
    <x v="6"/>
    <x v="327"/>
    <x v="224"/>
  </r>
  <r>
    <n v="1099790"/>
    <x v="348"/>
    <x v="6"/>
    <x v="93"/>
    <x v="455"/>
  </r>
  <r>
    <n v="1099790"/>
    <x v="348"/>
    <x v="6"/>
    <x v="404"/>
    <x v="83"/>
  </r>
  <r>
    <n v="1099790"/>
    <x v="348"/>
    <x v="6"/>
    <x v="46"/>
    <x v="61"/>
  </r>
  <r>
    <n v="1099790"/>
    <x v="348"/>
    <x v="6"/>
    <x v="354"/>
    <x v="79"/>
  </r>
  <r>
    <n v="1099790"/>
    <x v="348"/>
    <x v="6"/>
    <x v="290"/>
    <x v="746"/>
  </r>
  <r>
    <n v="1099790"/>
    <x v="348"/>
    <x v="6"/>
    <x v="409"/>
    <x v="198"/>
  </r>
  <r>
    <n v="1099790"/>
    <x v="348"/>
    <x v="6"/>
    <x v="274"/>
    <x v="206"/>
  </r>
  <r>
    <n v="1099790"/>
    <x v="348"/>
    <x v="6"/>
    <x v="401"/>
    <x v="178"/>
  </r>
  <r>
    <n v="1099790"/>
    <x v="348"/>
    <x v="6"/>
    <x v="405"/>
    <x v="178"/>
  </r>
  <r>
    <n v="1099790"/>
    <x v="348"/>
    <x v="6"/>
    <x v="196"/>
    <x v="748"/>
  </r>
  <r>
    <n v="1099790"/>
    <x v="348"/>
    <x v="6"/>
    <x v="48"/>
    <x v="706"/>
  </r>
  <r>
    <n v="1099790"/>
    <x v="348"/>
    <x v="6"/>
    <x v="281"/>
    <x v="238"/>
  </r>
  <r>
    <n v="1099790"/>
    <x v="348"/>
    <x v="6"/>
    <x v="440"/>
    <x v="80"/>
  </r>
  <r>
    <n v="1099790"/>
    <x v="348"/>
    <x v="6"/>
    <x v="96"/>
    <x v="346"/>
  </r>
  <r>
    <n v="1099790"/>
    <x v="348"/>
    <x v="6"/>
    <x v="358"/>
    <x v="82"/>
  </r>
  <r>
    <n v="1099790"/>
    <x v="348"/>
    <x v="6"/>
    <x v="361"/>
    <x v="161"/>
  </r>
  <r>
    <n v="1099790"/>
    <x v="348"/>
    <x v="6"/>
    <x v="363"/>
    <x v="161"/>
  </r>
  <r>
    <n v="1099790"/>
    <x v="348"/>
    <x v="6"/>
    <x v="284"/>
    <x v="105"/>
  </r>
  <r>
    <n v="1099790"/>
    <x v="348"/>
    <x v="6"/>
    <x v="111"/>
    <x v="42"/>
  </r>
  <r>
    <n v="1099790"/>
    <x v="348"/>
    <x v="6"/>
    <x v="91"/>
    <x v="346"/>
  </r>
  <r>
    <n v="1099790"/>
    <x v="348"/>
    <x v="6"/>
    <x v="369"/>
    <x v="348"/>
  </r>
  <r>
    <n v="1099790"/>
    <x v="348"/>
    <x v="6"/>
    <x v="374"/>
    <x v="154"/>
  </r>
  <r>
    <n v="1099790"/>
    <x v="348"/>
    <x v="6"/>
    <x v="45"/>
    <x v="149"/>
  </r>
  <r>
    <n v="1099790"/>
    <x v="348"/>
    <x v="6"/>
    <x v="310"/>
    <x v="151"/>
  </r>
  <r>
    <n v="1099790"/>
    <x v="348"/>
    <x v="6"/>
    <x v="309"/>
    <x v="179"/>
  </r>
  <r>
    <n v="1099790"/>
    <x v="348"/>
    <x v="6"/>
    <x v="417"/>
    <x v="82"/>
  </r>
  <r>
    <n v="1099790"/>
    <x v="348"/>
    <x v="6"/>
    <x v="122"/>
    <x v="24"/>
  </r>
  <r>
    <n v="1099790"/>
    <x v="348"/>
    <x v="6"/>
    <x v="54"/>
    <x v="198"/>
  </r>
  <r>
    <n v="1099790"/>
    <x v="348"/>
    <x v="6"/>
    <x v="375"/>
    <x v="535"/>
  </r>
  <r>
    <n v="1099790"/>
    <x v="348"/>
    <x v="6"/>
    <x v="441"/>
    <x v="353"/>
  </r>
  <r>
    <n v="1099790"/>
    <x v="348"/>
    <x v="6"/>
    <x v="117"/>
    <x v="347"/>
  </r>
  <r>
    <n v="1099790"/>
    <x v="348"/>
    <x v="6"/>
    <x v="436"/>
    <x v="156"/>
  </r>
  <r>
    <n v="1099790"/>
    <x v="348"/>
    <x v="6"/>
    <x v="287"/>
    <x v="88"/>
  </r>
  <r>
    <n v="1099790"/>
    <x v="348"/>
    <x v="6"/>
    <x v="291"/>
    <x v="79"/>
  </r>
  <r>
    <n v="1099790"/>
    <x v="348"/>
    <x v="6"/>
    <x v="105"/>
    <x v="221"/>
  </r>
  <r>
    <n v="1099790"/>
    <x v="348"/>
    <x v="6"/>
    <x v="107"/>
    <x v="156"/>
  </r>
  <r>
    <n v="1099790"/>
    <x v="348"/>
    <x v="6"/>
    <x v="292"/>
    <x v="98"/>
  </r>
  <r>
    <n v="1099790"/>
    <x v="348"/>
    <x v="6"/>
    <x v="298"/>
    <x v="162"/>
  </r>
  <r>
    <n v="1099790"/>
    <x v="348"/>
    <x v="6"/>
    <x v="430"/>
    <x v="346"/>
  </r>
  <r>
    <n v="1099790"/>
    <x v="348"/>
    <x v="6"/>
    <x v="106"/>
    <x v="62"/>
  </r>
  <r>
    <n v="1099790"/>
    <x v="348"/>
    <x v="6"/>
    <x v="272"/>
    <x v="659"/>
  </r>
  <r>
    <n v="1099790"/>
    <x v="348"/>
    <x v="6"/>
    <x v="400"/>
    <x v="178"/>
  </r>
  <r>
    <n v="1099790"/>
    <x v="348"/>
    <x v="6"/>
    <x v="18"/>
    <x v="348"/>
  </r>
  <r>
    <n v="1099790"/>
    <x v="348"/>
    <x v="6"/>
    <x v="267"/>
    <x v="3"/>
  </r>
  <r>
    <n v="1099790"/>
    <x v="348"/>
    <x v="6"/>
    <x v="282"/>
    <x v="147"/>
  </r>
  <r>
    <n v="1099790"/>
    <x v="348"/>
    <x v="6"/>
    <x v="356"/>
    <x v="170"/>
  </r>
  <r>
    <n v="1099790"/>
    <x v="348"/>
    <x v="6"/>
    <x v="360"/>
    <x v="4"/>
  </r>
  <r>
    <n v="1099790"/>
    <x v="348"/>
    <x v="6"/>
    <x v="364"/>
    <x v="348"/>
  </r>
  <r>
    <n v="1099790"/>
    <x v="348"/>
    <x v="6"/>
    <x v="371"/>
    <x v="351"/>
  </r>
  <r>
    <n v="1099790"/>
    <x v="348"/>
    <x v="6"/>
    <x v="110"/>
    <x v="97"/>
  </r>
  <r>
    <n v="1099790"/>
    <x v="348"/>
    <x v="6"/>
    <x v="393"/>
    <x v="21"/>
  </r>
  <r>
    <n v="1099790"/>
    <x v="348"/>
    <x v="6"/>
    <x v="109"/>
    <x v="152"/>
  </r>
  <r>
    <n v="1099790"/>
    <x v="348"/>
    <x v="6"/>
    <x v="413"/>
    <x v="178"/>
  </r>
  <r>
    <n v="1099790"/>
    <x v="348"/>
    <x v="6"/>
    <x v="51"/>
    <x v="407"/>
  </r>
  <r>
    <n v="1099790"/>
    <x v="348"/>
    <x v="6"/>
    <x v="355"/>
    <x v="79"/>
  </r>
  <r>
    <n v="1099790"/>
    <x v="348"/>
    <x v="6"/>
    <x v="311"/>
    <x v="78"/>
  </r>
  <r>
    <n v="1099790"/>
    <x v="348"/>
    <x v="6"/>
    <x v="416"/>
    <x v="64"/>
  </r>
  <r>
    <n v="1099790"/>
    <x v="348"/>
    <x v="6"/>
    <x v="268"/>
    <x v="154"/>
  </r>
  <r>
    <n v="1099790"/>
    <x v="348"/>
    <x v="6"/>
    <x v="357"/>
    <x v="42"/>
  </r>
  <r>
    <n v="1099790"/>
    <x v="348"/>
    <x v="6"/>
    <x v="89"/>
    <x v="376"/>
  </r>
  <r>
    <n v="1099790"/>
    <x v="348"/>
    <x v="6"/>
    <x v="95"/>
    <x v="363"/>
  </r>
  <r>
    <n v="1099790"/>
    <x v="348"/>
    <x v="6"/>
    <x v="366"/>
    <x v="178"/>
  </r>
  <r>
    <n v="1099790"/>
    <x v="348"/>
    <x v="6"/>
    <x v="373"/>
    <x v="176"/>
  </r>
  <r>
    <n v="1099790"/>
    <x v="348"/>
    <x v="6"/>
    <x v="306"/>
    <x v="88"/>
  </r>
  <r>
    <n v="1099790"/>
    <x v="348"/>
    <x v="6"/>
    <x v="328"/>
    <x v="198"/>
  </r>
  <r>
    <n v="1099790"/>
    <x v="348"/>
    <x v="6"/>
    <x v="377"/>
    <x v="745"/>
  </r>
  <r>
    <n v="1099790"/>
    <x v="348"/>
    <x v="6"/>
    <x v="379"/>
    <x v="23"/>
  </r>
  <r>
    <n v="1099790"/>
    <x v="348"/>
    <x v="6"/>
    <x v="428"/>
    <x v="30"/>
  </r>
  <r>
    <n v="1099790"/>
    <x v="348"/>
    <x v="6"/>
    <x v="294"/>
    <x v="387"/>
  </r>
  <r>
    <n v="1099790"/>
    <x v="348"/>
    <x v="6"/>
    <x v="367"/>
    <x v="346"/>
  </r>
  <r>
    <n v="1099790"/>
    <x v="348"/>
    <x v="6"/>
    <x v="403"/>
    <x v="163"/>
  </r>
  <r>
    <n v="1099790"/>
    <x v="348"/>
    <x v="6"/>
    <x v="285"/>
    <x v="346"/>
  </r>
  <r>
    <n v="1099790"/>
    <x v="348"/>
    <x v="6"/>
    <x v="120"/>
    <x v="181"/>
  </r>
  <r>
    <n v="1099790"/>
    <x v="348"/>
    <x v="6"/>
    <x v="381"/>
    <x v="740"/>
  </r>
  <r>
    <n v="1099790"/>
    <x v="348"/>
    <x v="6"/>
    <x v="296"/>
    <x v="61"/>
  </r>
  <r>
    <n v="1099790"/>
    <x v="348"/>
    <x v="6"/>
    <x v="288"/>
    <x v="315"/>
  </r>
  <r>
    <n v="1099790"/>
    <x v="348"/>
    <x v="6"/>
    <x v="435"/>
    <x v="348"/>
  </r>
  <r>
    <n v="1099790"/>
    <x v="348"/>
    <x v="6"/>
    <x v="23"/>
    <x v="154"/>
  </r>
  <r>
    <n v="1099790"/>
    <x v="348"/>
    <x v="6"/>
    <x v="16"/>
    <x v="134"/>
  </r>
  <r>
    <n v="1099790"/>
    <x v="348"/>
    <x v="6"/>
    <x v="108"/>
    <x v="474"/>
  </r>
  <r>
    <n v="1099790"/>
    <x v="348"/>
    <x v="6"/>
    <x v="303"/>
    <x v="376"/>
  </r>
  <r>
    <n v="1099790"/>
    <x v="348"/>
    <x v="6"/>
    <x v="20"/>
    <x v="170"/>
  </r>
  <r>
    <n v="1099790"/>
    <x v="348"/>
    <x v="6"/>
    <x v="197"/>
    <x v="743"/>
  </r>
  <r>
    <n v="1099790"/>
    <x v="348"/>
    <x v="6"/>
    <x v="266"/>
    <x v="85"/>
  </r>
  <r>
    <n v="1099790"/>
    <x v="348"/>
    <x v="6"/>
    <x v="19"/>
    <x v="351"/>
  </r>
  <r>
    <n v="1099790"/>
    <x v="348"/>
    <x v="6"/>
    <x v="52"/>
    <x v="178"/>
  </r>
  <r>
    <n v="1099790"/>
    <x v="348"/>
    <x v="6"/>
    <x v="271"/>
    <x v="24"/>
  </r>
  <r>
    <n v="1099790"/>
    <x v="348"/>
    <x v="6"/>
    <x v="368"/>
    <x v="346"/>
  </r>
  <r>
    <n v="1099790"/>
    <x v="348"/>
    <x v="6"/>
    <x v="99"/>
    <x v="455"/>
  </r>
  <r>
    <n v="1099790"/>
    <x v="348"/>
    <x v="6"/>
    <x v="307"/>
    <x v="560"/>
  </r>
  <r>
    <n v="1099790"/>
    <x v="348"/>
    <x v="6"/>
    <x v="445"/>
    <x v="198"/>
  </r>
  <r>
    <n v="1099790"/>
    <x v="348"/>
    <x v="6"/>
    <x v="100"/>
    <x v="97"/>
  </r>
  <r>
    <n v="1099790"/>
    <x v="348"/>
    <x v="6"/>
    <x v="279"/>
    <x v="392"/>
  </r>
  <r>
    <n v="1099790"/>
    <x v="348"/>
    <x v="6"/>
    <x v="198"/>
    <x v="149"/>
  </r>
  <r>
    <n v="1099790"/>
    <x v="348"/>
    <x v="6"/>
    <x v="22"/>
    <x v="154"/>
  </r>
  <r>
    <n v="1099790"/>
    <x v="348"/>
    <x v="6"/>
    <x v="322"/>
    <x v="305"/>
  </r>
  <r>
    <n v="1099790"/>
    <x v="348"/>
    <x v="6"/>
    <x v="53"/>
    <x v="457"/>
  </r>
  <r>
    <n v="1099790"/>
    <x v="348"/>
    <x v="6"/>
    <x v="408"/>
    <x v="351"/>
  </r>
  <r>
    <n v="1099790"/>
    <x v="348"/>
    <x v="6"/>
    <x v="414"/>
    <x v="535"/>
  </r>
  <r>
    <n v="1099790"/>
    <x v="348"/>
    <x v="6"/>
    <x v="47"/>
    <x v="619"/>
  </r>
  <r>
    <n v="1099790"/>
    <x v="348"/>
    <x v="6"/>
    <x v="415"/>
    <x v="98"/>
  </r>
  <r>
    <n v="1099790"/>
    <x v="348"/>
    <x v="6"/>
    <x v="278"/>
    <x v="224"/>
  </r>
  <r>
    <n v="1099790"/>
    <x v="348"/>
    <x v="6"/>
    <x v="359"/>
    <x v="4"/>
  </r>
  <r>
    <n v="1099790"/>
    <x v="348"/>
    <x v="6"/>
    <x v="90"/>
    <x v="4"/>
  </r>
  <r>
    <n v="1099790"/>
    <x v="348"/>
    <x v="6"/>
    <x v="442"/>
    <x v="88"/>
  </r>
  <r>
    <n v="1099790"/>
    <x v="348"/>
    <x v="6"/>
    <x v="370"/>
    <x v="198"/>
  </r>
  <r>
    <n v="1099790"/>
    <x v="348"/>
    <x v="6"/>
    <x v="116"/>
    <x v="34"/>
  </r>
  <r>
    <n v="1099790"/>
    <x v="348"/>
    <x v="6"/>
    <x v="410"/>
    <x v="88"/>
  </r>
  <r>
    <n v="1099790"/>
    <x v="348"/>
    <x v="6"/>
    <x v="118"/>
    <x v="217"/>
  </r>
  <r>
    <n v="1099790"/>
    <x v="348"/>
    <x v="6"/>
    <x v="376"/>
    <x v="161"/>
  </r>
  <r>
    <n v="1099790"/>
    <x v="348"/>
    <x v="6"/>
    <x v="407"/>
    <x v="83"/>
  </r>
  <r>
    <n v="1099790"/>
    <x v="348"/>
    <x v="6"/>
    <x v="295"/>
    <x v="61"/>
  </r>
  <r>
    <n v="1099790"/>
    <x v="348"/>
    <x v="6"/>
    <x v="297"/>
    <x v="176"/>
  </r>
  <r>
    <n v="1099790"/>
    <x v="348"/>
    <x v="6"/>
    <x v="101"/>
    <x v="34"/>
  </r>
  <r>
    <n v="1099790"/>
    <x v="348"/>
    <x v="6"/>
    <x v="270"/>
    <x v="179"/>
  </r>
  <r>
    <n v="1099790"/>
    <x v="348"/>
    <x v="6"/>
    <x v="402"/>
    <x v="83"/>
  </r>
  <r>
    <n v="1099790"/>
    <x v="348"/>
    <x v="6"/>
    <x v="283"/>
    <x v="62"/>
  </r>
  <r>
    <n v="1099790"/>
    <x v="348"/>
    <x v="6"/>
    <x v="94"/>
    <x v="351"/>
  </r>
  <r>
    <n v="1099790"/>
    <x v="348"/>
    <x v="6"/>
    <x v="88"/>
    <x v="88"/>
  </r>
  <r>
    <n v="1099790"/>
    <x v="348"/>
    <x v="6"/>
    <x v="115"/>
    <x v="170"/>
  </r>
  <r>
    <n v="1099790"/>
    <x v="348"/>
    <x v="6"/>
    <x v="308"/>
    <x v="176"/>
  </r>
  <r>
    <n v="1099790"/>
    <x v="348"/>
    <x v="6"/>
    <x v="113"/>
    <x v="178"/>
  </r>
  <r>
    <n v="1099790"/>
    <x v="348"/>
    <x v="6"/>
    <x v="399"/>
    <x v="54"/>
  </r>
  <r>
    <n v="1099790"/>
    <x v="348"/>
    <x v="6"/>
    <x v="280"/>
    <x v="346"/>
  </r>
  <r>
    <n v="1099790"/>
    <x v="348"/>
    <x v="6"/>
    <x v="119"/>
    <x v="206"/>
  </r>
  <r>
    <n v="1099790"/>
    <x v="348"/>
    <x v="6"/>
    <x v="378"/>
    <x v="24"/>
  </r>
  <r>
    <n v="1099790"/>
    <x v="348"/>
    <x v="6"/>
    <x v="289"/>
    <x v="105"/>
  </r>
  <r>
    <n v="1099790"/>
    <x v="348"/>
    <x v="6"/>
    <x v="102"/>
    <x v="741"/>
  </r>
  <r>
    <n v="1099790"/>
    <x v="348"/>
    <x v="6"/>
    <x v="103"/>
    <x v="144"/>
  </r>
  <r>
    <n v="1099790"/>
    <x v="348"/>
    <x v="6"/>
    <x v="17"/>
    <x v="742"/>
  </r>
  <r>
    <n v="1099790"/>
    <x v="348"/>
    <x v="6"/>
    <x v="319"/>
    <x v="305"/>
  </r>
  <r>
    <n v="1099790"/>
    <x v="348"/>
    <x v="6"/>
    <x v="325"/>
    <x v="205"/>
  </r>
  <r>
    <n v="1099790"/>
    <x v="348"/>
    <x v="6"/>
    <x v="321"/>
    <x v="615"/>
  </r>
  <r>
    <n v="1099790"/>
    <x v="348"/>
    <x v="6"/>
    <x v="305"/>
    <x v="136"/>
  </r>
  <r>
    <n v="1099790"/>
    <x v="1"/>
    <x v="1"/>
    <x v="2"/>
    <x v="2"/>
  </r>
  <r>
    <n v="1099791"/>
    <x v="349"/>
    <x v="2"/>
    <x v="76"/>
    <x v="231"/>
  </r>
  <r>
    <n v="1099791"/>
    <x v="349"/>
    <x v="2"/>
    <x v="84"/>
    <x v="232"/>
  </r>
  <r>
    <n v="1099791"/>
    <x v="349"/>
    <x v="2"/>
    <x v="82"/>
    <x v="162"/>
  </r>
  <r>
    <n v="1099791"/>
    <x v="349"/>
    <x v="2"/>
    <x v="78"/>
    <x v="235"/>
  </r>
  <r>
    <n v="1099791"/>
    <x v="349"/>
    <x v="2"/>
    <x v="68"/>
    <x v="230"/>
  </r>
  <r>
    <n v="1099791"/>
    <x v="349"/>
    <x v="2"/>
    <x v="75"/>
    <x v="173"/>
  </r>
  <r>
    <n v="1099791"/>
    <x v="349"/>
    <x v="2"/>
    <x v="62"/>
    <x v="153"/>
  </r>
  <r>
    <n v="1099791"/>
    <x v="349"/>
    <x v="2"/>
    <x v="63"/>
    <x v="97"/>
  </r>
  <r>
    <n v="1099791"/>
    <x v="349"/>
    <x v="2"/>
    <x v="56"/>
    <x v="228"/>
  </r>
  <r>
    <n v="1099791"/>
    <x v="349"/>
    <x v="2"/>
    <x v="77"/>
    <x v="236"/>
  </r>
  <r>
    <n v="1099791"/>
    <x v="349"/>
    <x v="2"/>
    <x v="65"/>
    <x v="98"/>
  </r>
  <r>
    <n v="1099791"/>
    <x v="349"/>
    <x v="2"/>
    <x v="60"/>
    <x v="229"/>
  </r>
  <r>
    <n v="1099791"/>
    <x v="349"/>
    <x v="2"/>
    <x v="71"/>
    <x v="111"/>
  </r>
  <r>
    <n v="1099791"/>
    <x v="349"/>
    <x v="2"/>
    <x v="70"/>
    <x v="197"/>
  </r>
  <r>
    <n v="1099791"/>
    <x v="349"/>
    <x v="2"/>
    <x v="58"/>
    <x v="233"/>
  </r>
  <r>
    <n v="1099791"/>
    <x v="349"/>
    <x v="2"/>
    <x v="66"/>
    <x v="231"/>
  </r>
  <r>
    <n v="1099791"/>
    <x v="349"/>
    <x v="2"/>
    <x v="74"/>
    <x v="51"/>
  </r>
  <r>
    <n v="1099791"/>
    <x v="349"/>
    <x v="2"/>
    <x v="79"/>
    <x v="227"/>
  </r>
  <r>
    <n v="1099791"/>
    <x v="349"/>
    <x v="2"/>
    <x v="61"/>
    <x v="234"/>
  </r>
  <r>
    <n v="1099791"/>
    <x v="1"/>
    <x v="1"/>
    <x v="2"/>
    <x v="2"/>
  </r>
  <r>
    <n v="1099795"/>
    <x v="350"/>
    <x v="2"/>
    <x v="4"/>
    <x v="3"/>
  </r>
  <r>
    <n v="1099795"/>
    <x v="350"/>
    <x v="2"/>
    <x v="420"/>
    <x v="635"/>
  </r>
  <r>
    <n v="1099795"/>
    <x v="350"/>
    <x v="2"/>
    <x v="418"/>
    <x v="636"/>
  </r>
  <r>
    <n v="1099795"/>
    <x v="350"/>
    <x v="2"/>
    <x v="203"/>
    <x v="448"/>
  </r>
  <r>
    <n v="1099795"/>
    <x v="350"/>
    <x v="2"/>
    <x v="199"/>
    <x v="632"/>
  </r>
  <r>
    <n v="1099795"/>
    <x v="350"/>
    <x v="2"/>
    <x v="419"/>
    <x v="403"/>
  </r>
  <r>
    <n v="1099795"/>
    <x v="350"/>
    <x v="2"/>
    <x v="387"/>
    <x v="634"/>
  </r>
  <r>
    <n v="1099795"/>
    <x v="350"/>
    <x v="2"/>
    <x v="425"/>
    <x v="231"/>
  </r>
  <r>
    <n v="1099795"/>
    <x v="350"/>
    <x v="2"/>
    <x v="200"/>
    <x v="630"/>
  </r>
  <r>
    <n v="1099795"/>
    <x v="350"/>
    <x v="2"/>
    <x v="201"/>
    <x v="181"/>
  </r>
  <r>
    <n v="1099795"/>
    <x v="350"/>
    <x v="2"/>
    <x v="3"/>
    <x v="637"/>
  </r>
  <r>
    <n v="1099795"/>
    <x v="350"/>
    <x v="2"/>
    <x v="389"/>
    <x v="633"/>
  </r>
  <r>
    <n v="1099795"/>
    <x v="350"/>
    <x v="2"/>
    <x v="424"/>
    <x v="231"/>
  </r>
  <r>
    <n v="1099795"/>
    <x v="350"/>
    <x v="2"/>
    <x v="388"/>
    <x v="313"/>
  </r>
  <r>
    <n v="1099795"/>
    <x v="350"/>
    <x v="2"/>
    <x v="202"/>
    <x v="631"/>
  </r>
  <r>
    <n v="1099795"/>
    <x v="350"/>
    <x v="2"/>
    <x v="390"/>
    <x v="629"/>
  </r>
  <r>
    <n v="1099795"/>
    <x v="1"/>
    <x v="1"/>
    <x v="2"/>
    <x v="2"/>
  </r>
  <r>
    <n v="1099802"/>
    <x v="351"/>
    <x v="2"/>
    <x v="300"/>
    <x v="2"/>
  </r>
  <r>
    <n v="1099802"/>
    <x v="1"/>
    <x v="1"/>
    <x v="2"/>
    <x v="2"/>
  </r>
  <r>
    <n v="1099803"/>
    <x v="352"/>
    <x v="6"/>
    <x v="81"/>
    <x v="229"/>
  </r>
  <r>
    <n v="1099803"/>
    <x v="352"/>
    <x v="6"/>
    <x v="83"/>
    <x v="348"/>
  </r>
  <r>
    <n v="1099803"/>
    <x v="352"/>
    <x v="6"/>
    <x v="71"/>
    <x v="97"/>
  </r>
  <r>
    <n v="1099803"/>
    <x v="352"/>
    <x v="6"/>
    <x v="69"/>
    <x v="538"/>
  </r>
  <r>
    <n v="1099803"/>
    <x v="352"/>
    <x v="6"/>
    <x v="61"/>
    <x v="172"/>
  </r>
  <r>
    <n v="1099803"/>
    <x v="352"/>
    <x v="6"/>
    <x v="194"/>
    <x v="516"/>
  </r>
  <r>
    <n v="1099803"/>
    <x v="352"/>
    <x v="6"/>
    <x v="30"/>
    <x v="203"/>
  </r>
  <r>
    <n v="1099803"/>
    <x v="352"/>
    <x v="6"/>
    <x v="202"/>
    <x v="238"/>
  </r>
  <r>
    <n v="1099803"/>
    <x v="352"/>
    <x v="6"/>
    <x v="63"/>
    <x v="178"/>
  </r>
  <r>
    <n v="1099803"/>
    <x v="352"/>
    <x v="6"/>
    <x v="55"/>
    <x v="178"/>
  </r>
  <r>
    <n v="1099803"/>
    <x v="352"/>
    <x v="6"/>
    <x v="425"/>
    <x v="170"/>
  </r>
  <r>
    <n v="1099803"/>
    <x v="352"/>
    <x v="6"/>
    <x v="395"/>
    <x v="539"/>
  </r>
  <r>
    <n v="1099803"/>
    <x v="352"/>
    <x v="6"/>
    <x v="157"/>
    <x v="544"/>
  </r>
  <r>
    <n v="1099803"/>
    <x v="352"/>
    <x v="6"/>
    <x v="11"/>
    <x v="348"/>
  </r>
  <r>
    <n v="1099803"/>
    <x v="352"/>
    <x v="6"/>
    <x v="254"/>
    <x v="178"/>
  </r>
  <r>
    <n v="1099803"/>
    <x v="352"/>
    <x v="6"/>
    <x v="346"/>
    <x v="516"/>
  </r>
  <r>
    <n v="1099803"/>
    <x v="352"/>
    <x v="6"/>
    <x v="350"/>
    <x v="535"/>
  </r>
  <r>
    <n v="1099803"/>
    <x v="352"/>
    <x v="6"/>
    <x v="352"/>
    <x v="516"/>
  </r>
  <r>
    <n v="1099803"/>
    <x v="352"/>
    <x v="6"/>
    <x v="161"/>
    <x v="351"/>
  </r>
  <r>
    <n v="1099803"/>
    <x v="352"/>
    <x v="6"/>
    <x v="154"/>
    <x v="351"/>
  </r>
  <r>
    <n v="1099803"/>
    <x v="352"/>
    <x v="6"/>
    <x v="131"/>
    <x v="535"/>
  </r>
  <r>
    <n v="1099803"/>
    <x v="352"/>
    <x v="6"/>
    <x v="133"/>
    <x v="348"/>
  </r>
  <r>
    <n v="1099803"/>
    <x v="352"/>
    <x v="6"/>
    <x v="143"/>
    <x v="178"/>
  </r>
  <r>
    <n v="1099803"/>
    <x v="352"/>
    <x v="6"/>
    <x v="145"/>
    <x v="351"/>
  </r>
  <r>
    <n v="1099803"/>
    <x v="352"/>
    <x v="6"/>
    <x v="153"/>
    <x v="348"/>
  </r>
  <r>
    <n v="1099803"/>
    <x v="352"/>
    <x v="6"/>
    <x v="256"/>
    <x v="79"/>
  </r>
  <r>
    <n v="1099803"/>
    <x v="352"/>
    <x v="6"/>
    <x v="263"/>
    <x v="83"/>
  </r>
  <r>
    <n v="1099803"/>
    <x v="352"/>
    <x v="6"/>
    <x v="316"/>
    <x v="347"/>
  </r>
  <r>
    <n v="1099803"/>
    <x v="352"/>
    <x v="6"/>
    <x v="209"/>
    <x v="516"/>
  </r>
  <r>
    <n v="1099803"/>
    <x v="352"/>
    <x v="6"/>
    <x v="211"/>
    <x v="351"/>
  </r>
  <r>
    <n v="1099803"/>
    <x v="352"/>
    <x v="6"/>
    <x v="140"/>
    <x v="4"/>
  </r>
  <r>
    <n v="1099803"/>
    <x v="352"/>
    <x v="6"/>
    <x v="222"/>
    <x v="77"/>
  </r>
  <r>
    <n v="1099803"/>
    <x v="352"/>
    <x v="6"/>
    <x v="228"/>
    <x v="30"/>
  </r>
  <r>
    <n v="1099803"/>
    <x v="352"/>
    <x v="6"/>
    <x v="230"/>
    <x v="77"/>
  </r>
  <r>
    <n v="1099803"/>
    <x v="352"/>
    <x v="6"/>
    <x v="238"/>
    <x v="375"/>
  </r>
  <r>
    <n v="1099803"/>
    <x v="352"/>
    <x v="6"/>
    <x v="156"/>
    <x v="545"/>
  </r>
  <r>
    <n v="1099803"/>
    <x v="352"/>
    <x v="6"/>
    <x v="245"/>
    <x v="161"/>
  </r>
  <r>
    <n v="1099803"/>
    <x v="352"/>
    <x v="6"/>
    <x v="246"/>
    <x v="198"/>
  </r>
  <r>
    <n v="1099803"/>
    <x v="352"/>
    <x v="6"/>
    <x v="318"/>
    <x v="88"/>
  </r>
  <r>
    <n v="1099803"/>
    <x v="352"/>
    <x v="6"/>
    <x v="220"/>
    <x v="178"/>
  </r>
  <r>
    <n v="1099803"/>
    <x v="352"/>
    <x v="6"/>
    <x v="193"/>
    <x v="170"/>
  </r>
  <r>
    <n v="1099803"/>
    <x v="352"/>
    <x v="6"/>
    <x v="169"/>
    <x v="351"/>
  </r>
  <r>
    <n v="1099803"/>
    <x v="352"/>
    <x v="6"/>
    <x v="191"/>
    <x v="178"/>
  </r>
  <r>
    <n v="1099803"/>
    <x v="352"/>
    <x v="6"/>
    <x v="171"/>
    <x v="351"/>
  </r>
  <r>
    <n v="1099803"/>
    <x v="352"/>
    <x v="6"/>
    <x v="189"/>
    <x v="178"/>
  </r>
  <r>
    <n v="1099803"/>
    <x v="352"/>
    <x v="6"/>
    <x v="165"/>
    <x v="546"/>
  </r>
  <r>
    <n v="1099803"/>
    <x v="352"/>
    <x v="6"/>
    <x v="40"/>
    <x v="161"/>
  </r>
  <r>
    <n v="1099803"/>
    <x v="352"/>
    <x v="6"/>
    <x v="43"/>
    <x v="351"/>
  </r>
  <r>
    <n v="1099803"/>
    <x v="352"/>
    <x v="6"/>
    <x v="25"/>
    <x v="105"/>
  </r>
  <r>
    <n v="1099803"/>
    <x v="352"/>
    <x v="6"/>
    <x v="390"/>
    <x v="220"/>
  </r>
  <r>
    <n v="1099803"/>
    <x v="352"/>
    <x v="6"/>
    <x v="200"/>
    <x v="179"/>
  </r>
  <r>
    <n v="1099803"/>
    <x v="352"/>
    <x v="6"/>
    <x v="62"/>
    <x v="348"/>
  </r>
  <r>
    <n v="1099803"/>
    <x v="352"/>
    <x v="6"/>
    <x v="57"/>
    <x v="36"/>
  </r>
  <r>
    <n v="1099803"/>
    <x v="352"/>
    <x v="6"/>
    <x v="124"/>
    <x v="351"/>
  </r>
  <r>
    <n v="1099803"/>
    <x v="352"/>
    <x v="6"/>
    <x v="135"/>
    <x v="535"/>
  </r>
  <r>
    <n v="1099803"/>
    <x v="352"/>
    <x v="6"/>
    <x v="147"/>
    <x v="535"/>
  </r>
  <r>
    <n v="1099803"/>
    <x v="352"/>
    <x v="6"/>
    <x v="258"/>
    <x v="516"/>
  </r>
  <r>
    <n v="1099803"/>
    <x v="352"/>
    <x v="6"/>
    <x v="204"/>
    <x v="535"/>
  </r>
  <r>
    <n v="1099803"/>
    <x v="352"/>
    <x v="6"/>
    <x v="213"/>
    <x v="83"/>
  </r>
  <r>
    <n v="1099803"/>
    <x v="352"/>
    <x v="6"/>
    <x v="224"/>
    <x v="144"/>
  </r>
  <r>
    <n v="1099803"/>
    <x v="352"/>
    <x v="6"/>
    <x v="232"/>
    <x v="161"/>
  </r>
  <r>
    <n v="1099803"/>
    <x v="352"/>
    <x v="6"/>
    <x v="240"/>
    <x v="535"/>
  </r>
  <r>
    <n v="1099803"/>
    <x v="352"/>
    <x v="6"/>
    <x v="248"/>
    <x v="516"/>
  </r>
  <r>
    <n v="1099803"/>
    <x v="352"/>
    <x v="6"/>
    <x v="178"/>
    <x v="516"/>
  </r>
  <r>
    <n v="1099803"/>
    <x v="352"/>
    <x v="6"/>
    <x v="180"/>
    <x v="88"/>
  </r>
  <r>
    <n v="1099803"/>
    <x v="352"/>
    <x v="6"/>
    <x v="182"/>
    <x v="516"/>
  </r>
  <r>
    <n v="1099803"/>
    <x v="352"/>
    <x v="6"/>
    <x v="33"/>
    <x v="90"/>
  </r>
  <r>
    <n v="1099803"/>
    <x v="352"/>
    <x v="6"/>
    <x v="32"/>
    <x v="62"/>
  </r>
  <r>
    <n v="1099803"/>
    <x v="352"/>
    <x v="6"/>
    <x v="37"/>
    <x v="149"/>
  </r>
  <r>
    <n v="1099803"/>
    <x v="352"/>
    <x v="6"/>
    <x v="418"/>
    <x v="552"/>
  </r>
  <r>
    <n v="1099803"/>
    <x v="352"/>
    <x v="6"/>
    <x v="66"/>
    <x v="98"/>
  </r>
  <r>
    <n v="1099803"/>
    <x v="352"/>
    <x v="6"/>
    <x v="79"/>
    <x v="69"/>
  </r>
  <r>
    <n v="1099803"/>
    <x v="352"/>
    <x v="6"/>
    <x v="419"/>
    <x v="84"/>
  </r>
  <r>
    <n v="1099803"/>
    <x v="352"/>
    <x v="6"/>
    <x v="421"/>
    <x v="58"/>
  </r>
  <r>
    <n v="1099803"/>
    <x v="352"/>
    <x v="6"/>
    <x v="15"/>
    <x v="154"/>
  </r>
  <r>
    <n v="1099803"/>
    <x v="352"/>
    <x v="6"/>
    <x v="253"/>
    <x v="170"/>
  </r>
  <r>
    <n v="1099803"/>
    <x v="352"/>
    <x v="6"/>
    <x v="334"/>
    <x v="198"/>
  </r>
  <r>
    <n v="1099803"/>
    <x v="352"/>
    <x v="6"/>
    <x v="160"/>
    <x v="351"/>
  </r>
  <r>
    <n v="1099803"/>
    <x v="352"/>
    <x v="6"/>
    <x v="129"/>
    <x v="535"/>
  </r>
  <r>
    <n v="1099803"/>
    <x v="352"/>
    <x v="6"/>
    <x v="142"/>
    <x v="83"/>
  </r>
  <r>
    <n v="1099803"/>
    <x v="352"/>
    <x v="6"/>
    <x v="152"/>
    <x v="535"/>
  </r>
  <r>
    <n v="1099803"/>
    <x v="352"/>
    <x v="6"/>
    <x v="262"/>
    <x v="351"/>
  </r>
  <r>
    <n v="1099803"/>
    <x v="352"/>
    <x v="6"/>
    <x v="250"/>
    <x v="535"/>
  </r>
  <r>
    <n v="1099803"/>
    <x v="352"/>
    <x v="6"/>
    <x v="139"/>
    <x v="178"/>
  </r>
  <r>
    <n v="1099803"/>
    <x v="352"/>
    <x v="6"/>
    <x v="227"/>
    <x v="4"/>
  </r>
  <r>
    <n v="1099803"/>
    <x v="352"/>
    <x v="6"/>
    <x v="237"/>
    <x v="548"/>
  </r>
  <r>
    <n v="1099803"/>
    <x v="352"/>
    <x v="6"/>
    <x v="244"/>
    <x v="154"/>
  </r>
  <r>
    <n v="1099803"/>
    <x v="352"/>
    <x v="6"/>
    <x v="314"/>
    <x v="516"/>
  </r>
  <r>
    <n v="1099803"/>
    <x v="352"/>
    <x v="6"/>
    <x v="179"/>
    <x v="516"/>
  </r>
  <r>
    <n v="1099803"/>
    <x v="352"/>
    <x v="6"/>
    <x v="181"/>
    <x v="161"/>
  </r>
  <r>
    <n v="1099803"/>
    <x v="352"/>
    <x v="6"/>
    <x v="183"/>
    <x v="535"/>
  </r>
  <r>
    <n v="1099803"/>
    <x v="352"/>
    <x v="6"/>
    <x v="24"/>
    <x v="88"/>
  </r>
  <r>
    <n v="1099803"/>
    <x v="352"/>
    <x v="6"/>
    <x v="39"/>
    <x v="105"/>
  </r>
  <r>
    <n v="1099803"/>
    <x v="352"/>
    <x v="6"/>
    <x v="64"/>
    <x v="549"/>
  </r>
  <r>
    <n v="1099803"/>
    <x v="352"/>
    <x v="6"/>
    <x v="59"/>
    <x v="62"/>
  </r>
  <r>
    <n v="1099803"/>
    <x v="352"/>
    <x v="6"/>
    <x v="74"/>
    <x v="154"/>
  </r>
  <r>
    <n v="1099803"/>
    <x v="352"/>
    <x v="6"/>
    <x v="80"/>
    <x v="550"/>
  </r>
  <r>
    <n v="1099803"/>
    <x v="352"/>
    <x v="6"/>
    <x v="422"/>
    <x v="154"/>
  </r>
  <r>
    <n v="1099803"/>
    <x v="352"/>
    <x v="6"/>
    <x v="14"/>
    <x v="4"/>
  </r>
  <r>
    <n v="1099803"/>
    <x v="352"/>
    <x v="6"/>
    <x v="13"/>
    <x v="535"/>
  </r>
  <r>
    <n v="1099803"/>
    <x v="352"/>
    <x v="6"/>
    <x v="333"/>
    <x v="348"/>
  </r>
  <r>
    <n v="1099803"/>
    <x v="352"/>
    <x v="6"/>
    <x v="159"/>
    <x v="516"/>
  </r>
  <r>
    <n v="1099803"/>
    <x v="352"/>
    <x v="6"/>
    <x v="128"/>
    <x v="178"/>
  </r>
  <r>
    <n v="1099803"/>
    <x v="352"/>
    <x v="6"/>
    <x v="141"/>
    <x v="351"/>
  </r>
  <r>
    <n v="1099803"/>
    <x v="352"/>
    <x v="6"/>
    <x v="151"/>
    <x v="77"/>
  </r>
  <r>
    <n v="1099803"/>
    <x v="352"/>
    <x v="6"/>
    <x v="249"/>
    <x v="348"/>
  </r>
  <r>
    <n v="1099803"/>
    <x v="352"/>
    <x v="6"/>
    <x v="208"/>
    <x v="178"/>
  </r>
  <r>
    <n v="1099803"/>
    <x v="352"/>
    <x v="6"/>
    <x v="130"/>
    <x v="348"/>
  </r>
  <r>
    <n v="1099803"/>
    <x v="352"/>
    <x v="6"/>
    <x v="226"/>
    <x v="82"/>
  </r>
  <r>
    <n v="1099803"/>
    <x v="352"/>
    <x v="6"/>
    <x v="236"/>
    <x v="83"/>
  </r>
  <r>
    <n v="1099803"/>
    <x v="352"/>
    <x v="6"/>
    <x v="243"/>
    <x v="351"/>
  </r>
  <r>
    <n v="1099803"/>
    <x v="352"/>
    <x v="6"/>
    <x v="315"/>
    <x v="144"/>
  </r>
  <r>
    <n v="1099803"/>
    <x v="352"/>
    <x v="6"/>
    <x v="168"/>
    <x v="535"/>
  </r>
  <r>
    <n v="1099803"/>
    <x v="352"/>
    <x v="6"/>
    <x v="175"/>
    <x v="516"/>
  </r>
  <r>
    <n v="1099803"/>
    <x v="352"/>
    <x v="6"/>
    <x v="177"/>
    <x v="198"/>
  </r>
  <r>
    <n v="1099803"/>
    <x v="352"/>
    <x v="6"/>
    <x v="38"/>
    <x v="198"/>
  </r>
  <r>
    <n v="1099803"/>
    <x v="352"/>
    <x v="6"/>
    <x v="34"/>
    <x v="105"/>
  </r>
  <r>
    <n v="1099803"/>
    <x v="352"/>
    <x v="6"/>
    <x v="219"/>
    <x v="77"/>
  </r>
  <r>
    <n v="1099803"/>
    <x v="352"/>
    <x v="6"/>
    <x v="185"/>
    <x v="3"/>
  </r>
  <r>
    <n v="1099803"/>
    <x v="352"/>
    <x v="6"/>
    <x v="170"/>
    <x v="178"/>
  </r>
  <r>
    <n v="1099803"/>
    <x v="352"/>
    <x v="6"/>
    <x v="172"/>
    <x v="154"/>
  </r>
  <r>
    <n v="1099803"/>
    <x v="352"/>
    <x v="6"/>
    <x v="1"/>
    <x v="540"/>
  </r>
  <r>
    <n v="1099803"/>
    <x v="352"/>
    <x v="6"/>
    <x v="27"/>
    <x v="64"/>
  </r>
  <r>
    <n v="1099803"/>
    <x v="352"/>
    <x v="6"/>
    <x v="78"/>
    <x v="541"/>
  </r>
  <r>
    <n v="1099803"/>
    <x v="352"/>
    <x v="6"/>
    <x v="75"/>
    <x v="176"/>
  </r>
  <r>
    <n v="1099803"/>
    <x v="352"/>
    <x v="6"/>
    <x v="199"/>
    <x v="542"/>
  </r>
  <r>
    <n v="1099803"/>
    <x v="352"/>
    <x v="6"/>
    <x v="387"/>
    <x v="233"/>
  </r>
  <r>
    <n v="1099803"/>
    <x v="352"/>
    <x v="6"/>
    <x v="385"/>
    <x v="5"/>
  </r>
  <r>
    <n v="1099803"/>
    <x v="352"/>
    <x v="6"/>
    <x v="384"/>
    <x v="551"/>
  </r>
  <r>
    <n v="1099803"/>
    <x v="352"/>
    <x v="6"/>
    <x v="9"/>
    <x v="348"/>
  </r>
  <r>
    <n v="1099803"/>
    <x v="352"/>
    <x v="6"/>
    <x v="342"/>
    <x v="348"/>
  </r>
  <r>
    <n v="1099803"/>
    <x v="352"/>
    <x v="6"/>
    <x v="8"/>
    <x v="351"/>
  </r>
  <r>
    <n v="1099803"/>
    <x v="352"/>
    <x v="6"/>
    <x v="7"/>
    <x v="351"/>
  </r>
  <r>
    <n v="1099803"/>
    <x v="352"/>
    <x v="6"/>
    <x v="349"/>
    <x v="535"/>
  </r>
  <r>
    <n v="1099803"/>
    <x v="352"/>
    <x v="6"/>
    <x v="331"/>
    <x v="178"/>
  </r>
  <r>
    <n v="1099803"/>
    <x v="352"/>
    <x v="6"/>
    <x v="337"/>
    <x v="348"/>
  </r>
  <r>
    <n v="1099803"/>
    <x v="352"/>
    <x v="6"/>
    <x v="338"/>
    <x v="346"/>
  </r>
  <r>
    <n v="1099803"/>
    <x v="352"/>
    <x v="6"/>
    <x v="125"/>
    <x v="535"/>
  </r>
  <r>
    <n v="1099803"/>
    <x v="352"/>
    <x v="6"/>
    <x v="126"/>
    <x v="516"/>
  </r>
  <r>
    <n v="1099803"/>
    <x v="352"/>
    <x v="6"/>
    <x v="136"/>
    <x v="516"/>
  </r>
  <r>
    <n v="1099803"/>
    <x v="352"/>
    <x v="6"/>
    <x v="137"/>
    <x v="535"/>
  </r>
  <r>
    <n v="1099803"/>
    <x v="352"/>
    <x v="6"/>
    <x v="148"/>
    <x v="535"/>
  </r>
  <r>
    <n v="1099803"/>
    <x v="352"/>
    <x v="6"/>
    <x v="149"/>
    <x v="516"/>
  </r>
  <r>
    <n v="1099803"/>
    <x v="352"/>
    <x v="6"/>
    <x v="259"/>
    <x v="178"/>
  </r>
  <r>
    <n v="1099803"/>
    <x v="352"/>
    <x v="6"/>
    <x v="260"/>
    <x v="83"/>
  </r>
  <r>
    <n v="1099803"/>
    <x v="352"/>
    <x v="6"/>
    <x v="205"/>
    <x v="516"/>
  </r>
  <r>
    <n v="1099803"/>
    <x v="352"/>
    <x v="6"/>
    <x v="206"/>
    <x v="535"/>
  </r>
  <r>
    <n v="1099803"/>
    <x v="352"/>
    <x v="6"/>
    <x v="214"/>
    <x v="516"/>
  </r>
  <r>
    <n v="1099803"/>
    <x v="352"/>
    <x v="6"/>
    <x v="215"/>
    <x v="516"/>
  </r>
  <r>
    <n v="1099803"/>
    <x v="352"/>
    <x v="6"/>
    <x v="225"/>
    <x v="4"/>
  </r>
  <r>
    <n v="1099803"/>
    <x v="352"/>
    <x v="6"/>
    <x v="251"/>
    <x v="535"/>
  </r>
  <r>
    <n v="1099803"/>
    <x v="352"/>
    <x v="6"/>
    <x v="233"/>
    <x v="154"/>
  </r>
  <r>
    <n v="1099803"/>
    <x v="352"/>
    <x v="6"/>
    <x v="234"/>
    <x v="4"/>
  </r>
  <r>
    <n v="1099803"/>
    <x v="352"/>
    <x v="6"/>
    <x v="241"/>
    <x v="178"/>
  </r>
  <r>
    <n v="1099803"/>
    <x v="352"/>
    <x v="6"/>
    <x v="313"/>
    <x v="98"/>
  </r>
  <r>
    <n v="1099803"/>
    <x v="352"/>
    <x v="6"/>
    <x v="217"/>
    <x v="170"/>
  </r>
  <r>
    <n v="1099803"/>
    <x v="352"/>
    <x v="6"/>
    <x v="218"/>
    <x v="346"/>
  </r>
  <r>
    <n v="1099803"/>
    <x v="352"/>
    <x v="6"/>
    <x v="195"/>
    <x v="535"/>
  </r>
  <r>
    <n v="1099803"/>
    <x v="352"/>
    <x v="6"/>
    <x v="173"/>
    <x v="516"/>
  </r>
  <r>
    <n v="1099803"/>
    <x v="352"/>
    <x v="6"/>
    <x v="192"/>
    <x v="535"/>
  </r>
  <r>
    <n v="1099803"/>
    <x v="352"/>
    <x v="6"/>
    <x v="187"/>
    <x v="98"/>
  </r>
  <r>
    <n v="1099803"/>
    <x v="352"/>
    <x v="6"/>
    <x v="190"/>
    <x v="346"/>
  </r>
  <r>
    <n v="1099803"/>
    <x v="352"/>
    <x v="6"/>
    <x v="184"/>
    <x v="516"/>
  </r>
  <r>
    <n v="1099803"/>
    <x v="352"/>
    <x v="6"/>
    <x v="28"/>
    <x v="226"/>
  </r>
  <r>
    <n v="1099803"/>
    <x v="352"/>
    <x v="6"/>
    <x v="0"/>
    <x v="529"/>
  </r>
  <r>
    <n v="1099803"/>
    <x v="352"/>
    <x v="6"/>
    <x v="29"/>
    <x v="197"/>
  </r>
  <r>
    <n v="1099803"/>
    <x v="352"/>
    <x v="6"/>
    <x v="36"/>
    <x v="34"/>
  </r>
  <r>
    <n v="1099803"/>
    <x v="352"/>
    <x v="6"/>
    <x v="31"/>
    <x v="162"/>
  </r>
  <r>
    <n v="1099803"/>
    <x v="352"/>
    <x v="6"/>
    <x v="82"/>
    <x v="346"/>
  </r>
  <r>
    <n v="1099803"/>
    <x v="352"/>
    <x v="6"/>
    <x v="77"/>
    <x v="536"/>
  </r>
  <r>
    <n v="1099803"/>
    <x v="352"/>
    <x v="6"/>
    <x v="68"/>
    <x v="98"/>
  </r>
  <r>
    <n v="1099803"/>
    <x v="352"/>
    <x v="6"/>
    <x v="60"/>
    <x v="82"/>
  </r>
  <r>
    <n v="1099803"/>
    <x v="352"/>
    <x v="6"/>
    <x v="56"/>
    <x v="69"/>
  </r>
  <r>
    <n v="1099803"/>
    <x v="352"/>
    <x v="6"/>
    <x v="201"/>
    <x v="88"/>
  </r>
  <r>
    <n v="1099803"/>
    <x v="352"/>
    <x v="6"/>
    <x v="420"/>
    <x v="547"/>
  </r>
  <r>
    <n v="1099803"/>
    <x v="352"/>
    <x v="6"/>
    <x v="389"/>
    <x v="537"/>
  </r>
  <r>
    <n v="1099803"/>
    <x v="352"/>
    <x v="6"/>
    <x v="386"/>
    <x v="85"/>
  </r>
  <r>
    <n v="1099803"/>
    <x v="352"/>
    <x v="6"/>
    <x v="5"/>
    <x v="3"/>
  </r>
  <r>
    <n v="1099803"/>
    <x v="352"/>
    <x v="6"/>
    <x v="10"/>
    <x v="83"/>
  </r>
  <r>
    <n v="1099803"/>
    <x v="352"/>
    <x v="6"/>
    <x v="348"/>
    <x v="178"/>
  </r>
  <r>
    <n v="1099803"/>
    <x v="352"/>
    <x v="6"/>
    <x v="336"/>
    <x v="178"/>
  </r>
  <r>
    <n v="1099803"/>
    <x v="352"/>
    <x v="6"/>
    <x v="330"/>
    <x v="553"/>
  </r>
  <r>
    <n v="1099803"/>
    <x v="352"/>
    <x v="6"/>
    <x v="12"/>
    <x v="3"/>
  </r>
  <r>
    <n v="1099803"/>
    <x v="352"/>
    <x v="6"/>
    <x v="345"/>
    <x v="346"/>
  </r>
  <r>
    <n v="1099803"/>
    <x v="352"/>
    <x v="6"/>
    <x v="351"/>
    <x v="351"/>
  </r>
  <r>
    <n v="1099803"/>
    <x v="352"/>
    <x v="6"/>
    <x v="162"/>
    <x v="535"/>
  </r>
  <r>
    <n v="1099803"/>
    <x v="352"/>
    <x v="6"/>
    <x v="132"/>
    <x v="178"/>
  </r>
  <r>
    <n v="1099803"/>
    <x v="352"/>
    <x v="6"/>
    <x v="144"/>
    <x v="348"/>
  </r>
  <r>
    <n v="1099803"/>
    <x v="352"/>
    <x v="6"/>
    <x v="255"/>
    <x v="154"/>
  </r>
  <r>
    <n v="1099803"/>
    <x v="352"/>
    <x v="6"/>
    <x v="264"/>
    <x v="351"/>
  </r>
  <r>
    <n v="1099803"/>
    <x v="352"/>
    <x v="6"/>
    <x v="210"/>
    <x v="348"/>
  </r>
  <r>
    <n v="1099803"/>
    <x v="352"/>
    <x v="6"/>
    <x v="340"/>
    <x v="78"/>
  </r>
  <r>
    <n v="1099803"/>
    <x v="352"/>
    <x v="6"/>
    <x v="229"/>
    <x v="219"/>
  </r>
  <r>
    <n v="1099803"/>
    <x v="352"/>
    <x v="6"/>
    <x v="155"/>
    <x v="331"/>
  </r>
  <r>
    <n v="1099803"/>
    <x v="352"/>
    <x v="6"/>
    <x v="341"/>
    <x v="346"/>
  </r>
  <r>
    <n v="1099803"/>
    <x v="352"/>
    <x v="6"/>
    <x v="317"/>
    <x v="346"/>
  </r>
  <r>
    <n v="1099803"/>
    <x v="352"/>
    <x v="6"/>
    <x v="186"/>
    <x v="535"/>
  </r>
  <r>
    <n v="1099803"/>
    <x v="352"/>
    <x v="6"/>
    <x v="188"/>
    <x v="88"/>
  </r>
  <r>
    <n v="1099803"/>
    <x v="352"/>
    <x v="6"/>
    <x v="164"/>
    <x v="105"/>
  </r>
  <r>
    <n v="1099803"/>
    <x v="352"/>
    <x v="6"/>
    <x v="26"/>
    <x v="351"/>
  </r>
  <r>
    <n v="1099803"/>
    <x v="352"/>
    <x v="6"/>
    <x v="42"/>
    <x v="182"/>
  </r>
  <r>
    <n v="1099803"/>
    <x v="352"/>
    <x v="6"/>
    <x v="388"/>
    <x v="37"/>
  </r>
  <r>
    <n v="1099803"/>
    <x v="352"/>
    <x v="6"/>
    <x v="203"/>
    <x v="543"/>
  </r>
  <r>
    <n v="1099803"/>
    <x v="352"/>
    <x v="6"/>
    <x v="70"/>
    <x v="198"/>
  </r>
  <r>
    <n v="1099803"/>
    <x v="352"/>
    <x v="6"/>
    <x v="73"/>
    <x v="351"/>
  </r>
  <r>
    <n v="1099803"/>
    <x v="352"/>
    <x v="6"/>
    <x v="424"/>
    <x v="170"/>
  </r>
  <r>
    <n v="1099803"/>
    <x v="352"/>
    <x v="6"/>
    <x v="383"/>
    <x v="220"/>
  </r>
  <r>
    <n v="1099803"/>
    <x v="352"/>
    <x v="6"/>
    <x v="158"/>
    <x v="472"/>
  </r>
  <r>
    <n v="1099803"/>
    <x v="352"/>
    <x v="6"/>
    <x v="344"/>
    <x v="346"/>
  </r>
  <r>
    <n v="1099803"/>
    <x v="352"/>
    <x v="6"/>
    <x v="347"/>
    <x v="348"/>
  </r>
  <r>
    <n v="1099803"/>
    <x v="352"/>
    <x v="6"/>
    <x v="335"/>
    <x v="348"/>
  </r>
  <r>
    <n v="1099803"/>
    <x v="352"/>
    <x v="6"/>
    <x v="163"/>
    <x v="516"/>
  </r>
  <r>
    <n v="1099803"/>
    <x v="352"/>
    <x v="6"/>
    <x v="134"/>
    <x v="178"/>
  </r>
  <r>
    <n v="1099803"/>
    <x v="352"/>
    <x v="6"/>
    <x v="146"/>
    <x v="535"/>
  </r>
  <r>
    <n v="1099803"/>
    <x v="352"/>
    <x v="6"/>
    <x v="257"/>
    <x v="198"/>
  </r>
  <r>
    <n v="1099803"/>
    <x v="352"/>
    <x v="6"/>
    <x v="265"/>
    <x v="535"/>
  </r>
  <r>
    <n v="1099803"/>
    <x v="352"/>
    <x v="6"/>
    <x v="212"/>
    <x v="4"/>
  </r>
  <r>
    <n v="1099803"/>
    <x v="352"/>
    <x v="6"/>
    <x v="223"/>
    <x v="3"/>
  </r>
  <r>
    <n v="1099803"/>
    <x v="352"/>
    <x v="6"/>
    <x v="231"/>
    <x v="88"/>
  </r>
  <r>
    <n v="1099803"/>
    <x v="352"/>
    <x v="6"/>
    <x v="239"/>
    <x v="198"/>
  </r>
  <r>
    <n v="1099803"/>
    <x v="352"/>
    <x v="6"/>
    <x v="247"/>
    <x v="198"/>
  </r>
  <r>
    <n v="1099803"/>
    <x v="352"/>
    <x v="6"/>
    <x v="221"/>
    <x v="198"/>
  </r>
  <r>
    <n v="1099803"/>
    <x v="352"/>
    <x v="6"/>
    <x v="174"/>
    <x v="88"/>
  </r>
  <r>
    <n v="1099803"/>
    <x v="352"/>
    <x v="6"/>
    <x v="176"/>
    <x v="83"/>
  </r>
  <r>
    <n v="1099803"/>
    <x v="352"/>
    <x v="6"/>
    <x v="166"/>
    <x v="534"/>
  </r>
  <r>
    <n v="1099803"/>
    <x v="352"/>
    <x v="6"/>
    <x v="35"/>
    <x v="178"/>
  </r>
  <r>
    <n v="1099803"/>
    <x v="352"/>
    <x v="6"/>
    <x v="41"/>
    <x v="203"/>
  </r>
  <r>
    <n v="1099803"/>
    <x v="352"/>
    <x v="6"/>
    <x v="65"/>
    <x v="351"/>
  </r>
  <r>
    <n v="1099803"/>
    <x v="352"/>
    <x v="6"/>
    <x v="58"/>
    <x v="82"/>
  </r>
  <r>
    <n v="1099803"/>
    <x v="352"/>
    <x v="6"/>
    <x v="3"/>
    <x v="24"/>
  </r>
  <r>
    <n v="1099803"/>
    <x v="352"/>
    <x v="6"/>
    <x v="4"/>
    <x v="3"/>
  </r>
  <r>
    <n v="1099803"/>
    <x v="352"/>
    <x v="6"/>
    <x v="394"/>
    <x v="54"/>
  </r>
  <r>
    <n v="1099803"/>
    <x v="352"/>
    <x v="6"/>
    <x v="343"/>
    <x v="348"/>
  </r>
  <r>
    <n v="1099803"/>
    <x v="352"/>
    <x v="6"/>
    <x v="6"/>
    <x v="516"/>
  </r>
  <r>
    <n v="1099803"/>
    <x v="352"/>
    <x v="6"/>
    <x v="332"/>
    <x v="346"/>
  </r>
  <r>
    <n v="1099803"/>
    <x v="352"/>
    <x v="6"/>
    <x v="339"/>
    <x v="348"/>
  </r>
  <r>
    <n v="1099803"/>
    <x v="352"/>
    <x v="6"/>
    <x v="127"/>
    <x v="535"/>
  </r>
  <r>
    <n v="1099803"/>
    <x v="352"/>
    <x v="6"/>
    <x v="138"/>
    <x v="351"/>
  </r>
  <r>
    <n v="1099803"/>
    <x v="352"/>
    <x v="6"/>
    <x v="150"/>
    <x v="77"/>
  </r>
  <r>
    <n v="1099803"/>
    <x v="352"/>
    <x v="6"/>
    <x v="261"/>
    <x v="348"/>
  </r>
  <r>
    <n v="1099803"/>
    <x v="352"/>
    <x v="6"/>
    <x v="207"/>
    <x v="88"/>
  </r>
  <r>
    <n v="1099803"/>
    <x v="352"/>
    <x v="6"/>
    <x v="216"/>
    <x v="198"/>
  </r>
  <r>
    <n v="1099803"/>
    <x v="352"/>
    <x v="6"/>
    <x v="426"/>
    <x v="170"/>
  </r>
  <r>
    <n v="1099803"/>
    <x v="352"/>
    <x v="6"/>
    <x v="235"/>
    <x v="83"/>
  </r>
  <r>
    <n v="1099803"/>
    <x v="352"/>
    <x v="6"/>
    <x v="242"/>
    <x v="346"/>
  </r>
  <r>
    <n v="1099803"/>
    <x v="1"/>
    <x v="1"/>
    <x v="2"/>
    <x v="2"/>
  </r>
  <r>
    <n v="1099811"/>
    <x v="353"/>
    <x v="5"/>
    <x v="123"/>
    <x v="2"/>
  </r>
  <r>
    <n v="1099811"/>
    <x v="1"/>
    <x v="1"/>
    <x v="2"/>
    <x v="2"/>
  </r>
  <r>
    <n v="1099813"/>
    <x v="354"/>
    <x v="5"/>
    <x v="281"/>
    <x v="371"/>
  </r>
  <r>
    <n v="1099813"/>
    <x v="354"/>
    <x v="5"/>
    <x v="269"/>
    <x v="749"/>
  </r>
  <r>
    <n v="1099813"/>
    <x v="354"/>
    <x v="5"/>
    <x v="279"/>
    <x v="58"/>
  </r>
  <r>
    <n v="1099813"/>
    <x v="354"/>
    <x v="5"/>
    <x v="280"/>
    <x v="164"/>
  </r>
  <r>
    <n v="1099813"/>
    <x v="354"/>
    <x v="5"/>
    <x v="267"/>
    <x v="3"/>
  </r>
  <r>
    <n v="1099813"/>
    <x v="354"/>
    <x v="5"/>
    <x v="275"/>
    <x v="750"/>
  </r>
  <r>
    <n v="1099813"/>
    <x v="354"/>
    <x v="5"/>
    <x v="397"/>
    <x v="185"/>
  </r>
  <r>
    <n v="1099813"/>
    <x v="354"/>
    <x v="5"/>
    <x v="197"/>
    <x v="751"/>
  </r>
  <r>
    <n v="1099813"/>
    <x v="354"/>
    <x v="5"/>
    <x v="409"/>
    <x v="163"/>
  </r>
  <r>
    <n v="1099813"/>
    <x v="354"/>
    <x v="5"/>
    <x v="268"/>
    <x v="37"/>
  </r>
  <r>
    <n v="1099813"/>
    <x v="354"/>
    <x v="5"/>
    <x v="284"/>
    <x v="121"/>
  </r>
  <r>
    <n v="1099813"/>
    <x v="354"/>
    <x v="5"/>
    <x v="403"/>
    <x v="53"/>
  </r>
  <r>
    <n v="1099813"/>
    <x v="354"/>
    <x v="5"/>
    <x v="417"/>
    <x v="353"/>
  </r>
  <r>
    <n v="1099813"/>
    <x v="354"/>
    <x v="5"/>
    <x v="285"/>
    <x v="34"/>
  </r>
  <r>
    <n v="1099813"/>
    <x v="354"/>
    <x v="5"/>
    <x v="286"/>
    <x v="752"/>
  </r>
  <r>
    <n v="1099813"/>
    <x v="354"/>
    <x v="5"/>
    <x v="266"/>
    <x v="753"/>
  </r>
  <r>
    <n v="1099813"/>
    <x v="354"/>
    <x v="5"/>
    <x v="407"/>
    <x v="197"/>
  </r>
  <r>
    <n v="1099813"/>
    <x v="354"/>
    <x v="5"/>
    <x v="198"/>
    <x v="203"/>
  </r>
  <r>
    <n v="1099813"/>
    <x v="354"/>
    <x v="5"/>
    <x v="23"/>
    <x v="37"/>
  </r>
  <r>
    <n v="1099813"/>
    <x v="354"/>
    <x v="5"/>
    <x v="22"/>
    <x v="37"/>
  </r>
  <r>
    <n v="1099813"/>
    <x v="354"/>
    <x v="5"/>
    <x v="274"/>
    <x v="754"/>
  </r>
  <r>
    <n v="1099813"/>
    <x v="354"/>
    <x v="5"/>
    <x v="19"/>
    <x v="161"/>
  </r>
  <r>
    <n v="1099813"/>
    <x v="354"/>
    <x v="5"/>
    <x v="398"/>
    <x v="154"/>
  </r>
  <r>
    <n v="1099813"/>
    <x v="354"/>
    <x v="5"/>
    <x v="406"/>
    <x v="79"/>
  </r>
  <r>
    <n v="1099813"/>
    <x v="354"/>
    <x v="5"/>
    <x v="416"/>
    <x v="212"/>
  </r>
  <r>
    <n v="1099813"/>
    <x v="354"/>
    <x v="5"/>
    <x v="415"/>
    <x v="39"/>
  </r>
  <r>
    <n v="1099813"/>
    <x v="354"/>
    <x v="5"/>
    <x v="412"/>
    <x v="348"/>
  </r>
  <r>
    <n v="1099813"/>
    <x v="354"/>
    <x v="5"/>
    <x v="408"/>
    <x v="154"/>
  </r>
  <r>
    <n v="1099813"/>
    <x v="354"/>
    <x v="5"/>
    <x v="400"/>
    <x v="24"/>
  </r>
  <r>
    <n v="1099813"/>
    <x v="354"/>
    <x v="5"/>
    <x v="21"/>
    <x v="77"/>
  </r>
  <r>
    <n v="1099813"/>
    <x v="354"/>
    <x v="5"/>
    <x v="404"/>
    <x v="54"/>
  </r>
  <r>
    <n v="1099813"/>
    <x v="354"/>
    <x v="5"/>
    <x v="86"/>
    <x v="755"/>
  </r>
  <r>
    <n v="1099813"/>
    <x v="354"/>
    <x v="5"/>
    <x v="413"/>
    <x v="176"/>
  </r>
  <r>
    <n v="1099813"/>
    <x v="354"/>
    <x v="5"/>
    <x v="20"/>
    <x v="62"/>
  </r>
  <r>
    <n v="1099813"/>
    <x v="354"/>
    <x v="5"/>
    <x v="401"/>
    <x v="79"/>
  </r>
  <r>
    <n v="1099813"/>
    <x v="354"/>
    <x v="5"/>
    <x v="405"/>
    <x v="98"/>
  </r>
  <r>
    <n v="1099813"/>
    <x v="354"/>
    <x v="5"/>
    <x v="414"/>
    <x v="88"/>
  </r>
  <r>
    <n v="1099813"/>
    <x v="354"/>
    <x v="5"/>
    <x v="18"/>
    <x v="97"/>
  </r>
  <r>
    <n v="1099813"/>
    <x v="354"/>
    <x v="5"/>
    <x v="402"/>
    <x v="146"/>
  </r>
  <r>
    <n v="1099813"/>
    <x v="354"/>
    <x v="5"/>
    <x v="308"/>
    <x v="224"/>
  </r>
  <r>
    <n v="1099813"/>
    <x v="354"/>
    <x v="5"/>
    <x v="92"/>
    <x v="263"/>
  </r>
  <r>
    <n v="1099813"/>
    <x v="354"/>
    <x v="5"/>
    <x v="99"/>
    <x v="756"/>
  </r>
  <r>
    <n v="1099813"/>
    <x v="354"/>
    <x v="5"/>
    <x v="306"/>
    <x v="91"/>
  </r>
  <r>
    <n v="1099813"/>
    <x v="354"/>
    <x v="5"/>
    <x v="307"/>
    <x v="757"/>
  </r>
  <r>
    <n v="1099813"/>
    <x v="354"/>
    <x v="5"/>
    <x v="410"/>
    <x v="105"/>
  </r>
  <r>
    <n v="1099813"/>
    <x v="354"/>
    <x v="5"/>
    <x v="399"/>
    <x v="520"/>
  </r>
  <r>
    <n v="1099813"/>
    <x v="354"/>
    <x v="5"/>
    <x v="273"/>
    <x v="706"/>
  </r>
  <r>
    <n v="1099813"/>
    <x v="354"/>
    <x v="5"/>
    <x v="411"/>
    <x v="363"/>
  </r>
  <r>
    <n v="1099813"/>
    <x v="354"/>
    <x v="5"/>
    <x v="85"/>
    <x v="758"/>
  </r>
  <r>
    <n v="1099813"/>
    <x v="354"/>
    <x v="5"/>
    <x v="282"/>
    <x v="759"/>
  </r>
  <r>
    <n v="1099813"/>
    <x v="354"/>
    <x v="5"/>
    <x v="283"/>
    <x v="548"/>
  </r>
  <r>
    <n v="1099813"/>
    <x v="354"/>
    <x v="5"/>
    <x v="278"/>
    <x v="570"/>
  </r>
  <r>
    <n v="1099813"/>
    <x v="354"/>
    <x v="5"/>
    <x v="270"/>
    <x v="222"/>
  </r>
  <r>
    <n v="1099813"/>
    <x v="354"/>
    <x v="5"/>
    <x v="196"/>
    <x v="451"/>
  </r>
  <r>
    <n v="1099813"/>
    <x v="354"/>
    <x v="5"/>
    <x v="271"/>
    <x v="615"/>
  </r>
  <r>
    <n v="1099813"/>
    <x v="1"/>
    <x v="1"/>
    <x v="2"/>
    <x v="2"/>
  </r>
  <r>
    <n v="1099820"/>
    <x v="355"/>
    <x v="6"/>
    <x v="167"/>
    <x v="2"/>
  </r>
  <r>
    <n v="1099820"/>
    <x v="1"/>
    <x v="1"/>
    <x v="2"/>
    <x v="2"/>
  </r>
  <r>
    <n v="1099823"/>
    <x v="356"/>
    <x v="6"/>
    <x v="167"/>
    <x v="2"/>
  </r>
  <r>
    <n v="1099823"/>
    <x v="1"/>
    <x v="1"/>
    <x v="2"/>
    <x v="2"/>
  </r>
  <r>
    <n v="1099824"/>
    <x v="357"/>
    <x v="6"/>
    <x v="450"/>
    <x v="2"/>
  </r>
  <r>
    <n v="1099824"/>
    <x v="1"/>
    <x v="1"/>
    <x v="2"/>
    <x v="2"/>
  </r>
  <r>
    <n v="1099827"/>
    <x v="358"/>
    <x v="6"/>
    <x v="452"/>
    <x v="2"/>
  </r>
  <r>
    <n v="1099827"/>
    <x v="1"/>
    <x v="1"/>
    <x v="2"/>
    <x v="2"/>
  </r>
  <r>
    <n v="1099835"/>
    <x v="359"/>
    <x v="5"/>
    <x v="304"/>
    <x v="387"/>
  </r>
  <r>
    <n v="1099835"/>
    <x v="359"/>
    <x v="5"/>
    <x v="376"/>
    <x v="197"/>
  </r>
  <r>
    <n v="1099835"/>
    <x v="359"/>
    <x v="5"/>
    <x v="119"/>
    <x v="760"/>
  </r>
  <r>
    <n v="1099835"/>
    <x v="359"/>
    <x v="5"/>
    <x v="453"/>
    <x v="3"/>
  </r>
  <r>
    <n v="1099835"/>
    <x v="359"/>
    <x v="5"/>
    <x v="21"/>
    <x v="88"/>
  </r>
  <r>
    <n v="1099835"/>
    <x v="359"/>
    <x v="5"/>
    <x v="404"/>
    <x v="156"/>
  </r>
  <r>
    <n v="1099835"/>
    <x v="359"/>
    <x v="5"/>
    <x v="86"/>
    <x v="81"/>
  </r>
  <r>
    <n v="1099835"/>
    <x v="359"/>
    <x v="5"/>
    <x v="413"/>
    <x v="154"/>
  </r>
  <r>
    <n v="1099835"/>
    <x v="359"/>
    <x v="5"/>
    <x v="20"/>
    <x v="64"/>
  </r>
  <r>
    <n v="1099835"/>
    <x v="359"/>
    <x v="5"/>
    <x v="401"/>
    <x v="77"/>
  </r>
  <r>
    <n v="1099835"/>
    <x v="359"/>
    <x v="5"/>
    <x v="405"/>
    <x v="4"/>
  </r>
  <r>
    <n v="1099835"/>
    <x v="359"/>
    <x v="5"/>
    <x v="414"/>
    <x v="198"/>
  </r>
  <r>
    <n v="1099835"/>
    <x v="359"/>
    <x v="5"/>
    <x v="18"/>
    <x v="176"/>
  </r>
  <r>
    <n v="1099835"/>
    <x v="359"/>
    <x v="5"/>
    <x v="402"/>
    <x v="153"/>
  </r>
  <r>
    <n v="1099835"/>
    <x v="359"/>
    <x v="5"/>
    <x v="49"/>
    <x v="217"/>
  </r>
  <r>
    <n v="1099835"/>
    <x v="359"/>
    <x v="5"/>
    <x v="196"/>
    <x v="761"/>
  </r>
  <r>
    <n v="1099835"/>
    <x v="359"/>
    <x v="5"/>
    <x v="47"/>
    <x v="762"/>
  </r>
  <r>
    <n v="1099835"/>
    <x v="359"/>
    <x v="5"/>
    <x v="51"/>
    <x v="687"/>
  </r>
  <r>
    <n v="1099835"/>
    <x v="359"/>
    <x v="5"/>
    <x v="53"/>
    <x v="763"/>
  </r>
  <r>
    <n v="1099835"/>
    <x v="359"/>
    <x v="5"/>
    <x v="355"/>
    <x v="69"/>
  </r>
  <r>
    <n v="1099835"/>
    <x v="359"/>
    <x v="5"/>
    <x v="269"/>
    <x v="764"/>
  </r>
  <r>
    <n v="1099835"/>
    <x v="359"/>
    <x v="5"/>
    <x v="360"/>
    <x v="91"/>
  </r>
  <r>
    <n v="1099835"/>
    <x v="359"/>
    <x v="5"/>
    <x v="281"/>
    <x v="746"/>
  </r>
  <r>
    <n v="1099835"/>
    <x v="359"/>
    <x v="5"/>
    <x v="440"/>
    <x v="223"/>
  </r>
  <r>
    <n v="1099835"/>
    <x v="359"/>
    <x v="5"/>
    <x v="89"/>
    <x v="756"/>
  </r>
  <r>
    <n v="1099835"/>
    <x v="359"/>
    <x v="5"/>
    <x v="361"/>
    <x v="62"/>
  </r>
  <r>
    <n v="1099835"/>
    <x v="359"/>
    <x v="5"/>
    <x v="443"/>
    <x v="233"/>
  </r>
  <r>
    <n v="1099835"/>
    <x v="359"/>
    <x v="5"/>
    <x v="362"/>
    <x v="353"/>
  </r>
  <r>
    <n v="1099835"/>
    <x v="359"/>
    <x v="5"/>
    <x v="363"/>
    <x v="62"/>
  </r>
  <r>
    <n v="1099835"/>
    <x v="359"/>
    <x v="5"/>
    <x v="90"/>
    <x v="91"/>
  </r>
  <r>
    <n v="1099835"/>
    <x v="359"/>
    <x v="5"/>
    <x v="364"/>
    <x v="176"/>
  </r>
  <r>
    <n v="1099835"/>
    <x v="359"/>
    <x v="5"/>
    <x v="115"/>
    <x v="164"/>
  </r>
  <r>
    <n v="1099835"/>
    <x v="359"/>
    <x v="5"/>
    <x v="271"/>
    <x v="84"/>
  </r>
  <r>
    <n v="1099835"/>
    <x v="359"/>
    <x v="5"/>
    <x v="111"/>
    <x v="349"/>
  </r>
  <r>
    <n v="1099835"/>
    <x v="359"/>
    <x v="5"/>
    <x v="442"/>
    <x v="149"/>
  </r>
  <r>
    <n v="1099835"/>
    <x v="359"/>
    <x v="5"/>
    <x v="365"/>
    <x v="198"/>
  </r>
  <r>
    <n v="1099835"/>
    <x v="359"/>
    <x v="5"/>
    <x v="366"/>
    <x v="4"/>
  </r>
  <r>
    <n v="1099835"/>
    <x v="359"/>
    <x v="5"/>
    <x v="367"/>
    <x v="79"/>
  </r>
  <r>
    <n v="1099835"/>
    <x v="359"/>
    <x v="5"/>
    <x v="368"/>
    <x v="79"/>
  </r>
  <r>
    <n v="1099835"/>
    <x v="359"/>
    <x v="5"/>
    <x v="91"/>
    <x v="144"/>
  </r>
  <r>
    <n v="1099835"/>
    <x v="359"/>
    <x v="5"/>
    <x v="444"/>
    <x v="170"/>
  </r>
  <r>
    <n v="1099835"/>
    <x v="359"/>
    <x v="5"/>
    <x v="370"/>
    <x v="78"/>
  </r>
  <r>
    <n v="1099835"/>
    <x v="359"/>
    <x v="5"/>
    <x v="371"/>
    <x v="161"/>
  </r>
  <r>
    <n v="1099835"/>
    <x v="359"/>
    <x v="5"/>
    <x v="308"/>
    <x v="92"/>
  </r>
  <r>
    <n v="1099835"/>
    <x v="359"/>
    <x v="5"/>
    <x v="50"/>
    <x v="91"/>
  </r>
  <r>
    <n v="1099835"/>
    <x v="359"/>
    <x v="5"/>
    <x v="23"/>
    <x v="117"/>
  </r>
  <r>
    <n v="1099835"/>
    <x v="359"/>
    <x v="5"/>
    <x v="373"/>
    <x v="92"/>
  </r>
  <r>
    <n v="1099835"/>
    <x v="359"/>
    <x v="5"/>
    <x v="92"/>
    <x v="765"/>
  </r>
  <r>
    <n v="1099835"/>
    <x v="359"/>
    <x v="5"/>
    <x v="99"/>
    <x v="766"/>
  </r>
  <r>
    <n v="1099835"/>
    <x v="359"/>
    <x v="5"/>
    <x v="374"/>
    <x v="54"/>
  </r>
  <r>
    <n v="1099835"/>
    <x v="359"/>
    <x v="5"/>
    <x v="45"/>
    <x v="258"/>
  </r>
  <r>
    <n v="1099835"/>
    <x v="359"/>
    <x v="5"/>
    <x v="116"/>
    <x v="387"/>
  </r>
  <r>
    <n v="1099835"/>
    <x v="359"/>
    <x v="5"/>
    <x v="110"/>
    <x v="39"/>
  </r>
  <r>
    <n v="1099835"/>
    <x v="359"/>
    <x v="5"/>
    <x v="267"/>
    <x v="3"/>
  </r>
  <r>
    <n v="1099835"/>
    <x v="359"/>
    <x v="5"/>
    <x v="93"/>
    <x v="767"/>
  </r>
  <r>
    <n v="1099835"/>
    <x v="359"/>
    <x v="5"/>
    <x v="305"/>
    <x v="768"/>
  </r>
  <r>
    <n v="1099835"/>
    <x v="359"/>
    <x v="5"/>
    <x v="274"/>
    <x v="263"/>
  </r>
  <r>
    <n v="1099835"/>
    <x v="359"/>
    <x v="5"/>
    <x v="98"/>
    <x v="148"/>
  </r>
  <r>
    <n v="1099835"/>
    <x v="359"/>
    <x v="5"/>
    <x v="409"/>
    <x v="78"/>
  </r>
  <r>
    <n v="1099835"/>
    <x v="359"/>
    <x v="5"/>
    <x v="311"/>
    <x v="114"/>
  </r>
  <r>
    <n v="1099835"/>
    <x v="359"/>
    <x v="5"/>
    <x v="19"/>
    <x v="170"/>
  </r>
  <r>
    <n v="1099835"/>
    <x v="359"/>
    <x v="5"/>
    <x v="96"/>
    <x v="144"/>
  </r>
  <r>
    <n v="1099835"/>
    <x v="359"/>
    <x v="5"/>
    <x v="398"/>
    <x v="83"/>
  </r>
  <r>
    <n v="1099835"/>
    <x v="359"/>
    <x v="5"/>
    <x v="356"/>
    <x v="34"/>
  </r>
  <r>
    <n v="1099835"/>
    <x v="359"/>
    <x v="5"/>
    <x v="94"/>
    <x v="88"/>
  </r>
  <r>
    <n v="1099835"/>
    <x v="359"/>
    <x v="5"/>
    <x v="406"/>
    <x v="77"/>
  </r>
  <r>
    <n v="1099835"/>
    <x v="359"/>
    <x v="5"/>
    <x v="377"/>
    <x v="769"/>
  </r>
  <r>
    <n v="1099835"/>
    <x v="359"/>
    <x v="5"/>
    <x v="357"/>
    <x v="349"/>
  </r>
  <r>
    <n v="1099835"/>
    <x v="359"/>
    <x v="5"/>
    <x v="416"/>
    <x v="552"/>
  </r>
  <r>
    <n v="1099835"/>
    <x v="359"/>
    <x v="5"/>
    <x v="52"/>
    <x v="154"/>
  </r>
  <r>
    <n v="1099835"/>
    <x v="359"/>
    <x v="5"/>
    <x v="358"/>
    <x v="61"/>
  </r>
  <r>
    <n v="1099835"/>
    <x v="359"/>
    <x v="5"/>
    <x v="415"/>
    <x v="145"/>
  </r>
  <r>
    <n v="1099835"/>
    <x v="359"/>
    <x v="5"/>
    <x v="117"/>
    <x v="615"/>
  </r>
  <r>
    <n v="1099835"/>
    <x v="359"/>
    <x v="5"/>
    <x v="408"/>
    <x v="83"/>
  </r>
  <r>
    <n v="1099835"/>
    <x v="359"/>
    <x v="5"/>
    <x v="400"/>
    <x v="77"/>
  </r>
  <r>
    <n v="1099835"/>
    <x v="359"/>
    <x v="5"/>
    <x v="270"/>
    <x v="214"/>
  </r>
  <r>
    <n v="1099835"/>
    <x v="359"/>
    <x v="5"/>
    <x v="113"/>
    <x v="77"/>
  </r>
  <r>
    <n v="1099835"/>
    <x v="359"/>
    <x v="5"/>
    <x v="112"/>
    <x v="146"/>
  </r>
  <r>
    <n v="1099835"/>
    <x v="359"/>
    <x v="5"/>
    <x v="306"/>
    <x v="163"/>
  </r>
  <r>
    <n v="1099835"/>
    <x v="359"/>
    <x v="5"/>
    <x v="114"/>
    <x v="161"/>
  </r>
  <r>
    <n v="1099835"/>
    <x v="359"/>
    <x v="5"/>
    <x v="307"/>
    <x v="367"/>
  </r>
  <r>
    <n v="1099835"/>
    <x v="359"/>
    <x v="5"/>
    <x v="309"/>
    <x v="455"/>
  </r>
  <r>
    <n v="1099835"/>
    <x v="359"/>
    <x v="5"/>
    <x v="399"/>
    <x v="171"/>
  </r>
  <r>
    <n v="1099835"/>
    <x v="359"/>
    <x v="5"/>
    <x v="273"/>
    <x v="51"/>
  </r>
  <r>
    <n v="1099835"/>
    <x v="359"/>
    <x v="5"/>
    <x v="329"/>
    <x v="694"/>
  </r>
  <r>
    <n v="1099835"/>
    <x v="359"/>
    <x v="5"/>
    <x v="445"/>
    <x v="97"/>
  </r>
  <r>
    <n v="1099835"/>
    <x v="359"/>
    <x v="5"/>
    <x v="411"/>
    <x v="148"/>
  </r>
  <r>
    <n v="1099835"/>
    <x v="359"/>
    <x v="5"/>
    <x v="118"/>
    <x v="207"/>
  </r>
  <r>
    <n v="1099835"/>
    <x v="359"/>
    <x v="5"/>
    <x v="280"/>
    <x v="144"/>
  </r>
  <r>
    <n v="1099835"/>
    <x v="359"/>
    <x v="5"/>
    <x v="100"/>
    <x v="39"/>
  </r>
  <r>
    <n v="1099835"/>
    <x v="359"/>
    <x v="5"/>
    <x v="54"/>
    <x v="78"/>
  </r>
  <r>
    <n v="1099835"/>
    <x v="1"/>
    <x v="1"/>
    <x v="2"/>
    <x v="2"/>
  </r>
  <r>
    <n v="1099844"/>
    <x v="360"/>
    <x v="6"/>
    <x v="277"/>
    <x v="2"/>
  </r>
  <r>
    <n v="1099844"/>
    <x v="1"/>
    <x v="1"/>
    <x v="2"/>
    <x v="2"/>
  </r>
  <r>
    <n v="1099849"/>
    <x v="361"/>
    <x v="6"/>
    <x v="454"/>
    <x v="2"/>
  </r>
  <r>
    <n v="1099849"/>
    <x v="1"/>
    <x v="1"/>
    <x v="2"/>
    <x v="2"/>
  </r>
  <r>
    <n v="1099851"/>
    <x v="362"/>
    <x v="6"/>
    <x v="427"/>
    <x v="2"/>
  </r>
  <r>
    <n v="1099851"/>
    <x v="1"/>
    <x v="1"/>
    <x v="2"/>
    <x v="2"/>
  </r>
  <r>
    <n v="1099854"/>
    <x v="363"/>
    <x v="6"/>
    <x v="455"/>
    <x v="2"/>
  </r>
  <r>
    <n v="1099854"/>
    <x v="1"/>
    <x v="1"/>
    <x v="2"/>
    <x v="2"/>
  </r>
  <r>
    <n v="1099859"/>
    <x v="364"/>
    <x v="2"/>
    <x v="84"/>
    <x v="232"/>
  </r>
  <r>
    <n v="1099859"/>
    <x v="364"/>
    <x v="2"/>
    <x v="76"/>
    <x v="231"/>
  </r>
  <r>
    <n v="1099859"/>
    <x v="364"/>
    <x v="2"/>
    <x v="82"/>
    <x v="162"/>
  </r>
  <r>
    <n v="1099859"/>
    <x v="364"/>
    <x v="2"/>
    <x v="77"/>
    <x v="236"/>
  </r>
  <r>
    <n v="1099859"/>
    <x v="364"/>
    <x v="2"/>
    <x v="78"/>
    <x v="235"/>
  </r>
  <r>
    <n v="1099859"/>
    <x v="364"/>
    <x v="2"/>
    <x v="65"/>
    <x v="98"/>
  </r>
  <r>
    <n v="1099859"/>
    <x v="364"/>
    <x v="2"/>
    <x v="66"/>
    <x v="231"/>
  </r>
  <r>
    <n v="1099859"/>
    <x v="364"/>
    <x v="2"/>
    <x v="68"/>
    <x v="230"/>
  </r>
  <r>
    <n v="1099859"/>
    <x v="364"/>
    <x v="2"/>
    <x v="60"/>
    <x v="229"/>
  </r>
  <r>
    <n v="1099859"/>
    <x v="364"/>
    <x v="2"/>
    <x v="75"/>
    <x v="173"/>
  </r>
  <r>
    <n v="1099859"/>
    <x v="364"/>
    <x v="2"/>
    <x v="71"/>
    <x v="111"/>
  </r>
  <r>
    <n v="1099859"/>
    <x v="364"/>
    <x v="2"/>
    <x v="74"/>
    <x v="51"/>
  </r>
  <r>
    <n v="1099859"/>
    <x v="364"/>
    <x v="2"/>
    <x v="62"/>
    <x v="153"/>
  </r>
  <r>
    <n v="1099859"/>
    <x v="364"/>
    <x v="2"/>
    <x v="70"/>
    <x v="197"/>
  </r>
  <r>
    <n v="1099859"/>
    <x v="364"/>
    <x v="2"/>
    <x v="63"/>
    <x v="97"/>
  </r>
  <r>
    <n v="1099859"/>
    <x v="364"/>
    <x v="2"/>
    <x v="58"/>
    <x v="233"/>
  </r>
  <r>
    <n v="1099859"/>
    <x v="364"/>
    <x v="2"/>
    <x v="79"/>
    <x v="227"/>
  </r>
  <r>
    <n v="1099859"/>
    <x v="364"/>
    <x v="2"/>
    <x v="56"/>
    <x v="228"/>
  </r>
  <r>
    <n v="1099859"/>
    <x v="364"/>
    <x v="2"/>
    <x v="61"/>
    <x v="234"/>
  </r>
  <r>
    <n v="1099859"/>
    <x v="1"/>
    <x v="1"/>
    <x v="2"/>
    <x v="2"/>
  </r>
  <r>
    <n v="1099875"/>
    <x v="365"/>
    <x v="6"/>
    <x v="427"/>
    <x v="2"/>
  </r>
  <r>
    <n v="1099875"/>
    <x v="1"/>
    <x v="1"/>
    <x v="2"/>
    <x v="2"/>
  </r>
  <r>
    <n v="1099888"/>
    <x v="366"/>
    <x v="12"/>
    <x v="297"/>
    <x v="51"/>
  </r>
  <r>
    <n v="1099888"/>
    <x v="366"/>
    <x v="12"/>
    <x v="428"/>
    <x v="40"/>
  </r>
  <r>
    <n v="1099888"/>
    <x v="366"/>
    <x v="12"/>
    <x v="106"/>
    <x v="150"/>
  </r>
  <r>
    <n v="1099888"/>
    <x v="366"/>
    <x v="12"/>
    <x v="287"/>
    <x v="217"/>
  </r>
  <r>
    <n v="1099888"/>
    <x v="366"/>
    <x v="12"/>
    <x v="107"/>
    <x v="222"/>
  </r>
  <r>
    <n v="1099888"/>
    <x v="366"/>
    <x v="12"/>
    <x v="429"/>
    <x v="456"/>
  </r>
  <r>
    <n v="1099888"/>
    <x v="366"/>
    <x v="12"/>
    <x v="435"/>
    <x v="144"/>
  </r>
  <r>
    <n v="1099888"/>
    <x v="366"/>
    <x v="12"/>
    <x v="293"/>
    <x v="559"/>
  </r>
  <r>
    <n v="1099888"/>
    <x v="366"/>
    <x v="12"/>
    <x v="379"/>
    <x v="562"/>
  </r>
  <r>
    <n v="1099888"/>
    <x v="366"/>
    <x v="12"/>
    <x v="432"/>
    <x v="57"/>
  </r>
  <r>
    <n v="1099888"/>
    <x v="366"/>
    <x v="12"/>
    <x v="378"/>
    <x v="90"/>
  </r>
  <r>
    <n v="1099888"/>
    <x v="366"/>
    <x v="12"/>
    <x v="105"/>
    <x v="560"/>
  </r>
  <r>
    <n v="1099888"/>
    <x v="366"/>
    <x v="12"/>
    <x v="381"/>
    <x v="566"/>
  </r>
  <r>
    <n v="1099888"/>
    <x v="366"/>
    <x v="12"/>
    <x v="294"/>
    <x v="58"/>
  </r>
  <r>
    <n v="1099888"/>
    <x v="366"/>
    <x v="12"/>
    <x v="291"/>
    <x v="114"/>
  </r>
  <r>
    <n v="1099888"/>
    <x v="366"/>
    <x v="12"/>
    <x v="382"/>
    <x v="565"/>
  </r>
  <r>
    <n v="1099888"/>
    <x v="366"/>
    <x v="12"/>
    <x v="437"/>
    <x v="213"/>
  </r>
  <r>
    <n v="1099888"/>
    <x v="366"/>
    <x v="12"/>
    <x v="292"/>
    <x v="21"/>
  </r>
  <r>
    <n v="1099888"/>
    <x v="366"/>
    <x v="12"/>
    <x v="102"/>
    <x v="558"/>
  </r>
  <r>
    <n v="1099888"/>
    <x v="366"/>
    <x v="12"/>
    <x v="103"/>
    <x v="552"/>
  </r>
  <r>
    <n v="1099888"/>
    <x v="366"/>
    <x v="12"/>
    <x v="298"/>
    <x v="567"/>
  </r>
  <r>
    <n v="1099888"/>
    <x v="366"/>
    <x v="12"/>
    <x v="433"/>
    <x v="149"/>
  </r>
  <r>
    <n v="1099888"/>
    <x v="366"/>
    <x v="12"/>
    <x v="430"/>
    <x v="64"/>
  </r>
  <r>
    <n v="1099888"/>
    <x v="366"/>
    <x v="12"/>
    <x v="104"/>
    <x v="552"/>
  </r>
  <r>
    <n v="1099888"/>
    <x v="366"/>
    <x v="12"/>
    <x v="431"/>
    <x v="172"/>
  </r>
  <r>
    <n v="1099888"/>
    <x v="366"/>
    <x v="12"/>
    <x v="290"/>
    <x v="564"/>
  </r>
  <r>
    <n v="1099888"/>
    <x v="366"/>
    <x v="12"/>
    <x v="288"/>
    <x v="557"/>
  </r>
  <r>
    <n v="1099888"/>
    <x v="366"/>
    <x v="12"/>
    <x v="295"/>
    <x v="563"/>
  </r>
  <r>
    <n v="1099888"/>
    <x v="366"/>
    <x v="12"/>
    <x v="436"/>
    <x v="376"/>
  </r>
  <r>
    <n v="1099888"/>
    <x v="366"/>
    <x v="12"/>
    <x v="289"/>
    <x v="568"/>
  </r>
  <r>
    <n v="1099888"/>
    <x v="366"/>
    <x v="12"/>
    <x v="434"/>
    <x v="225"/>
  </r>
  <r>
    <n v="1099888"/>
    <x v="366"/>
    <x v="12"/>
    <x v="296"/>
    <x v="561"/>
  </r>
  <r>
    <n v="1099888"/>
    <x v="366"/>
    <x v="12"/>
    <x v="380"/>
    <x v="21"/>
  </r>
  <r>
    <n v="1099888"/>
    <x v="366"/>
    <x v="12"/>
    <x v="101"/>
    <x v="232"/>
  </r>
  <r>
    <n v="1099888"/>
    <x v="1"/>
    <x v="1"/>
    <x v="2"/>
    <x v="2"/>
  </r>
  <r>
    <n v="1099895"/>
    <x v="367"/>
    <x v="6"/>
    <x v="167"/>
    <x v="2"/>
  </r>
  <r>
    <n v="1099895"/>
    <x v="1"/>
    <x v="1"/>
    <x v="2"/>
    <x v="2"/>
  </r>
  <r>
    <n v="1099901"/>
    <x v="368"/>
    <x v="6"/>
    <x v="167"/>
    <x v="2"/>
  </r>
  <r>
    <n v="1099901"/>
    <x v="1"/>
    <x v="1"/>
    <x v="2"/>
    <x v="2"/>
  </r>
  <r>
    <n v="1099907"/>
    <x v="369"/>
    <x v="6"/>
    <x v="450"/>
    <x v="2"/>
  </r>
  <r>
    <n v="1099907"/>
    <x v="1"/>
    <x v="1"/>
    <x v="2"/>
    <x v="2"/>
  </r>
  <r>
    <n v="1099909"/>
    <x v="370"/>
    <x v="6"/>
    <x v="167"/>
    <x v="2"/>
  </r>
  <r>
    <n v="1099909"/>
    <x v="1"/>
    <x v="1"/>
    <x v="2"/>
    <x v="2"/>
  </r>
  <r>
    <n v="1099911"/>
    <x v="371"/>
    <x v="6"/>
    <x v="287"/>
    <x v="325"/>
  </r>
  <r>
    <n v="1099911"/>
    <x v="371"/>
    <x v="6"/>
    <x v="288"/>
    <x v="770"/>
  </r>
  <r>
    <n v="1099911"/>
    <x v="371"/>
    <x v="6"/>
    <x v="104"/>
    <x v="771"/>
  </r>
  <r>
    <n v="1099911"/>
    <x v="371"/>
    <x v="6"/>
    <x v="106"/>
    <x v="772"/>
  </r>
  <r>
    <n v="1099911"/>
    <x v="371"/>
    <x v="6"/>
    <x v="105"/>
    <x v="773"/>
  </r>
  <r>
    <n v="1099911"/>
    <x v="371"/>
    <x v="6"/>
    <x v="289"/>
    <x v="774"/>
  </r>
  <r>
    <n v="1099911"/>
    <x v="371"/>
    <x v="6"/>
    <x v="102"/>
    <x v="775"/>
  </r>
  <r>
    <n v="1099911"/>
    <x v="371"/>
    <x v="6"/>
    <x v="103"/>
    <x v="771"/>
  </r>
  <r>
    <n v="1099911"/>
    <x v="371"/>
    <x v="6"/>
    <x v="101"/>
    <x v="776"/>
  </r>
  <r>
    <n v="1099911"/>
    <x v="371"/>
    <x v="6"/>
    <x v="107"/>
    <x v="240"/>
  </r>
  <r>
    <n v="1099911"/>
    <x v="1"/>
    <x v="1"/>
    <x v="2"/>
    <x v="2"/>
  </r>
  <r>
    <n v="1099914"/>
    <x v="372"/>
    <x v="6"/>
    <x v="450"/>
    <x v="2"/>
  </r>
  <r>
    <n v="1099914"/>
    <x v="1"/>
    <x v="1"/>
    <x v="2"/>
    <x v="2"/>
  </r>
  <r>
    <n v="1099915"/>
    <x v="373"/>
    <x v="6"/>
    <x v="167"/>
    <x v="2"/>
  </r>
  <r>
    <n v="1099915"/>
    <x v="1"/>
    <x v="1"/>
    <x v="2"/>
    <x v="2"/>
  </r>
  <r>
    <n v="1099916"/>
    <x v="374"/>
    <x v="5"/>
    <x v="299"/>
    <x v="2"/>
  </r>
  <r>
    <n v="1099916"/>
    <x v="1"/>
    <x v="1"/>
    <x v="2"/>
    <x v="2"/>
  </r>
  <r>
    <n v="1099917"/>
    <x v="375"/>
    <x v="6"/>
    <x v="396"/>
    <x v="2"/>
  </r>
  <r>
    <n v="1099917"/>
    <x v="1"/>
    <x v="1"/>
    <x v="2"/>
    <x v="2"/>
  </r>
  <r>
    <n v="1099918"/>
    <x v="376"/>
    <x v="6"/>
    <x v="277"/>
    <x v="2"/>
  </r>
  <r>
    <n v="1099918"/>
    <x v="1"/>
    <x v="1"/>
    <x v="2"/>
    <x v="2"/>
  </r>
  <r>
    <n v="1099921"/>
    <x v="377"/>
    <x v="6"/>
    <x v="450"/>
    <x v="2"/>
  </r>
  <r>
    <n v="1099921"/>
    <x v="1"/>
    <x v="1"/>
    <x v="2"/>
    <x v="2"/>
  </r>
  <r>
    <n v="1099923"/>
    <x v="378"/>
    <x v="6"/>
    <x v="363"/>
    <x v="161"/>
  </r>
  <r>
    <n v="1099923"/>
    <x v="378"/>
    <x v="6"/>
    <x v="95"/>
    <x v="363"/>
  </r>
  <r>
    <n v="1099923"/>
    <x v="378"/>
    <x v="6"/>
    <x v="111"/>
    <x v="42"/>
  </r>
  <r>
    <n v="1099923"/>
    <x v="378"/>
    <x v="6"/>
    <x v="365"/>
    <x v="535"/>
  </r>
  <r>
    <n v="1099923"/>
    <x v="378"/>
    <x v="6"/>
    <x v="371"/>
    <x v="351"/>
  </r>
  <r>
    <n v="1099923"/>
    <x v="378"/>
    <x v="6"/>
    <x v="308"/>
    <x v="176"/>
  </r>
  <r>
    <n v="1099923"/>
    <x v="378"/>
    <x v="6"/>
    <x v="110"/>
    <x v="97"/>
  </r>
  <r>
    <n v="1099923"/>
    <x v="378"/>
    <x v="6"/>
    <x v="272"/>
    <x v="659"/>
  </r>
  <r>
    <n v="1099923"/>
    <x v="378"/>
    <x v="6"/>
    <x v="87"/>
    <x v="210"/>
  </r>
  <r>
    <n v="1099923"/>
    <x v="378"/>
    <x v="6"/>
    <x v="404"/>
    <x v="83"/>
  </r>
  <r>
    <n v="1099923"/>
    <x v="378"/>
    <x v="6"/>
    <x v="46"/>
    <x v="61"/>
  </r>
  <r>
    <n v="1099923"/>
    <x v="378"/>
    <x v="6"/>
    <x v="267"/>
    <x v="3"/>
  </r>
  <r>
    <n v="1099923"/>
    <x v="378"/>
    <x v="6"/>
    <x v="283"/>
    <x v="62"/>
  </r>
  <r>
    <n v="1099923"/>
    <x v="378"/>
    <x v="6"/>
    <x v="406"/>
    <x v="178"/>
  </r>
  <r>
    <n v="1099923"/>
    <x v="378"/>
    <x v="6"/>
    <x v="97"/>
    <x v="210"/>
  </r>
  <r>
    <n v="1099923"/>
    <x v="378"/>
    <x v="6"/>
    <x v="443"/>
    <x v="64"/>
  </r>
  <r>
    <n v="1099923"/>
    <x v="378"/>
    <x v="6"/>
    <x v="367"/>
    <x v="346"/>
  </r>
  <r>
    <n v="1099923"/>
    <x v="378"/>
    <x v="6"/>
    <x v="373"/>
    <x v="176"/>
  </r>
  <r>
    <n v="1099923"/>
    <x v="378"/>
    <x v="6"/>
    <x v="306"/>
    <x v="88"/>
  </r>
  <r>
    <n v="1099923"/>
    <x v="378"/>
    <x v="6"/>
    <x v="328"/>
    <x v="198"/>
  </r>
  <r>
    <n v="1099923"/>
    <x v="378"/>
    <x v="6"/>
    <x v="85"/>
    <x v="407"/>
  </r>
  <r>
    <n v="1099923"/>
    <x v="378"/>
    <x v="6"/>
    <x v="382"/>
    <x v="38"/>
  </r>
  <r>
    <n v="1099923"/>
    <x v="378"/>
    <x v="6"/>
    <x v="429"/>
    <x v="42"/>
  </r>
  <r>
    <n v="1099923"/>
    <x v="378"/>
    <x v="6"/>
    <x v="293"/>
    <x v="747"/>
  </r>
  <r>
    <n v="1099923"/>
    <x v="378"/>
    <x v="6"/>
    <x v="391"/>
    <x v="744"/>
  </r>
  <r>
    <n v="1099923"/>
    <x v="378"/>
    <x v="6"/>
    <x v="327"/>
    <x v="224"/>
  </r>
  <r>
    <n v="1099923"/>
    <x v="378"/>
    <x v="6"/>
    <x v="305"/>
    <x v="136"/>
  </r>
  <r>
    <n v="1099923"/>
    <x v="378"/>
    <x v="6"/>
    <x v="401"/>
    <x v="178"/>
  </r>
  <r>
    <n v="1099923"/>
    <x v="378"/>
    <x v="6"/>
    <x v="196"/>
    <x v="748"/>
  </r>
  <r>
    <n v="1099923"/>
    <x v="378"/>
    <x v="6"/>
    <x v="355"/>
    <x v="79"/>
  </r>
  <r>
    <n v="1099923"/>
    <x v="378"/>
    <x v="6"/>
    <x v="311"/>
    <x v="78"/>
  </r>
  <r>
    <n v="1099923"/>
    <x v="378"/>
    <x v="6"/>
    <x v="52"/>
    <x v="178"/>
  </r>
  <r>
    <n v="1099923"/>
    <x v="378"/>
    <x v="6"/>
    <x v="271"/>
    <x v="24"/>
  </r>
  <r>
    <n v="1099923"/>
    <x v="378"/>
    <x v="6"/>
    <x v="91"/>
    <x v="346"/>
  </r>
  <r>
    <n v="1099923"/>
    <x v="378"/>
    <x v="6"/>
    <x v="374"/>
    <x v="154"/>
  </r>
  <r>
    <n v="1099923"/>
    <x v="378"/>
    <x v="6"/>
    <x v="310"/>
    <x v="151"/>
  </r>
  <r>
    <n v="1099923"/>
    <x v="378"/>
    <x v="6"/>
    <x v="417"/>
    <x v="82"/>
  </r>
  <r>
    <n v="1099923"/>
    <x v="378"/>
    <x v="6"/>
    <x v="304"/>
    <x v="34"/>
  </r>
  <r>
    <n v="1099923"/>
    <x v="378"/>
    <x v="6"/>
    <x v="121"/>
    <x v="88"/>
  </r>
  <r>
    <n v="1099923"/>
    <x v="378"/>
    <x v="6"/>
    <x v="437"/>
    <x v="153"/>
  </r>
  <r>
    <n v="1099923"/>
    <x v="378"/>
    <x v="6"/>
    <x v="431"/>
    <x v="164"/>
  </r>
  <r>
    <n v="1099923"/>
    <x v="378"/>
    <x v="6"/>
    <x v="433"/>
    <x v="170"/>
  </r>
  <r>
    <n v="1099923"/>
    <x v="378"/>
    <x v="6"/>
    <x v="324"/>
    <x v="176"/>
  </r>
  <r>
    <n v="1099923"/>
    <x v="378"/>
    <x v="6"/>
    <x v="326"/>
    <x v="170"/>
  </r>
  <r>
    <n v="1099923"/>
    <x v="378"/>
    <x v="6"/>
    <x v="400"/>
    <x v="178"/>
  </r>
  <r>
    <n v="1099923"/>
    <x v="378"/>
    <x v="6"/>
    <x v="18"/>
    <x v="348"/>
  </r>
  <r>
    <n v="1099923"/>
    <x v="378"/>
    <x v="6"/>
    <x v="22"/>
    <x v="154"/>
  </r>
  <r>
    <n v="1099923"/>
    <x v="378"/>
    <x v="6"/>
    <x v="440"/>
    <x v="80"/>
  </r>
  <r>
    <n v="1099923"/>
    <x v="378"/>
    <x v="6"/>
    <x v="278"/>
    <x v="224"/>
  </r>
  <r>
    <n v="1099923"/>
    <x v="378"/>
    <x v="6"/>
    <x v="359"/>
    <x v="4"/>
  </r>
  <r>
    <n v="1099923"/>
    <x v="378"/>
    <x v="6"/>
    <x v="90"/>
    <x v="4"/>
  </r>
  <r>
    <n v="1099923"/>
    <x v="378"/>
    <x v="6"/>
    <x v="369"/>
    <x v="348"/>
  </r>
  <r>
    <n v="1099923"/>
    <x v="378"/>
    <x v="6"/>
    <x v="410"/>
    <x v="88"/>
  </r>
  <r>
    <n v="1099923"/>
    <x v="378"/>
    <x v="6"/>
    <x v="118"/>
    <x v="217"/>
  </r>
  <r>
    <n v="1099923"/>
    <x v="378"/>
    <x v="6"/>
    <x v="120"/>
    <x v="181"/>
  </r>
  <r>
    <n v="1099923"/>
    <x v="378"/>
    <x v="6"/>
    <x v="381"/>
    <x v="740"/>
  </r>
  <r>
    <n v="1099923"/>
    <x v="378"/>
    <x v="6"/>
    <x v="296"/>
    <x v="61"/>
  </r>
  <r>
    <n v="1099923"/>
    <x v="378"/>
    <x v="6"/>
    <x v="288"/>
    <x v="315"/>
  </r>
  <r>
    <n v="1099923"/>
    <x v="378"/>
    <x v="6"/>
    <x v="435"/>
    <x v="348"/>
  </r>
  <r>
    <n v="1099923"/>
    <x v="378"/>
    <x v="6"/>
    <x v="45"/>
    <x v="149"/>
  </r>
  <r>
    <n v="1099923"/>
    <x v="378"/>
    <x v="6"/>
    <x v="309"/>
    <x v="179"/>
  </r>
  <r>
    <n v="1099923"/>
    <x v="378"/>
    <x v="6"/>
    <x v="122"/>
    <x v="24"/>
  </r>
  <r>
    <n v="1099923"/>
    <x v="378"/>
    <x v="6"/>
    <x v="376"/>
    <x v="161"/>
  </r>
  <r>
    <n v="1099923"/>
    <x v="378"/>
    <x v="6"/>
    <x v="407"/>
    <x v="83"/>
  </r>
  <r>
    <n v="1099923"/>
    <x v="378"/>
    <x v="6"/>
    <x v="295"/>
    <x v="61"/>
  </r>
  <r>
    <n v="1099923"/>
    <x v="378"/>
    <x v="6"/>
    <x v="297"/>
    <x v="176"/>
  </r>
  <r>
    <n v="1099923"/>
    <x v="378"/>
    <x v="6"/>
    <x v="101"/>
    <x v="34"/>
  </r>
  <r>
    <n v="1099923"/>
    <x v="378"/>
    <x v="6"/>
    <x v="393"/>
    <x v="21"/>
  </r>
  <r>
    <n v="1099923"/>
    <x v="378"/>
    <x v="6"/>
    <x v="109"/>
    <x v="152"/>
  </r>
  <r>
    <n v="1099923"/>
    <x v="378"/>
    <x v="6"/>
    <x v="275"/>
    <x v="745"/>
  </r>
  <r>
    <n v="1099923"/>
    <x v="378"/>
    <x v="6"/>
    <x v="397"/>
    <x v="161"/>
  </r>
  <r>
    <n v="1099923"/>
    <x v="378"/>
    <x v="6"/>
    <x v="86"/>
    <x v="213"/>
  </r>
  <r>
    <n v="1099923"/>
    <x v="378"/>
    <x v="6"/>
    <x v="266"/>
    <x v="85"/>
  </r>
  <r>
    <n v="1099923"/>
    <x v="378"/>
    <x v="6"/>
    <x v="19"/>
    <x v="351"/>
  </r>
  <r>
    <n v="1099923"/>
    <x v="378"/>
    <x v="6"/>
    <x v="361"/>
    <x v="161"/>
  </r>
  <r>
    <n v="1099923"/>
    <x v="378"/>
    <x v="6"/>
    <x v="99"/>
    <x v="455"/>
  </r>
  <r>
    <n v="1099923"/>
    <x v="378"/>
    <x v="6"/>
    <x v="307"/>
    <x v="560"/>
  </r>
  <r>
    <n v="1099923"/>
    <x v="378"/>
    <x v="6"/>
    <x v="445"/>
    <x v="198"/>
  </r>
  <r>
    <n v="1099923"/>
    <x v="378"/>
    <x v="6"/>
    <x v="54"/>
    <x v="198"/>
  </r>
  <r>
    <n v="1099923"/>
    <x v="378"/>
    <x v="6"/>
    <x v="441"/>
    <x v="353"/>
  </r>
  <r>
    <n v="1099923"/>
    <x v="378"/>
    <x v="6"/>
    <x v="436"/>
    <x v="156"/>
  </r>
  <r>
    <n v="1099923"/>
    <x v="378"/>
    <x v="6"/>
    <x v="291"/>
    <x v="79"/>
  </r>
  <r>
    <n v="1099923"/>
    <x v="378"/>
    <x v="6"/>
    <x v="105"/>
    <x v="221"/>
  </r>
  <r>
    <n v="1099923"/>
    <x v="378"/>
    <x v="6"/>
    <x v="392"/>
    <x v="51"/>
  </r>
  <r>
    <n v="1099923"/>
    <x v="378"/>
    <x v="6"/>
    <x v="320"/>
    <x v="78"/>
  </r>
  <r>
    <n v="1099923"/>
    <x v="378"/>
    <x v="6"/>
    <x v="303"/>
    <x v="376"/>
  </r>
  <r>
    <n v="1099923"/>
    <x v="378"/>
    <x v="6"/>
    <x v="20"/>
    <x v="170"/>
  </r>
  <r>
    <n v="1099923"/>
    <x v="378"/>
    <x v="6"/>
    <x v="197"/>
    <x v="743"/>
  </r>
  <r>
    <n v="1099923"/>
    <x v="378"/>
    <x v="6"/>
    <x v="354"/>
    <x v="79"/>
  </r>
  <r>
    <n v="1099923"/>
    <x v="378"/>
    <x v="6"/>
    <x v="409"/>
    <x v="198"/>
  </r>
  <r>
    <n v="1099923"/>
    <x v="378"/>
    <x v="6"/>
    <x v="416"/>
    <x v="64"/>
  </r>
  <r>
    <n v="1099923"/>
    <x v="378"/>
    <x v="6"/>
    <x v="268"/>
    <x v="154"/>
  </r>
  <r>
    <n v="1099923"/>
    <x v="378"/>
    <x v="6"/>
    <x v="368"/>
    <x v="346"/>
  </r>
  <r>
    <n v="1099923"/>
    <x v="378"/>
    <x v="6"/>
    <x v="92"/>
    <x v="617"/>
  </r>
  <r>
    <n v="1099923"/>
    <x v="378"/>
    <x v="6"/>
    <x v="114"/>
    <x v="351"/>
  </r>
  <r>
    <n v="1099923"/>
    <x v="378"/>
    <x v="6"/>
    <x v="329"/>
    <x v="51"/>
  </r>
  <r>
    <n v="1099923"/>
    <x v="378"/>
    <x v="6"/>
    <x v="100"/>
    <x v="97"/>
  </r>
  <r>
    <n v="1099923"/>
    <x v="378"/>
    <x v="6"/>
    <x v="279"/>
    <x v="392"/>
  </r>
  <r>
    <n v="1099923"/>
    <x v="378"/>
    <x v="6"/>
    <x v="298"/>
    <x v="162"/>
  </r>
  <r>
    <n v="1099923"/>
    <x v="378"/>
    <x v="6"/>
    <x v="430"/>
    <x v="346"/>
  </r>
  <r>
    <n v="1099923"/>
    <x v="378"/>
    <x v="6"/>
    <x v="106"/>
    <x v="62"/>
  </r>
  <r>
    <n v="1099923"/>
    <x v="378"/>
    <x v="6"/>
    <x v="17"/>
    <x v="742"/>
  </r>
  <r>
    <n v="1099923"/>
    <x v="378"/>
    <x v="6"/>
    <x v="323"/>
    <x v="392"/>
  </r>
  <r>
    <n v="1099923"/>
    <x v="378"/>
    <x v="6"/>
    <x v="325"/>
    <x v="205"/>
  </r>
  <r>
    <n v="1099923"/>
    <x v="378"/>
    <x v="6"/>
    <x v="93"/>
    <x v="455"/>
  </r>
  <r>
    <n v="1099923"/>
    <x v="378"/>
    <x v="6"/>
    <x v="408"/>
    <x v="351"/>
  </r>
  <r>
    <n v="1099923"/>
    <x v="378"/>
    <x v="6"/>
    <x v="413"/>
    <x v="178"/>
  </r>
  <r>
    <n v="1099923"/>
    <x v="378"/>
    <x v="6"/>
    <x v="414"/>
    <x v="535"/>
  </r>
  <r>
    <n v="1099923"/>
    <x v="378"/>
    <x v="6"/>
    <x v="51"/>
    <x v="407"/>
  </r>
  <r>
    <n v="1099923"/>
    <x v="378"/>
    <x v="6"/>
    <x v="47"/>
    <x v="619"/>
  </r>
  <r>
    <n v="1099923"/>
    <x v="378"/>
    <x v="6"/>
    <x v="50"/>
    <x v="4"/>
  </r>
  <r>
    <n v="1099923"/>
    <x v="378"/>
    <x v="6"/>
    <x v="98"/>
    <x v="82"/>
  </r>
  <r>
    <n v="1099923"/>
    <x v="378"/>
    <x v="6"/>
    <x v="398"/>
    <x v="351"/>
  </r>
  <r>
    <n v="1099923"/>
    <x v="378"/>
    <x v="6"/>
    <x v="357"/>
    <x v="42"/>
  </r>
  <r>
    <n v="1099923"/>
    <x v="378"/>
    <x v="6"/>
    <x v="358"/>
    <x v="82"/>
  </r>
  <r>
    <n v="1099923"/>
    <x v="378"/>
    <x v="6"/>
    <x v="89"/>
    <x v="376"/>
  </r>
  <r>
    <n v="1099923"/>
    <x v="378"/>
    <x v="6"/>
    <x v="319"/>
    <x v="305"/>
  </r>
  <r>
    <n v="1099923"/>
    <x v="378"/>
    <x v="6"/>
    <x v="321"/>
    <x v="615"/>
  </r>
  <r>
    <n v="1099923"/>
    <x v="378"/>
    <x v="6"/>
    <x v="270"/>
    <x v="179"/>
  </r>
  <r>
    <n v="1099923"/>
    <x v="378"/>
    <x v="6"/>
    <x v="402"/>
    <x v="83"/>
  </r>
  <r>
    <n v="1099923"/>
    <x v="378"/>
    <x v="6"/>
    <x v="23"/>
    <x v="154"/>
  </r>
  <r>
    <n v="1099923"/>
    <x v="378"/>
    <x v="6"/>
    <x v="415"/>
    <x v="98"/>
  </r>
  <r>
    <n v="1099923"/>
    <x v="378"/>
    <x v="6"/>
    <x v="356"/>
    <x v="170"/>
  </r>
  <r>
    <n v="1099923"/>
    <x v="378"/>
    <x v="6"/>
    <x v="113"/>
    <x v="178"/>
  </r>
  <r>
    <n v="1099923"/>
    <x v="378"/>
    <x v="6"/>
    <x v="403"/>
    <x v="163"/>
  </r>
  <r>
    <n v="1099923"/>
    <x v="378"/>
    <x v="6"/>
    <x v="399"/>
    <x v="54"/>
  </r>
  <r>
    <n v="1099923"/>
    <x v="378"/>
    <x v="6"/>
    <x v="285"/>
    <x v="346"/>
  </r>
  <r>
    <n v="1099923"/>
    <x v="378"/>
    <x v="6"/>
    <x v="280"/>
    <x v="346"/>
  </r>
  <r>
    <n v="1099923"/>
    <x v="378"/>
    <x v="6"/>
    <x v="119"/>
    <x v="206"/>
  </r>
  <r>
    <n v="1099923"/>
    <x v="378"/>
    <x v="6"/>
    <x v="269"/>
    <x v="211"/>
  </r>
  <r>
    <n v="1099923"/>
    <x v="378"/>
    <x v="6"/>
    <x v="378"/>
    <x v="24"/>
  </r>
  <r>
    <n v="1099923"/>
    <x v="378"/>
    <x v="6"/>
    <x v="380"/>
    <x v="98"/>
  </r>
  <r>
    <n v="1099923"/>
    <x v="378"/>
    <x v="6"/>
    <x v="289"/>
    <x v="105"/>
  </r>
  <r>
    <n v="1099923"/>
    <x v="378"/>
    <x v="6"/>
    <x v="434"/>
    <x v="78"/>
  </r>
  <r>
    <n v="1099923"/>
    <x v="378"/>
    <x v="6"/>
    <x v="102"/>
    <x v="741"/>
  </r>
  <r>
    <n v="1099923"/>
    <x v="378"/>
    <x v="6"/>
    <x v="432"/>
    <x v="149"/>
  </r>
  <r>
    <n v="1099923"/>
    <x v="378"/>
    <x v="6"/>
    <x v="103"/>
    <x v="144"/>
  </r>
  <r>
    <n v="1099923"/>
    <x v="378"/>
    <x v="6"/>
    <x v="104"/>
    <x v="144"/>
  </r>
  <r>
    <n v="1099923"/>
    <x v="378"/>
    <x v="6"/>
    <x v="16"/>
    <x v="134"/>
  </r>
  <r>
    <n v="1099923"/>
    <x v="378"/>
    <x v="6"/>
    <x v="322"/>
    <x v="305"/>
  </r>
  <r>
    <n v="1099923"/>
    <x v="378"/>
    <x v="6"/>
    <x v="108"/>
    <x v="474"/>
  </r>
  <r>
    <n v="1099923"/>
    <x v="378"/>
    <x v="6"/>
    <x v="53"/>
    <x v="457"/>
  </r>
  <r>
    <n v="1099923"/>
    <x v="378"/>
    <x v="6"/>
    <x v="274"/>
    <x v="206"/>
  </r>
  <r>
    <n v="1099923"/>
    <x v="378"/>
    <x v="6"/>
    <x v="21"/>
    <x v="351"/>
  </r>
  <r>
    <n v="1099923"/>
    <x v="378"/>
    <x v="6"/>
    <x v="405"/>
    <x v="178"/>
  </r>
  <r>
    <n v="1099923"/>
    <x v="378"/>
    <x v="6"/>
    <x v="49"/>
    <x v="4"/>
  </r>
  <r>
    <n v="1099923"/>
    <x v="378"/>
    <x v="6"/>
    <x v="48"/>
    <x v="706"/>
  </r>
  <r>
    <n v="1099923"/>
    <x v="378"/>
    <x v="6"/>
    <x v="198"/>
    <x v="149"/>
  </r>
  <r>
    <n v="1099923"/>
    <x v="378"/>
    <x v="6"/>
    <x v="281"/>
    <x v="238"/>
  </r>
  <r>
    <n v="1099923"/>
    <x v="378"/>
    <x v="6"/>
    <x v="282"/>
    <x v="147"/>
  </r>
  <r>
    <n v="1099923"/>
    <x v="378"/>
    <x v="6"/>
    <x v="96"/>
    <x v="346"/>
  </r>
  <r>
    <n v="1099923"/>
    <x v="378"/>
    <x v="6"/>
    <x v="94"/>
    <x v="351"/>
  </r>
  <r>
    <n v="1099923"/>
    <x v="378"/>
    <x v="6"/>
    <x v="88"/>
    <x v="88"/>
  </r>
  <r>
    <n v="1099923"/>
    <x v="378"/>
    <x v="6"/>
    <x v="362"/>
    <x v="144"/>
  </r>
  <r>
    <n v="1099923"/>
    <x v="378"/>
    <x v="6"/>
    <x v="115"/>
    <x v="170"/>
  </r>
  <r>
    <n v="1099923"/>
    <x v="378"/>
    <x v="6"/>
    <x v="284"/>
    <x v="105"/>
  </r>
  <r>
    <n v="1099923"/>
    <x v="378"/>
    <x v="6"/>
    <x v="442"/>
    <x v="88"/>
  </r>
  <r>
    <n v="1099923"/>
    <x v="378"/>
    <x v="6"/>
    <x v="366"/>
    <x v="178"/>
  </r>
  <r>
    <n v="1099923"/>
    <x v="378"/>
    <x v="6"/>
    <x v="444"/>
    <x v="535"/>
  </r>
  <r>
    <n v="1099923"/>
    <x v="378"/>
    <x v="6"/>
    <x v="372"/>
    <x v="176"/>
  </r>
  <r>
    <n v="1099923"/>
    <x v="378"/>
    <x v="6"/>
    <x v="44"/>
    <x v="346"/>
  </r>
  <r>
    <n v="1099923"/>
    <x v="378"/>
    <x v="6"/>
    <x v="112"/>
    <x v="4"/>
  </r>
  <r>
    <n v="1099923"/>
    <x v="378"/>
    <x v="6"/>
    <x v="312"/>
    <x v="179"/>
  </r>
  <r>
    <n v="1099923"/>
    <x v="378"/>
    <x v="6"/>
    <x v="273"/>
    <x v="144"/>
  </r>
  <r>
    <n v="1099923"/>
    <x v="378"/>
    <x v="6"/>
    <x v="411"/>
    <x v="82"/>
  </r>
  <r>
    <n v="1099923"/>
    <x v="378"/>
    <x v="6"/>
    <x v="286"/>
    <x v="185"/>
  </r>
  <r>
    <n v="1099923"/>
    <x v="378"/>
    <x v="6"/>
    <x v="375"/>
    <x v="535"/>
  </r>
  <r>
    <n v="1099923"/>
    <x v="378"/>
    <x v="6"/>
    <x v="377"/>
    <x v="745"/>
  </r>
  <r>
    <n v="1099923"/>
    <x v="378"/>
    <x v="6"/>
    <x v="117"/>
    <x v="347"/>
  </r>
  <r>
    <n v="1099923"/>
    <x v="378"/>
    <x v="6"/>
    <x v="379"/>
    <x v="23"/>
  </r>
  <r>
    <n v="1099923"/>
    <x v="378"/>
    <x v="6"/>
    <x v="287"/>
    <x v="88"/>
  </r>
  <r>
    <n v="1099923"/>
    <x v="378"/>
    <x v="6"/>
    <x v="428"/>
    <x v="30"/>
  </r>
  <r>
    <n v="1099923"/>
    <x v="378"/>
    <x v="6"/>
    <x v="292"/>
    <x v="98"/>
  </r>
  <r>
    <n v="1099923"/>
    <x v="378"/>
    <x v="6"/>
    <x v="294"/>
    <x v="387"/>
  </r>
  <r>
    <n v="1099923"/>
    <x v="378"/>
    <x v="6"/>
    <x v="107"/>
    <x v="156"/>
  </r>
  <r>
    <n v="1099923"/>
    <x v="378"/>
    <x v="6"/>
    <x v="290"/>
    <x v="746"/>
  </r>
  <r>
    <n v="1099923"/>
    <x v="378"/>
    <x v="6"/>
    <x v="360"/>
    <x v="4"/>
  </r>
  <r>
    <n v="1099923"/>
    <x v="378"/>
    <x v="6"/>
    <x v="364"/>
    <x v="348"/>
  </r>
  <r>
    <n v="1099923"/>
    <x v="378"/>
    <x v="6"/>
    <x v="370"/>
    <x v="198"/>
  </r>
  <r>
    <n v="1099923"/>
    <x v="378"/>
    <x v="6"/>
    <x v="116"/>
    <x v="34"/>
  </r>
  <r>
    <n v="1099923"/>
    <x v="1"/>
    <x v="1"/>
    <x v="2"/>
    <x v="2"/>
  </r>
  <r>
    <n v="1099924"/>
    <x v="379"/>
    <x v="6"/>
    <x v="398"/>
    <x v="351"/>
  </r>
  <r>
    <n v="1099924"/>
    <x v="379"/>
    <x v="6"/>
    <x v="358"/>
    <x v="82"/>
  </r>
  <r>
    <n v="1099924"/>
    <x v="379"/>
    <x v="6"/>
    <x v="362"/>
    <x v="144"/>
  </r>
  <r>
    <n v="1099924"/>
    <x v="379"/>
    <x v="6"/>
    <x v="111"/>
    <x v="42"/>
  </r>
  <r>
    <n v="1099924"/>
    <x v="379"/>
    <x v="6"/>
    <x v="369"/>
    <x v="348"/>
  </r>
  <r>
    <n v="1099924"/>
    <x v="379"/>
    <x v="6"/>
    <x v="45"/>
    <x v="149"/>
  </r>
  <r>
    <n v="1099924"/>
    <x v="379"/>
    <x v="6"/>
    <x v="309"/>
    <x v="179"/>
  </r>
  <r>
    <n v="1099924"/>
    <x v="379"/>
    <x v="6"/>
    <x v="122"/>
    <x v="24"/>
  </r>
  <r>
    <n v="1099924"/>
    <x v="379"/>
    <x v="6"/>
    <x v="376"/>
    <x v="161"/>
  </r>
  <r>
    <n v="1099924"/>
    <x v="379"/>
    <x v="6"/>
    <x v="407"/>
    <x v="83"/>
  </r>
  <r>
    <n v="1099924"/>
    <x v="379"/>
    <x v="6"/>
    <x v="295"/>
    <x v="61"/>
  </r>
  <r>
    <n v="1099924"/>
    <x v="379"/>
    <x v="6"/>
    <x v="297"/>
    <x v="176"/>
  </r>
  <r>
    <n v="1099924"/>
    <x v="379"/>
    <x v="6"/>
    <x v="101"/>
    <x v="34"/>
  </r>
  <r>
    <n v="1099924"/>
    <x v="379"/>
    <x v="6"/>
    <x v="324"/>
    <x v="176"/>
  </r>
  <r>
    <n v="1099924"/>
    <x v="379"/>
    <x v="6"/>
    <x v="326"/>
    <x v="170"/>
  </r>
  <r>
    <n v="1099924"/>
    <x v="379"/>
    <x v="6"/>
    <x v="400"/>
    <x v="178"/>
  </r>
  <r>
    <n v="1099924"/>
    <x v="379"/>
    <x v="6"/>
    <x v="18"/>
    <x v="348"/>
  </r>
  <r>
    <n v="1099924"/>
    <x v="379"/>
    <x v="6"/>
    <x v="22"/>
    <x v="154"/>
  </r>
  <r>
    <n v="1099924"/>
    <x v="379"/>
    <x v="6"/>
    <x v="440"/>
    <x v="80"/>
  </r>
  <r>
    <n v="1099924"/>
    <x v="379"/>
    <x v="6"/>
    <x v="278"/>
    <x v="224"/>
  </r>
  <r>
    <n v="1099924"/>
    <x v="379"/>
    <x v="6"/>
    <x v="359"/>
    <x v="4"/>
  </r>
  <r>
    <n v="1099924"/>
    <x v="379"/>
    <x v="6"/>
    <x v="363"/>
    <x v="161"/>
  </r>
  <r>
    <n v="1099924"/>
    <x v="379"/>
    <x v="6"/>
    <x v="442"/>
    <x v="88"/>
  </r>
  <r>
    <n v="1099924"/>
    <x v="379"/>
    <x v="6"/>
    <x v="370"/>
    <x v="198"/>
  </r>
  <r>
    <n v="1099924"/>
    <x v="379"/>
    <x v="6"/>
    <x v="116"/>
    <x v="34"/>
  </r>
  <r>
    <n v="1099924"/>
    <x v="379"/>
    <x v="6"/>
    <x v="410"/>
    <x v="88"/>
  </r>
  <r>
    <n v="1099924"/>
    <x v="379"/>
    <x v="6"/>
    <x v="118"/>
    <x v="217"/>
  </r>
  <r>
    <n v="1099924"/>
    <x v="379"/>
    <x v="6"/>
    <x v="120"/>
    <x v="181"/>
  </r>
  <r>
    <n v="1099924"/>
    <x v="379"/>
    <x v="6"/>
    <x v="381"/>
    <x v="740"/>
  </r>
  <r>
    <n v="1099924"/>
    <x v="379"/>
    <x v="6"/>
    <x v="296"/>
    <x v="61"/>
  </r>
  <r>
    <n v="1099924"/>
    <x v="379"/>
    <x v="6"/>
    <x v="288"/>
    <x v="315"/>
  </r>
  <r>
    <n v="1099924"/>
    <x v="379"/>
    <x v="6"/>
    <x v="435"/>
    <x v="348"/>
  </r>
  <r>
    <n v="1099924"/>
    <x v="379"/>
    <x v="6"/>
    <x v="322"/>
    <x v="305"/>
  </r>
  <r>
    <n v="1099924"/>
    <x v="379"/>
    <x v="6"/>
    <x v="272"/>
    <x v="659"/>
  </r>
  <r>
    <n v="1099924"/>
    <x v="379"/>
    <x v="6"/>
    <x v="53"/>
    <x v="457"/>
  </r>
  <r>
    <n v="1099924"/>
    <x v="379"/>
    <x v="6"/>
    <x v="87"/>
    <x v="210"/>
  </r>
  <r>
    <n v="1099924"/>
    <x v="379"/>
    <x v="6"/>
    <x v="21"/>
    <x v="351"/>
  </r>
  <r>
    <n v="1099924"/>
    <x v="379"/>
    <x v="6"/>
    <x v="404"/>
    <x v="83"/>
  </r>
  <r>
    <n v="1099924"/>
    <x v="379"/>
    <x v="6"/>
    <x v="49"/>
    <x v="4"/>
  </r>
  <r>
    <n v="1099924"/>
    <x v="379"/>
    <x v="6"/>
    <x v="46"/>
    <x v="61"/>
  </r>
  <r>
    <n v="1099924"/>
    <x v="379"/>
    <x v="6"/>
    <x v="198"/>
    <x v="149"/>
  </r>
  <r>
    <n v="1099924"/>
    <x v="379"/>
    <x v="6"/>
    <x v="267"/>
    <x v="3"/>
  </r>
  <r>
    <n v="1099924"/>
    <x v="379"/>
    <x v="6"/>
    <x v="282"/>
    <x v="147"/>
  </r>
  <r>
    <n v="1099924"/>
    <x v="379"/>
    <x v="6"/>
    <x v="283"/>
    <x v="62"/>
  </r>
  <r>
    <n v="1099924"/>
    <x v="379"/>
    <x v="6"/>
    <x v="94"/>
    <x v="351"/>
  </r>
  <r>
    <n v="1099924"/>
    <x v="379"/>
    <x v="6"/>
    <x v="406"/>
    <x v="178"/>
  </r>
  <r>
    <n v="1099924"/>
    <x v="379"/>
    <x v="6"/>
    <x v="360"/>
    <x v="4"/>
  </r>
  <r>
    <n v="1099924"/>
    <x v="379"/>
    <x v="6"/>
    <x v="88"/>
    <x v="88"/>
  </r>
  <r>
    <n v="1099924"/>
    <x v="379"/>
    <x v="6"/>
    <x v="364"/>
    <x v="348"/>
  </r>
  <r>
    <n v="1099924"/>
    <x v="379"/>
    <x v="6"/>
    <x v="115"/>
    <x v="170"/>
  </r>
  <r>
    <n v="1099924"/>
    <x v="379"/>
    <x v="6"/>
    <x v="365"/>
    <x v="535"/>
  </r>
  <r>
    <n v="1099924"/>
    <x v="379"/>
    <x v="6"/>
    <x v="308"/>
    <x v="176"/>
  </r>
  <r>
    <n v="1099924"/>
    <x v="379"/>
    <x v="6"/>
    <x v="280"/>
    <x v="346"/>
  </r>
  <r>
    <n v="1099924"/>
    <x v="379"/>
    <x v="6"/>
    <x v="286"/>
    <x v="185"/>
  </r>
  <r>
    <n v="1099924"/>
    <x v="379"/>
    <x v="6"/>
    <x v="269"/>
    <x v="211"/>
  </r>
  <r>
    <n v="1099924"/>
    <x v="379"/>
    <x v="6"/>
    <x v="377"/>
    <x v="745"/>
  </r>
  <r>
    <n v="1099924"/>
    <x v="379"/>
    <x v="6"/>
    <x v="380"/>
    <x v="98"/>
  </r>
  <r>
    <n v="1099924"/>
    <x v="379"/>
    <x v="6"/>
    <x v="379"/>
    <x v="23"/>
  </r>
  <r>
    <n v="1099924"/>
    <x v="379"/>
    <x v="6"/>
    <x v="434"/>
    <x v="78"/>
  </r>
  <r>
    <n v="1099924"/>
    <x v="379"/>
    <x v="6"/>
    <x v="428"/>
    <x v="30"/>
  </r>
  <r>
    <n v="1099924"/>
    <x v="379"/>
    <x v="6"/>
    <x v="432"/>
    <x v="149"/>
  </r>
  <r>
    <n v="1099924"/>
    <x v="379"/>
    <x v="6"/>
    <x v="294"/>
    <x v="387"/>
  </r>
  <r>
    <n v="1099924"/>
    <x v="379"/>
    <x v="6"/>
    <x v="104"/>
    <x v="144"/>
  </r>
  <r>
    <n v="1099924"/>
    <x v="379"/>
    <x v="6"/>
    <x v="290"/>
    <x v="746"/>
  </r>
  <r>
    <n v="1099924"/>
    <x v="379"/>
    <x v="6"/>
    <x v="393"/>
    <x v="21"/>
  </r>
  <r>
    <n v="1099924"/>
    <x v="379"/>
    <x v="6"/>
    <x v="109"/>
    <x v="152"/>
  </r>
  <r>
    <n v="1099924"/>
    <x v="379"/>
    <x v="6"/>
    <x v="275"/>
    <x v="745"/>
  </r>
  <r>
    <n v="1099924"/>
    <x v="379"/>
    <x v="6"/>
    <x v="397"/>
    <x v="161"/>
  </r>
  <r>
    <n v="1099924"/>
    <x v="379"/>
    <x v="6"/>
    <x v="86"/>
    <x v="213"/>
  </r>
  <r>
    <n v="1099924"/>
    <x v="379"/>
    <x v="6"/>
    <x v="266"/>
    <x v="85"/>
  </r>
  <r>
    <n v="1099924"/>
    <x v="379"/>
    <x v="6"/>
    <x v="19"/>
    <x v="351"/>
  </r>
  <r>
    <n v="1099924"/>
    <x v="379"/>
    <x v="6"/>
    <x v="271"/>
    <x v="24"/>
  </r>
  <r>
    <n v="1099924"/>
    <x v="379"/>
    <x v="6"/>
    <x v="91"/>
    <x v="346"/>
  </r>
  <r>
    <n v="1099924"/>
    <x v="379"/>
    <x v="6"/>
    <x v="374"/>
    <x v="154"/>
  </r>
  <r>
    <n v="1099924"/>
    <x v="379"/>
    <x v="6"/>
    <x v="310"/>
    <x v="151"/>
  </r>
  <r>
    <n v="1099924"/>
    <x v="379"/>
    <x v="6"/>
    <x v="417"/>
    <x v="82"/>
  </r>
  <r>
    <n v="1099924"/>
    <x v="379"/>
    <x v="6"/>
    <x v="304"/>
    <x v="34"/>
  </r>
  <r>
    <n v="1099924"/>
    <x v="379"/>
    <x v="6"/>
    <x v="121"/>
    <x v="88"/>
  </r>
  <r>
    <n v="1099924"/>
    <x v="379"/>
    <x v="6"/>
    <x v="437"/>
    <x v="153"/>
  </r>
  <r>
    <n v="1099924"/>
    <x v="379"/>
    <x v="6"/>
    <x v="431"/>
    <x v="164"/>
  </r>
  <r>
    <n v="1099924"/>
    <x v="379"/>
    <x v="6"/>
    <x v="433"/>
    <x v="170"/>
  </r>
  <r>
    <n v="1099924"/>
    <x v="379"/>
    <x v="6"/>
    <x v="319"/>
    <x v="305"/>
  </r>
  <r>
    <n v="1099924"/>
    <x v="379"/>
    <x v="6"/>
    <x v="323"/>
    <x v="392"/>
  </r>
  <r>
    <n v="1099924"/>
    <x v="379"/>
    <x v="6"/>
    <x v="321"/>
    <x v="615"/>
  </r>
  <r>
    <n v="1099924"/>
    <x v="379"/>
    <x v="6"/>
    <x v="93"/>
    <x v="455"/>
  </r>
  <r>
    <n v="1099924"/>
    <x v="379"/>
    <x v="6"/>
    <x v="270"/>
    <x v="179"/>
  </r>
  <r>
    <n v="1099924"/>
    <x v="379"/>
    <x v="6"/>
    <x v="413"/>
    <x v="178"/>
  </r>
  <r>
    <n v="1099924"/>
    <x v="379"/>
    <x v="6"/>
    <x v="402"/>
    <x v="83"/>
  </r>
  <r>
    <n v="1099924"/>
    <x v="379"/>
    <x v="6"/>
    <x v="51"/>
    <x v="407"/>
  </r>
  <r>
    <n v="1099924"/>
    <x v="379"/>
    <x v="6"/>
    <x v="23"/>
    <x v="154"/>
  </r>
  <r>
    <n v="1099924"/>
    <x v="379"/>
    <x v="6"/>
    <x v="50"/>
    <x v="4"/>
  </r>
  <r>
    <n v="1099924"/>
    <x v="379"/>
    <x v="6"/>
    <x v="415"/>
    <x v="98"/>
  </r>
  <r>
    <n v="1099924"/>
    <x v="379"/>
    <x v="6"/>
    <x v="98"/>
    <x v="82"/>
  </r>
  <r>
    <n v="1099924"/>
    <x v="379"/>
    <x v="6"/>
    <x v="356"/>
    <x v="170"/>
  </r>
  <r>
    <n v="1099924"/>
    <x v="379"/>
    <x v="6"/>
    <x v="357"/>
    <x v="42"/>
  </r>
  <r>
    <n v="1099924"/>
    <x v="379"/>
    <x v="6"/>
    <x v="97"/>
    <x v="210"/>
  </r>
  <r>
    <n v="1099924"/>
    <x v="379"/>
    <x v="6"/>
    <x v="90"/>
    <x v="4"/>
  </r>
  <r>
    <n v="1099924"/>
    <x v="379"/>
    <x v="6"/>
    <x v="443"/>
    <x v="64"/>
  </r>
  <r>
    <n v="1099924"/>
    <x v="379"/>
    <x v="6"/>
    <x v="366"/>
    <x v="178"/>
  </r>
  <r>
    <n v="1099924"/>
    <x v="379"/>
    <x v="6"/>
    <x v="371"/>
    <x v="351"/>
  </r>
  <r>
    <n v="1099924"/>
    <x v="379"/>
    <x v="6"/>
    <x v="373"/>
    <x v="176"/>
  </r>
  <r>
    <n v="1099924"/>
    <x v="379"/>
    <x v="6"/>
    <x v="110"/>
    <x v="97"/>
  </r>
  <r>
    <n v="1099924"/>
    <x v="379"/>
    <x v="6"/>
    <x v="306"/>
    <x v="88"/>
  </r>
  <r>
    <n v="1099924"/>
    <x v="379"/>
    <x v="6"/>
    <x v="403"/>
    <x v="163"/>
  </r>
  <r>
    <n v="1099924"/>
    <x v="379"/>
    <x v="6"/>
    <x v="328"/>
    <x v="198"/>
  </r>
  <r>
    <n v="1099924"/>
    <x v="379"/>
    <x v="6"/>
    <x v="285"/>
    <x v="346"/>
  </r>
  <r>
    <n v="1099924"/>
    <x v="379"/>
    <x v="6"/>
    <x v="85"/>
    <x v="407"/>
  </r>
  <r>
    <n v="1099924"/>
    <x v="379"/>
    <x v="6"/>
    <x v="119"/>
    <x v="206"/>
  </r>
  <r>
    <n v="1099924"/>
    <x v="379"/>
    <x v="6"/>
    <x v="378"/>
    <x v="24"/>
  </r>
  <r>
    <n v="1099924"/>
    <x v="379"/>
    <x v="6"/>
    <x v="382"/>
    <x v="38"/>
  </r>
  <r>
    <n v="1099924"/>
    <x v="379"/>
    <x v="6"/>
    <x v="289"/>
    <x v="105"/>
  </r>
  <r>
    <n v="1099924"/>
    <x v="379"/>
    <x v="6"/>
    <x v="17"/>
    <x v="742"/>
  </r>
  <r>
    <n v="1099924"/>
    <x v="379"/>
    <x v="6"/>
    <x v="325"/>
    <x v="205"/>
  </r>
  <r>
    <n v="1099924"/>
    <x v="379"/>
    <x v="6"/>
    <x v="408"/>
    <x v="351"/>
  </r>
  <r>
    <n v="1099924"/>
    <x v="379"/>
    <x v="6"/>
    <x v="414"/>
    <x v="535"/>
  </r>
  <r>
    <n v="1099924"/>
    <x v="379"/>
    <x v="6"/>
    <x v="47"/>
    <x v="619"/>
  </r>
  <r>
    <n v="1099924"/>
    <x v="379"/>
    <x v="6"/>
    <x v="429"/>
    <x v="42"/>
  </r>
  <r>
    <n v="1099924"/>
    <x v="379"/>
    <x v="6"/>
    <x v="102"/>
    <x v="741"/>
  </r>
  <r>
    <n v="1099924"/>
    <x v="379"/>
    <x v="6"/>
    <x v="293"/>
    <x v="747"/>
  </r>
  <r>
    <n v="1099924"/>
    <x v="379"/>
    <x v="6"/>
    <x v="103"/>
    <x v="144"/>
  </r>
  <r>
    <n v="1099924"/>
    <x v="379"/>
    <x v="6"/>
    <x v="291"/>
    <x v="79"/>
  </r>
  <r>
    <n v="1099924"/>
    <x v="379"/>
    <x v="6"/>
    <x v="105"/>
    <x v="221"/>
  </r>
  <r>
    <n v="1099924"/>
    <x v="379"/>
    <x v="6"/>
    <x v="16"/>
    <x v="134"/>
  </r>
  <r>
    <n v="1099924"/>
    <x v="379"/>
    <x v="6"/>
    <x v="108"/>
    <x v="474"/>
  </r>
  <r>
    <n v="1099924"/>
    <x v="379"/>
    <x v="6"/>
    <x v="274"/>
    <x v="206"/>
  </r>
  <r>
    <n v="1099924"/>
    <x v="379"/>
    <x v="6"/>
    <x v="405"/>
    <x v="178"/>
  </r>
  <r>
    <n v="1099924"/>
    <x v="379"/>
    <x v="6"/>
    <x v="48"/>
    <x v="706"/>
  </r>
  <r>
    <n v="1099924"/>
    <x v="379"/>
    <x v="6"/>
    <x v="281"/>
    <x v="238"/>
  </r>
  <r>
    <n v="1099924"/>
    <x v="379"/>
    <x v="6"/>
    <x v="96"/>
    <x v="346"/>
  </r>
  <r>
    <n v="1099924"/>
    <x v="379"/>
    <x v="6"/>
    <x v="361"/>
    <x v="161"/>
  </r>
  <r>
    <n v="1099924"/>
    <x v="379"/>
    <x v="6"/>
    <x v="284"/>
    <x v="105"/>
  </r>
  <r>
    <n v="1099924"/>
    <x v="379"/>
    <x v="6"/>
    <x v="444"/>
    <x v="535"/>
  </r>
  <r>
    <n v="1099924"/>
    <x v="379"/>
    <x v="6"/>
    <x v="44"/>
    <x v="346"/>
  </r>
  <r>
    <n v="1099924"/>
    <x v="379"/>
    <x v="6"/>
    <x v="312"/>
    <x v="179"/>
  </r>
  <r>
    <n v="1099924"/>
    <x v="379"/>
    <x v="6"/>
    <x v="411"/>
    <x v="82"/>
  </r>
  <r>
    <n v="1099924"/>
    <x v="379"/>
    <x v="6"/>
    <x v="375"/>
    <x v="535"/>
  </r>
  <r>
    <n v="1099924"/>
    <x v="379"/>
    <x v="6"/>
    <x v="117"/>
    <x v="347"/>
  </r>
  <r>
    <n v="1099924"/>
    <x v="379"/>
    <x v="6"/>
    <x v="287"/>
    <x v="88"/>
  </r>
  <r>
    <n v="1099924"/>
    <x v="379"/>
    <x v="6"/>
    <x v="292"/>
    <x v="98"/>
  </r>
  <r>
    <n v="1099924"/>
    <x v="379"/>
    <x v="6"/>
    <x v="107"/>
    <x v="156"/>
  </r>
  <r>
    <n v="1099924"/>
    <x v="379"/>
    <x v="6"/>
    <x v="392"/>
    <x v="51"/>
  </r>
  <r>
    <n v="1099924"/>
    <x v="379"/>
    <x v="6"/>
    <x v="320"/>
    <x v="78"/>
  </r>
  <r>
    <n v="1099924"/>
    <x v="379"/>
    <x v="6"/>
    <x v="303"/>
    <x v="376"/>
  </r>
  <r>
    <n v="1099924"/>
    <x v="379"/>
    <x v="6"/>
    <x v="20"/>
    <x v="170"/>
  </r>
  <r>
    <n v="1099924"/>
    <x v="379"/>
    <x v="6"/>
    <x v="197"/>
    <x v="743"/>
  </r>
  <r>
    <n v="1099924"/>
    <x v="379"/>
    <x v="6"/>
    <x v="354"/>
    <x v="79"/>
  </r>
  <r>
    <n v="1099924"/>
    <x v="379"/>
    <x v="6"/>
    <x v="409"/>
    <x v="198"/>
  </r>
  <r>
    <n v="1099924"/>
    <x v="379"/>
    <x v="6"/>
    <x v="416"/>
    <x v="64"/>
  </r>
  <r>
    <n v="1099924"/>
    <x v="379"/>
    <x v="6"/>
    <x v="89"/>
    <x v="376"/>
  </r>
  <r>
    <n v="1099924"/>
    <x v="379"/>
    <x v="6"/>
    <x v="95"/>
    <x v="363"/>
  </r>
  <r>
    <n v="1099924"/>
    <x v="379"/>
    <x v="6"/>
    <x v="367"/>
    <x v="346"/>
  </r>
  <r>
    <n v="1099924"/>
    <x v="379"/>
    <x v="6"/>
    <x v="92"/>
    <x v="617"/>
  </r>
  <r>
    <n v="1099924"/>
    <x v="379"/>
    <x v="6"/>
    <x v="114"/>
    <x v="351"/>
  </r>
  <r>
    <n v="1099924"/>
    <x v="379"/>
    <x v="6"/>
    <x v="329"/>
    <x v="51"/>
  </r>
  <r>
    <n v="1099924"/>
    <x v="379"/>
    <x v="6"/>
    <x v="100"/>
    <x v="97"/>
  </r>
  <r>
    <n v="1099924"/>
    <x v="379"/>
    <x v="6"/>
    <x v="279"/>
    <x v="392"/>
  </r>
  <r>
    <n v="1099924"/>
    <x v="379"/>
    <x v="6"/>
    <x v="298"/>
    <x v="162"/>
  </r>
  <r>
    <n v="1099924"/>
    <x v="379"/>
    <x v="6"/>
    <x v="430"/>
    <x v="346"/>
  </r>
  <r>
    <n v="1099924"/>
    <x v="379"/>
    <x v="6"/>
    <x v="106"/>
    <x v="62"/>
  </r>
  <r>
    <n v="1099924"/>
    <x v="379"/>
    <x v="6"/>
    <x v="391"/>
    <x v="744"/>
  </r>
  <r>
    <n v="1099924"/>
    <x v="379"/>
    <x v="6"/>
    <x v="327"/>
    <x v="224"/>
  </r>
  <r>
    <n v="1099924"/>
    <x v="379"/>
    <x v="6"/>
    <x v="305"/>
    <x v="136"/>
  </r>
  <r>
    <n v="1099924"/>
    <x v="379"/>
    <x v="6"/>
    <x v="401"/>
    <x v="178"/>
  </r>
  <r>
    <n v="1099924"/>
    <x v="379"/>
    <x v="6"/>
    <x v="196"/>
    <x v="748"/>
  </r>
  <r>
    <n v="1099924"/>
    <x v="379"/>
    <x v="6"/>
    <x v="355"/>
    <x v="79"/>
  </r>
  <r>
    <n v="1099924"/>
    <x v="379"/>
    <x v="6"/>
    <x v="311"/>
    <x v="78"/>
  </r>
  <r>
    <n v="1099924"/>
    <x v="379"/>
    <x v="6"/>
    <x v="52"/>
    <x v="178"/>
  </r>
  <r>
    <n v="1099924"/>
    <x v="379"/>
    <x v="6"/>
    <x v="268"/>
    <x v="154"/>
  </r>
  <r>
    <n v="1099924"/>
    <x v="379"/>
    <x v="6"/>
    <x v="368"/>
    <x v="346"/>
  </r>
  <r>
    <n v="1099924"/>
    <x v="379"/>
    <x v="6"/>
    <x v="99"/>
    <x v="455"/>
  </r>
  <r>
    <n v="1099924"/>
    <x v="379"/>
    <x v="6"/>
    <x v="307"/>
    <x v="560"/>
  </r>
  <r>
    <n v="1099924"/>
    <x v="379"/>
    <x v="6"/>
    <x v="445"/>
    <x v="198"/>
  </r>
  <r>
    <n v="1099924"/>
    <x v="379"/>
    <x v="6"/>
    <x v="54"/>
    <x v="198"/>
  </r>
  <r>
    <n v="1099924"/>
    <x v="379"/>
    <x v="6"/>
    <x v="441"/>
    <x v="353"/>
  </r>
  <r>
    <n v="1099924"/>
    <x v="379"/>
    <x v="6"/>
    <x v="436"/>
    <x v="156"/>
  </r>
  <r>
    <n v="1099924"/>
    <x v="379"/>
    <x v="6"/>
    <x v="372"/>
    <x v="176"/>
  </r>
  <r>
    <n v="1099924"/>
    <x v="379"/>
    <x v="6"/>
    <x v="113"/>
    <x v="178"/>
  </r>
  <r>
    <n v="1099924"/>
    <x v="379"/>
    <x v="6"/>
    <x v="112"/>
    <x v="4"/>
  </r>
  <r>
    <n v="1099924"/>
    <x v="379"/>
    <x v="6"/>
    <x v="399"/>
    <x v="54"/>
  </r>
  <r>
    <n v="1099924"/>
    <x v="379"/>
    <x v="6"/>
    <x v="273"/>
    <x v="144"/>
  </r>
  <r>
    <n v="1099924"/>
    <x v="1"/>
    <x v="1"/>
    <x v="2"/>
    <x v="2"/>
  </r>
  <r>
    <n v="1099925"/>
    <x v="380"/>
    <x v="6"/>
    <x v="450"/>
    <x v="2"/>
  </r>
  <r>
    <n v="1099925"/>
    <x v="1"/>
    <x v="1"/>
    <x v="2"/>
    <x v="2"/>
  </r>
  <r>
    <n v="1099926"/>
    <x v="381"/>
    <x v="2"/>
    <x v="276"/>
    <x v="2"/>
  </r>
  <r>
    <n v="1099926"/>
    <x v="1"/>
    <x v="1"/>
    <x v="2"/>
    <x v="2"/>
  </r>
  <r>
    <n v="1099929"/>
    <x v="382"/>
    <x v="13"/>
    <x v="385"/>
    <x v="418"/>
  </r>
  <r>
    <n v="1099929"/>
    <x v="382"/>
    <x v="13"/>
    <x v="386"/>
    <x v="419"/>
  </r>
  <r>
    <n v="1099929"/>
    <x v="382"/>
    <x v="13"/>
    <x v="383"/>
    <x v="416"/>
  </r>
  <r>
    <n v="1099929"/>
    <x v="382"/>
    <x v="13"/>
    <x v="384"/>
    <x v="417"/>
  </r>
  <r>
    <n v="1099929"/>
    <x v="1"/>
    <x v="1"/>
    <x v="2"/>
    <x v="2"/>
  </r>
  <r>
    <n v="1099931"/>
    <x v="383"/>
    <x v="13"/>
    <x v="394"/>
    <x v="657"/>
  </r>
  <r>
    <n v="1099931"/>
    <x v="383"/>
    <x v="13"/>
    <x v="422"/>
    <x v="406"/>
  </r>
  <r>
    <n v="1099931"/>
    <x v="383"/>
    <x v="13"/>
    <x v="395"/>
    <x v="777"/>
  </r>
  <r>
    <n v="1099931"/>
    <x v="383"/>
    <x v="13"/>
    <x v="421"/>
    <x v="778"/>
  </r>
  <r>
    <n v="1099931"/>
    <x v="1"/>
    <x v="1"/>
    <x v="2"/>
    <x v="2"/>
  </r>
  <r>
    <n v="1099932"/>
    <x v="384"/>
    <x v="6"/>
    <x v="194"/>
    <x v="516"/>
  </r>
  <r>
    <n v="1099932"/>
    <x v="384"/>
    <x v="6"/>
    <x v="174"/>
    <x v="88"/>
  </r>
  <r>
    <n v="1099932"/>
    <x v="384"/>
    <x v="6"/>
    <x v="176"/>
    <x v="83"/>
  </r>
  <r>
    <n v="1099932"/>
    <x v="384"/>
    <x v="6"/>
    <x v="166"/>
    <x v="534"/>
  </r>
  <r>
    <n v="1099932"/>
    <x v="384"/>
    <x v="6"/>
    <x v="35"/>
    <x v="178"/>
  </r>
  <r>
    <n v="1099932"/>
    <x v="384"/>
    <x v="6"/>
    <x v="41"/>
    <x v="203"/>
  </r>
  <r>
    <n v="1099932"/>
    <x v="384"/>
    <x v="6"/>
    <x v="78"/>
    <x v="541"/>
  </r>
  <r>
    <n v="1099932"/>
    <x v="384"/>
    <x v="6"/>
    <x v="75"/>
    <x v="176"/>
  </r>
  <r>
    <n v="1099932"/>
    <x v="384"/>
    <x v="6"/>
    <x v="199"/>
    <x v="542"/>
  </r>
  <r>
    <n v="1099932"/>
    <x v="384"/>
    <x v="6"/>
    <x v="387"/>
    <x v="233"/>
  </r>
  <r>
    <n v="1099932"/>
    <x v="384"/>
    <x v="6"/>
    <x v="394"/>
    <x v="54"/>
  </r>
  <r>
    <n v="1099932"/>
    <x v="384"/>
    <x v="6"/>
    <x v="343"/>
    <x v="348"/>
  </r>
  <r>
    <n v="1099932"/>
    <x v="384"/>
    <x v="6"/>
    <x v="13"/>
    <x v="535"/>
  </r>
  <r>
    <n v="1099932"/>
    <x v="384"/>
    <x v="6"/>
    <x v="333"/>
    <x v="348"/>
  </r>
  <r>
    <n v="1099932"/>
    <x v="384"/>
    <x v="6"/>
    <x v="159"/>
    <x v="516"/>
  </r>
  <r>
    <n v="1099932"/>
    <x v="384"/>
    <x v="6"/>
    <x v="128"/>
    <x v="178"/>
  </r>
  <r>
    <n v="1099932"/>
    <x v="384"/>
    <x v="6"/>
    <x v="141"/>
    <x v="351"/>
  </r>
  <r>
    <n v="1099932"/>
    <x v="384"/>
    <x v="6"/>
    <x v="151"/>
    <x v="77"/>
  </r>
  <r>
    <n v="1099932"/>
    <x v="384"/>
    <x v="6"/>
    <x v="249"/>
    <x v="348"/>
  </r>
  <r>
    <n v="1099932"/>
    <x v="384"/>
    <x v="6"/>
    <x v="206"/>
    <x v="535"/>
  </r>
  <r>
    <n v="1099932"/>
    <x v="384"/>
    <x v="6"/>
    <x v="215"/>
    <x v="516"/>
  </r>
  <r>
    <n v="1099932"/>
    <x v="384"/>
    <x v="6"/>
    <x v="251"/>
    <x v="535"/>
  </r>
  <r>
    <n v="1099932"/>
    <x v="384"/>
    <x v="6"/>
    <x v="234"/>
    <x v="4"/>
  </r>
  <r>
    <n v="1099932"/>
    <x v="384"/>
    <x v="6"/>
    <x v="313"/>
    <x v="98"/>
  </r>
  <r>
    <n v="1099932"/>
    <x v="384"/>
    <x v="6"/>
    <x v="218"/>
    <x v="346"/>
  </r>
  <r>
    <n v="1099932"/>
    <x v="384"/>
    <x v="6"/>
    <x v="195"/>
    <x v="535"/>
  </r>
  <r>
    <n v="1099932"/>
    <x v="384"/>
    <x v="6"/>
    <x v="192"/>
    <x v="535"/>
  </r>
  <r>
    <n v="1099932"/>
    <x v="384"/>
    <x v="6"/>
    <x v="190"/>
    <x v="346"/>
  </r>
  <r>
    <n v="1099932"/>
    <x v="384"/>
    <x v="6"/>
    <x v="28"/>
    <x v="226"/>
  </r>
  <r>
    <n v="1099932"/>
    <x v="384"/>
    <x v="6"/>
    <x v="29"/>
    <x v="197"/>
  </r>
  <r>
    <n v="1099932"/>
    <x v="384"/>
    <x v="6"/>
    <x v="31"/>
    <x v="162"/>
  </r>
  <r>
    <n v="1099932"/>
    <x v="384"/>
    <x v="6"/>
    <x v="59"/>
    <x v="62"/>
  </r>
  <r>
    <n v="1099932"/>
    <x v="384"/>
    <x v="6"/>
    <x v="74"/>
    <x v="154"/>
  </r>
  <r>
    <n v="1099932"/>
    <x v="384"/>
    <x v="6"/>
    <x v="80"/>
    <x v="550"/>
  </r>
  <r>
    <n v="1099932"/>
    <x v="384"/>
    <x v="6"/>
    <x v="424"/>
    <x v="170"/>
  </r>
  <r>
    <n v="1099932"/>
    <x v="384"/>
    <x v="6"/>
    <x v="386"/>
    <x v="85"/>
  </r>
  <r>
    <n v="1099932"/>
    <x v="384"/>
    <x v="6"/>
    <x v="5"/>
    <x v="3"/>
  </r>
  <r>
    <n v="1099932"/>
    <x v="384"/>
    <x v="6"/>
    <x v="8"/>
    <x v="351"/>
  </r>
  <r>
    <n v="1099932"/>
    <x v="384"/>
    <x v="6"/>
    <x v="349"/>
    <x v="535"/>
  </r>
  <r>
    <n v="1099932"/>
    <x v="384"/>
    <x v="6"/>
    <x v="337"/>
    <x v="348"/>
  </r>
  <r>
    <n v="1099932"/>
    <x v="384"/>
    <x v="6"/>
    <x v="125"/>
    <x v="535"/>
  </r>
  <r>
    <n v="1099932"/>
    <x v="384"/>
    <x v="6"/>
    <x v="136"/>
    <x v="516"/>
  </r>
  <r>
    <n v="1099932"/>
    <x v="384"/>
    <x v="6"/>
    <x v="148"/>
    <x v="535"/>
  </r>
  <r>
    <n v="1099932"/>
    <x v="384"/>
    <x v="6"/>
    <x v="259"/>
    <x v="178"/>
  </r>
  <r>
    <n v="1099932"/>
    <x v="384"/>
    <x v="6"/>
    <x v="265"/>
    <x v="535"/>
  </r>
  <r>
    <n v="1099932"/>
    <x v="384"/>
    <x v="6"/>
    <x v="212"/>
    <x v="4"/>
  </r>
  <r>
    <n v="1099932"/>
    <x v="384"/>
    <x v="6"/>
    <x v="223"/>
    <x v="3"/>
  </r>
  <r>
    <n v="1099932"/>
    <x v="384"/>
    <x v="6"/>
    <x v="231"/>
    <x v="88"/>
  </r>
  <r>
    <n v="1099932"/>
    <x v="384"/>
    <x v="6"/>
    <x v="239"/>
    <x v="198"/>
  </r>
  <r>
    <n v="1099932"/>
    <x v="384"/>
    <x v="6"/>
    <x v="247"/>
    <x v="198"/>
  </r>
  <r>
    <n v="1099932"/>
    <x v="384"/>
    <x v="6"/>
    <x v="221"/>
    <x v="198"/>
  </r>
  <r>
    <n v="1099932"/>
    <x v="384"/>
    <x v="6"/>
    <x v="385"/>
    <x v="5"/>
  </r>
  <r>
    <n v="1099932"/>
    <x v="384"/>
    <x v="6"/>
    <x v="9"/>
    <x v="348"/>
  </r>
  <r>
    <n v="1099932"/>
    <x v="384"/>
    <x v="6"/>
    <x v="145"/>
    <x v="351"/>
  </r>
  <r>
    <n v="1099932"/>
    <x v="384"/>
    <x v="6"/>
    <x v="256"/>
    <x v="79"/>
  </r>
  <r>
    <n v="1099932"/>
    <x v="384"/>
    <x v="6"/>
    <x v="263"/>
    <x v="83"/>
  </r>
  <r>
    <n v="1099932"/>
    <x v="384"/>
    <x v="6"/>
    <x v="209"/>
    <x v="516"/>
  </r>
  <r>
    <n v="1099932"/>
    <x v="384"/>
    <x v="6"/>
    <x v="140"/>
    <x v="4"/>
  </r>
  <r>
    <n v="1099932"/>
    <x v="384"/>
    <x v="6"/>
    <x v="228"/>
    <x v="30"/>
  </r>
  <r>
    <n v="1099932"/>
    <x v="384"/>
    <x v="6"/>
    <x v="238"/>
    <x v="375"/>
  </r>
  <r>
    <n v="1099932"/>
    <x v="384"/>
    <x v="6"/>
    <x v="245"/>
    <x v="161"/>
  </r>
  <r>
    <n v="1099932"/>
    <x v="384"/>
    <x v="6"/>
    <x v="318"/>
    <x v="88"/>
  </r>
  <r>
    <n v="1099932"/>
    <x v="384"/>
    <x v="6"/>
    <x v="179"/>
    <x v="516"/>
  </r>
  <r>
    <n v="1099932"/>
    <x v="384"/>
    <x v="6"/>
    <x v="181"/>
    <x v="161"/>
  </r>
  <r>
    <n v="1099932"/>
    <x v="384"/>
    <x v="6"/>
    <x v="183"/>
    <x v="535"/>
  </r>
  <r>
    <n v="1099932"/>
    <x v="384"/>
    <x v="6"/>
    <x v="24"/>
    <x v="88"/>
  </r>
  <r>
    <n v="1099932"/>
    <x v="384"/>
    <x v="6"/>
    <x v="39"/>
    <x v="105"/>
  </r>
  <r>
    <n v="1099932"/>
    <x v="384"/>
    <x v="6"/>
    <x v="388"/>
    <x v="37"/>
  </r>
  <r>
    <n v="1099932"/>
    <x v="384"/>
    <x v="6"/>
    <x v="65"/>
    <x v="351"/>
  </r>
  <r>
    <n v="1099932"/>
    <x v="384"/>
    <x v="6"/>
    <x v="58"/>
    <x v="82"/>
  </r>
  <r>
    <n v="1099932"/>
    <x v="384"/>
    <x v="6"/>
    <x v="3"/>
    <x v="24"/>
  </r>
  <r>
    <n v="1099932"/>
    <x v="384"/>
    <x v="6"/>
    <x v="395"/>
    <x v="539"/>
  </r>
  <r>
    <n v="1099932"/>
    <x v="384"/>
    <x v="6"/>
    <x v="12"/>
    <x v="3"/>
  </r>
  <r>
    <n v="1099932"/>
    <x v="384"/>
    <x v="6"/>
    <x v="345"/>
    <x v="346"/>
  </r>
  <r>
    <n v="1099932"/>
    <x v="384"/>
    <x v="6"/>
    <x v="351"/>
    <x v="351"/>
  </r>
  <r>
    <n v="1099932"/>
    <x v="384"/>
    <x v="6"/>
    <x v="162"/>
    <x v="535"/>
  </r>
  <r>
    <n v="1099932"/>
    <x v="384"/>
    <x v="6"/>
    <x v="132"/>
    <x v="178"/>
  </r>
  <r>
    <n v="1099932"/>
    <x v="384"/>
    <x v="6"/>
    <x v="144"/>
    <x v="348"/>
  </r>
  <r>
    <n v="1099932"/>
    <x v="384"/>
    <x v="6"/>
    <x v="255"/>
    <x v="154"/>
  </r>
  <r>
    <n v="1099932"/>
    <x v="384"/>
    <x v="6"/>
    <x v="250"/>
    <x v="535"/>
  </r>
  <r>
    <n v="1099932"/>
    <x v="384"/>
    <x v="6"/>
    <x v="139"/>
    <x v="178"/>
  </r>
  <r>
    <n v="1099932"/>
    <x v="384"/>
    <x v="6"/>
    <x v="227"/>
    <x v="4"/>
  </r>
  <r>
    <n v="1099932"/>
    <x v="384"/>
    <x v="6"/>
    <x v="237"/>
    <x v="548"/>
  </r>
  <r>
    <n v="1099932"/>
    <x v="384"/>
    <x v="6"/>
    <x v="244"/>
    <x v="154"/>
  </r>
  <r>
    <n v="1099932"/>
    <x v="384"/>
    <x v="6"/>
    <x v="314"/>
    <x v="516"/>
  </r>
  <r>
    <n v="1099932"/>
    <x v="384"/>
    <x v="6"/>
    <x v="168"/>
    <x v="535"/>
  </r>
  <r>
    <n v="1099932"/>
    <x v="384"/>
    <x v="6"/>
    <x v="175"/>
    <x v="516"/>
  </r>
  <r>
    <n v="1099932"/>
    <x v="384"/>
    <x v="6"/>
    <x v="177"/>
    <x v="198"/>
  </r>
  <r>
    <n v="1099932"/>
    <x v="384"/>
    <x v="6"/>
    <x v="38"/>
    <x v="198"/>
  </r>
  <r>
    <n v="1099932"/>
    <x v="384"/>
    <x v="6"/>
    <x v="34"/>
    <x v="105"/>
  </r>
  <r>
    <n v="1099932"/>
    <x v="384"/>
    <x v="6"/>
    <x v="390"/>
    <x v="220"/>
  </r>
  <r>
    <n v="1099932"/>
    <x v="384"/>
    <x v="6"/>
    <x v="202"/>
    <x v="238"/>
  </r>
  <r>
    <n v="1099932"/>
    <x v="384"/>
    <x v="6"/>
    <x v="63"/>
    <x v="178"/>
  </r>
  <r>
    <n v="1099932"/>
    <x v="384"/>
    <x v="6"/>
    <x v="55"/>
    <x v="178"/>
  </r>
  <r>
    <n v="1099932"/>
    <x v="384"/>
    <x v="6"/>
    <x v="330"/>
    <x v="553"/>
  </r>
  <r>
    <n v="1099932"/>
    <x v="384"/>
    <x v="6"/>
    <x v="11"/>
    <x v="348"/>
  </r>
  <r>
    <n v="1099932"/>
    <x v="384"/>
    <x v="6"/>
    <x v="40"/>
    <x v="161"/>
  </r>
  <r>
    <n v="1099932"/>
    <x v="384"/>
    <x v="6"/>
    <x v="25"/>
    <x v="105"/>
  </r>
  <r>
    <n v="1099932"/>
    <x v="384"/>
    <x v="6"/>
    <x v="418"/>
    <x v="552"/>
  </r>
  <r>
    <n v="1099932"/>
    <x v="384"/>
    <x v="6"/>
    <x v="421"/>
    <x v="58"/>
  </r>
  <r>
    <n v="1099932"/>
    <x v="384"/>
    <x v="6"/>
    <x v="15"/>
    <x v="154"/>
  </r>
  <r>
    <n v="1099932"/>
    <x v="384"/>
    <x v="6"/>
    <x v="254"/>
    <x v="178"/>
  </r>
  <r>
    <n v="1099932"/>
    <x v="384"/>
    <x v="6"/>
    <x v="350"/>
    <x v="535"/>
  </r>
  <r>
    <n v="1099932"/>
    <x v="384"/>
    <x v="6"/>
    <x v="161"/>
    <x v="351"/>
  </r>
  <r>
    <n v="1099932"/>
    <x v="384"/>
    <x v="6"/>
    <x v="7"/>
    <x v="351"/>
  </r>
  <r>
    <n v="1099932"/>
    <x v="384"/>
    <x v="6"/>
    <x v="331"/>
    <x v="178"/>
  </r>
  <r>
    <n v="1099932"/>
    <x v="384"/>
    <x v="6"/>
    <x v="338"/>
    <x v="346"/>
  </r>
  <r>
    <n v="1099932"/>
    <x v="384"/>
    <x v="6"/>
    <x v="126"/>
    <x v="516"/>
  </r>
  <r>
    <n v="1099932"/>
    <x v="384"/>
    <x v="6"/>
    <x v="137"/>
    <x v="535"/>
  </r>
  <r>
    <n v="1099932"/>
    <x v="384"/>
    <x v="6"/>
    <x v="149"/>
    <x v="516"/>
  </r>
  <r>
    <n v="1099932"/>
    <x v="384"/>
    <x v="6"/>
    <x v="260"/>
    <x v="83"/>
  </r>
  <r>
    <n v="1099932"/>
    <x v="384"/>
    <x v="6"/>
    <x v="204"/>
    <x v="535"/>
  </r>
  <r>
    <n v="1099932"/>
    <x v="384"/>
    <x v="6"/>
    <x v="213"/>
    <x v="83"/>
  </r>
  <r>
    <n v="1099932"/>
    <x v="384"/>
    <x v="6"/>
    <x v="224"/>
    <x v="144"/>
  </r>
  <r>
    <n v="1099932"/>
    <x v="384"/>
    <x v="6"/>
    <x v="232"/>
    <x v="161"/>
  </r>
  <r>
    <n v="1099932"/>
    <x v="384"/>
    <x v="6"/>
    <x v="240"/>
    <x v="535"/>
  </r>
  <r>
    <n v="1099932"/>
    <x v="384"/>
    <x v="6"/>
    <x v="248"/>
    <x v="516"/>
  </r>
  <r>
    <n v="1099932"/>
    <x v="384"/>
    <x v="6"/>
    <x v="170"/>
    <x v="178"/>
  </r>
  <r>
    <n v="1099932"/>
    <x v="384"/>
    <x v="6"/>
    <x v="172"/>
    <x v="154"/>
  </r>
  <r>
    <n v="1099932"/>
    <x v="384"/>
    <x v="6"/>
    <x v="1"/>
    <x v="540"/>
  </r>
  <r>
    <n v="1099932"/>
    <x v="384"/>
    <x v="6"/>
    <x v="27"/>
    <x v="64"/>
  </r>
  <r>
    <n v="1099932"/>
    <x v="384"/>
    <x v="6"/>
    <x v="64"/>
    <x v="549"/>
  </r>
  <r>
    <n v="1099932"/>
    <x v="384"/>
    <x v="6"/>
    <x v="203"/>
    <x v="543"/>
  </r>
  <r>
    <n v="1099932"/>
    <x v="384"/>
    <x v="6"/>
    <x v="70"/>
    <x v="198"/>
  </r>
  <r>
    <n v="1099932"/>
    <x v="384"/>
    <x v="6"/>
    <x v="73"/>
    <x v="351"/>
  </r>
  <r>
    <n v="1099932"/>
    <x v="384"/>
    <x v="6"/>
    <x v="4"/>
    <x v="3"/>
  </r>
  <r>
    <n v="1099932"/>
    <x v="384"/>
    <x v="6"/>
    <x v="157"/>
    <x v="544"/>
  </r>
  <r>
    <n v="1099932"/>
    <x v="384"/>
    <x v="6"/>
    <x v="344"/>
    <x v="346"/>
  </r>
  <r>
    <n v="1099932"/>
    <x v="384"/>
    <x v="6"/>
    <x v="347"/>
    <x v="348"/>
  </r>
  <r>
    <n v="1099932"/>
    <x v="384"/>
    <x v="6"/>
    <x v="335"/>
    <x v="348"/>
  </r>
  <r>
    <n v="1099932"/>
    <x v="384"/>
    <x v="6"/>
    <x v="163"/>
    <x v="516"/>
  </r>
  <r>
    <n v="1099932"/>
    <x v="384"/>
    <x v="6"/>
    <x v="134"/>
    <x v="178"/>
  </r>
  <r>
    <n v="1099932"/>
    <x v="384"/>
    <x v="6"/>
    <x v="146"/>
    <x v="535"/>
  </r>
  <r>
    <n v="1099932"/>
    <x v="384"/>
    <x v="6"/>
    <x v="257"/>
    <x v="198"/>
  </r>
  <r>
    <n v="1099932"/>
    <x v="384"/>
    <x v="6"/>
    <x v="264"/>
    <x v="351"/>
  </r>
  <r>
    <n v="1099932"/>
    <x v="384"/>
    <x v="6"/>
    <x v="210"/>
    <x v="348"/>
  </r>
  <r>
    <n v="1099932"/>
    <x v="384"/>
    <x v="6"/>
    <x v="340"/>
    <x v="78"/>
  </r>
  <r>
    <n v="1099932"/>
    <x v="384"/>
    <x v="6"/>
    <x v="229"/>
    <x v="219"/>
  </r>
  <r>
    <n v="1099932"/>
    <x v="384"/>
    <x v="6"/>
    <x v="155"/>
    <x v="331"/>
  </r>
  <r>
    <n v="1099932"/>
    <x v="384"/>
    <x v="6"/>
    <x v="341"/>
    <x v="346"/>
  </r>
  <r>
    <n v="1099932"/>
    <x v="384"/>
    <x v="6"/>
    <x v="317"/>
    <x v="346"/>
  </r>
  <r>
    <n v="1099932"/>
    <x v="384"/>
    <x v="6"/>
    <x v="193"/>
    <x v="170"/>
  </r>
  <r>
    <n v="1099932"/>
    <x v="384"/>
    <x v="6"/>
    <x v="191"/>
    <x v="178"/>
  </r>
  <r>
    <n v="1099932"/>
    <x v="384"/>
    <x v="6"/>
    <x v="189"/>
    <x v="178"/>
  </r>
  <r>
    <n v="1099932"/>
    <x v="384"/>
    <x v="6"/>
    <x v="422"/>
    <x v="154"/>
  </r>
  <r>
    <n v="1099932"/>
    <x v="384"/>
    <x v="6"/>
    <x v="14"/>
    <x v="4"/>
  </r>
  <r>
    <n v="1099932"/>
    <x v="384"/>
    <x v="6"/>
    <x v="253"/>
    <x v="170"/>
  </r>
  <r>
    <n v="1099932"/>
    <x v="384"/>
    <x v="6"/>
    <x v="334"/>
    <x v="198"/>
  </r>
  <r>
    <n v="1099932"/>
    <x v="384"/>
    <x v="6"/>
    <x v="160"/>
    <x v="351"/>
  </r>
  <r>
    <n v="1099932"/>
    <x v="384"/>
    <x v="6"/>
    <x v="129"/>
    <x v="535"/>
  </r>
  <r>
    <n v="1099932"/>
    <x v="384"/>
    <x v="6"/>
    <x v="142"/>
    <x v="83"/>
  </r>
  <r>
    <n v="1099932"/>
    <x v="384"/>
    <x v="6"/>
    <x v="152"/>
    <x v="535"/>
  </r>
  <r>
    <n v="1099932"/>
    <x v="384"/>
    <x v="6"/>
    <x v="262"/>
    <x v="351"/>
  </r>
  <r>
    <n v="1099932"/>
    <x v="384"/>
    <x v="6"/>
    <x v="207"/>
    <x v="88"/>
  </r>
  <r>
    <n v="1099932"/>
    <x v="384"/>
    <x v="6"/>
    <x v="216"/>
    <x v="198"/>
  </r>
  <r>
    <n v="1099932"/>
    <x v="384"/>
    <x v="6"/>
    <x v="426"/>
    <x v="170"/>
  </r>
  <r>
    <n v="1099932"/>
    <x v="384"/>
    <x v="6"/>
    <x v="235"/>
    <x v="83"/>
  </r>
  <r>
    <n v="1099932"/>
    <x v="384"/>
    <x v="6"/>
    <x v="242"/>
    <x v="346"/>
  </r>
  <r>
    <n v="1099932"/>
    <x v="384"/>
    <x v="6"/>
    <x v="219"/>
    <x v="77"/>
  </r>
  <r>
    <n v="1099932"/>
    <x v="384"/>
    <x v="6"/>
    <x v="173"/>
    <x v="516"/>
  </r>
  <r>
    <n v="1099932"/>
    <x v="384"/>
    <x v="6"/>
    <x v="187"/>
    <x v="98"/>
  </r>
  <r>
    <n v="1099932"/>
    <x v="384"/>
    <x v="6"/>
    <x v="184"/>
    <x v="516"/>
  </r>
  <r>
    <n v="1099932"/>
    <x v="384"/>
    <x v="6"/>
    <x v="0"/>
    <x v="529"/>
  </r>
  <r>
    <n v="1099932"/>
    <x v="384"/>
    <x v="6"/>
    <x v="36"/>
    <x v="34"/>
  </r>
  <r>
    <n v="1099932"/>
    <x v="384"/>
    <x v="6"/>
    <x v="81"/>
    <x v="229"/>
  </r>
  <r>
    <n v="1099932"/>
    <x v="384"/>
    <x v="6"/>
    <x v="200"/>
    <x v="179"/>
  </r>
  <r>
    <n v="1099932"/>
    <x v="384"/>
    <x v="6"/>
    <x v="62"/>
    <x v="348"/>
  </r>
  <r>
    <n v="1099932"/>
    <x v="384"/>
    <x v="6"/>
    <x v="57"/>
    <x v="36"/>
  </r>
  <r>
    <n v="1099932"/>
    <x v="384"/>
    <x v="6"/>
    <x v="169"/>
    <x v="351"/>
  </r>
  <r>
    <n v="1099932"/>
    <x v="384"/>
    <x v="6"/>
    <x v="171"/>
    <x v="351"/>
  </r>
  <r>
    <n v="1099932"/>
    <x v="384"/>
    <x v="6"/>
    <x v="165"/>
    <x v="546"/>
  </r>
  <r>
    <n v="1099932"/>
    <x v="384"/>
    <x v="6"/>
    <x v="43"/>
    <x v="351"/>
  </r>
  <r>
    <n v="1099932"/>
    <x v="384"/>
    <x v="6"/>
    <x v="30"/>
    <x v="203"/>
  </r>
  <r>
    <n v="1099932"/>
    <x v="384"/>
    <x v="6"/>
    <x v="77"/>
    <x v="536"/>
  </r>
  <r>
    <n v="1099932"/>
    <x v="384"/>
    <x v="6"/>
    <x v="60"/>
    <x v="82"/>
  </r>
  <r>
    <n v="1099932"/>
    <x v="384"/>
    <x v="6"/>
    <x v="201"/>
    <x v="88"/>
  </r>
  <r>
    <n v="1099932"/>
    <x v="384"/>
    <x v="6"/>
    <x v="389"/>
    <x v="537"/>
  </r>
  <r>
    <n v="1099932"/>
    <x v="384"/>
    <x v="6"/>
    <x v="346"/>
    <x v="516"/>
  </r>
  <r>
    <n v="1099932"/>
    <x v="384"/>
    <x v="6"/>
    <x v="352"/>
    <x v="516"/>
  </r>
  <r>
    <n v="1099932"/>
    <x v="384"/>
    <x v="6"/>
    <x v="154"/>
    <x v="351"/>
  </r>
  <r>
    <n v="1099932"/>
    <x v="384"/>
    <x v="6"/>
    <x v="133"/>
    <x v="348"/>
  </r>
  <r>
    <n v="1099932"/>
    <x v="384"/>
    <x v="6"/>
    <x v="425"/>
    <x v="170"/>
  </r>
  <r>
    <n v="1099932"/>
    <x v="384"/>
    <x v="6"/>
    <x v="383"/>
    <x v="220"/>
  </r>
  <r>
    <n v="1099932"/>
    <x v="384"/>
    <x v="6"/>
    <x v="158"/>
    <x v="472"/>
  </r>
  <r>
    <n v="1099932"/>
    <x v="384"/>
    <x v="6"/>
    <x v="10"/>
    <x v="83"/>
  </r>
  <r>
    <n v="1099932"/>
    <x v="384"/>
    <x v="6"/>
    <x v="348"/>
    <x v="178"/>
  </r>
  <r>
    <n v="1099932"/>
    <x v="384"/>
    <x v="6"/>
    <x v="336"/>
    <x v="178"/>
  </r>
  <r>
    <n v="1099932"/>
    <x v="384"/>
    <x v="6"/>
    <x v="124"/>
    <x v="351"/>
  </r>
  <r>
    <n v="1099932"/>
    <x v="384"/>
    <x v="6"/>
    <x v="135"/>
    <x v="535"/>
  </r>
  <r>
    <n v="1099932"/>
    <x v="384"/>
    <x v="6"/>
    <x v="147"/>
    <x v="535"/>
  </r>
  <r>
    <n v="1099932"/>
    <x v="384"/>
    <x v="6"/>
    <x v="258"/>
    <x v="516"/>
  </r>
  <r>
    <n v="1099932"/>
    <x v="384"/>
    <x v="6"/>
    <x v="316"/>
    <x v="347"/>
  </r>
  <r>
    <n v="1099932"/>
    <x v="384"/>
    <x v="6"/>
    <x v="211"/>
    <x v="351"/>
  </r>
  <r>
    <n v="1099932"/>
    <x v="384"/>
    <x v="6"/>
    <x v="222"/>
    <x v="77"/>
  </r>
  <r>
    <n v="1099932"/>
    <x v="384"/>
    <x v="6"/>
    <x v="230"/>
    <x v="77"/>
  </r>
  <r>
    <n v="1099932"/>
    <x v="384"/>
    <x v="6"/>
    <x v="156"/>
    <x v="545"/>
  </r>
  <r>
    <n v="1099932"/>
    <x v="384"/>
    <x v="6"/>
    <x v="246"/>
    <x v="198"/>
  </r>
  <r>
    <n v="1099932"/>
    <x v="384"/>
    <x v="6"/>
    <x v="220"/>
    <x v="178"/>
  </r>
  <r>
    <n v="1099932"/>
    <x v="384"/>
    <x v="6"/>
    <x v="186"/>
    <x v="535"/>
  </r>
  <r>
    <n v="1099932"/>
    <x v="384"/>
    <x v="6"/>
    <x v="188"/>
    <x v="88"/>
  </r>
  <r>
    <n v="1099932"/>
    <x v="384"/>
    <x v="6"/>
    <x v="164"/>
    <x v="105"/>
  </r>
  <r>
    <n v="1099932"/>
    <x v="384"/>
    <x v="6"/>
    <x v="26"/>
    <x v="351"/>
  </r>
  <r>
    <n v="1099932"/>
    <x v="384"/>
    <x v="6"/>
    <x v="42"/>
    <x v="182"/>
  </r>
  <r>
    <n v="1099932"/>
    <x v="384"/>
    <x v="6"/>
    <x v="82"/>
    <x v="346"/>
  </r>
  <r>
    <n v="1099932"/>
    <x v="384"/>
    <x v="6"/>
    <x v="68"/>
    <x v="98"/>
  </r>
  <r>
    <n v="1099932"/>
    <x v="384"/>
    <x v="6"/>
    <x v="56"/>
    <x v="69"/>
  </r>
  <r>
    <n v="1099932"/>
    <x v="384"/>
    <x v="6"/>
    <x v="420"/>
    <x v="547"/>
  </r>
  <r>
    <n v="1099932"/>
    <x v="384"/>
    <x v="6"/>
    <x v="384"/>
    <x v="551"/>
  </r>
  <r>
    <n v="1099932"/>
    <x v="384"/>
    <x v="6"/>
    <x v="342"/>
    <x v="348"/>
  </r>
  <r>
    <n v="1099932"/>
    <x v="384"/>
    <x v="6"/>
    <x v="6"/>
    <x v="516"/>
  </r>
  <r>
    <n v="1099932"/>
    <x v="384"/>
    <x v="6"/>
    <x v="332"/>
    <x v="346"/>
  </r>
  <r>
    <n v="1099932"/>
    <x v="384"/>
    <x v="6"/>
    <x v="339"/>
    <x v="348"/>
  </r>
  <r>
    <n v="1099932"/>
    <x v="384"/>
    <x v="6"/>
    <x v="127"/>
    <x v="535"/>
  </r>
  <r>
    <n v="1099932"/>
    <x v="384"/>
    <x v="6"/>
    <x v="138"/>
    <x v="351"/>
  </r>
  <r>
    <n v="1099932"/>
    <x v="384"/>
    <x v="6"/>
    <x v="150"/>
    <x v="77"/>
  </r>
  <r>
    <n v="1099932"/>
    <x v="384"/>
    <x v="6"/>
    <x v="261"/>
    <x v="348"/>
  </r>
  <r>
    <n v="1099932"/>
    <x v="384"/>
    <x v="6"/>
    <x v="205"/>
    <x v="516"/>
  </r>
  <r>
    <n v="1099932"/>
    <x v="384"/>
    <x v="6"/>
    <x v="214"/>
    <x v="516"/>
  </r>
  <r>
    <n v="1099932"/>
    <x v="384"/>
    <x v="6"/>
    <x v="225"/>
    <x v="4"/>
  </r>
  <r>
    <n v="1099932"/>
    <x v="384"/>
    <x v="6"/>
    <x v="233"/>
    <x v="154"/>
  </r>
  <r>
    <n v="1099932"/>
    <x v="384"/>
    <x v="6"/>
    <x v="241"/>
    <x v="178"/>
  </r>
  <r>
    <n v="1099932"/>
    <x v="384"/>
    <x v="6"/>
    <x v="217"/>
    <x v="170"/>
  </r>
  <r>
    <n v="1099932"/>
    <x v="384"/>
    <x v="6"/>
    <x v="178"/>
    <x v="516"/>
  </r>
  <r>
    <n v="1099932"/>
    <x v="384"/>
    <x v="6"/>
    <x v="180"/>
    <x v="88"/>
  </r>
  <r>
    <n v="1099932"/>
    <x v="384"/>
    <x v="6"/>
    <x v="182"/>
    <x v="516"/>
  </r>
  <r>
    <n v="1099932"/>
    <x v="384"/>
    <x v="6"/>
    <x v="33"/>
    <x v="90"/>
  </r>
  <r>
    <n v="1099932"/>
    <x v="384"/>
    <x v="6"/>
    <x v="32"/>
    <x v="62"/>
  </r>
  <r>
    <n v="1099932"/>
    <x v="384"/>
    <x v="6"/>
    <x v="37"/>
    <x v="149"/>
  </r>
  <r>
    <n v="1099932"/>
    <x v="384"/>
    <x v="6"/>
    <x v="83"/>
    <x v="348"/>
  </r>
  <r>
    <n v="1099932"/>
    <x v="384"/>
    <x v="6"/>
    <x v="71"/>
    <x v="97"/>
  </r>
  <r>
    <n v="1099932"/>
    <x v="384"/>
    <x v="6"/>
    <x v="69"/>
    <x v="538"/>
  </r>
  <r>
    <n v="1099932"/>
    <x v="384"/>
    <x v="6"/>
    <x v="61"/>
    <x v="172"/>
  </r>
  <r>
    <n v="1099932"/>
    <x v="384"/>
    <x v="6"/>
    <x v="131"/>
    <x v="535"/>
  </r>
  <r>
    <n v="1099932"/>
    <x v="384"/>
    <x v="6"/>
    <x v="143"/>
    <x v="178"/>
  </r>
  <r>
    <n v="1099932"/>
    <x v="384"/>
    <x v="6"/>
    <x v="153"/>
    <x v="348"/>
  </r>
  <r>
    <n v="1099932"/>
    <x v="384"/>
    <x v="6"/>
    <x v="208"/>
    <x v="178"/>
  </r>
  <r>
    <n v="1099932"/>
    <x v="384"/>
    <x v="6"/>
    <x v="66"/>
    <x v="98"/>
  </r>
  <r>
    <n v="1099932"/>
    <x v="384"/>
    <x v="6"/>
    <x v="79"/>
    <x v="69"/>
  </r>
  <r>
    <n v="1099932"/>
    <x v="384"/>
    <x v="6"/>
    <x v="419"/>
    <x v="84"/>
  </r>
  <r>
    <n v="1099932"/>
    <x v="384"/>
    <x v="6"/>
    <x v="130"/>
    <x v="348"/>
  </r>
  <r>
    <n v="1099932"/>
    <x v="384"/>
    <x v="6"/>
    <x v="226"/>
    <x v="82"/>
  </r>
  <r>
    <n v="1099932"/>
    <x v="384"/>
    <x v="6"/>
    <x v="236"/>
    <x v="83"/>
  </r>
  <r>
    <n v="1099932"/>
    <x v="384"/>
    <x v="6"/>
    <x v="243"/>
    <x v="351"/>
  </r>
  <r>
    <n v="1099932"/>
    <x v="384"/>
    <x v="6"/>
    <x v="315"/>
    <x v="144"/>
  </r>
  <r>
    <n v="1099932"/>
    <x v="384"/>
    <x v="6"/>
    <x v="185"/>
    <x v="3"/>
  </r>
  <r>
    <n v="1099932"/>
    <x v="1"/>
    <x v="1"/>
    <x v="2"/>
    <x v="2"/>
  </r>
  <r>
    <n v="1099933"/>
    <x v="385"/>
    <x v="5"/>
    <x v="282"/>
    <x v="779"/>
  </r>
  <r>
    <n v="1099933"/>
    <x v="385"/>
    <x v="5"/>
    <x v="283"/>
    <x v="780"/>
  </r>
  <r>
    <n v="1099933"/>
    <x v="1"/>
    <x v="1"/>
    <x v="2"/>
    <x v="2"/>
  </r>
  <r>
    <n v="1099935"/>
    <x v="386"/>
    <x v="5"/>
    <x v="400"/>
    <x v="223"/>
  </r>
  <r>
    <n v="1099935"/>
    <x v="386"/>
    <x v="5"/>
    <x v="85"/>
    <x v="781"/>
  </r>
  <r>
    <n v="1099935"/>
    <x v="386"/>
    <x v="5"/>
    <x v="404"/>
    <x v="512"/>
  </r>
  <r>
    <n v="1099935"/>
    <x v="386"/>
    <x v="5"/>
    <x v="409"/>
    <x v="767"/>
  </r>
  <r>
    <n v="1099935"/>
    <x v="386"/>
    <x v="5"/>
    <x v="86"/>
    <x v="782"/>
  </r>
  <r>
    <n v="1099935"/>
    <x v="386"/>
    <x v="5"/>
    <x v="414"/>
    <x v="455"/>
  </r>
  <r>
    <n v="1099935"/>
    <x v="1"/>
    <x v="1"/>
    <x v="2"/>
    <x v="2"/>
  </r>
  <r>
    <n v="1099936"/>
    <x v="387"/>
    <x v="14"/>
    <x v="393"/>
    <x v="428"/>
  </r>
  <r>
    <n v="1099936"/>
    <x v="387"/>
    <x v="14"/>
    <x v="392"/>
    <x v="427"/>
  </r>
  <r>
    <n v="1099936"/>
    <x v="1"/>
    <x v="1"/>
    <x v="2"/>
    <x v="2"/>
  </r>
  <r>
    <n v="1099937"/>
    <x v="388"/>
    <x v="5"/>
    <x v="96"/>
    <x v="147"/>
  </r>
  <r>
    <n v="1099937"/>
    <x v="388"/>
    <x v="5"/>
    <x v="376"/>
    <x v="549"/>
  </r>
  <r>
    <n v="1099937"/>
    <x v="388"/>
    <x v="5"/>
    <x v="98"/>
    <x v="199"/>
  </r>
  <r>
    <n v="1099937"/>
    <x v="388"/>
    <x v="5"/>
    <x v="97"/>
    <x v="783"/>
  </r>
  <r>
    <n v="1099937"/>
    <x v="388"/>
    <x v="5"/>
    <x v="444"/>
    <x v="42"/>
  </r>
  <r>
    <n v="1099937"/>
    <x v="388"/>
    <x v="5"/>
    <x v="355"/>
    <x v="569"/>
  </r>
  <r>
    <n v="1099937"/>
    <x v="388"/>
    <x v="5"/>
    <x v="360"/>
    <x v="212"/>
  </r>
  <r>
    <n v="1099937"/>
    <x v="388"/>
    <x v="5"/>
    <x v="443"/>
    <x v="784"/>
  </r>
  <r>
    <n v="1099937"/>
    <x v="388"/>
    <x v="5"/>
    <x v="91"/>
    <x v="457"/>
  </r>
  <r>
    <n v="1099937"/>
    <x v="388"/>
    <x v="5"/>
    <x v="374"/>
    <x v="211"/>
  </r>
  <r>
    <n v="1099937"/>
    <x v="388"/>
    <x v="5"/>
    <x v="375"/>
    <x v="77"/>
  </r>
  <r>
    <n v="1099937"/>
    <x v="388"/>
    <x v="5"/>
    <x v="87"/>
    <x v="785"/>
  </r>
  <r>
    <n v="1099937"/>
    <x v="388"/>
    <x v="5"/>
    <x v="94"/>
    <x v="164"/>
  </r>
  <r>
    <n v="1099937"/>
    <x v="388"/>
    <x v="5"/>
    <x v="362"/>
    <x v="476"/>
  </r>
  <r>
    <n v="1099937"/>
    <x v="388"/>
    <x v="5"/>
    <x v="365"/>
    <x v="24"/>
  </r>
  <r>
    <n v="1099937"/>
    <x v="388"/>
    <x v="5"/>
    <x v="371"/>
    <x v="156"/>
  </r>
  <r>
    <n v="1099937"/>
    <x v="388"/>
    <x v="5"/>
    <x v="93"/>
    <x v="682"/>
  </r>
  <r>
    <n v="1099937"/>
    <x v="388"/>
    <x v="5"/>
    <x v="440"/>
    <x v="786"/>
  </r>
  <r>
    <n v="1099937"/>
    <x v="388"/>
    <x v="5"/>
    <x v="88"/>
    <x v="173"/>
  </r>
  <r>
    <n v="1099937"/>
    <x v="388"/>
    <x v="5"/>
    <x v="95"/>
    <x v="557"/>
  </r>
  <r>
    <n v="1099937"/>
    <x v="388"/>
    <x v="5"/>
    <x v="369"/>
    <x v="54"/>
  </r>
  <r>
    <n v="1099937"/>
    <x v="388"/>
    <x v="5"/>
    <x v="445"/>
    <x v="202"/>
  </r>
  <r>
    <n v="1099937"/>
    <x v="388"/>
    <x v="5"/>
    <x v="358"/>
    <x v="171"/>
  </r>
  <r>
    <n v="1099937"/>
    <x v="388"/>
    <x v="5"/>
    <x v="90"/>
    <x v="212"/>
  </r>
  <r>
    <n v="1099937"/>
    <x v="388"/>
    <x v="5"/>
    <x v="367"/>
    <x v="61"/>
  </r>
  <r>
    <n v="1099937"/>
    <x v="388"/>
    <x v="5"/>
    <x v="377"/>
    <x v="787"/>
  </r>
  <r>
    <n v="1099937"/>
    <x v="388"/>
    <x v="5"/>
    <x v="356"/>
    <x v="363"/>
  </r>
  <r>
    <n v="1099937"/>
    <x v="388"/>
    <x v="5"/>
    <x v="357"/>
    <x v="788"/>
  </r>
  <r>
    <n v="1099937"/>
    <x v="388"/>
    <x v="5"/>
    <x v="361"/>
    <x v="364"/>
  </r>
  <r>
    <n v="1099937"/>
    <x v="388"/>
    <x v="5"/>
    <x v="363"/>
    <x v="364"/>
  </r>
  <r>
    <n v="1099937"/>
    <x v="388"/>
    <x v="5"/>
    <x v="442"/>
    <x v="201"/>
  </r>
  <r>
    <n v="1099937"/>
    <x v="388"/>
    <x v="5"/>
    <x v="366"/>
    <x v="62"/>
  </r>
  <r>
    <n v="1099937"/>
    <x v="388"/>
    <x v="5"/>
    <x v="370"/>
    <x v="89"/>
  </r>
  <r>
    <n v="1099937"/>
    <x v="388"/>
    <x v="5"/>
    <x v="372"/>
    <x v="315"/>
  </r>
  <r>
    <n v="1099937"/>
    <x v="388"/>
    <x v="5"/>
    <x v="100"/>
    <x v="438"/>
  </r>
  <r>
    <n v="1099937"/>
    <x v="388"/>
    <x v="5"/>
    <x v="441"/>
    <x v="789"/>
  </r>
  <r>
    <n v="1099937"/>
    <x v="388"/>
    <x v="5"/>
    <x v="354"/>
    <x v="375"/>
  </r>
  <r>
    <n v="1099937"/>
    <x v="388"/>
    <x v="5"/>
    <x v="359"/>
    <x v="218"/>
  </r>
  <r>
    <n v="1099937"/>
    <x v="388"/>
    <x v="5"/>
    <x v="364"/>
    <x v="217"/>
  </r>
  <r>
    <n v="1099937"/>
    <x v="388"/>
    <x v="5"/>
    <x v="368"/>
    <x v="220"/>
  </r>
  <r>
    <n v="1099937"/>
    <x v="388"/>
    <x v="5"/>
    <x v="373"/>
    <x v="203"/>
  </r>
  <r>
    <n v="1099937"/>
    <x v="388"/>
    <x v="5"/>
    <x v="89"/>
    <x v="790"/>
  </r>
  <r>
    <n v="1099937"/>
    <x v="1"/>
    <x v="1"/>
    <x v="2"/>
    <x v="2"/>
  </r>
  <r>
    <n v="1099938"/>
    <x v="389"/>
    <x v="2"/>
    <x v="4"/>
    <x v="3"/>
  </r>
  <r>
    <n v="1099938"/>
    <x v="389"/>
    <x v="2"/>
    <x v="3"/>
    <x v="2"/>
  </r>
  <r>
    <n v="1099938"/>
    <x v="1"/>
    <x v="1"/>
    <x v="2"/>
    <x v="2"/>
  </r>
  <r>
    <n v="1099939"/>
    <x v="390"/>
    <x v="2"/>
    <x v="203"/>
    <x v="791"/>
  </r>
  <r>
    <n v="1099939"/>
    <x v="390"/>
    <x v="2"/>
    <x v="202"/>
    <x v="652"/>
  </r>
  <r>
    <n v="1099939"/>
    <x v="390"/>
    <x v="2"/>
    <x v="389"/>
    <x v="792"/>
  </r>
  <r>
    <n v="1099939"/>
    <x v="390"/>
    <x v="2"/>
    <x v="200"/>
    <x v="793"/>
  </r>
  <r>
    <n v="1099939"/>
    <x v="390"/>
    <x v="2"/>
    <x v="388"/>
    <x v="794"/>
  </r>
  <r>
    <n v="1099939"/>
    <x v="390"/>
    <x v="2"/>
    <x v="201"/>
    <x v="377"/>
  </r>
  <r>
    <n v="1099939"/>
    <x v="390"/>
    <x v="2"/>
    <x v="390"/>
    <x v="795"/>
  </r>
  <r>
    <n v="1099939"/>
    <x v="390"/>
    <x v="2"/>
    <x v="199"/>
    <x v="462"/>
  </r>
  <r>
    <n v="1099939"/>
    <x v="390"/>
    <x v="2"/>
    <x v="387"/>
    <x v="796"/>
  </r>
  <r>
    <n v="1099939"/>
    <x v="1"/>
    <x v="1"/>
    <x v="2"/>
    <x v="2"/>
  </r>
  <r>
    <n v="1099940"/>
    <x v="391"/>
    <x v="3"/>
    <x v="220"/>
    <x v="105"/>
  </r>
  <r>
    <n v="1099940"/>
    <x v="391"/>
    <x v="3"/>
    <x v="244"/>
    <x v="213"/>
  </r>
  <r>
    <n v="1099940"/>
    <x v="391"/>
    <x v="3"/>
    <x v="264"/>
    <x v="153"/>
  </r>
  <r>
    <n v="1099940"/>
    <x v="391"/>
    <x v="3"/>
    <x v="211"/>
    <x v="153"/>
  </r>
  <r>
    <n v="1099940"/>
    <x v="391"/>
    <x v="3"/>
    <x v="226"/>
    <x v="206"/>
  </r>
  <r>
    <n v="1099940"/>
    <x v="391"/>
    <x v="3"/>
    <x v="236"/>
    <x v="173"/>
  </r>
  <r>
    <n v="1099940"/>
    <x v="391"/>
    <x v="3"/>
    <x v="246"/>
    <x v="219"/>
  </r>
  <r>
    <n v="1099940"/>
    <x v="391"/>
    <x v="3"/>
    <x v="258"/>
    <x v="77"/>
  </r>
  <r>
    <n v="1099940"/>
    <x v="391"/>
    <x v="3"/>
    <x v="205"/>
    <x v="77"/>
  </r>
  <r>
    <n v="1099940"/>
    <x v="391"/>
    <x v="3"/>
    <x v="214"/>
    <x v="77"/>
  </r>
  <r>
    <n v="1099940"/>
    <x v="391"/>
    <x v="3"/>
    <x v="229"/>
    <x v="209"/>
  </r>
  <r>
    <n v="1099940"/>
    <x v="391"/>
    <x v="3"/>
    <x v="239"/>
    <x v="119"/>
  </r>
  <r>
    <n v="1099940"/>
    <x v="391"/>
    <x v="3"/>
    <x v="217"/>
    <x v="201"/>
  </r>
  <r>
    <n v="1099940"/>
    <x v="391"/>
    <x v="3"/>
    <x v="260"/>
    <x v="225"/>
  </r>
  <r>
    <n v="1099940"/>
    <x v="391"/>
    <x v="3"/>
    <x v="207"/>
    <x v="196"/>
  </r>
  <r>
    <n v="1099940"/>
    <x v="391"/>
    <x v="3"/>
    <x v="216"/>
    <x v="114"/>
  </r>
  <r>
    <n v="1099940"/>
    <x v="391"/>
    <x v="3"/>
    <x v="231"/>
    <x v="211"/>
  </r>
  <r>
    <n v="1099940"/>
    <x v="391"/>
    <x v="3"/>
    <x v="241"/>
    <x v="217"/>
  </r>
  <r>
    <n v="1099940"/>
    <x v="391"/>
    <x v="3"/>
    <x v="219"/>
    <x v="203"/>
  </r>
  <r>
    <n v="1099940"/>
    <x v="391"/>
    <x v="3"/>
    <x v="251"/>
    <x v="176"/>
  </r>
  <r>
    <n v="1099940"/>
    <x v="391"/>
    <x v="3"/>
    <x v="252"/>
    <x v="97"/>
  </r>
  <r>
    <n v="1099940"/>
    <x v="391"/>
    <x v="3"/>
    <x v="254"/>
    <x v="221"/>
  </r>
  <r>
    <n v="1099940"/>
    <x v="391"/>
    <x v="3"/>
    <x v="263"/>
    <x v="226"/>
  </r>
  <r>
    <n v="1099940"/>
    <x v="391"/>
    <x v="3"/>
    <x v="210"/>
    <x v="147"/>
  </r>
  <r>
    <n v="1099940"/>
    <x v="391"/>
    <x v="3"/>
    <x v="225"/>
    <x v="59"/>
  </r>
  <r>
    <n v="1099940"/>
    <x v="391"/>
    <x v="3"/>
    <x v="235"/>
    <x v="214"/>
  </r>
  <r>
    <n v="1099940"/>
    <x v="391"/>
    <x v="3"/>
    <x v="245"/>
    <x v="218"/>
  </r>
  <r>
    <n v="1099940"/>
    <x v="391"/>
    <x v="3"/>
    <x v="249"/>
    <x v="220"/>
  </r>
  <r>
    <n v="1099940"/>
    <x v="391"/>
    <x v="3"/>
    <x v="250"/>
    <x v="34"/>
  </r>
  <r>
    <n v="1099940"/>
    <x v="391"/>
    <x v="3"/>
    <x v="223"/>
    <x v="3"/>
  </r>
  <r>
    <n v="1099940"/>
    <x v="391"/>
    <x v="3"/>
    <x v="233"/>
    <x v="213"/>
  </r>
  <r>
    <n v="1099940"/>
    <x v="391"/>
    <x v="3"/>
    <x v="243"/>
    <x v="163"/>
  </r>
  <r>
    <n v="1099940"/>
    <x v="391"/>
    <x v="3"/>
    <x v="221"/>
    <x v="204"/>
  </r>
  <r>
    <n v="1099940"/>
    <x v="391"/>
    <x v="3"/>
    <x v="256"/>
    <x v="223"/>
  </r>
  <r>
    <n v="1099940"/>
    <x v="391"/>
    <x v="3"/>
    <x v="265"/>
    <x v="176"/>
  </r>
  <r>
    <n v="1099940"/>
    <x v="391"/>
    <x v="3"/>
    <x v="212"/>
    <x v="199"/>
  </r>
  <r>
    <n v="1099940"/>
    <x v="391"/>
    <x v="3"/>
    <x v="227"/>
    <x v="207"/>
  </r>
  <r>
    <n v="1099940"/>
    <x v="391"/>
    <x v="3"/>
    <x v="237"/>
    <x v="215"/>
  </r>
  <r>
    <n v="1099940"/>
    <x v="391"/>
    <x v="3"/>
    <x v="247"/>
    <x v="119"/>
  </r>
  <r>
    <n v="1099940"/>
    <x v="391"/>
    <x v="3"/>
    <x v="259"/>
    <x v="197"/>
  </r>
  <r>
    <n v="1099940"/>
    <x v="391"/>
    <x v="3"/>
    <x v="206"/>
    <x v="144"/>
  </r>
  <r>
    <n v="1099940"/>
    <x v="391"/>
    <x v="3"/>
    <x v="215"/>
    <x v="77"/>
  </r>
  <r>
    <n v="1099940"/>
    <x v="391"/>
    <x v="3"/>
    <x v="230"/>
    <x v="210"/>
  </r>
  <r>
    <n v="1099940"/>
    <x v="391"/>
    <x v="3"/>
    <x v="240"/>
    <x v="82"/>
  </r>
  <r>
    <n v="1099940"/>
    <x v="391"/>
    <x v="3"/>
    <x v="218"/>
    <x v="202"/>
  </r>
  <r>
    <n v="1099940"/>
    <x v="391"/>
    <x v="3"/>
    <x v="257"/>
    <x v="224"/>
  </r>
  <r>
    <n v="1099940"/>
    <x v="391"/>
    <x v="3"/>
    <x v="204"/>
    <x v="97"/>
  </r>
  <r>
    <n v="1099940"/>
    <x v="391"/>
    <x v="3"/>
    <x v="213"/>
    <x v="200"/>
  </r>
  <r>
    <n v="1099940"/>
    <x v="391"/>
    <x v="3"/>
    <x v="228"/>
    <x v="208"/>
  </r>
  <r>
    <n v="1099940"/>
    <x v="391"/>
    <x v="3"/>
    <x v="238"/>
    <x v="216"/>
  </r>
  <r>
    <n v="1099940"/>
    <x v="391"/>
    <x v="3"/>
    <x v="248"/>
    <x v="161"/>
  </r>
  <r>
    <n v="1099940"/>
    <x v="391"/>
    <x v="3"/>
    <x v="253"/>
    <x v="119"/>
  </r>
  <r>
    <n v="1099940"/>
    <x v="391"/>
    <x v="3"/>
    <x v="261"/>
    <x v="92"/>
  </r>
  <r>
    <n v="1099940"/>
    <x v="391"/>
    <x v="3"/>
    <x v="262"/>
    <x v="164"/>
  </r>
  <r>
    <n v="1099940"/>
    <x v="391"/>
    <x v="3"/>
    <x v="208"/>
    <x v="197"/>
  </r>
  <r>
    <n v="1099940"/>
    <x v="391"/>
    <x v="3"/>
    <x v="209"/>
    <x v="198"/>
  </r>
  <r>
    <n v="1099940"/>
    <x v="391"/>
    <x v="3"/>
    <x v="222"/>
    <x v="205"/>
  </r>
  <r>
    <n v="1099940"/>
    <x v="391"/>
    <x v="3"/>
    <x v="224"/>
    <x v="93"/>
  </r>
  <r>
    <n v="1099940"/>
    <x v="391"/>
    <x v="3"/>
    <x v="232"/>
    <x v="212"/>
  </r>
  <r>
    <n v="1099940"/>
    <x v="391"/>
    <x v="3"/>
    <x v="234"/>
    <x v="175"/>
  </r>
  <r>
    <n v="1099940"/>
    <x v="391"/>
    <x v="3"/>
    <x v="242"/>
    <x v="85"/>
  </r>
  <r>
    <n v="1099940"/>
    <x v="391"/>
    <x v="3"/>
    <x v="255"/>
    <x v="222"/>
  </r>
  <r>
    <n v="1099940"/>
    <x v="1"/>
    <x v="1"/>
    <x v="2"/>
    <x v="2"/>
  </r>
  <r>
    <n v="1099941"/>
    <x v="392"/>
    <x v="3"/>
    <x v="222"/>
    <x v="205"/>
  </r>
  <r>
    <n v="1099941"/>
    <x v="392"/>
    <x v="3"/>
    <x v="208"/>
    <x v="117"/>
  </r>
  <r>
    <n v="1099941"/>
    <x v="392"/>
    <x v="3"/>
    <x v="242"/>
    <x v="85"/>
  </r>
  <r>
    <n v="1099941"/>
    <x v="392"/>
    <x v="3"/>
    <x v="220"/>
    <x v="105"/>
  </r>
  <r>
    <n v="1099941"/>
    <x v="392"/>
    <x v="3"/>
    <x v="257"/>
    <x v="224"/>
  </r>
  <r>
    <n v="1099941"/>
    <x v="392"/>
    <x v="3"/>
    <x v="204"/>
    <x v="97"/>
  </r>
  <r>
    <n v="1099941"/>
    <x v="392"/>
    <x v="3"/>
    <x v="213"/>
    <x v="200"/>
  </r>
  <r>
    <n v="1099941"/>
    <x v="392"/>
    <x v="3"/>
    <x v="228"/>
    <x v="797"/>
  </r>
  <r>
    <n v="1099941"/>
    <x v="392"/>
    <x v="3"/>
    <x v="238"/>
    <x v="798"/>
  </r>
  <r>
    <n v="1099941"/>
    <x v="392"/>
    <x v="3"/>
    <x v="248"/>
    <x v="161"/>
  </r>
  <r>
    <n v="1099941"/>
    <x v="392"/>
    <x v="3"/>
    <x v="258"/>
    <x v="77"/>
  </r>
  <r>
    <n v="1099941"/>
    <x v="392"/>
    <x v="3"/>
    <x v="205"/>
    <x v="77"/>
  </r>
  <r>
    <n v="1099941"/>
    <x v="392"/>
    <x v="3"/>
    <x v="214"/>
    <x v="77"/>
  </r>
  <r>
    <n v="1099941"/>
    <x v="392"/>
    <x v="3"/>
    <x v="229"/>
    <x v="799"/>
  </r>
  <r>
    <n v="1099941"/>
    <x v="392"/>
    <x v="3"/>
    <x v="239"/>
    <x v="119"/>
  </r>
  <r>
    <n v="1099941"/>
    <x v="392"/>
    <x v="3"/>
    <x v="217"/>
    <x v="201"/>
  </r>
  <r>
    <n v="1099941"/>
    <x v="392"/>
    <x v="3"/>
    <x v="249"/>
    <x v="220"/>
  </r>
  <r>
    <n v="1099941"/>
    <x v="392"/>
    <x v="3"/>
    <x v="250"/>
    <x v="34"/>
  </r>
  <r>
    <n v="1099941"/>
    <x v="392"/>
    <x v="3"/>
    <x v="223"/>
    <x v="3"/>
  </r>
  <r>
    <n v="1099941"/>
    <x v="392"/>
    <x v="3"/>
    <x v="233"/>
    <x v="800"/>
  </r>
  <r>
    <n v="1099941"/>
    <x v="392"/>
    <x v="3"/>
    <x v="243"/>
    <x v="163"/>
  </r>
  <r>
    <n v="1099941"/>
    <x v="392"/>
    <x v="3"/>
    <x v="221"/>
    <x v="204"/>
  </r>
  <r>
    <n v="1099941"/>
    <x v="392"/>
    <x v="3"/>
    <x v="260"/>
    <x v="225"/>
  </r>
  <r>
    <n v="1099941"/>
    <x v="392"/>
    <x v="3"/>
    <x v="207"/>
    <x v="196"/>
  </r>
  <r>
    <n v="1099941"/>
    <x v="392"/>
    <x v="3"/>
    <x v="216"/>
    <x v="119"/>
  </r>
  <r>
    <n v="1099941"/>
    <x v="392"/>
    <x v="3"/>
    <x v="231"/>
    <x v="211"/>
  </r>
  <r>
    <n v="1099941"/>
    <x v="392"/>
    <x v="3"/>
    <x v="241"/>
    <x v="217"/>
  </r>
  <r>
    <n v="1099941"/>
    <x v="392"/>
    <x v="3"/>
    <x v="219"/>
    <x v="567"/>
  </r>
  <r>
    <n v="1099941"/>
    <x v="392"/>
    <x v="3"/>
    <x v="253"/>
    <x v="238"/>
  </r>
  <r>
    <n v="1099941"/>
    <x v="392"/>
    <x v="3"/>
    <x v="262"/>
    <x v="164"/>
  </r>
  <r>
    <n v="1099941"/>
    <x v="392"/>
    <x v="3"/>
    <x v="209"/>
    <x v="198"/>
  </r>
  <r>
    <n v="1099941"/>
    <x v="392"/>
    <x v="3"/>
    <x v="224"/>
    <x v="76"/>
  </r>
  <r>
    <n v="1099941"/>
    <x v="392"/>
    <x v="3"/>
    <x v="234"/>
    <x v="199"/>
  </r>
  <r>
    <n v="1099941"/>
    <x v="392"/>
    <x v="3"/>
    <x v="244"/>
    <x v="213"/>
  </r>
  <r>
    <n v="1099941"/>
    <x v="392"/>
    <x v="3"/>
    <x v="254"/>
    <x v="221"/>
  </r>
  <r>
    <n v="1099941"/>
    <x v="392"/>
    <x v="3"/>
    <x v="263"/>
    <x v="226"/>
  </r>
  <r>
    <n v="1099941"/>
    <x v="392"/>
    <x v="3"/>
    <x v="210"/>
    <x v="147"/>
  </r>
  <r>
    <n v="1099941"/>
    <x v="392"/>
    <x v="3"/>
    <x v="225"/>
    <x v="59"/>
  </r>
  <r>
    <n v="1099941"/>
    <x v="392"/>
    <x v="3"/>
    <x v="235"/>
    <x v="214"/>
  </r>
  <r>
    <n v="1099941"/>
    <x v="392"/>
    <x v="3"/>
    <x v="245"/>
    <x v="218"/>
  </r>
  <r>
    <n v="1099941"/>
    <x v="392"/>
    <x v="3"/>
    <x v="259"/>
    <x v="117"/>
  </r>
  <r>
    <n v="1099941"/>
    <x v="392"/>
    <x v="3"/>
    <x v="206"/>
    <x v="144"/>
  </r>
  <r>
    <n v="1099941"/>
    <x v="392"/>
    <x v="3"/>
    <x v="215"/>
    <x v="77"/>
  </r>
  <r>
    <n v="1099941"/>
    <x v="392"/>
    <x v="3"/>
    <x v="230"/>
    <x v="745"/>
  </r>
  <r>
    <n v="1099941"/>
    <x v="392"/>
    <x v="3"/>
    <x v="240"/>
    <x v="82"/>
  </r>
  <r>
    <n v="1099941"/>
    <x v="392"/>
    <x v="3"/>
    <x v="218"/>
    <x v="202"/>
  </r>
  <r>
    <n v="1099941"/>
    <x v="392"/>
    <x v="3"/>
    <x v="255"/>
    <x v="222"/>
  </r>
  <r>
    <n v="1099941"/>
    <x v="392"/>
    <x v="3"/>
    <x v="264"/>
    <x v="153"/>
  </r>
  <r>
    <n v="1099941"/>
    <x v="392"/>
    <x v="3"/>
    <x v="211"/>
    <x v="153"/>
  </r>
  <r>
    <n v="1099941"/>
    <x v="392"/>
    <x v="3"/>
    <x v="226"/>
    <x v="67"/>
  </r>
  <r>
    <n v="1099941"/>
    <x v="392"/>
    <x v="3"/>
    <x v="236"/>
    <x v="173"/>
  </r>
  <r>
    <n v="1099941"/>
    <x v="392"/>
    <x v="3"/>
    <x v="246"/>
    <x v="219"/>
  </r>
  <r>
    <n v="1099941"/>
    <x v="392"/>
    <x v="3"/>
    <x v="256"/>
    <x v="801"/>
  </r>
  <r>
    <n v="1099941"/>
    <x v="392"/>
    <x v="3"/>
    <x v="265"/>
    <x v="176"/>
  </r>
  <r>
    <n v="1099941"/>
    <x v="392"/>
    <x v="3"/>
    <x v="212"/>
    <x v="199"/>
  </r>
  <r>
    <n v="1099941"/>
    <x v="392"/>
    <x v="3"/>
    <x v="227"/>
    <x v="207"/>
  </r>
  <r>
    <n v="1099941"/>
    <x v="392"/>
    <x v="3"/>
    <x v="237"/>
    <x v="802"/>
  </r>
  <r>
    <n v="1099941"/>
    <x v="392"/>
    <x v="3"/>
    <x v="247"/>
    <x v="119"/>
  </r>
  <r>
    <n v="1099941"/>
    <x v="392"/>
    <x v="3"/>
    <x v="261"/>
    <x v="92"/>
  </r>
  <r>
    <n v="1099941"/>
    <x v="392"/>
    <x v="3"/>
    <x v="232"/>
    <x v="212"/>
  </r>
  <r>
    <n v="1099941"/>
    <x v="1"/>
    <x v="1"/>
    <x v="2"/>
    <x v="2"/>
  </r>
  <r>
    <n v="1099942"/>
    <x v="393"/>
    <x v="13"/>
    <x v="276"/>
    <x v="2"/>
  </r>
  <r>
    <n v="1099942"/>
    <x v="1"/>
    <x v="1"/>
    <x v="2"/>
    <x v="2"/>
  </r>
  <r>
    <n v="1099943"/>
    <x v="394"/>
    <x v="13"/>
    <x v="276"/>
    <x v="2"/>
  </r>
  <r>
    <n v="1099943"/>
    <x v="1"/>
    <x v="1"/>
    <x v="2"/>
    <x v="2"/>
  </r>
  <r>
    <n v="1099944"/>
    <x v="395"/>
    <x v="6"/>
    <x v="390"/>
    <x v="220"/>
  </r>
  <r>
    <n v="1099944"/>
    <x v="395"/>
    <x v="6"/>
    <x v="203"/>
    <x v="543"/>
  </r>
  <r>
    <n v="1099944"/>
    <x v="395"/>
    <x v="6"/>
    <x v="65"/>
    <x v="351"/>
  </r>
  <r>
    <n v="1099944"/>
    <x v="395"/>
    <x v="6"/>
    <x v="60"/>
    <x v="82"/>
  </r>
  <r>
    <n v="1099944"/>
    <x v="395"/>
    <x v="6"/>
    <x v="56"/>
    <x v="69"/>
  </r>
  <r>
    <n v="1099944"/>
    <x v="395"/>
    <x v="6"/>
    <x v="199"/>
    <x v="542"/>
  </r>
  <r>
    <n v="1099944"/>
    <x v="395"/>
    <x v="6"/>
    <x v="57"/>
    <x v="36"/>
  </r>
  <r>
    <n v="1099944"/>
    <x v="395"/>
    <x v="6"/>
    <x v="424"/>
    <x v="170"/>
  </r>
  <r>
    <n v="1099944"/>
    <x v="395"/>
    <x v="6"/>
    <x v="4"/>
    <x v="3"/>
  </r>
  <r>
    <n v="1099944"/>
    <x v="395"/>
    <x v="6"/>
    <x v="383"/>
    <x v="220"/>
  </r>
  <r>
    <n v="1099944"/>
    <x v="395"/>
    <x v="6"/>
    <x v="343"/>
    <x v="348"/>
  </r>
  <r>
    <n v="1099944"/>
    <x v="395"/>
    <x v="6"/>
    <x v="346"/>
    <x v="516"/>
  </r>
  <r>
    <n v="1099944"/>
    <x v="395"/>
    <x v="6"/>
    <x v="338"/>
    <x v="346"/>
  </r>
  <r>
    <n v="1099944"/>
    <x v="395"/>
    <x v="6"/>
    <x v="131"/>
    <x v="535"/>
  </r>
  <r>
    <n v="1099944"/>
    <x v="395"/>
    <x v="6"/>
    <x v="147"/>
    <x v="535"/>
  </r>
  <r>
    <n v="1099944"/>
    <x v="395"/>
    <x v="6"/>
    <x v="249"/>
    <x v="348"/>
  </r>
  <r>
    <n v="1099944"/>
    <x v="395"/>
    <x v="6"/>
    <x v="211"/>
    <x v="351"/>
  </r>
  <r>
    <n v="1099944"/>
    <x v="395"/>
    <x v="6"/>
    <x v="251"/>
    <x v="535"/>
  </r>
  <r>
    <n v="1099944"/>
    <x v="395"/>
    <x v="6"/>
    <x v="238"/>
    <x v="375"/>
  </r>
  <r>
    <n v="1099944"/>
    <x v="395"/>
    <x v="6"/>
    <x v="248"/>
    <x v="516"/>
  </r>
  <r>
    <n v="1099944"/>
    <x v="395"/>
    <x v="6"/>
    <x v="185"/>
    <x v="3"/>
  </r>
  <r>
    <n v="1099944"/>
    <x v="395"/>
    <x v="6"/>
    <x v="188"/>
    <x v="88"/>
  </r>
  <r>
    <n v="1099944"/>
    <x v="395"/>
    <x v="6"/>
    <x v="28"/>
    <x v="226"/>
  </r>
  <r>
    <n v="1099944"/>
    <x v="395"/>
    <x v="6"/>
    <x v="39"/>
    <x v="105"/>
  </r>
  <r>
    <n v="1099944"/>
    <x v="395"/>
    <x v="6"/>
    <x v="78"/>
    <x v="541"/>
  </r>
  <r>
    <n v="1099944"/>
    <x v="395"/>
    <x v="6"/>
    <x v="70"/>
    <x v="198"/>
  </r>
  <r>
    <n v="1099944"/>
    <x v="395"/>
    <x v="6"/>
    <x v="420"/>
    <x v="547"/>
  </r>
  <r>
    <n v="1099944"/>
    <x v="395"/>
    <x v="6"/>
    <x v="395"/>
    <x v="539"/>
  </r>
  <r>
    <n v="1099944"/>
    <x v="395"/>
    <x v="6"/>
    <x v="8"/>
    <x v="351"/>
  </r>
  <r>
    <n v="1099944"/>
    <x v="395"/>
    <x v="6"/>
    <x v="334"/>
    <x v="198"/>
  </r>
  <r>
    <n v="1099944"/>
    <x v="395"/>
    <x v="6"/>
    <x v="163"/>
    <x v="516"/>
  </r>
  <r>
    <n v="1099944"/>
    <x v="395"/>
    <x v="6"/>
    <x v="138"/>
    <x v="351"/>
  </r>
  <r>
    <n v="1099944"/>
    <x v="395"/>
    <x v="6"/>
    <x v="255"/>
    <x v="154"/>
  </r>
  <r>
    <n v="1099944"/>
    <x v="395"/>
    <x v="6"/>
    <x v="205"/>
    <x v="516"/>
  </r>
  <r>
    <n v="1099944"/>
    <x v="395"/>
    <x v="6"/>
    <x v="139"/>
    <x v="178"/>
  </r>
  <r>
    <n v="1099944"/>
    <x v="395"/>
    <x v="6"/>
    <x v="231"/>
    <x v="88"/>
  </r>
  <r>
    <n v="1099944"/>
    <x v="395"/>
    <x v="6"/>
    <x v="242"/>
    <x v="346"/>
  </r>
  <r>
    <n v="1099944"/>
    <x v="395"/>
    <x v="6"/>
    <x v="317"/>
    <x v="346"/>
  </r>
  <r>
    <n v="1099944"/>
    <x v="395"/>
    <x v="6"/>
    <x v="180"/>
    <x v="88"/>
  </r>
  <r>
    <n v="1099944"/>
    <x v="395"/>
    <x v="6"/>
    <x v="177"/>
    <x v="198"/>
  </r>
  <r>
    <n v="1099944"/>
    <x v="395"/>
    <x v="6"/>
    <x v="43"/>
    <x v="351"/>
  </r>
  <r>
    <n v="1099944"/>
    <x v="395"/>
    <x v="6"/>
    <x v="81"/>
    <x v="229"/>
  </r>
  <r>
    <n v="1099944"/>
    <x v="395"/>
    <x v="6"/>
    <x v="66"/>
    <x v="98"/>
  </r>
  <r>
    <n v="1099944"/>
    <x v="395"/>
    <x v="6"/>
    <x v="69"/>
    <x v="538"/>
  </r>
  <r>
    <n v="1099944"/>
    <x v="395"/>
    <x v="6"/>
    <x v="330"/>
    <x v="553"/>
  </r>
  <r>
    <n v="1099944"/>
    <x v="395"/>
    <x v="6"/>
    <x v="7"/>
    <x v="351"/>
  </r>
  <r>
    <n v="1099944"/>
    <x v="395"/>
    <x v="6"/>
    <x v="350"/>
    <x v="535"/>
  </r>
  <r>
    <n v="1099944"/>
    <x v="395"/>
    <x v="6"/>
    <x v="124"/>
    <x v="351"/>
  </r>
  <r>
    <n v="1099944"/>
    <x v="395"/>
    <x v="6"/>
    <x v="141"/>
    <x v="351"/>
  </r>
  <r>
    <n v="1099944"/>
    <x v="395"/>
    <x v="6"/>
    <x v="256"/>
    <x v="79"/>
  </r>
  <r>
    <n v="1099944"/>
    <x v="395"/>
    <x v="6"/>
    <x v="206"/>
    <x v="535"/>
  </r>
  <r>
    <n v="1099944"/>
    <x v="395"/>
    <x v="6"/>
    <x v="140"/>
    <x v="4"/>
  </r>
  <r>
    <n v="1099944"/>
    <x v="395"/>
    <x v="6"/>
    <x v="232"/>
    <x v="161"/>
  </r>
  <r>
    <n v="1099944"/>
    <x v="395"/>
    <x v="6"/>
    <x v="243"/>
    <x v="351"/>
  </r>
  <r>
    <n v="1099944"/>
    <x v="395"/>
    <x v="6"/>
    <x v="220"/>
    <x v="178"/>
  </r>
  <r>
    <n v="1099944"/>
    <x v="395"/>
    <x v="6"/>
    <x v="192"/>
    <x v="535"/>
  </r>
  <r>
    <n v="1099944"/>
    <x v="395"/>
    <x v="6"/>
    <x v="183"/>
    <x v="535"/>
  </r>
  <r>
    <n v="1099944"/>
    <x v="395"/>
    <x v="6"/>
    <x v="35"/>
    <x v="178"/>
  </r>
  <r>
    <n v="1099944"/>
    <x v="395"/>
    <x v="6"/>
    <x v="64"/>
    <x v="549"/>
  </r>
  <r>
    <n v="1099944"/>
    <x v="395"/>
    <x v="6"/>
    <x v="68"/>
    <x v="98"/>
  </r>
  <r>
    <n v="1099944"/>
    <x v="395"/>
    <x v="6"/>
    <x v="80"/>
    <x v="550"/>
  </r>
  <r>
    <n v="1099944"/>
    <x v="395"/>
    <x v="6"/>
    <x v="83"/>
    <x v="348"/>
  </r>
  <r>
    <n v="1099944"/>
    <x v="395"/>
    <x v="6"/>
    <x v="63"/>
    <x v="178"/>
  </r>
  <r>
    <n v="1099944"/>
    <x v="395"/>
    <x v="6"/>
    <x v="389"/>
    <x v="537"/>
  </r>
  <r>
    <n v="1099944"/>
    <x v="395"/>
    <x v="6"/>
    <x v="158"/>
    <x v="472"/>
  </r>
  <r>
    <n v="1099944"/>
    <x v="395"/>
    <x v="6"/>
    <x v="13"/>
    <x v="535"/>
  </r>
  <r>
    <n v="1099944"/>
    <x v="395"/>
    <x v="6"/>
    <x v="352"/>
    <x v="516"/>
  </r>
  <r>
    <n v="1099944"/>
    <x v="395"/>
    <x v="6"/>
    <x v="126"/>
    <x v="516"/>
  </r>
  <r>
    <n v="1099944"/>
    <x v="395"/>
    <x v="6"/>
    <x v="143"/>
    <x v="178"/>
  </r>
  <r>
    <n v="1099944"/>
    <x v="395"/>
    <x v="6"/>
    <x v="258"/>
    <x v="516"/>
  </r>
  <r>
    <n v="1099944"/>
    <x v="395"/>
    <x v="6"/>
    <x v="208"/>
    <x v="178"/>
  </r>
  <r>
    <n v="1099944"/>
    <x v="395"/>
    <x v="6"/>
    <x v="222"/>
    <x v="77"/>
  </r>
  <r>
    <n v="1099944"/>
    <x v="395"/>
    <x v="6"/>
    <x v="234"/>
    <x v="4"/>
  </r>
  <r>
    <n v="1099944"/>
    <x v="395"/>
    <x v="6"/>
    <x v="245"/>
    <x v="161"/>
  </r>
  <r>
    <n v="1099944"/>
    <x v="395"/>
    <x v="6"/>
    <x v="194"/>
    <x v="516"/>
  </r>
  <r>
    <n v="1099944"/>
    <x v="395"/>
    <x v="6"/>
    <x v="170"/>
    <x v="178"/>
  </r>
  <r>
    <n v="1099944"/>
    <x v="395"/>
    <x v="6"/>
    <x v="164"/>
    <x v="105"/>
  </r>
  <r>
    <n v="1099944"/>
    <x v="395"/>
    <x v="6"/>
    <x v="29"/>
    <x v="197"/>
  </r>
  <r>
    <n v="1099944"/>
    <x v="395"/>
    <x v="6"/>
    <x v="388"/>
    <x v="37"/>
  </r>
  <r>
    <n v="1099944"/>
    <x v="395"/>
    <x v="6"/>
    <x v="75"/>
    <x v="176"/>
  </r>
  <r>
    <n v="1099944"/>
    <x v="395"/>
    <x v="6"/>
    <x v="73"/>
    <x v="351"/>
  </r>
  <r>
    <n v="1099944"/>
    <x v="395"/>
    <x v="6"/>
    <x v="394"/>
    <x v="54"/>
  </r>
  <r>
    <n v="1099944"/>
    <x v="395"/>
    <x v="6"/>
    <x v="421"/>
    <x v="58"/>
  </r>
  <r>
    <n v="1099944"/>
    <x v="395"/>
    <x v="6"/>
    <x v="157"/>
    <x v="544"/>
  </r>
  <r>
    <n v="1099944"/>
    <x v="395"/>
    <x v="6"/>
    <x v="11"/>
    <x v="348"/>
  </r>
  <r>
    <n v="1099944"/>
    <x v="395"/>
    <x v="6"/>
    <x v="10"/>
    <x v="83"/>
  </r>
  <r>
    <n v="1099944"/>
    <x v="395"/>
    <x v="6"/>
    <x v="6"/>
    <x v="516"/>
  </r>
  <r>
    <n v="1099944"/>
    <x v="395"/>
    <x v="6"/>
    <x v="331"/>
    <x v="178"/>
  </r>
  <r>
    <n v="1099944"/>
    <x v="395"/>
    <x v="6"/>
    <x v="333"/>
    <x v="348"/>
  </r>
  <r>
    <n v="1099944"/>
    <x v="395"/>
    <x v="6"/>
    <x v="351"/>
    <x v="351"/>
  </r>
  <r>
    <n v="1099944"/>
    <x v="395"/>
    <x v="6"/>
    <x v="161"/>
    <x v="351"/>
  </r>
  <r>
    <n v="1099944"/>
    <x v="395"/>
    <x v="6"/>
    <x v="154"/>
    <x v="351"/>
  </r>
  <r>
    <n v="1099944"/>
    <x v="395"/>
    <x v="6"/>
    <x v="125"/>
    <x v="535"/>
  </r>
  <r>
    <n v="1099944"/>
    <x v="395"/>
    <x v="6"/>
    <x v="135"/>
    <x v="535"/>
  </r>
  <r>
    <n v="1099944"/>
    <x v="395"/>
    <x v="6"/>
    <x v="137"/>
    <x v="535"/>
  </r>
  <r>
    <n v="1099944"/>
    <x v="395"/>
    <x v="6"/>
    <x v="142"/>
    <x v="83"/>
  </r>
  <r>
    <n v="1099944"/>
    <x v="395"/>
    <x v="6"/>
    <x v="151"/>
    <x v="77"/>
  </r>
  <r>
    <n v="1099944"/>
    <x v="395"/>
    <x v="6"/>
    <x v="153"/>
    <x v="348"/>
  </r>
  <r>
    <n v="1099944"/>
    <x v="395"/>
    <x v="6"/>
    <x v="257"/>
    <x v="198"/>
  </r>
  <r>
    <n v="1099944"/>
    <x v="395"/>
    <x v="6"/>
    <x v="316"/>
    <x v="347"/>
  </r>
  <r>
    <n v="1099944"/>
    <x v="395"/>
    <x v="6"/>
    <x v="204"/>
    <x v="535"/>
  </r>
  <r>
    <n v="1099944"/>
    <x v="395"/>
    <x v="6"/>
    <x v="207"/>
    <x v="88"/>
  </r>
  <r>
    <n v="1099944"/>
    <x v="395"/>
    <x v="6"/>
    <x v="215"/>
    <x v="516"/>
  </r>
  <r>
    <n v="1099944"/>
    <x v="395"/>
    <x v="6"/>
    <x v="130"/>
    <x v="348"/>
  </r>
  <r>
    <n v="1099944"/>
    <x v="395"/>
    <x v="6"/>
    <x v="340"/>
    <x v="78"/>
  </r>
  <r>
    <n v="1099944"/>
    <x v="395"/>
    <x v="6"/>
    <x v="228"/>
    <x v="30"/>
  </r>
  <r>
    <n v="1099944"/>
    <x v="395"/>
    <x v="6"/>
    <x v="230"/>
    <x v="77"/>
  </r>
  <r>
    <n v="1099944"/>
    <x v="395"/>
    <x v="6"/>
    <x v="233"/>
    <x v="154"/>
  </r>
  <r>
    <n v="1099944"/>
    <x v="395"/>
    <x v="6"/>
    <x v="240"/>
    <x v="535"/>
  </r>
  <r>
    <n v="1099944"/>
    <x v="395"/>
    <x v="6"/>
    <x v="313"/>
    <x v="98"/>
  </r>
  <r>
    <n v="1099944"/>
    <x v="395"/>
    <x v="6"/>
    <x v="244"/>
    <x v="154"/>
  </r>
  <r>
    <n v="1099944"/>
    <x v="395"/>
    <x v="6"/>
    <x v="315"/>
    <x v="144"/>
  </r>
  <r>
    <n v="1099944"/>
    <x v="395"/>
    <x v="6"/>
    <x v="318"/>
    <x v="88"/>
  </r>
  <r>
    <n v="1099944"/>
    <x v="395"/>
    <x v="6"/>
    <x v="221"/>
    <x v="198"/>
  </r>
  <r>
    <n v="1099944"/>
    <x v="395"/>
    <x v="6"/>
    <x v="186"/>
    <x v="535"/>
  </r>
  <r>
    <n v="1099944"/>
    <x v="395"/>
    <x v="6"/>
    <x v="174"/>
    <x v="88"/>
  </r>
  <r>
    <n v="1099944"/>
    <x v="395"/>
    <x v="6"/>
    <x v="187"/>
    <x v="98"/>
  </r>
  <r>
    <n v="1099944"/>
    <x v="395"/>
    <x v="6"/>
    <x v="190"/>
    <x v="346"/>
  </r>
  <r>
    <n v="1099944"/>
    <x v="395"/>
    <x v="6"/>
    <x v="172"/>
    <x v="154"/>
  </r>
  <r>
    <n v="1099944"/>
    <x v="395"/>
    <x v="6"/>
    <x v="189"/>
    <x v="178"/>
  </r>
  <r>
    <n v="1099944"/>
    <x v="395"/>
    <x v="6"/>
    <x v="24"/>
    <x v="88"/>
  </r>
  <r>
    <n v="1099944"/>
    <x v="395"/>
    <x v="6"/>
    <x v="26"/>
    <x v="351"/>
  </r>
  <r>
    <n v="1099944"/>
    <x v="395"/>
    <x v="6"/>
    <x v="32"/>
    <x v="62"/>
  </r>
  <r>
    <n v="1099944"/>
    <x v="395"/>
    <x v="6"/>
    <x v="41"/>
    <x v="203"/>
  </r>
  <r>
    <n v="1099944"/>
    <x v="395"/>
    <x v="6"/>
    <x v="31"/>
    <x v="162"/>
  </r>
  <r>
    <n v="1099944"/>
    <x v="395"/>
    <x v="6"/>
    <x v="133"/>
    <x v="348"/>
  </r>
  <r>
    <n v="1099944"/>
    <x v="395"/>
    <x v="6"/>
    <x v="149"/>
    <x v="516"/>
  </r>
  <r>
    <n v="1099944"/>
    <x v="395"/>
    <x v="6"/>
    <x v="263"/>
    <x v="83"/>
  </r>
  <r>
    <n v="1099944"/>
    <x v="395"/>
    <x v="6"/>
    <x v="213"/>
    <x v="83"/>
  </r>
  <r>
    <n v="1099944"/>
    <x v="395"/>
    <x v="6"/>
    <x v="226"/>
    <x v="82"/>
  </r>
  <r>
    <n v="1099944"/>
    <x v="395"/>
    <x v="6"/>
    <x v="156"/>
    <x v="545"/>
  </r>
  <r>
    <n v="1099944"/>
    <x v="395"/>
    <x v="6"/>
    <x v="218"/>
    <x v="346"/>
  </r>
  <r>
    <n v="1099944"/>
    <x v="395"/>
    <x v="6"/>
    <x v="179"/>
    <x v="516"/>
  </r>
  <r>
    <n v="1099944"/>
    <x v="395"/>
    <x v="6"/>
    <x v="176"/>
    <x v="83"/>
  </r>
  <r>
    <n v="1099944"/>
    <x v="395"/>
    <x v="6"/>
    <x v="1"/>
    <x v="540"/>
  </r>
  <r>
    <n v="1099944"/>
    <x v="395"/>
    <x v="6"/>
    <x v="42"/>
    <x v="182"/>
  </r>
  <r>
    <n v="1099944"/>
    <x v="395"/>
    <x v="6"/>
    <x v="59"/>
    <x v="62"/>
  </r>
  <r>
    <n v="1099944"/>
    <x v="395"/>
    <x v="6"/>
    <x v="58"/>
    <x v="82"/>
  </r>
  <r>
    <n v="1099944"/>
    <x v="395"/>
    <x v="6"/>
    <x v="387"/>
    <x v="233"/>
  </r>
  <r>
    <n v="1099944"/>
    <x v="395"/>
    <x v="6"/>
    <x v="9"/>
    <x v="348"/>
  </r>
  <r>
    <n v="1099944"/>
    <x v="395"/>
    <x v="6"/>
    <x v="254"/>
    <x v="178"/>
  </r>
  <r>
    <n v="1099944"/>
    <x v="395"/>
    <x v="6"/>
    <x v="336"/>
    <x v="178"/>
  </r>
  <r>
    <n v="1099944"/>
    <x v="395"/>
    <x v="6"/>
    <x v="128"/>
    <x v="178"/>
  </r>
  <r>
    <n v="1099944"/>
    <x v="395"/>
    <x v="6"/>
    <x v="145"/>
    <x v="351"/>
  </r>
  <r>
    <n v="1099944"/>
    <x v="395"/>
    <x v="6"/>
    <x v="260"/>
    <x v="83"/>
  </r>
  <r>
    <n v="1099944"/>
    <x v="395"/>
    <x v="6"/>
    <x v="209"/>
    <x v="516"/>
  </r>
  <r>
    <n v="1099944"/>
    <x v="395"/>
    <x v="6"/>
    <x v="224"/>
    <x v="144"/>
  </r>
  <r>
    <n v="1099944"/>
    <x v="395"/>
    <x v="6"/>
    <x v="236"/>
    <x v="83"/>
  </r>
  <r>
    <n v="1099944"/>
    <x v="395"/>
    <x v="6"/>
    <x v="246"/>
    <x v="198"/>
  </r>
  <r>
    <n v="1099944"/>
    <x v="395"/>
    <x v="6"/>
    <x v="195"/>
    <x v="535"/>
  </r>
  <r>
    <n v="1099944"/>
    <x v="395"/>
    <x v="6"/>
    <x v="181"/>
    <x v="161"/>
  </r>
  <r>
    <n v="1099944"/>
    <x v="395"/>
    <x v="6"/>
    <x v="166"/>
    <x v="534"/>
  </r>
  <r>
    <n v="1099944"/>
    <x v="395"/>
    <x v="6"/>
    <x v="27"/>
    <x v="64"/>
  </r>
  <r>
    <n v="1099944"/>
    <x v="395"/>
    <x v="6"/>
    <x v="82"/>
    <x v="346"/>
  </r>
  <r>
    <n v="1099944"/>
    <x v="395"/>
    <x v="6"/>
    <x v="74"/>
    <x v="154"/>
  </r>
  <r>
    <n v="1099944"/>
    <x v="395"/>
    <x v="6"/>
    <x v="3"/>
    <x v="24"/>
  </r>
  <r>
    <n v="1099944"/>
    <x v="395"/>
    <x v="6"/>
    <x v="422"/>
    <x v="154"/>
  </r>
  <r>
    <n v="1099944"/>
    <x v="395"/>
    <x v="6"/>
    <x v="344"/>
    <x v="346"/>
  </r>
  <r>
    <n v="1099944"/>
    <x v="395"/>
    <x v="6"/>
    <x v="332"/>
    <x v="346"/>
  </r>
  <r>
    <n v="1099944"/>
    <x v="395"/>
    <x v="6"/>
    <x v="162"/>
    <x v="535"/>
  </r>
  <r>
    <n v="1099944"/>
    <x v="395"/>
    <x v="6"/>
    <x v="136"/>
    <x v="516"/>
  </r>
  <r>
    <n v="1099944"/>
    <x v="395"/>
    <x v="6"/>
    <x v="152"/>
    <x v="535"/>
  </r>
  <r>
    <n v="1099944"/>
    <x v="395"/>
    <x v="6"/>
    <x v="265"/>
    <x v="535"/>
  </r>
  <r>
    <n v="1099944"/>
    <x v="395"/>
    <x v="6"/>
    <x v="216"/>
    <x v="198"/>
  </r>
  <r>
    <n v="1099944"/>
    <x v="395"/>
    <x v="6"/>
    <x v="229"/>
    <x v="219"/>
  </r>
  <r>
    <n v="1099944"/>
    <x v="395"/>
    <x v="6"/>
    <x v="241"/>
    <x v="178"/>
  </r>
  <r>
    <n v="1099944"/>
    <x v="395"/>
    <x v="6"/>
    <x v="314"/>
    <x v="516"/>
  </r>
  <r>
    <n v="1099944"/>
    <x v="395"/>
    <x v="6"/>
    <x v="169"/>
    <x v="351"/>
  </r>
  <r>
    <n v="1099944"/>
    <x v="395"/>
    <x v="6"/>
    <x v="184"/>
    <x v="516"/>
  </r>
  <r>
    <n v="1099944"/>
    <x v="395"/>
    <x v="6"/>
    <x v="40"/>
    <x v="161"/>
  </r>
  <r>
    <n v="1099944"/>
    <x v="395"/>
    <x v="6"/>
    <x v="37"/>
    <x v="149"/>
  </r>
  <r>
    <n v="1099944"/>
    <x v="395"/>
    <x v="6"/>
    <x v="202"/>
    <x v="238"/>
  </r>
  <r>
    <n v="1099944"/>
    <x v="395"/>
    <x v="6"/>
    <x v="201"/>
    <x v="88"/>
  </r>
  <r>
    <n v="1099944"/>
    <x v="395"/>
    <x v="6"/>
    <x v="425"/>
    <x v="170"/>
  </r>
  <r>
    <n v="1099944"/>
    <x v="395"/>
    <x v="6"/>
    <x v="386"/>
    <x v="85"/>
  </r>
  <r>
    <n v="1099944"/>
    <x v="395"/>
    <x v="6"/>
    <x v="14"/>
    <x v="4"/>
  </r>
  <r>
    <n v="1099944"/>
    <x v="395"/>
    <x v="6"/>
    <x v="347"/>
    <x v="348"/>
  </r>
  <r>
    <n v="1099944"/>
    <x v="395"/>
    <x v="6"/>
    <x v="339"/>
    <x v="348"/>
  </r>
  <r>
    <n v="1099944"/>
    <x v="395"/>
    <x v="6"/>
    <x v="132"/>
    <x v="178"/>
  </r>
  <r>
    <n v="1099944"/>
    <x v="395"/>
    <x v="6"/>
    <x v="148"/>
    <x v="535"/>
  </r>
  <r>
    <n v="1099944"/>
    <x v="395"/>
    <x v="6"/>
    <x v="262"/>
    <x v="351"/>
  </r>
  <r>
    <n v="1099944"/>
    <x v="395"/>
    <x v="6"/>
    <x v="212"/>
    <x v="4"/>
  </r>
  <r>
    <n v="1099944"/>
    <x v="395"/>
    <x v="6"/>
    <x v="426"/>
    <x v="170"/>
  </r>
  <r>
    <n v="1099944"/>
    <x v="395"/>
    <x v="6"/>
    <x v="155"/>
    <x v="331"/>
  </r>
  <r>
    <n v="1099944"/>
    <x v="395"/>
    <x v="6"/>
    <x v="217"/>
    <x v="170"/>
  </r>
  <r>
    <n v="1099944"/>
    <x v="395"/>
    <x v="6"/>
    <x v="168"/>
    <x v="535"/>
  </r>
  <r>
    <n v="1099944"/>
    <x v="395"/>
    <x v="6"/>
    <x v="171"/>
    <x v="351"/>
  </r>
  <r>
    <n v="1099944"/>
    <x v="395"/>
    <x v="6"/>
    <x v="0"/>
    <x v="529"/>
  </r>
  <r>
    <n v="1099944"/>
    <x v="395"/>
    <x v="6"/>
    <x v="25"/>
    <x v="105"/>
  </r>
  <r>
    <n v="1099944"/>
    <x v="395"/>
    <x v="6"/>
    <x v="384"/>
    <x v="551"/>
  </r>
  <r>
    <n v="1099944"/>
    <x v="395"/>
    <x v="6"/>
    <x v="12"/>
    <x v="3"/>
  </r>
  <r>
    <n v="1099944"/>
    <x v="395"/>
    <x v="6"/>
    <x v="349"/>
    <x v="535"/>
  </r>
  <r>
    <n v="1099944"/>
    <x v="395"/>
    <x v="6"/>
    <x v="160"/>
    <x v="351"/>
  </r>
  <r>
    <n v="1099944"/>
    <x v="395"/>
    <x v="6"/>
    <x v="134"/>
    <x v="178"/>
  </r>
  <r>
    <n v="1099944"/>
    <x v="395"/>
    <x v="6"/>
    <x v="150"/>
    <x v="77"/>
  </r>
  <r>
    <n v="1099944"/>
    <x v="395"/>
    <x v="6"/>
    <x v="264"/>
    <x v="351"/>
  </r>
  <r>
    <n v="1099944"/>
    <x v="395"/>
    <x v="6"/>
    <x v="214"/>
    <x v="516"/>
  </r>
  <r>
    <n v="1099944"/>
    <x v="395"/>
    <x v="6"/>
    <x v="227"/>
    <x v="4"/>
  </r>
  <r>
    <n v="1099944"/>
    <x v="395"/>
    <x v="6"/>
    <x v="239"/>
    <x v="198"/>
  </r>
  <r>
    <n v="1099944"/>
    <x v="395"/>
    <x v="6"/>
    <x v="219"/>
    <x v="77"/>
  </r>
  <r>
    <n v="1099944"/>
    <x v="395"/>
    <x v="6"/>
    <x v="193"/>
    <x v="170"/>
  </r>
  <r>
    <n v="1099944"/>
    <x v="395"/>
    <x v="6"/>
    <x v="182"/>
    <x v="516"/>
  </r>
  <r>
    <n v="1099944"/>
    <x v="395"/>
    <x v="6"/>
    <x v="38"/>
    <x v="198"/>
  </r>
  <r>
    <n v="1099944"/>
    <x v="395"/>
    <x v="6"/>
    <x v="30"/>
    <x v="203"/>
  </r>
  <r>
    <n v="1099944"/>
    <x v="395"/>
    <x v="6"/>
    <x v="200"/>
    <x v="179"/>
  </r>
  <r>
    <n v="1099944"/>
    <x v="395"/>
    <x v="6"/>
    <x v="79"/>
    <x v="69"/>
  </r>
  <r>
    <n v="1099944"/>
    <x v="395"/>
    <x v="6"/>
    <x v="61"/>
    <x v="172"/>
  </r>
  <r>
    <n v="1099944"/>
    <x v="395"/>
    <x v="6"/>
    <x v="5"/>
    <x v="3"/>
  </r>
  <r>
    <n v="1099944"/>
    <x v="395"/>
    <x v="6"/>
    <x v="253"/>
    <x v="170"/>
  </r>
  <r>
    <n v="1099944"/>
    <x v="395"/>
    <x v="6"/>
    <x v="335"/>
    <x v="348"/>
  </r>
  <r>
    <n v="1099944"/>
    <x v="395"/>
    <x v="6"/>
    <x v="127"/>
    <x v="535"/>
  </r>
  <r>
    <n v="1099944"/>
    <x v="395"/>
    <x v="6"/>
    <x v="144"/>
    <x v="348"/>
  </r>
  <r>
    <n v="1099944"/>
    <x v="395"/>
    <x v="6"/>
    <x v="259"/>
    <x v="178"/>
  </r>
  <r>
    <n v="1099944"/>
    <x v="395"/>
    <x v="6"/>
    <x v="250"/>
    <x v="535"/>
  </r>
  <r>
    <n v="1099944"/>
    <x v="395"/>
    <x v="6"/>
    <x v="223"/>
    <x v="3"/>
  </r>
  <r>
    <n v="1099944"/>
    <x v="395"/>
    <x v="6"/>
    <x v="235"/>
    <x v="83"/>
  </r>
  <r>
    <n v="1099944"/>
    <x v="395"/>
    <x v="6"/>
    <x v="341"/>
    <x v="346"/>
  </r>
  <r>
    <n v="1099944"/>
    <x v="395"/>
    <x v="6"/>
    <x v="178"/>
    <x v="516"/>
  </r>
  <r>
    <n v="1099944"/>
    <x v="395"/>
    <x v="6"/>
    <x v="175"/>
    <x v="516"/>
  </r>
  <r>
    <n v="1099944"/>
    <x v="395"/>
    <x v="6"/>
    <x v="165"/>
    <x v="546"/>
  </r>
  <r>
    <n v="1099944"/>
    <x v="395"/>
    <x v="6"/>
    <x v="36"/>
    <x v="34"/>
  </r>
  <r>
    <n v="1099944"/>
    <x v="395"/>
    <x v="6"/>
    <x v="418"/>
    <x v="552"/>
  </r>
  <r>
    <n v="1099944"/>
    <x v="395"/>
    <x v="6"/>
    <x v="71"/>
    <x v="97"/>
  </r>
  <r>
    <n v="1099944"/>
    <x v="395"/>
    <x v="6"/>
    <x v="55"/>
    <x v="178"/>
  </r>
  <r>
    <n v="1099944"/>
    <x v="395"/>
    <x v="6"/>
    <x v="342"/>
    <x v="348"/>
  </r>
  <r>
    <n v="1099944"/>
    <x v="395"/>
    <x v="6"/>
    <x v="345"/>
    <x v="346"/>
  </r>
  <r>
    <n v="1099944"/>
    <x v="395"/>
    <x v="6"/>
    <x v="337"/>
    <x v="348"/>
  </r>
  <r>
    <n v="1099944"/>
    <x v="395"/>
    <x v="6"/>
    <x v="129"/>
    <x v="535"/>
  </r>
  <r>
    <n v="1099944"/>
    <x v="395"/>
    <x v="6"/>
    <x v="146"/>
    <x v="535"/>
  </r>
  <r>
    <n v="1099944"/>
    <x v="395"/>
    <x v="6"/>
    <x v="261"/>
    <x v="348"/>
  </r>
  <r>
    <n v="1099944"/>
    <x v="395"/>
    <x v="6"/>
    <x v="210"/>
    <x v="348"/>
  </r>
  <r>
    <n v="1099944"/>
    <x v="395"/>
    <x v="6"/>
    <x v="225"/>
    <x v="4"/>
  </r>
  <r>
    <n v="1099944"/>
    <x v="395"/>
    <x v="6"/>
    <x v="237"/>
    <x v="548"/>
  </r>
  <r>
    <n v="1099944"/>
    <x v="395"/>
    <x v="6"/>
    <x v="247"/>
    <x v="198"/>
  </r>
  <r>
    <n v="1099944"/>
    <x v="395"/>
    <x v="6"/>
    <x v="173"/>
    <x v="516"/>
  </r>
  <r>
    <n v="1099944"/>
    <x v="395"/>
    <x v="6"/>
    <x v="191"/>
    <x v="178"/>
  </r>
  <r>
    <n v="1099944"/>
    <x v="395"/>
    <x v="6"/>
    <x v="33"/>
    <x v="90"/>
  </r>
  <r>
    <n v="1099944"/>
    <x v="395"/>
    <x v="6"/>
    <x v="34"/>
    <x v="105"/>
  </r>
  <r>
    <n v="1099944"/>
    <x v="395"/>
    <x v="6"/>
    <x v="77"/>
    <x v="536"/>
  </r>
  <r>
    <n v="1099944"/>
    <x v="395"/>
    <x v="6"/>
    <x v="62"/>
    <x v="348"/>
  </r>
  <r>
    <n v="1099944"/>
    <x v="395"/>
    <x v="6"/>
    <x v="419"/>
    <x v="84"/>
  </r>
  <r>
    <n v="1099944"/>
    <x v="395"/>
    <x v="6"/>
    <x v="385"/>
    <x v="5"/>
  </r>
  <r>
    <n v="1099944"/>
    <x v="395"/>
    <x v="6"/>
    <x v="15"/>
    <x v="154"/>
  </r>
  <r>
    <n v="1099944"/>
    <x v="395"/>
    <x v="6"/>
    <x v="348"/>
    <x v="178"/>
  </r>
  <r>
    <n v="1099944"/>
    <x v="395"/>
    <x v="6"/>
    <x v="159"/>
    <x v="516"/>
  </r>
  <r>
    <n v="1099944"/>
    <x v="1"/>
    <x v="1"/>
    <x v="2"/>
    <x v="2"/>
  </r>
  <r>
    <n v="1099945"/>
    <x v="396"/>
    <x v="6"/>
    <x v="167"/>
    <x v="2"/>
  </r>
  <r>
    <n v="1099945"/>
    <x v="1"/>
    <x v="1"/>
    <x v="2"/>
    <x v="2"/>
  </r>
  <r>
    <n v="1099946"/>
    <x v="397"/>
    <x v="6"/>
    <x v="167"/>
    <x v="2"/>
  </r>
  <r>
    <n v="1099946"/>
    <x v="1"/>
    <x v="1"/>
    <x v="2"/>
    <x v="2"/>
  </r>
  <r>
    <n v="1099947"/>
    <x v="398"/>
    <x v="0"/>
    <x v="37"/>
    <x v="803"/>
  </r>
  <r>
    <n v="1099947"/>
    <x v="398"/>
    <x v="0"/>
    <x v="0"/>
    <x v="804"/>
  </r>
  <r>
    <n v="1099947"/>
    <x v="398"/>
    <x v="0"/>
    <x v="31"/>
    <x v="805"/>
  </r>
  <r>
    <n v="1099947"/>
    <x v="398"/>
    <x v="0"/>
    <x v="1"/>
    <x v="806"/>
  </r>
  <r>
    <n v="1099947"/>
    <x v="1"/>
    <x v="1"/>
    <x v="2"/>
    <x v="2"/>
  </r>
  <r>
    <n v="1099948"/>
    <x v="399"/>
    <x v="0"/>
    <x v="449"/>
    <x v="2"/>
  </r>
  <r>
    <n v="1099948"/>
    <x v="1"/>
    <x v="1"/>
    <x v="2"/>
    <x v="2"/>
  </r>
  <r>
    <n v="1099949"/>
    <x v="400"/>
    <x v="4"/>
    <x v="16"/>
    <x v="14"/>
  </r>
  <r>
    <n v="1099949"/>
    <x v="400"/>
    <x v="4"/>
    <x v="17"/>
    <x v="15"/>
  </r>
  <r>
    <n v="1099949"/>
    <x v="1"/>
    <x v="1"/>
    <x v="2"/>
    <x v="2"/>
  </r>
  <r>
    <n v="1099950"/>
    <x v="401"/>
    <x v="5"/>
    <x v="276"/>
    <x v="2"/>
  </r>
  <r>
    <n v="1099950"/>
    <x v="1"/>
    <x v="1"/>
    <x v="2"/>
    <x v="2"/>
  </r>
  <r>
    <n v="1099952"/>
    <x v="402"/>
    <x v="6"/>
    <x v="167"/>
    <x v="2"/>
  </r>
  <r>
    <n v="1099952"/>
    <x v="1"/>
    <x v="1"/>
    <x v="2"/>
    <x v="2"/>
  </r>
  <r>
    <n v="1099953"/>
    <x v="403"/>
    <x v="2"/>
    <x v="16"/>
    <x v="14"/>
  </r>
  <r>
    <n v="1099953"/>
    <x v="403"/>
    <x v="2"/>
    <x v="17"/>
    <x v="15"/>
  </r>
  <r>
    <n v="1099953"/>
    <x v="1"/>
    <x v="1"/>
    <x v="2"/>
    <x v="2"/>
  </r>
  <r>
    <n v="1099954"/>
    <x v="404"/>
    <x v="3"/>
    <x v="342"/>
    <x v="807"/>
  </r>
  <r>
    <n v="1099954"/>
    <x v="404"/>
    <x v="3"/>
    <x v="344"/>
    <x v="808"/>
  </r>
  <r>
    <n v="1099954"/>
    <x v="404"/>
    <x v="3"/>
    <x v="9"/>
    <x v="809"/>
  </r>
  <r>
    <n v="1099954"/>
    <x v="404"/>
    <x v="3"/>
    <x v="11"/>
    <x v="810"/>
  </r>
  <r>
    <n v="1099954"/>
    <x v="404"/>
    <x v="3"/>
    <x v="13"/>
    <x v="412"/>
  </r>
  <r>
    <n v="1099954"/>
    <x v="404"/>
    <x v="3"/>
    <x v="15"/>
    <x v="811"/>
  </r>
  <r>
    <n v="1099954"/>
    <x v="404"/>
    <x v="3"/>
    <x v="10"/>
    <x v="812"/>
  </r>
  <r>
    <n v="1099954"/>
    <x v="404"/>
    <x v="3"/>
    <x v="14"/>
    <x v="813"/>
  </r>
  <r>
    <n v="1099954"/>
    <x v="404"/>
    <x v="3"/>
    <x v="8"/>
    <x v="390"/>
  </r>
  <r>
    <n v="1099954"/>
    <x v="404"/>
    <x v="3"/>
    <x v="12"/>
    <x v="3"/>
  </r>
  <r>
    <n v="1099954"/>
    <x v="404"/>
    <x v="3"/>
    <x v="6"/>
    <x v="468"/>
  </r>
  <r>
    <n v="1099954"/>
    <x v="404"/>
    <x v="3"/>
    <x v="343"/>
    <x v="814"/>
  </r>
  <r>
    <n v="1099954"/>
    <x v="404"/>
    <x v="3"/>
    <x v="7"/>
    <x v="322"/>
  </r>
  <r>
    <n v="1099954"/>
    <x v="1"/>
    <x v="1"/>
    <x v="2"/>
    <x v="2"/>
  </r>
  <r>
    <n v="1099955"/>
    <x v="405"/>
    <x v="8"/>
    <x v="178"/>
    <x v="387"/>
  </r>
  <r>
    <n v="1099955"/>
    <x v="405"/>
    <x v="8"/>
    <x v="183"/>
    <x v="472"/>
  </r>
  <r>
    <n v="1099955"/>
    <x v="405"/>
    <x v="8"/>
    <x v="174"/>
    <x v="477"/>
  </r>
  <r>
    <n v="1099955"/>
    <x v="405"/>
    <x v="8"/>
    <x v="175"/>
    <x v="258"/>
  </r>
  <r>
    <n v="1099955"/>
    <x v="405"/>
    <x v="8"/>
    <x v="176"/>
    <x v="483"/>
  </r>
  <r>
    <n v="1099955"/>
    <x v="405"/>
    <x v="8"/>
    <x v="456"/>
    <x v="3"/>
  </r>
  <r>
    <n v="1099955"/>
    <x v="405"/>
    <x v="8"/>
    <x v="195"/>
    <x v="475"/>
  </r>
  <r>
    <n v="1099955"/>
    <x v="405"/>
    <x v="8"/>
    <x v="193"/>
    <x v="482"/>
  </r>
  <r>
    <n v="1099955"/>
    <x v="405"/>
    <x v="8"/>
    <x v="180"/>
    <x v="19"/>
  </r>
  <r>
    <n v="1099955"/>
    <x v="405"/>
    <x v="8"/>
    <x v="181"/>
    <x v="294"/>
  </r>
  <r>
    <n v="1099955"/>
    <x v="405"/>
    <x v="8"/>
    <x v="182"/>
    <x v="69"/>
  </r>
  <r>
    <n v="1099955"/>
    <x v="405"/>
    <x v="8"/>
    <x v="177"/>
    <x v="485"/>
  </r>
  <r>
    <n v="1099955"/>
    <x v="405"/>
    <x v="8"/>
    <x v="457"/>
    <x v="3"/>
  </r>
  <r>
    <n v="1099955"/>
    <x v="405"/>
    <x v="8"/>
    <x v="185"/>
    <x v="34"/>
  </r>
  <r>
    <n v="1099955"/>
    <x v="405"/>
    <x v="8"/>
    <x v="169"/>
    <x v="368"/>
  </r>
  <r>
    <n v="1099955"/>
    <x v="405"/>
    <x v="8"/>
    <x v="187"/>
    <x v="478"/>
  </r>
  <r>
    <n v="1099955"/>
    <x v="405"/>
    <x v="8"/>
    <x v="188"/>
    <x v="481"/>
  </r>
  <r>
    <n v="1099955"/>
    <x v="405"/>
    <x v="8"/>
    <x v="184"/>
    <x v="135"/>
  </r>
  <r>
    <n v="1099955"/>
    <x v="405"/>
    <x v="8"/>
    <x v="189"/>
    <x v="484"/>
  </r>
  <r>
    <n v="1099955"/>
    <x v="405"/>
    <x v="8"/>
    <x v="194"/>
    <x v="474"/>
  </r>
  <r>
    <n v="1099955"/>
    <x v="405"/>
    <x v="8"/>
    <x v="458"/>
    <x v="3"/>
  </r>
  <r>
    <n v="1099955"/>
    <x v="405"/>
    <x v="8"/>
    <x v="173"/>
    <x v="148"/>
  </r>
  <r>
    <n v="1099955"/>
    <x v="405"/>
    <x v="8"/>
    <x v="168"/>
    <x v="65"/>
  </r>
  <r>
    <n v="1099955"/>
    <x v="405"/>
    <x v="8"/>
    <x v="186"/>
    <x v="476"/>
  </r>
  <r>
    <n v="1099955"/>
    <x v="405"/>
    <x v="8"/>
    <x v="459"/>
    <x v="3"/>
  </r>
  <r>
    <n v="1099955"/>
    <x v="405"/>
    <x v="8"/>
    <x v="192"/>
    <x v="65"/>
  </r>
  <r>
    <n v="1099955"/>
    <x v="405"/>
    <x v="8"/>
    <x v="170"/>
    <x v="480"/>
  </r>
  <r>
    <n v="1099955"/>
    <x v="405"/>
    <x v="8"/>
    <x v="191"/>
    <x v="479"/>
  </r>
  <r>
    <n v="1099955"/>
    <x v="405"/>
    <x v="8"/>
    <x v="171"/>
    <x v="331"/>
  </r>
  <r>
    <n v="1099955"/>
    <x v="405"/>
    <x v="8"/>
    <x v="190"/>
    <x v="71"/>
  </r>
  <r>
    <n v="1099955"/>
    <x v="405"/>
    <x v="8"/>
    <x v="172"/>
    <x v="473"/>
  </r>
  <r>
    <n v="1099955"/>
    <x v="405"/>
    <x v="8"/>
    <x v="179"/>
    <x v="226"/>
  </r>
  <r>
    <n v="1099955"/>
    <x v="1"/>
    <x v="1"/>
    <x v="2"/>
    <x v="2"/>
  </r>
  <r>
    <n v="1099956"/>
    <x v="406"/>
    <x v="2"/>
    <x v="83"/>
    <x v="815"/>
  </r>
  <r>
    <n v="1099956"/>
    <x v="406"/>
    <x v="2"/>
    <x v="81"/>
    <x v="816"/>
  </r>
  <r>
    <n v="1099956"/>
    <x v="406"/>
    <x v="2"/>
    <x v="64"/>
    <x v="817"/>
  </r>
  <r>
    <n v="1099956"/>
    <x v="406"/>
    <x v="2"/>
    <x v="59"/>
    <x v="818"/>
  </r>
  <r>
    <n v="1099956"/>
    <x v="1"/>
    <x v="1"/>
    <x v="2"/>
    <x v="2"/>
  </r>
  <r>
    <n v="1099957"/>
    <x v="407"/>
    <x v="5"/>
    <x v="114"/>
    <x v="568"/>
  </r>
  <r>
    <n v="1099957"/>
    <x v="407"/>
    <x v="5"/>
    <x v="115"/>
    <x v="595"/>
  </r>
  <r>
    <n v="1099957"/>
    <x v="407"/>
    <x v="5"/>
    <x v="118"/>
    <x v="819"/>
  </r>
  <r>
    <n v="1099957"/>
    <x v="407"/>
    <x v="5"/>
    <x v="119"/>
    <x v="820"/>
  </r>
  <r>
    <n v="1099957"/>
    <x v="1"/>
    <x v="1"/>
    <x v="2"/>
    <x v="2"/>
  </r>
  <r>
    <n v="1099958"/>
    <x v="408"/>
    <x v="2"/>
    <x v="203"/>
    <x v="791"/>
  </r>
  <r>
    <n v="1099958"/>
    <x v="408"/>
    <x v="2"/>
    <x v="390"/>
    <x v="795"/>
  </r>
  <r>
    <n v="1099958"/>
    <x v="408"/>
    <x v="2"/>
    <x v="199"/>
    <x v="462"/>
  </r>
  <r>
    <n v="1099958"/>
    <x v="408"/>
    <x v="2"/>
    <x v="388"/>
    <x v="794"/>
  </r>
  <r>
    <n v="1099958"/>
    <x v="408"/>
    <x v="2"/>
    <x v="202"/>
    <x v="652"/>
  </r>
  <r>
    <n v="1099958"/>
    <x v="408"/>
    <x v="2"/>
    <x v="201"/>
    <x v="377"/>
  </r>
  <r>
    <n v="1099958"/>
    <x v="408"/>
    <x v="2"/>
    <x v="387"/>
    <x v="796"/>
  </r>
  <r>
    <n v="1099958"/>
    <x v="408"/>
    <x v="2"/>
    <x v="389"/>
    <x v="792"/>
  </r>
  <r>
    <n v="1099958"/>
    <x v="408"/>
    <x v="2"/>
    <x v="200"/>
    <x v="793"/>
  </r>
  <r>
    <n v="1099958"/>
    <x v="1"/>
    <x v="1"/>
    <x v="2"/>
    <x v="2"/>
  </r>
  <r>
    <n v="1099959"/>
    <x v="409"/>
    <x v="5"/>
    <x v="410"/>
    <x v="659"/>
  </r>
  <r>
    <n v="1099959"/>
    <x v="409"/>
    <x v="5"/>
    <x v="86"/>
    <x v="821"/>
  </r>
  <r>
    <n v="1099959"/>
    <x v="409"/>
    <x v="5"/>
    <x v="414"/>
    <x v="37"/>
  </r>
  <r>
    <n v="1099959"/>
    <x v="409"/>
    <x v="5"/>
    <x v="398"/>
    <x v="363"/>
  </r>
  <r>
    <n v="1099959"/>
    <x v="409"/>
    <x v="5"/>
    <x v="20"/>
    <x v="121"/>
  </r>
  <r>
    <n v="1099959"/>
    <x v="409"/>
    <x v="5"/>
    <x v="23"/>
    <x v="460"/>
  </r>
  <r>
    <n v="1099959"/>
    <x v="409"/>
    <x v="5"/>
    <x v="411"/>
    <x v="630"/>
  </r>
  <r>
    <n v="1099959"/>
    <x v="409"/>
    <x v="5"/>
    <x v="397"/>
    <x v="822"/>
  </r>
  <r>
    <n v="1099959"/>
    <x v="409"/>
    <x v="5"/>
    <x v="409"/>
    <x v="254"/>
  </r>
  <r>
    <n v="1099959"/>
    <x v="409"/>
    <x v="5"/>
    <x v="412"/>
    <x v="347"/>
  </r>
  <r>
    <n v="1099959"/>
    <x v="409"/>
    <x v="5"/>
    <x v="413"/>
    <x v="552"/>
  </r>
  <r>
    <n v="1099959"/>
    <x v="409"/>
    <x v="5"/>
    <x v="22"/>
    <x v="460"/>
  </r>
  <r>
    <n v="1099959"/>
    <x v="409"/>
    <x v="5"/>
    <x v="399"/>
    <x v="823"/>
  </r>
  <r>
    <n v="1099959"/>
    <x v="409"/>
    <x v="5"/>
    <x v="401"/>
    <x v="225"/>
  </r>
  <r>
    <n v="1099959"/>
    <x v="409"/>
    <x v="5"/>
    <x v="415"/>
    <x v="824"/>
  </r>
  <r>
    <n v="1099959"/>
    <x v="409"/>
    <x v="5"/>
    <x v="85"/>
    <x v="825"/>
  </r>
  <r>
    <n v="1099959"/>
    <x v="409"/>
    <x v="5"/>
    <x v="400"/>
    <x v="231"/>
  </r>
  <r>
    <n v="1099959"/>
    <x v="409"/>
    <x v="5"/>
    <x v="18"/>
    <x v="542"/>
  </r>
  <r>
    <n v="1099959"/>
    <x v="409"/>
    <x v="5"/>
    <x v="406"/>
    <x v="225"/>
  </r>
  <r>
    <n v="1099959"/>
    <x v="409"/>
    <x v="5"/>
    <x v="21"/>
    <x v="39"/>
  </r>
  <r>
    <n v="1099959"/>
    <x v="409"/>
    <x v="5"/>
    <x v="402"/>
    <x v="454"/>
  </r>
  <r>
    <n v="1099959"/>
    <x v="409"/>
    <x v="5"/>
    <x v="416"/>
    <x v="826"/>
  </r>
  <r>
    <n v="1099959"/>
    <x v="409"/>
    <x v="5"/>
    <x v="405"/>
    <x v="200"/>
  </r>
  <r>
    <n v="1099959"/>
    <x v="409"/>
    <x v="5"/>
    <x v="19"/>
    <x v="362"/>
  </r>
  <r>
    <n v="1099959"/>
    <x v="409"/>
    <x v="5"/>
    <x v="407"/>
    <x v="561"/>
  </r>
  <r>
    <n v="1099959"/>
    <x v="409"/>
    <x v="5"/>
    <x v="404"/>
    <x v="827"/>
  </r>
  <r>
    <n v="1099959"/>
    <x v="409"/>
    <x v="5"/>
    <x v="408"/>
    <x v="84"/>
  </r>
  <r>
    <n v="1099959"/>
    <x v="1"/>
    <x v="1"/>
    <x v="2"/>
    <x v="2"/>
  </r>
  <r>
    <n v="1099960"/>
    <x v="410"/>
    <x v="4"/>
    <x v="324"/>
    <x v="2"/>
  </r>
  <r>
    <n v="1099960"/>
    <x v="1"/>
    <x v="1"/>
    <x v="2"/>
    <x v="2"/>
  </r>
  <r>
    <n v="1099961"/>
    <x v="411"/>
    <x v="6"/>
    <x v="167"/>
    <x v="2"/>
  </r>
  <r>
    <n v="1099961"/>
    <x v="1"/>
    <x v="1"/>
    <x v="2"/>
    <x v="2"/>
  </r>
  <r>
    <n v="1099962"/>
    <x v="412"/>
    <x v="2"/>
    <x v="353"/>
    <x v="2"/>
  </r>
  <r>
    <n v="1099962"/>
    <x v="1"/>
    <x v="1"/>
    <x v="2"/>
    <x v="2"/>
  </r>
  <r>
    <n v="1099963"/>
    <x v="413"/>
    <x v="13"/>
    <x v="421"/>
    <x v="511"/>
  </r>
  <r>
    <n v="1099963"/>
    <x v="413"/>
    <x v="13"/>
    <x v="422"/>
    <x v="512"/>
  </r>
  <r>
    <n v="1099963"/>
    <x v="1"/>
    <x v="1"/>
    <x v="2"/>
    <x v="2"/>
  </r>
  <r>
    <n v="1099964"/>
    <x v="414"/>
    <x v="13"/>
    <x v="422"/>
    <x v="512"/>
  </r>
  <r>
    <n v="1099964"/>
    <x v="414"/>
    <x v="13"/>
    <x v="421"/>
    <x v="511"/>
  </r>
  <r>
    <n v="1099964"/>
    <x v="1"/>
    <x v="1"/>
    <x v="2"/>
    <x v="2"/>
  </r>
  <r>
    <n v="1099965"/>
    <x v="415"/>
    <x v="2"/>
    <x v="276"/>
    <x v="2"/>
  </r>
  <r>
    <n v="1099965"/>
    <x v="1"/>
    <x v="1"/>
    <x v="2"/>
    <x v="2"/>
  </r>
  <r>
    <n v="1099966"/>
    <x v="416"/>
    <x v="13"/>
    <x v="394"/>
    <x v="657"/>
  </r>
  <r>
    <n v="1099966"/>
    <x v="416"/>
    <x v="13"/>
    <x v="422"/>
    <x v="406"/>
  </r>
  <r>
    <n v="1099966"/>
    <x v="416"/>
    <x v="13"/>
    <x v="460"/>
    <x v="3"/>
  </r>
  <r>
    <n v="1099966"/>
    <x v="416"/>
    <x v="13"/>
    <x v="395"/>
    <x v="777"/>
  </r>
  <r>
    <n v="1099966"/>
    <x v="416"/>
    <x v="13"/>
    <x v="421"/>
    <x v="778"/>
  </r>
  <r>
    <n v="1099966"/>
    <x v="1"/>
    <x v="1"/>
    <x v="2"/>
    <x v="2"/>
  </r>
  <r>
    <n v="1099967"/>
    <x v="417"/>
    <x v="5"/>
    <x v="276"/>
    <x v="2"/>
  </r>
  <r>
    <n v="1099967"/>
    <x v="1"/>
    <x v="1"/>
    <x v="2"/>
    <x v="2"/>
  </r>
  <r>
    <n v="1099968"/>
    <x v="418"/>
    <x v="5"/>
    <x v="276"/>
    <x v="2"/>
  </r>
  <r>
    <n v="1099968"/>
    <x v="1"/>
    <x v="1"/>
    <x v="2"/>
    <x v="2"/>
  </r>
  <r>
    <n v="1099969"/>
    <x v="419"/>
    <x v="2"/>
    <x v="59"/>
    <x v="104"/>
  </r>
  <r>
    <n v="1099969"/>
    <x v="419"/>
    <x v="2"/>
    <x v="80"/>
    <x v="102"/>
  </r>
  <r>
    <n v="1099969"/>
    <x v="419"/>
    <x v="2"/>
    <x v="83"/>
    <x v="105"/>
  </r>
  <r>
    <n v="1099969"/>
    <x v="419"/>
    <x v="2"/>
    <x v="64"/>
    <x v="107"/>
  </r>
  <r>
    <n v="1099969"/>
    <x v="419"/>
    <x v="2"/>
    <x v="57"/>
    <x v="101"/>
  </r>
  <r>
    <n v="1099969"/>
    <x v="419"/>
    <x v="2"/>
    <x v="67"/>
    <x v="99"/>
  </r>
  <r>
    <n v="1099969"/>
    <x v="419"/>
    <x v="2"/>
    <x v="81"/>
    <x v="106"/>
  </r>
  <r>
    <n v="1099969"/>
    <x v="419"/>
    <x v="2"/>
    <x v="69"/>
    <x v="103"/>
  </r>
  <r>
    <n v="1099969"/>
    <x v="419"/>
    <x v="2"/>
    <x v="73"/>
    <x v="34"/>
  </r>
  <r>
    <n v="1099969"/>
    <x v="419"/>
    <x v="2"/>
    <x v="55"/>
    <x v="54"/>
  </r>
  <r>
    <n v="1099969"/>
    <x v="419"/>
    <x v="2"/>
    <x v="72"/>
    <x v="100"/>
  </r>
  <r>
    <n v="1099969"/>
    <x v="1"/>
    <x v="1"/>
    <x v="2"/>
    <x v="2"/>
  </r>
  <r>
    <n v="1099970"/>
    <x v="420"/>
    <x v="5"/>
    <x v="373"/>
    <x v="176"/>
  </r>
  <r>
    <n v="1099970"/>
    <x v="420"/>
    <x v="5"/>
    <x v="309"/>
    <x v="179"/>
  </r>
  <r>
    <n v="1099970"/>
    <x v="420"/>
    <x v="5"/>
    <x v="85"/>
    <x v="407"/>
  </r>
  <r>
    <n v="1099970"/>
    <x v="420"/>
    <x v="5"/>
    <x v="381"/>
    <x v="740"/>
  </r>
  <r>
    <n v="1099970"/>
    <x v="420"/>
    <x v="5"/>
    <x v="430"/>
    <x v="346"/>
  </r>
  <r>
    <n v="1099970"/>
    <x v="420"/>
    <x v="5"/>
    <x v="435"/>
    <x v="348"/>
  </r>
  <r>
    <n v="1099970"/>
    <x v="420"/>
    <x v="5"/>
    <x v="391"/>
    <x v="744"/>
  </r>
  <r>
    <n v="1099970"/>
    <x v="420"/>
    <x v="5"/>
    <x v="321"/>
    <x v="615"/>
  </r>
  <r>
    <n v="1099970"/>
    <x v="420"/>
    <x v="5"/>
    <x v="401"/>
    <x v="178"/>
  </r>
  <r>
    <n v="1099970"/>
    <x v="420"/>
    <x v="5"/>
    <x v="23"/>
    <x v="154"/>
  </r>
  <r>
    <n v="1099970"/>
    <x v="420"/>
    <x v="5"/>
    <x v="19"/>
    <x v="351"/>
  </r>
  <r>
    <n v="1099970"/>
    <x v="420"/>
    <x v="5"/>
    <x v="89"/>
    <x v="376"/>
  </r>
  <r>
    <n v="1099970"/>
    <x v="420"/>
    <x v="5"/>
    <x v="366"/>
    <x v="178"/>
  </r>
  <r>
    <n v="1099970"/>
    <x v="420"/>
    <x v="5"/>
    <x v="45"/>
    <x v="149"/>
  </r>
  <r>
    <n v="1099970"/>
    <x v="420"/>
    <x v="5"/>
    <x v="328"/>
    <x v="198"/>
  </r>
  <r>
    <n v="1099970"/>
    <x v="420"/>
    <x v="5"/>
    <x v="376"/>
    <x v="161"/>
  </r>
  <r>
    <n v="1099970"/>
    <x v="420"/>
    <x v="5"/>
    <x v="298"/>
    <x v="162"/>
  </r>
  <r>
    <n v="1099970"/>
    <x v="420"/>
    <x v="5"/>
    <x v="288"/>
    <x v="315"/>
  </r>
  <r>
    <n v="1099970"/>
    <x v="420"/>
    <x v="5"/>
    <x v="320"/>
    <x v="78"/>
  </r>
  <r>
    <n v="1099970"/>
    <x v="420"/>
    <x v="5"/>
    <x v="400"/>
    <x v="178"/>
  </r>
  <r>
    <n v="1099970"/>
    <x v="420"/>
    <x v="5"/>
    <x v="197"/>
    <x v="743"/>
  </r>
  <r>
    <n v="1099970"/>
    <x v="420"/>
    <x v="5"/>
    <x v="415"/>
    <x v="98"/>
  </r>
  <r>
    <n v="1099970"/>
    <x v="420"/>
    <x v="5"/>
    <x v="52"/>
    <x v="178"/>
  </r>
  <r>
    <n v="1099970"/>
    <x v="420"/>
    <x v="5"/>
    <x v="268"/>
    <x v="154"/>
  </r>
  <r>
    <n v="1099970"/>
    <x v="420"/>
    <x v="5"/>
    <x v="372"/>
    <x v="176"/>
  </r>
  <r>
    <n v="1099970"/>
    <x v="420"/>
    <x v="5"/>
    <x v="312"/>
    <x v="179"/>
  </r>
  <r>
    <n v="1099970"/>
    <x v="420"/>
    <x v="5"/>
    <x v="286"/>
    <x v="185"/>
  </r>
  <r>
    <n v="1099970"/>
    <x v="420"/>
    <x v="5"/>
    <x v="407"/>
    <x v="83"/>
  </r>
  <r>
    <n v="1099970"/>
    <x v="420"/>
    <x v="5"/>
    <x v="429"/>
    <x v="42"/>
  </r>
  <r>
    <n v="1099970"/>
    <x v="420"/>
    <x v="5"/>
    <x v="101"/>
    <x v="34"/>
  </r>
  <r>
    <n v="1099970"/>
    <x v="420"/>
    <x v="5"/>
    <x v="109"/>
    <x v="152"/>
  </r>
  <r>
    <n v="1099970"/>
    <x v="420"/>
    <x v="5"/>
    <x v="21"/>
    <x v="351"/>
  </r>
  <r>
    <n v="1099970"/>
    <x v="420"/>
    <x v="5"/>
    <x v="86"/>
    <x v="213"/>
  </r>
  <r>
    <n v="1099970"/>
    <x v="420"/>
    <x v="5"/>
    <x v="283"/>
    <x v="62"/>
  </r>
  <r>
    <n v="1099970"/>
    <x v="420"/>
    <x v="5"/>
    <x v="359"/>
    <x v="4"/>
  </r>
  <r>
    <n v="1099970"/>
    <x v="420"/>
    <x v="5"/>
    <x v="284"/>
    <x v="105"/>
  </r>
  <r>
    <n v="1099970"/>
    <x v="420"/>
    <x v="5"/>
    <x v="92"/>
    <x v="617"/>
  </r>
  <r>
    <n v="1099970"/>
    <x v="420"/>
    <x v="5"/>
    <x v="410"/>
    <x v="88"/>
  </r>
  <r>
    <n v="1099970"/>
    <x v="420"/>
    <x v="5"/>
    <x v="100"/>
    <x v="97"/>
  </r>
  <r>
    <n v="1099970"/>
    <x v="420"/>
    <x v="5"/>
    <x v="378"/>
    <x v="24"/>
  </r>
  <r>
    <n v="1099970"/>
    <x v="420"/>
    <x v="5"/>
    <x v="291"/>
    <x v="79"/>
  </r>
  <r>
    <n v="1099970"/>
    <x v="420"/>
    <x v="5"/>
    <x v="103"/>
    <x v="144"/>
  </r>
  <r>
    <n v="1099970"/>
    <x v="420"/>
    <x v="5"/>
    <x v="392"/>
    <x v="51"/>
  </r>
  <r>
    <n v="1099970"/>
    <x v="420"/>
    <x v="5"/>
    <x v="17"/>
    <x v="742"/>
  </r>
  <r>
    <n v="1099970"/>
    <x v="420"/>
    <x v="5"/>
    <x v="93"/>
    <x v="455"/>
  </r>
  <r>
    <n v="1099970"/>
    <x v="420"/>
    <x v="5"/>
    <x v="414"/>
    <x v="535"/>
  </r>
  <r>
    <n v="1099970"/>
    <x v="420"/>
    <x v="5"/>
    <x v="50"/>
    <x v="4"/>
  </r>
  <r>
    <n v="1099970"/>
    <x v="420"/>
    <x v="5"/>
    <x v="278"/>
    <x v="224"/>
  </r>
  <r>
    <n v="1099970"/>
    <x v="420"/>
    <x v="5"/>
    <x v="363"/>
    <x v="161"/>
  </r>
  <r>
    <n v="1099970"/>
    <x v="420"/>
    <x v="5"/>
    <x v="91"/>
    <x v="346"/>
  </r>
  <r>
    <n v="1099970"/>
    <x v="420"/>
    <x v="5"/>
    <x v="113"/>
    <x v="178"/>
  </r>
  <r>
    <n v="1099970"/>
    <x v="420"/>
    <x v="5"/>
    <x v="417"/>
    <x v="82"/>
  </r>
  <r>
    <n v="1099970"/>
    <x v="420"/>
    <x v="5"/>
    <x v="434"/>
    <x v="78"/>
  </r>
  <r>
    <n v="1099970"/>
    <x v="420"/>
    <x v="5"/>
    <x v="433"/>
    <x v="170"/>
  </r>
  <r>
    <n v="1099970"/>
    <x v="420"/>
    <x v="5"/>
    <x v="324"/>
    <x v="176"/>
  </r>
  <r>
    <n v="1099970"/>
    <x v="420"/>
    <x v="5"/>
    <x v="303"/>
    <x v="376"/>
  </r>
  <r>
    <n v="1099970"/>
    <x v="420"/>
    <x v="5"/>
    <x v="18"/>
    <x v="348"/>
  </r>
  <r>
    <n v="1099970"/>
    <x v="420"/>
    <x v="5"/>
    <x v="354"/>
    <x v="79"/>
  </r>
  <r>
    <n v="1099970"/>
    <x v="420"/>
    <x v="5"/>
    <x v="356"/>
    <x v="170"/>
  </r>
  <r>
    <n v="1099970"/>
    <x v="420"/>
    <x v="5"/>
    <x v="90"/>
    <x v="4"/>
  </r>
  <r>
    <n v="1099970"/>
    <x v="420"/>
    <x v="5"/>
    <x v="444"/>
    <x v="535"/>
  </r>
  <r>
    <n v="1099970"/>
    <x v="420"/>
    <x v="5"/>
    <x v="112"/>
    <x v="4"/>
  </r>
  <r>
    <n v="1099970"/>
    <x v="420"/>
    <x v="5"/>
    <x v="411"/>
    <x v="82"/>
  </r>
  <r>
    <n v="1099970"/>
    <x v="420"/>
    <x v="5"/>
    <x v="377"/>
    <x v="745"/>
  </r>
  <r>
    <n v="1099970"/>
    <x v="420"/>
    <x v="5"/>
    <x v="295"/>
    <x v="61"/>
  </r>
  <r>
    <n v="1099970"/>
    <x v="420"/>
    <x v="5"/>
    <x v="293"/>
    <x v="747"/>
  </r>
  <r>
    <n v="1099970"/>
    <x v="420"/>
    <x v="5"/>
    <x v="16"/>
    <x v="134"/>
  </r>
  <r>
    <n v="1099970"/>
    <x v="420"/>
    <x v="5"/>
    <x v="319"/>
    <x v="305"/>
  </r>
  <r>
    <n v="1099970"/>
    <x v="420"/>
    <x v="5"/>
    <x v="325"/>
    <x v="205"/>
  </r>
  <r>
    <n v="1099970"/>
    <x v="420"/>
    <x v="5"/>
    <x v="87"/>
    <x v="210"/>
  </r>
  <r>
    <n v="1099970"/>
    <x v="420"/>
    <x v="5"/>
    <x v="305"/>
    <x v="136"/>
  </r>
  <r>
    <n v="1099970"/>
    <x v="420"/>
    <x v="5"/>
    <x v="413"/>
    <x v="178"/>
  </r>
  <r>
    <n v="1099970"/>
    <x v="420"/>
    <x v="5"/>
    <x v="405"/>
    <x v="178"/>
  </r>
  <r>
    <n v="1099970"/>
    <x v="420"/>
    <x v="5"/>
    <x v="402"/>
    <x v="83"/>
  </r>
  <r>
    <n v="1099970"/>
    <x v="420"/>
    <x v="5"/>
    <x v="47"/>
    <x v="619"/>
  </r>
  <r>
    <n v="1099970"/>
    <x v="420"/>
    <x v="5"/>
    <x v="267"/>
    <x v="3"/>
  </r>
  <r>
    <n v="1099970"/>
    <x v="420"/>
    <x v="5"/>
    <x v="355"/>
    <x v="79"/>
  </r>
  <r>
    <n v="1099970"/>
    <x v="420"/>
    <x v="5"/>
    <x v="409"/>
    <x v="198"/>
  </r>
  <r>
    <n v="1099970"/>
    <x v="420"/>
    <x v="5"/>
    <x v="398"/>
    <x v="351"/>
  </r>
  <r>
    <n v="1099970"/>
    <x v="420"/>
    <x v="5"/>
    <x v="94"/>
    <x v="351"/>
  </r>
  <r>
    <n v="1099970"/>
    <x v="420"/>
    <x v="5"/>
    <x v="88"/>
    <x v="88"/>
  </r>
  <r>
    <n v="1099970"/>
    <x v="420"/>
    <x v="5"/>
    <x v="362"/>
    <x v="144"/>
  </r>
  <r>
    <n v="1099970"/>
    <x v="420"/>
    <x v="5"/>
    <x v="364"/>
    <x v="348"/>
  </r>
  <r>
    <n v="1099970"/>
    <x v="420"/>
    <x v="5"/>
    <x v="442"/>
    <x v="88"/>
  </r>
  <r>
    <n v="1099970"/>
    <x v="420"/>
    <x v="5"/>
    <x v="368"/>
    <x v="346"/>
  </r>
  <r>
    <n v="1099970"/>
    <x v="420"/>
    <x v="5"/>
    <x v="369"/>
    <x v="348"/>
  </r>
  <r>
    <n v="1099970"/>
    <x v="420"/>
    <x v="5"/>
    <x v="374"/>
    <x v="154"/>
  </r>
  <r>
    <n v="1099970"/>
    <x v="420"/>
    <x v="5"/>
    <x v="110"/>
    <x v="97"/>
  </r>
  <r>
    <n v="1099970"/>
    <x v="420"/>
    <x v="5"/>
    <x v="306"/>
    <x v="88"/>
  </r>
  <r>
    <n v="1099970"/>
    <x v="420"/>
    <x v="5"/>
    <x v="399"/>
    <x v="54"/>
  </r>
  <r>
    <n v="1099970"/>
    <x v="420"/>
    <x v="5"/>
    <x v="445"/>
    <x v="198"/>
  </r>
  <r>
    <n v="1099970"/>
    <x v="420"/>
    <x v="5"/>
    <x v="122"/>
    <x v="24"/>
  </r>
  <r>
    <n v="1099970"/>
    <x v="420"/>
    <x v="5"/>
    <x v="304"/>
    <x v="34"/>
  </r>
  <r>
    <n v="1099970"/>
    <x v="420"/>
    <x v="5"/>
    <x v="119"/>
    <x v="206"/>
  </r>
  <r>
    <n v="1099970"/>
    <x v="420"/>
    <x v="5"/>
    <x v="279"/>
    <x v="392"/>
  </r>
  <r>
    <n v="1099970"/>
    <x v="420"/>
    <x v="5"/>
    <x v="269"/>
    <x v="211"/>
  </r>
  <r>
    <n v="1099970"/>
    <x v="420"/>
    <x v="5"/>
    <x v="287"/>
    <x v="88"/>
  </r>
  <r>
    <n v="1099970"/>
    <x v="420"/>
    <x v="5"/>
    <x v="294"/>
    <x v="387"/>
  </r>
  <r>
    <n v="1099970"/>
    <x v="420"/>
    <x v="5"/>
    <x v="108"/>
    <x v="474"/>
  </r>
  <r>
    <n v="1099970"/>
    <x v="420"/>
    <x v="5"/>
    <x v="404"/>
    <x v="83"/>
  </r>
  <r>
    <n v="1099970"/>
    <x v="420"/>
    <x v="5"/>
    <x v="48"/>
    <x v="706"/>
  </r>
  <r>
    <n v="1099970"/>
    <x v="420"/>
    <x v="5"/>
    <x v="98"/>
    <x v="82"/>
  </r>
  <r>
    <n v="1099970"/>
    <x v="420"/>
    <x v="5"/>
    <x v="360"/>
    <x v="4"/>
  </r>
  <r>
    <n v="1099970"/>
    <x v="420"/>
    <x v="5"/>
    <x v="111"/>
    <x v="42"/>
  </r>
  <r>
    <n v="1099970"/>
    <x v="420"/>
    <x v="5"/>
    <x v="99"/>
    <x v="455"/>
  </r>
  <r>
    <n v="1099970"/>
    <x v="420"/>
    <x v="5"/>
    <x v="403"/>
    <x v="163"/>
  </r>
  <r>
    <n v="1099970"/>
    <x v="420"/>
    <x v="5"/>
    <x v="54"/>
    <x v="198"/>
  </r>
  <r>
    <n v="1099970"/>
    <x v="420"/>
    <x v="5"/>
    <x v="380"/>
    <x v="98"/>
  </r>
  <r>
    <n v="1099970"/>
    <x v="420"/>
    <x v="5"/>
    <x v="431"/>
    <x v="164"/>
  </r>
  <r>
    <n v="1099970"/>
    <x v="420"/>
    <x v="5"/>
    <x v="104"/>
    <x v="144"/>
  </r>
  <r>
    <n v="1099970"/>
    <x v="420"/>
    <x v="5"/>
    <x v="327"/>
    <x v="224"/>
  </r>
  <r>
    <n v="1099970"/>
    <x v="420"/>
    <x v="5"/>
    <x v="270"/>
    <x v="179"/>
  </r>
  <r>
    <n v="1099970"/>
    <x v="420"/>
    <x v="5"/>
    <x v="196"/>
    <x v="748"/>
  </r>
  <r>
    <n v="1099970"/>
    <x v="420"/>
    <x v="5"/>
    <x v="282"/>
    <x v="147"/>
  </r>
  <r>
    <n v="1099970"/>
    <x v="420"/>
    <x v="5"/>
    <x v="358"/>
    <x v="82"/>
  </r>
  <r>
    <n v="1099970"/>
    <x v="420"/>
    <x v="5"/>
    <x v="271"/>
    <x v="24"/>
  </r>
  <r>
    <n v="1099970"/>
    <x v="420"/>
    <x v="5"/>
    <x v="379"/>
    <x v="23"/>
  </r>
  <r>
    <n v="1099970"/>
    <x v="420"/>
    <x v="5"/>
    <x v="437"/>
    <x v="153"/>
  </r>
  <r>
    <n v="1099970"/>
    <x v="420"/>
    <x v="5"/>
    <x v="296"/>
    <x v="61"/>
  </r>
  <r>
    <n v="1099970"/>
    <x v="420"/>
    <x v="5"/>
    <x v="292"/>
    <x v="98"/>
  </r>
  <r>
    <n v="1099970"/>
    <x v="420"/>
    <x v="5"/>
    <x v="432"/>
    <x v="149"/>
  </r>
  <r>
    <n v="1099970"/>
    <x v="420"/>
    <x v="5"/>
    <x v="106"/>
    <x v="62"/>
  </r>
  <r>
    <n v="1099970"/>
    <x v="420"/>
    <x v="5"/>
    <x v="290"/>
    <x v="746"/>
  </r>
  <r>
    <n v="1099970"/>
    <x v="420"/>
    <x v="5"/>
    <x v="436"/>
    <x v="156"/>
  </r>
  <r>
    <n v="1099970"/>
    <x v="420"/>
    <x v="5"/>
    <x v="102"/>
    <x v="741"/>
  </r>
  <r>
    <n v="1099970"/>
    <x v="420"/>
    <x v="5"/>
    <x v="322"/>
    <x v="305"/>
  </r>
  <r>
    <n v="1099970"/>
    <x v="420"/>
    <x v="5"/>
    <x v="275"/>
    <x v="745"/>
  </r>
  <r>
    <n v="1099970"/>
    <x v="420"/>
    <x v="5"/>
    <x v="49"/>
    <x v="4"/>
  </r>
  <r>
    <n v="1099970"/>
    <x v="420"/>
    <x v="5"/>
    <x v="266"/>
    <x v="85"/>
  </r>
  <r>
    <n v="1099970"/>
    <x v="420"/>
    <x v="5"/>
    <x v="406"/>
    <x v="178"/>
  </r>
  <r>
    <n v="1099970"/>
    <x v="420"/>
    <x v="5"/>
    <x v="115"/>
    <x v="170"/>
  </r>
  <r>
    <n v="1099970"/>
    <x v="420"/>
    <x v="5"/>
    <x v="370"/>
    <x v="198"/>
  </r>
  <r>
    <n v="1099970"/>
    <x v="420"/>
    <x v="5"/>
    <x v="114"/>
    <x v="351"/>
  </r>
  <r>
    <n v="1099970"/>
    <x v="420"/>
    <x v="5"/>
    <x v="118"/>
    <x v="217"/>
  </r>
  <r>
    <n v="1099970"/>
    <x v="420"/>
    <x v="5"/>
    <x v="441"/>
    <x v="353"/>
  </r>
  <r>
    <n v="1099970"/>
    <x v="420"/>
    <x v="5"/>
    <x v="289"/>
    <x v="105"/>
  </r>
  <r>
    <n v="1099970"/>
    <x v="420"/>
    <x v="5"/>
    <x v="105"/>
    <x v="221"/>
  </r>
  <r>
    <n v="1099970"/>
    <x v="420"/>
    <x v="5"/>
    <x v="393"/>
    <x v="21"/>
  </r>
  <r>
    <n v="1099970"/>
    <x v="420"/>
    <x v="5"/>
    <x v="53"/>
    <x v="457"/>
  </r>
  <r>
    <n v="1099970"/>
    <x v="420"/>
    <x v="5"/>
    <x v="397"/>
    <x v="161"/>
  </r>
  <r>
    <n v="1099970"/>
    <x v="420"/>
    <x v="5"/>
    <x v="198"/>
    <x v="149"/>
  </r>
  <r>
    <n v="1099970"/>
    <x v="420"/>
    <x v="5"/>
    <x v="96"/>
    <x v="346"/>
  </r>
  <r>
    <n v="1099970"/>
    <x v="420"/>
    <x v="5"/>
    <x v="361"/>
    <x v="161"/>
  </r>
  <r>
    <n v="1099970"/>
    <x v="420"/>
    <x v="5"/>
    <x v="367"/>
    <x v="346"/>
  </r>
  <r>
    <n v="1099970"/>
    <x v="420"/>
    <x v="5"/>
    <x v="116"/>
    <x v="34"/>
  </r>
  <r>
    <n v="1099970"/>
    <x v="420"/>
    <x v="5"/>
    <x v="329"/>
    <x v="51"/>
  </r>
  <r>
    <n v="1099970"/>
    <x v="420"/>
    <x v="5"/>
    <x v="120"/>
    <x v="181"/>
  </r>
  <r>
    <n v="1099970"/>
    <x v="420"/>
    <x v="5"/>
    <x v="323"/>
    <x v="392"/>
  </r>
  <r>
    <n v="1099970"/>
    <x v="420"/>
    <x v="5"/>
    <x v="408"/>
    <x v="351"/>
  </r>
  <r>
    <n v="1099970"/>
    <x v="420"/>
    <x v="5"/>
    <x v="51"/>
    <x v="407"/>
  </r>
  <r>
    <n v="1099970"/>
    <x v="420"/>
    <x v="5"/>
    <x v="440"/>
    <x v="80"/>
  </r>
  <r>
    <n v="1099970"/>
    <x v="420"/>
    <x v="5"/>
    <x v="416"/>
    <x v="64"/>
  </r>
  <r>
    <n v="1099970"/>
    <x v="420"/>
    <x v="5"/>
    <x v="95"/>
    <x v="363"/>
  </r>
  <r>
    <n v="1099970"/>
    <x v="420"/>
    <x v="5"/>
    <x v="308"/>
    <x v="176"/>
  </r>
  <r>
    <n v="1099970"/>
    <x v="420"/>
    <x v="5"/>
    <x v="310"/>
    <x v="151"/>
  </r>
  <r>
    <n v="1099970"/>
    <x v="420"/>
    <x v="5"/>
    <x v="280"/>
    <x v="346"/>
  </r>
  <r>
    <n v="1099970"/>
    <x v="420"/>
    <x v="5"/>
    <x v="117"/>
    <x v="347"/>
  </r>
  <r>
    <n v="1099970"/>
    <x v="420"/>
    <x v="5"/>
    <x v="428"/>
    <x v="30"/>
  </r>
  <r>
    <n v="1099970"/>
    <x v="420"/>
    <x v="5"/>
    <x v="107"/>
    <x v="156"/>
  </r>
  <r>
    <n v="1099970"/>
    <x v="420"/>
    <x v="5"/>
    <x v="326"/>
    <x v="170"/>
  </r>
  <r>
    <n v="1099970"/>
    <x v="420"/>
    <x v="5"/>
    <x v="20"/>
    <x v="170"/>
  </r>
  <r>
    <n v="1099970"/>
    <x v="420"/>
    <x v="5"/>
    <x v="22"/>
    <x v="154"/>
  </r>
  <r>
    <n v="1099970"/>
    <x v="420"/>
    <x v="5"/>
    <x v="311"/>
    <x v="78"/>
  </r>
  <r>
    <n v="1099970"/>
    <x v="420"/>
    <x v="5"/>
    <x v="97"/>
    <x v="210"/>
  </r>
  <r>
    <n v="1099970"/>
    <x v="420"/>
    <x v="5"/>
    <x v="365"/>
    <x v="535"/>
  </r>
  <r>
    <n v="1099970"/>
    <x v="420"/>
    <x v="5"/>
    <x v="44"/>
    <x v="346"/>
  </r>
  <r>
    <n v="1099970"/>
    <x v="420"/>
    <x v="5"/>
    <x v="273"/>
    <x v="144"/>
  </r>
  <r>
    <n v="1099970"/>
    <x v="420"/>
    <x v="5"/>
    <x v="375"/>
    <x v="535"/>
  </r>
  <r>
    <n v="1099970"/>
    <x v="420"/>
    <x v="5"/>
    <x v="382"/>
    <x v="38"/>
  </r>
  <r>
    <n v="1099970"/>
    <x v="420"/>
    <x v="5"/>
    <x v="297"/>
    <x v="176"/>
  </r>
  <r>
    <n v="1099970"/>
    <x v="420"/>
    <x v="5"/>
    <x v="272"/>
    <x v="659"/>
  </r>
  <r>
    <n v="1099970"/>
    <x v="420"/>
    <x v="5"/>
    <x v="274"/>
    <x v="206"/>
  </r>
  <r>
    <n v="1099970"/>
    <x v="420"/>
    <x v="5"/>
    <x v="46"/>
    <x v="61"/>
  </r>
  <r>
    <n v="1099970"/>
    <x v="420"/>
    <x v="5"/>
    <x v="281"/>
    <x v="238"/>
  </r>
  <r>
    <n v="1099970"/>
    <x v="420"/>
    <x v="5"/>
    <x v="357"/>
    <x v="42"/>
  </r>
  <r>
    <n v="1099970"/>
    <x v="420"/>
    <x v="5"/>
    <x v="443"/>
    <x v="64"/>
  </r>
  <r>
    <n v="1099970"/>
    <x v="420"/>
    <x v="5"/>
    <x v="371"/>
    <x v="351"/>
  </r>
  <r>
    <n v="1099970"/>
    <x v="420"/>
    <x v="5"/>
    <x v="307"/>
    <x v="560"/>
  </r>
  <r>
    <n v="1099970"/>
    <x v="420"/>
    <x v="5"/>
    <x v="285"/>
    <x v="346"/>
  </r>
  <r>
    <n v="1099970"/>
    <x v="420"/>
    <x v="5"/>
    <x v="121"/>
    <x v="88"/>
  </r>
  <r>
    <n v="1099970"/>
    <x v="1"/>
    <x v="1"/>
    <x v="2"/>
    <x v="2"/>
  </r>
  <r>
    <n v="1099971"/>
    <x v="421"/>
    <x v="6"/>
    <x v="73"/>
    <x v="348"/>
  </r>
  <r>
    <n v="1099971"/>
    <x v="421"/>
    <x v="6"/>
    <x v="314"/>
    <x v="535"/>
  </r>
  <r>
    <n v="1099971"/>
    <x v="421"/>
    <x v="6"/>
    <x v="171"/>
    <x v="348"/>
  </r>
  <r>
    <n v="1099971"/>
    <x v="421"/>
    <x v="6"/>
    <x v="1"/>
    <x v="284"/>
  </r>
  <r>
    <n v="1099971"/>
    <x v="421"/>
    <x v="6"/>
    <x v="30"/>
    <x v="828"/>
  </r>
  <r>
    <n v="1099971"/>
    <x v="421"/>
    <x v="6"/>
    <x v="203"/>
    <x v="617"/>
  </r>
  <r>
    <n v="1099971"/>
    <x v="421"/>
    <x v="6"/>
    <x v="201"/>
    <x v="98"/>
  </r>
  <r>
    <n v="1099971"/>
    <x v="421"/>
    <x v="6"/>
    <x v="4"/>
    <x v="3"/>
  </r>
  <r>
    <n v="1099971"/>
    <x v="421"/>
    <x v="6"/>
    <x v="317"/>
    <x v="88"/>
  </r>
  <r>
    <n v="1099971"/>
    <x v="421"/>
    <x v="6"/>
    <x v="186"/>
    <x v="178"/>
  </r>
  <r>
    <n v="1099971"/>
    <x v="421"/>
    <x v="6"/>
    <x v="184"/>
    <x v="535"/>
  </r>
  <r>
    <n v="1099971"/>
    <x v="421"/>
    <x v="6"/>
    <x v="26"/>
    <x v="348"/>
  </r>
  <r>
    <n v="1099971"/>
    <x v="421"/>
    <x v="6"/>
    <x v="81"/>
    <x v="203"/>
  </r>
  <r>
    <n v="1099971"/>
    <x v="421"/>
    <x v="6"/>
    <x v="68"/>
    <x v="179"/>
  </r>
  <r>
    <n v="1099971"/>
    <x v="421"/>
    <x v="6"/>
    <x v="57"/>
    <x v="255"/>
  </r>
  <r>
    <n v="1099971"/>
    <x v="421"/>
    <x v="6"/>
    <x v="318"/>
    <x v="176"/>
  </r>
  <r>
    <n v="1099971"/>
    <x v="421"/>
    <x v="6"/>
    <x v="179"/>
    <x v="535"/>
  </r>
  <r>
    <n v="1099971"/>
    <x v="421"/>
    <x v="6"/>
    <x v="182"/>
    <x v="516"/>
  </r>
  <r>
    <n v="1099971"/>
    <x v="421"/>
    <x v="6"/>
    <x v="24"/>
    <x v="98"/>
  </r>
  <r>
    <n v="1099971"/>
    <x v="421"/>
    <x v="6"/>
    <x v="37"/>
    <x v="145"/>
  </r>
  <r>
    <n v="1099971"/>
    <x v="421"/>
    <x v="6"/>
    <x v="65"/>
    <x v="348"/>
  </r>
  <r>
    <n v="1099971"/>
    <x v="421"/>
    <x v="6"/>
    <x v="69"/>
    <x v="829"/>
  </r>
  <r>
    <n v="1099971"/>
    <x v="421"/>
    <x v="6"/>
    <x v="193"/>
    <x v="77"/>
  </r>
  <r>
    <n v="1099971"/>
    <x v="421"/>
    <x v="6"/>
    <x v="190"/>
    <x v="88"/>
  </r>
  <r>
    <n v="1099971"/>
    <x v="421"/>
    <x v="6"/>
    <x v="40"/>
    <x v="79"/>
  </r>
  <r>
    <n v="1099971"/>
    <x v="421"/>
    <x v="6"/>
    <x v="31"/>
    <x v="80"/>
  </r>
  <r>
    <n v="1099971"/>
    <x v="421"/>
    <x v="6"/>
    <x v="66"/>
    <x v="156"/>
  </r>
  <r>
    <n v="1099971"/>
    <x v="421"/>
    <x v="6"/>
    <x v="80"/>
    <x v="830"/>
  </r>
  <r>
    <n v="1099971"/>
    <x v="421"/>
    <x v="6"/>
    <x v="221"/>
    <x v="161"/>
  </r>
  <r>
    <n v="1099971"/>
    <x v="421"/>
    <x v="6"/>
    <x v="192"/>
    <x v="178"/>
  </r>
  <r>
    <n v="1099971"/>
    <x v="421"/>
    <x v="6"/>
    <x v="189"/>
    <x v="346"/>
  </r>
  <r>
    <n v="1099971"/>
    <x v="421"/>
    <x v="6"/>
    <x v="29"/>
    <x v="85"/>
  </r>
  <r>
    <n v="1099971"/>
    <x v="421"/>
    <x v="6"/>
    <x v="418"/>
    <x v="567"/>
  </r>
  <r>
    <n v="1099971"/>
    <x v="421"/>
    <x v="6"/>
    <x v="74"/>
    <x v="24"/>
  </r>
  <r>
    <n v="1099971"/>
    <x v="421"/>
    <x v="6"/>
    <x v="419"/>
    <x v="196"/>
  </r>
  <r>
    <n v="1099971"/>
    <x v="421"/>
    <x v="6"/>
    <x v="185"/>
    <x v="516"/>
  </r>
  <r>
    <n v="1099971"/>
    <x v="421"/>
    <x v="6"/>
    <x v="188"/>
    <x v="98"/>
  </r>
  <r>
    <n v="1099971"/>
    <x v="421"/>
    <x v="6"/>
    <x v="0"/>
    <x v="831"/>
  </r>
  <r>
    <n v="1099971"/>
    <x v="421"/>
    <x v="6"/>
    <x v="42"/>
    <x v="392"/>
  </r>
  <r>
    <n v="1099971"/>
    <x v="421"/>
    <x v="6"/>
    <x v="200"/>
    <x v="61"/>
  </r>
  <r>
    <n v="1099971"/>
    <x v="421"/>
    <x v="6"/>
    <x v="56"/>
    <x v="549"/>
  </r>
  <r>
    <n v="1099971"/>
    <x v="421"/>
    <x v="6"/>
    <x v="425"/>
    <x v="77"/>
  </r>
  <r>
    <n v="1099971"/>
    <x v="421"/>
    <x v="6"/>
    <x v="195"/>
    <x v="178"/>
  </r>
  <r>
    <n v="1099971"/>
    <x v="421"/>
    <x v="6"/>
    <x v="175"/>
    <x v="535"/>
  </r>
  <r>
    <n v="1099971"/>
    <x v="421"/>
    <x v="6"/>
    <x v="166"/>
    <x v="832"/>
  </r>
  <r>
    <n v="1099971"/>
    <x v="421"/>
    <x v="6"/>
    <x v="34"/>
    <x v="392"/>
  </r>
  <r>
    <n v="1099971"/>
    <x v="421"/>
    <x v="6"/>
    <x v="78"/>
    <x v="833"/>
  </r>
  <r>
    <n v="1099971"/>
    <x v="421"/>
    <x v="6"/>
    <x v="63"/>
    <x v="198"/>
  </r>
  <r>
    <n v="1099971"/>
    <x v="421"/>
    <x v="6"/>
    <x v="387"/>
    <x v="205"/>
  </r>
  <r>
    <n v="1099971"/>
    <x v="421"/>
    <x v="6"/>
    <x v="194"/>
    <x v="535"/>
  </r>
  <r>
    <n v="1099971"/>
    <x v="421"/>
    <x v="6"/>
    <x v="173"/>
    <x v="516"/>
  </r>
  <r>
    <n v="1099971"/>
    <x v="421"/>
    <x v="6"/>
    <x v="180"/>
    <x v="98"/>
  </r>
  <r>
    <n v="1099971"/>
    <x v="421"/>
    <x v="6"/>
    <x v="187"/>
    <x v="179"/>
  </r>
  <r>
    <n v="1099971"/>
    <x v="421"/>
    <x v="6"/>
    <x v="181"/>
    <x v="79"/>
  </r>
  <r>
    <n v="1099971"/>
    <x v="421"/>
    <x v="6"/>
    <x v="183"/>
    <x v="351"/>
  </r>
  <r>
    <n v="1099971"/>
    <x v="421"/>
    <x v="6"/>
    <x v="164"/>
    <x v="39"/>
  </r>
  <r>
    <n v="1099971"/>
    <x v="421"/>
    <x v="6"/>
    <x v="33"/>
    <x v="53"/>
  </r>
  <r>
    <n v="1099971"/>
    <x v="421"/>
    <x v="6"/>
    <x v="32"/>
    <x v="202"/>
  </r>
  <r>
    <n v="1099971"/>
    <x v="421"/>
    <x v="6"/>
    <x v="36"/>
    <x v="91"/>
  </r>
  <r>
    <n v="1099971"/>
    <x v="421"/>
    <x v="6"/>
    <x v="39"/>
    <x v="392"/>
  </r>
  <r>
    <n v="1099971"/>
    <x v="421"/>
    <x v="6"/>
    <x v="388"/>
    <x v="456"/>
  </r>
  <r>
    <n v="1099971"/>
    <x v="421"/>
    <x v="6"/>
    <x v="82"/>
    <x v="88"/>
  </r>
  <r>
    <n v="1099971"/>
    <x v="421"/>
    <x v="6"/>
    <x v="83"/>
    <x v="170"/>
  </r>
  <r>
    <n v="1099971"/>
    <x v="421"/>
    <x v="6"/>
    <x v="71"/>
    <x v="197"/>
  </r>
  <r>
    <n v="1099971"/>
    <x v="421"/>
    <x v="6"/>
    <x v="62"/>
    <x v="83"/>
  </r>
  <r>
    <n v="1099971"/>
    <x v="421"/>
    <x v="6"/>
    <x v="58"/>
    <x v="347"/>
  </r>
  <r>
    <n v="1099971"/>
    <x v="421"/>
    <x v="6"/>
    <x v="3"/>
    <x v="149"/>
  </r>
  <r>
    <n v="1099971"/>
    <x v="421"/>
    <x v="6"/>
    <x v="420"/>
    <x v="26"/>
  </r>
  <r>
    <n v="1099971"/>
    <x v="421"/>
    <x v="6"/>
    <x v="61"/>
    <x v="834"/>
  </r>
  <r>
    <n v="1099971"/>
    <x v="421"/>
    <x v="6"/>
    <x v="191"/>
    <x v="346"/>
  </r>
  <r>
    <n v="1099971"/>
    <x v="421"/>
    <x v="6"/>
    <x v="28"/>
    <x v="569"/>
  </r>
  <r>
    <n v="1099971"/>
    <x v="421"/>
    <x v="6"/>
    <x v="25"/>
    <x v="219"/>
  </r>
  <r>
    <n v="1099971"/>
    <x v="421"/>
    <x v="6"/>
    <x v="59"/>
    <x v="202"/>
  </r>
  <r>
    <n v="1099971"/>
    <x v="421"/>
    <x v="6"/>
    <x v="79"/>
    <x v="135"/>
  </r>
  <r>
    <n v="1099971"/>
    <x v="421"/>
    <x v="6"/>
    <x v="424"/>
    <x v="77"/>
  </r>
  <r>
    <n v="1099971"/>
    <x v="421"/>
    <x v="6"/>
    <x v="168"/>
    <x v="178"/>
  </r>
  <r>
    <n v="1099971"/>
    <x v="421"/>
    <x v="6"/>
    <x v="176"/>
    <x v="82"/>
  </r>
  <r>
    <n v="1099971"/>
    <x v="421"/>
    <x v="6"/>
    <x v="38"/>
    <x v="4"/>
  </r>
  <r>
    <n v="1099971"/>
    <x v="421"/>
    <x v="6"/>
    <x v="41"/>
    <x v="759"/>
  </r>
  <r>
    <n v="1099971"/>
    <x v="421"/>
    <x v="6"/>
    <x v="202"/>
    <x v="574"/>
  </r>
  <r>
    <n v="1099971"/>
    <x v="421"/>
    <x v="6"/>
    <x v="199"/>
    <x v="377"/>
  </r>
  <r>
    <n v="1099971"/>
    <x v="421"/>
    <x v="6"/>
    <x v="220"/>
    <x v="198"/>
  </r>
  <r>
    <n v="1099971"/>
    <x v="421"/>
    <x v="6"/>
    <x v="174"/>
    <x v="98"/>
  </r>
  <r>
    <n v="1099971"/>
    <x v="421"/>
    <x v="6"/>
    <x v="177"/>
    <x v="154"/>
  </r>
  <r>
    <n v="1099971"/>
    <x v="421"/>
    <x v="6"/>
    <x v="35"/>
    <x v="346"/>
  </r>
  <r>
    <n v="1099971"/>
    <x v="421"/>
    <x v="6"/>
    <x v="390"/>
    <x v="233"/>
  </r>
  <r>
    <n v="1099971"/>
    <x v="421"/>
    <x v="6"/>
    <x v="75"/>
    <x v="164"/>
  </r>
  <r>
    <n v="1099971"/>
    <x v="421"/>
    <x v="6"/>
    <x v="55"/>
    <x v="198"/>
  </r>
  <r>
    <n v="1099971"/>
    <x v="421"/>
    <x v="6"/>
    <x v="178"/>
    <x v="535"/>
  </r>
  <r>
    <n v="1099971"/>
    <x v="421"/>
    <x v="6"/>
    <x v="170"/>
    <x v="346"/>
  </r>
  <r>
    <n v="1099971"/>
    <x v="421"/>
    <x v="6"/>
    <x v="165"/>
    <x v="374"/>
  </r>
  <r>
    <n v="1099971"/>
    <x v="421"/>
    <x v="6"/>
    <x v="27"/>
    <x v="182"/>
  </r>
  <r>
    <n v="1099971"/>
    <x v="421"/>
    <x v="6"/>
    <x v="77"/>
    <x v="835"/>
  </r>
  <r>
    <n v="1099971"/>
    <x v="421"/>
    <x v="6"/>
    <x v="70"/>
    <x v="161"/>
  </r>
  <r>
    <n v="1099971"/>
    <x v="421"/>
    <x v="6"/>
    <x v="389"/>
    <x v="199"/>
  </r>
  <r>
    <n v="1099971"/>
    <x v="421"/>
    <x v="6"/>
    <x v="169"/>
    <x v="348"/>
  </r>
  <r>
    <n v="1099971"/>
    <x v="421"/>
    <x v="6"/>
    <x v="172"/>
    <x v="42"/>
  </r>
  <r>
    <n v="1099971"/>
    <x v="421"/>
    <x v="6"/>
    <x v="43"/>
    <x v="348"/>
  </r>
  <r>
    <n v="1099971"/>
    <x v="421"/>
    <x v="6"/>
    <x v="64"/>
    <x v="836"/>
  </r>
  <r>
    <n v="1099971"/>
    <x v="421"/>
    <x v="6"/>
    <x v="60"/>
    <x v="34"/>
  </r>
  <r>
    <n v="1099971"/>
    <x v="1"/>
    <x v="1"/>
    <x v="2"/>
    <x v="2"/>
  </r>
  <r>
    <n v="1099972"/>
    <x v="422"/>
    <x v="6"/>
    <x v="436"/>
    <x v="587"/>
  </r>
  <r>
    <n v="1099972"/>
    <x v="422"/>
    <x v="6"/>
    <x v="437"/>
    <x v="584"/>
  </r>
  <r>
    <n v="1099972"/>
    <x v="422"/>
    <x v="6"/>
    <x v="431"/>
    <x v="588"/>
  </r>
  <r>
    <n v="1099972"/>
    <x v="422"/>
    <x v="6"/>
    <x v="432"/>
    <x v="448"/>
  </r>
  <r>
    <n v="1099972"/>
    <x v="422"/>
    <x v="6"/>
    <x v="428"/>
    <x v="589"/>
  </r>
  <r>
    <n v="1099972"/>
    <x v="422"/>
    <x v="6"/>
    <x v="433"/>
    <x v="368"/>
  </r>
  <r>
    <n v="1099972"/>
    <x v="422"/>
    <x v="6"/>
    <x v="429"/>
    <x v="585"/>
  </r>
  <r>
    <n v="1099972"/>
    <x v="422"/>
    <x v="6"/>
    <x v="434"/>
    <x v="586"/>
  </r>
  <r>
    <n v="1099972"/>
    <x v="422"/>
    <x v="6"/>
    <x v="435"/>
    <x v="441"/>
  </r>
  <r>
    <n v="1099972"/>
    <x v="422"/>
    <x v="6"/>
    <x v="430"/>
    <x v="590"/>
  </r>
  <r>
    <n v="1099972"/>
    <x v="1"/>
    <x v="1"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16" firstHeaderRow="1" firstDataRow="2" firstDataCol="1"/>
  <pivotFields count="5">
    <pivotField showAll="0"/>
    <pivotField axis="axisRow" showAll="0">
      <items count="424">
        <item x="72"/>
        <item x="418"/>
        <item x="276"/>
        <item x="256"/>
        <item x="80"/>
        <item x="109"/>
        <item x="254"/>
        <item x="8"/>
        <item x="166"/>
        <item x="366"/>
        <item x="410"/>
        <item x="271"/>
        <item x="373"/>
        <item x="388"/>
        <item x="345"/>
        <item x="38"/>
        <item x="171"/>
        <item x="210"/>
        <item x="204"/>
        <item x="203"/>
        <item x="222"/>
        <item x="386"/>
        <item x="39"/>
        <item x="264"/>
        <item x="277"/>
        <item x="346"/>
        <item x="352"/>
        <item x="34"/>
        <item x="86"/>
        <item x="37"/>
        <item x="321"/>
        <item x="70"/>
        <item x="40"/>
        <item x="209"/>
        <item x="43"/>
        <item x="220"/>
        <item x="90"/>
        <item x="351"/>
        <item x="195"/>
        <item x="41"/>
        <item x="132"/>
        <item x="42"/>
        <item x="133"/>
        <item x="192"/>
        <item x="162"/>
        <item x="84"/>
        <item x="0"/>
        <item x="294"/>
        <item x="111"/>
        <item x="245"/>
        <item x="193"/>
        <item x="174"/>
        <item x="349"/>
        <item x="115"/>
        <item x="316"/>
        <item x="74"/>
        <item x="205"/>
        <item x="265"/>
        <item x="286"/>
        <item x="98"/>
        <item x="49"/>
        <item x="16"/>
        <item x="327"/>
        <item x="339"/>
        <item x="48"/>
        <item x="275"/>
        <item x="199"/>
        <item x="50"/>
        <item x="7"/>
        <item x="260"/>
        <item x="51"/>
        <item x="6"/>
        <item x="153"/>
        <item x="31"/>
        <item x="52"/>
        <item x="151"/>
        <item x="263"/>
        <item x="287"/>
        <item x="212"/>
        <item x="155"/>
        <item x="200"/>
        <item x="53"/>
        <item x="244"/>
        <item x="246"/>
        <item x="20"/>
        <item x="149"/>
        <item x="136"/>
        <item x="318"/>
        <item x="372"/>
        <item x="180"/>
        <item x="24"/>
        <item x="121"/>
        <item x="87"/>
        <item x="297"/>
        <item x="344"/>
        <item x="32"/>
        <item x="150"/>
        <item x="399"/>
        <item x="44"/>
        <item x="18"/>
        <item x="156"/>
        <item x="179"/>
        <item h="1" x="282"/>
        <item x="355"/>
        <item x="281"/>
        <item x="280"/>
        <item x="405"/>
        <item x="283"/>
        <item x="138"/>
        <item x="273"/>
        <item x="47"/>
        <item x="336"/>
        <item x="129"/>
        <item x="259"/>
        <item x="404"/>
        <item x="4"/>
        <item x="23"/>
        <item x="164"/>
        <item x="54"/>
        <item x="178"/>
        <item x="13"/>
        <item h="1" x="341"/>
        <item x="236"/>
        <item x="303"/>
        <item x="110"/>
        <item x="279"/>
        <item x="112"/>
        <item x="409"/>
        <item x="231"/>
        <item x="68"/>
        <item x="12"/>
        <item x="85"/>
        <item x="364"/>
        <item x="154"/>
        <item x="196"/>
        <item x="402"/>
        <item x="243"/>
        <item x="408"/>
        <item x="332"/>
        <item x="101"/>
        <item x="414"/>
        <item x="284"/>
        <item x="160"/>
        <item x="113"/>
        <item h="1" x="379"/>
        <item x="317"/>
        <item x="28"/>
        <item x="17"/>
        <item x="227"/>
        <item x="411"/>
        <item x="175"/>
        <item x="213"/>
        <item x="422"/>
        <item x="106"/>
        <item x="326"/>
        <item x="240"/>
        <item x="311"/>
        <item x="46"/>
        <item x="15"/>
        <item x="242"/>
        <item x="393"/>
        <item x="55"/>
        <item x="125"/>
        <item x="71"/>
        <item x="304"/>
        <item x="343"/>
        <item x="33"/>
        <item x="253"/>
        <item x="232"/>
        <item x="77"/>
        <item x="369"/>
        <item x="225"/>
        <item x="250"/>
        <item x="413"/>
        <item x="56"/>
        <item x="88"/>
        <item x="340"/>
        <item x="233"/>
        <item x="417"/>
        <item x="143"/>
        <item x="290"/>
        <item x="229"/>
        <item x="255"/>
        <item x="266"/>
        <item x="100"/>
        <item x="57"/>
        <item x="368"/>
        <item x="119"/>
        <item x="419"/>
        <item x="274"/>
        <item x="356"/>
        <item x="320"/>
        <item x="117"/>
        <item x="141"/>
        <item x="310"/>
        <item x="315"/>
        <item h="1" x="378"/>
        <item x="360"/>
        <item x="134"/>
        <item x="22"/>
        <item x="58"/>
        <item x="354"/>
        <item x="400"/>
        <item x="14"/>
        <item x="319"/>
        <item x="184"/>
        <item x="338"/>
        <item x="308"/>
        <item x="76"/>
        <item x="94"/>
        <item x="170"/>
        <item x="382"/>
        <item h="1" x="420"/>
        <item x="285"/>
        <item x="383"/>
        <item x="188"/>
        <item x="293"/>
        <item x="248"/>
        <item x="172"/>
        <item x="36"/>
        <item x="95"/>
        <item x="374"/>
        <item x="262"/>
        <item x="329"/>
        <item x="288"/>
        <item x="313"/>
        <item x="306"/>
        <item x="322"/>
        <item x="389"/>
        <item x="221"/>
        <item x="267"/>
        <item x="97"/>
        <item x="59"/>
        <item x="139"/>
        <item x="381"/>
        <item x="398"/>
        <item x="183"/>
        <item x="247"/>
        <item x="60"/>
        <item x="144"/>
        <item x="376"/>
        <item x="325"/>
        <item x="337"/>
        <item x="91"/>
        <item x="147"/>
        <item x="169"/>
        <item x="314"/>
        <item x="249"/>
        <item x="104"/>
        <item x="93"/>
        <item x="331"/>
        <item x="124"/>
        <item x="191"/>
        <item x="9"/>
        <item x="130"/>
        <item x="394"/>
        <item h="1" x="334"/>
        <item x="218"/>
        <item x="135"/>
        <item x="421"/>
        <item x="163"/>
        <item x="377"/>
        <item x="312"/>
        <item x="257"/>
        <item x="185"/>
        <item x="89"/>
        <item x="269"/>
        <item x="186"/>
        <item x="333"/>
        <item x="365"/>
        <item x="78"/>
        <item x="62"/>
        <item x="168"/>
        <item x="161"/>
        <item x="105"/>
        <item x="190"/>
        <item x="99"/>
        <item x="10"/>
        <item x="385"/>
        <item x="228"/>
        <item x="11"/>
        <item x="211"/>
        <item x="367"/>
        <item x="384"/>
        <item x="215"/>
        <item x="375"/>
        <item x="63"/>
        <item x="335"/>
        <item x="197"/>
        <item x="258"/>
        <item x="131"/>
        <item x="137"/>
        <item x="140"/>
        <item x="127"/>
        <item x="128"/>
        <item x="234"/>
        <item x="208"/>
        <item x="396"/>
        <item x="75"/>
        <item x="158"/>
        <item x="207"/>
        <item x="390"/>
        <item x="148"/>
        <item x="120"/>
        <item x="261"/>
        <item x="330"/>
        <item x="142"/>
        <item x="230"/>
        <item x="406"/>
        <item x="380"/>
        <item x="107"/>
        <item x="165"/>
        <item x="241"/>
        <item x="152"/>
        <item x="296"/>
        <item x="347"/>
        <item x="361"/>
        <item x="328"/>
        <item x="226"/>
        <item x="387"/>
        <item x="123"/>
        <item x="251"/>
        <item x="102"/>
        <item x="189"/>
        <item x="305"/>
        <item x="353"/>
        <item x="35"/>
        <item x="416"/>
        <item x="391"/>
        <item x="300"/>
        <item x="83"/>
        <item x="159"/>
        <item x="108"/>
        <item x="289"/>
        <item x="403"/>
        <item x="217"/>
        <item x="81"/>
        <item x="96"/>
        <item x="291"/>
        <item x="64"/>
        <item x="370"/>
        <item x="103"/>
        <item x="30"/>
        <item x="252"/>
        <item x="206"/>
        <item x="194"/>
        <item x="401"/>
        <item x="116"/>
        <item x="114"/>
        <item x="307"/>
        <item x="122"/>
        <item x="5"/>
        <item x="362"/>
        <item x="323"/>
        <item x="363"/>
        <item x="302"/>
        <item x="45"/>
        <item x="146"/>
        <item x="19"/>
        <item x="371"/>
        <item x="298"/>
        <item x="301"/>
        <item x="415"/>
        <item x="181"/>
        <item x="357"/>
        <item x="238"/>
        <item x="359"/>
        <item x="342"/>
        <item x="25"/>
        <item x="237"/>
        <item x="219"/>
        <item x="3"/>
        <item x="239"/>
        <item x="176"/>
        <item x="309"/>
        <item x="272"/>
        <item x="73"/>
        <item x="407"/>
        <item x="299"/>
        <item x="216"/>
        <item x="157"/>
        <item x="126"/>
        <item x="69"/>
        <item x="224"/>
        <item x="92"/>
        <item x="79"/>
        <item x="27"/>
        <item x="278"/>
        <item h="1" x="198"/>
        <item x="324"/>
        <item x="21"/>
        <item x="235"/>
        <item x="270"/>
        <item x="412"/>
        <item x="182"/>
        <item x="295"/>
        <item x="202"/>
        <item x="268"/>
        <item x="187"/>
        <item x="145"/>
        <item x="118"/>
        <item x="392"/>
        <item x="358"/>
        <item x="65"/>
        <item x="2"/>
        <item x="350"/>
        <item x="61"/>
        <item x="167"/>
        <item x="82"/>
        <item x="201"/>
        <item x="395"/>
        <item x="397"/>
        <item x="66"/>
        <item x="67"/>
        <item x="292"/>
        <item x="177"/>
        <item x="214"/>
        <item x="173"/>
        <item h="1" x="348"/>
        <item x="26"/>
        <item x="223"/>
        <item x="29"/>
        <item x="1"/>
        <item t="default"/>
      </items>
    </pivotField>
    <pivotField showAll="0">
      <items count="16">
        <item x="6"/>
        <item x="12"/>
        <item x="5"/>
        <item x="2"/>
        <item x="7"/>
        <item x="11"/>
        <item x="9"/>
        <item x="4"/>
        <item x="14"/>
        <item x="0"/>
        <item x="8"/>
        <item x="3"/>
        <item x="10"/>
        <item x="13"/>
        <item x="1"/>
        <item t="default"/>
      </items>
    </pivotField>
    <pivotField axis="axisCol" multipleItemSelectionAllowed="1" showAll="0">
      <items count="462">
        <item h="1" x="167"/>
        <item h="1" x="452"/>
        <item h="1" x="277"/>
        <item h="1" x="427"/>
        <item h="1" x="353"/>
        <item h="1" x="276"/>
        <item h="1" x="450"/>
        <item h="1" x="396"/>
        <item h="1" x="454"/>
        <item h="1" x="300"/>
        <item h="1" x="299"/>
        <item h="1" x="455"/>
        <item h="1" x="290"/>
        <item h="1" x="104"/>
        <item h="1" x="103"/>
        <item h="1" x="435"/>
        <item h="1" x="101"/>
        <item h="1" x="107"/>
        <item h="1" x="433"/>
        <item h="1" x="105"/>
        <item h="1" x="106"/>
        <item h="1" x="293"/>
        <item h="1" x="294"/>
        <item h="1" x="432"/>
        <item h="1" x="102"/>
        <item h="1" x="288"/>
        <item h="1" x="297"/>
        <item h="1" x="292"/>
        <item h="1" x="431"/>
        <item h="1" x="291"/>
        <item h="1" x="430"/>
        <item h="1" x="429"/>
        <item h="1" x="428"/>
        <item h="1" x="434"/>
        <item h="1" x="289"/>
        <item h="1" x="296"/>
        <item h="1" x="295"/>
        <item h="1" x="287"/>
        <item h="1" x="437"/>
        <item h="1" x="436"/>
        <item h="1" x="298"/>
        <item h="1" x="382"/>
        <item h="1" x="379"/>
        <item h="1" x="380"/>
        <item h="1" x="378"/>
        <item h="1" x="381"/>
        <item h="1" x="407"/>
        <item h="1" x="412"/>
        <item h="1" x="117"/>
        <item h="1" x="121"/>
        <item h="1" x="441"/>
        <item h="1" x="279"/>
        <item h="1" x="377"/>
        <item h="1" x="269"/>
        <item h="1" x="119"/>
        <item h="1" x="120"/>
        <item h="1" x="376"/>
        <item h="1" x="375"/>
        <item h="1" x="304"/>
        <item h="1" x="54"/>
        <item h="1" x="100"/>
        <item h="1" x="85"/>
        <item h="1" x="286"/>
        <item h="1" x="280"/>
        <item h="1" x="285"/>
        <item h="1" x="118"/>
        <item h="1" x="122"/>
        <item h="1" x="411"/>
        <item h="1" x="417"/>
        <item h="1" x="445"/>
        <item h="1" x="329"/>
        <item h="1" x="328"/>
        <item h="1" x="273"/>
        <item h="1" x="399"/>
        <item h="1" x="403"/>
        <item h="1" x="410"/>
        <item h="1" x="309"/>
        <item h="1" x="312"/>
        <item h="1" x="310"/>
        <item h="1" x="307"/>
        <item h="1" x="114"/>
        <item h="1" x="306"/>
        <item h="1" x="112"/>
        <item h="1" x="113"/>
        <item h="1" x="110"/>
        <item h="1" x="116"/>
        <item h="1" x="45"/>
        <item h="1" x="44"/>
        <item h="1" x="374"/>
        <item h="1" x="99"/>
        <item h="1" x="92"/>
        <item h="1" x="373"/>
        <item h="1" x="372"/>
        <item h="1" x="308"/>
        <item h="1" x="371"/>
        <item h="1" x="370"/>
        <item h="1" x="369"/>
        <item h="1" x="444"/>
        <item h="1" x="91"/>
        <item h="1" x="368"/>
        <item h="1" x="367"/>
        <item h="1" x="366"/>
        <item h="1" x="365"/>
        <item h="1" x="442"/>
        <item h="1" x="111"/>
        <item h="1" x="284"/>
        <item h="1" x="271"/>
        <item h="1" x="268"/>
        <item h="1" x="95"/>
        <item h="1" x="443"/>
        <item h="1" x="115"/>
        <item h="1" x="364"/>
        <item h="1" x="90"/>
        <item h="1" x="363"/>
        <item h="1" x="362"/>
        <item h="1" x="361"/>
        <item h="1" x="448"/>
        <item h="1" x="89"/>
        <item h="1" x="97"/>
        <item h="1" x="88"/>
        <item h="1" x="360"/>
        <item h="1" x="359"/>
        <item h="1" x="358"/>
        <item h="1" x="52"/>
        <item h="1" x="416"/>
        <item h="1" x="357"/>
        <item h="1" x="406"/>
        <item h="1" x="94"/>
        <item h="1" x="356"/>
        <item h="1" x="278"/>
        <item h="1" x="398"/>
        <item h="1" x="96"/>
        <item h="1" x="19"/>
        <item h="1" x="311"/>
        <item h="1" x="409"/>
        <item h="1" x="98"/>
        <item h="1" x="283"/>
        <item h="1" x="282"/>
        <item h="1" x="415"/>
        <item h="1" x="440"/>
        <item h="1" x="281"/>
        <item h="1" x="266"/>
        <item h="1" x="355"/>
        <item h="1" x="354"/>
        <item h="1" x="50"/>
        <item h="1" x="267"/>
        <item h="1" x="198"/>
        <item h="1" x="23"/>
        <item h="1" x="22"/>
        <item h="1" x="47"/>
        <item h="1" x="48"/>
        <item h="1" x="86"/>
        <item h="1" x="196"/>
        <item h="1" x="197"/>
        <item h="1" x="51"/>
        <item h="1" x="46"/>
        <item h="1" x="453"/>
        <item h="1" x="49"/>
        <item h="1" x="402"/>
        <item h="1" x="18"/>
        <item h="1" x="414"/>
        <item h="1" x="405"/>
        <item h="1" x="397"/>
        <item h="1" x="401"/>
        <item h="1" x="20"/>
        <item h="1" x="413"/>
        <item h="1" x="404"/>
        <item h="1" x="21"/>
        <item h="1" x="270"/>
        <item h="1" x="400"/>
        <item h="1" x="408"/>
        <item h="1" x="274"/>
        <item h="1" x="275"/>
        <item h="1" x="305"/>
        <item h="1" x="303"/>
        <item h="1" x="93"/>
        <item h="1" x="87"/>
        <item h="1" x="53"/>
        <item h="1" x="4"/>
        <item h="1" x="425"/>
        <item h="1" x="424"/>
        <item h="1" x="61"/>
        <item h="1" x="387"/>
        <item h="1" x="389"/>
        <item h="1" x="420"/>
        <item h="1" x="419"/>
        <item h="1" x="3"/>
        <item h="1" x="55"/>
        <item h="1" x="73"/>
        <item h="1" x="57"/>
        <item h="1" x="80"/>
        <item h="1" x="67"/>
        <item h="1" x="69"/>
        <item h="1" x="199"/>
        <item h="1" x="201"/>
        <item h="1" x="56"/>
        <item h="1" x="79"/>
        <item h="1" x="58"/>
        <item h="1" x="63"/>
        <item h="1" x="70"/>
        <item h="1" x="62"/>
        <item h="1" x="74"/>
        <item h="1" x="71"/>
        <item h="1" x="75"/>
        <item h="1" x="60"/>
        <item h="1" x="68"/>
        <item h="1" x="66"/>
        <item h="1" x="65"/>
        <item h="1" x="202"/>
        <item h="1" x="203"/>
        <item h="1" x="200"/>
        <item h="1" x="59"/>
        <item h="1" x="83"/>
        <item h="1" x="439"/>
        <item h="1" x="438"/>
        <item h="1" x="84"/>
        <item h="1" x="76"/>
        <item h="1" x="72"/>
        <item h="1" x="78"/>
        <item h="1" x="77"/>
        <item h="1" x="82"/>
        <item h="1" x="423"/>
        <item h="1" x="418"/>
        <item h="1" x="388"/>
        <item h="1" x="390"/>
        <item h="1" x="64"/>
        <item h="1" x="81"/>
        <item h="1" x="321"/>
        <item h="1" x="326"/>
        <item h="1" x="325"/>
        <item h="1" x="108"/>
        <item h="1" x="109"/>
        <item h="1" x="327"/>
        <item h="1" x="320"/>
        <item h="1" x="323"/>
        <item h="1" x="272"/>
        <item h="1" x="322"/>
        <item h="1" x="319"/>
        <item h="1" x="324"/>
        <item h="1" x="17"/>
        <item h="1" x="16"/>
        <item x="393"/>
        <item x="391"/>
        <item x="392"/>
        <item h="1" x="449"/>
        <item h="1" x="31"/>
        <item h="1" x="37"/>
        <item h="1" x="41"/>
        <item h="1" x="30"/>
        <item h="1" x="42"/>
        <item h="1" x="25"/>
        <item h="1" x="39"/>
        <item h="1" x="34"/>
        <item h="1" x="27"/>
        <item h="1" x="36"/>
        <item h="1" x="29"/>
        <item h="1" x="32"/>
        <item h="1" x="35"/>
        <item h="1" x="43"/>
        <item h="1" x="26"/>
        <item h="1" x="40"/>
        <item h="1" x="24"/>
        <item h="1" x="38"/>
        <item h="1" x="447"/>
        <item h="1" x="1"/>
        <item h="1" x="0"/>
        <item h="1" x="28"/>
        <item h="1" x="33"/>
        <item h="1" x="166"/>
        <item h="1" x="165"/>
        <item h="1" x="164"/>
        <item h="1" x="189"/>
        <item h="1" x="183"/>
        <item h="1" x="177"/>
        <item h="1" x="456"/>
        <item h="1" x="172"/>
        <item h="1" x="184"/>
        <item h="1" x="190"/>
        <item h="1" x="182"/>
        <item h="1" x="176"/>
        <item h="1" x="171"/>
        <item h="1" x="188"/>
        <item h="1" x="191"/>
        <item h="1" x="181"/>
        <item h="1" x="175"/>
        <item h="1" x="170"/>
        <item h="1" x="187"/>
        <item h="1" x="192"/>
        <item h="1" x="180"/>
        <item h="1" x="174"/>
        <item h="1" x="459"/>
        <item h="1" x="169"/>
        <item h="1" x="186"/>
        <item h="1" x="193"/>
        <item h="1" x="179"/>
        <item h="1" x="168"/>
        <item h="1" x="185"/>
        <item h="1" x="173"/>
        <item h="1" x="195"/>
        <item h="1" x="178"/>
        <item h="1" x="458"/>
        <item h="1" x="457"/>
        <item h="1" x="194"/>
        <item h="1" x="221"/>
        <item h="1" x="220"/>
        <item h="1" x="317"/>
        <item h="1" x="318"/>
        <item h="1" x="314"/>
        <item h="1" x="315"/>
        <item h="1" x="219"/>
        <item h="1" x="218"/>
        <item h="1" x="217"/>
        <item h="1" x="248"/>
        <item h="1" x="247"/>
        <item h="1" x="246"/>
        <item h="1" x="341"/>
        <item h="1" x="245"/>
        <item h="1" x="244"/>
        <item h="1" x="243"/>
        <item h="1" x="242"/>
        <item h="1" x="313"/>
        <item h="1" x="241"/>
        <item h="1" x="240"/>
        <item h="1" x="239"/>
        <item h="1" x="156"/>
        <item h="1" x="155"/>
        <item h="1" x="238"/>
        <item h="1" x="237"/>
        <item h="1" x="236"/>
        <item h="1" x="235"/>
        <item h="1" x="234"/>
        <item h="1" x="233"/>
        <item h="1" x="232"/>
        <item h="1" x="231"/>
        <item h="1" x="230"/>
        <item h="1" x="229"/>
        <item h="1" x="252"/>
        <item h="1" x="228"/>
        <item h="1" x="227"/>
        <item h="1" x="226"/>
        <item h="1" x="426"/>
        <item h="1" x="251"/>
        <item h="1" x="225"/>
        <item h="1" x="224"/>
        <item h="1" x="223"/>
        <item h="1" x="222"/>
        <item h="1" x="340"/>
        <item h="1" x="140"/>
        <item h="1" x="139"/>
        <item h="1" x="130"/>
        <item h="1" x="216"/>
        <item h="1" x="215"/>
        <item h="1" x="214"/>
        <item h="1" x="213"/>
        <item h="1" x="212"/>
        <item h="1" x="211"/>
        <item h="1" x="210"/>
        <item h="1" x="209"/>
        <item h="1" x="250"/>
        <item h="1" x="208"/>
        <item h="1" x="207"/>
        <item h="1" x="206"/>
        <item h="1" x="205"/>
        <item h="1" x="204"/>
        <item h="1" x="265"/>
        <item h="1" x="316"/>
        <item h="1" x="264"/>
        <item h="1" x="263"/>
        <item h="1" x="262"/>
        <item h="1" x="249"/>
        <item h="1" x="261"/>
        <item h="1" x="260"/>
        <item h="1" x="259"/>
        <item h="1" x="258"/>
        <item h="1" x="257"/>
        <item h="1" x="256"/>
        <item h="1" x="255"/>
        <item h="1" x="153"/>
        <item h="1" x="152"/>
        <item h="1" x="151"/>
        <item h="1" x="150"/>
        <item h="1" x="149"/>
        <item h="1" x="148"/>
        <item h="1" x="147"/>
        <item h="1" x="146"/>
        <item h="1" x="145"/>
        <item h="1" x="144"/>
        <item h="1" x="143"/>
        <item h="1" x="142"/>
        <item h="1" x="141"/>
        <item h="1" x="138"/>
        <item h="1" x="137"/>
        <item h="1" x="136"/>
        <item h="1" x="135"/>
        <item h="1" x="134"/>
        <item h="1" x="133"/>
        <item h="1" x="132"/>
        <item h="1" x="131"/>
        <item h="1" x="129"/>
        <item h="1" x="128"/>
        <item h="1" x="127"/>
        <item h="1" x="126"/>
        <item h="1" x="125"/>
        <item h="1" x="124"/>
        <item h="1" x="163"/>
        <item h="1" x="154"/>
        <item h="1" x="162"/>
        <item h="1" x="161"/>
        <item h="1" x="160"/>
        <item h="1" x="159"/>
        <item h="1" x="339"/>
        <item h="1" x="338"/>
        <item h="1" x="337"/>
        <item h="1" x="336"/>
        <item h="1" x="335"/>
        <item h="1" x="352"/>
        <item h="1" x="351"/>
        <item h="1" x="350"/>
        <item h="1" x="334"/>
        <item h="1" x="333"/>
        <item h="1" x="332"/>
        <item h="1" x="331"/>
        <item h="1" x="349"/>
        <item h="1" x="348"/>
        <item h="1" x="347"/>
        <item h="1" x="346"/>
        <item h="1" x="345"/>
        <item h="1" x="254"/>
        <item h="1" x="253"/>
        <item h="1" x="13"/>
        <item h="1" x="6"/>
        <item h="1" x="7"/>
        <item h="1" x="8"/>
        <item h="1" x="10"/>
        <item h="1" x="344"/>
        <item h="1" x="11"/>
        <item h="1" x="12"/>
        <item h="1" x="15"/>
        <item h="1" x="14"/>
        <item h="1" x="343"/>
        <item h="1" x="342"/>
        <item h="1" x="9"/>
        <item h="1" x="5"/>
        <item h="1" x="158"/>
        <item h="1" x="157"/>
        <item h="1" x="330"/>
        <item h="1" x="395"/>
        <item h="1" x="421"/>
        <item h="1" x="422"/>
        <item h="1" x="460"/>
        <item h="1" x="394"/>
        <item h="1" x="384"/>
        <item h="1" x="385"/>
        <item h="1" x="386"/>
        <item h="1" x="383"/>
        <item h="1" x="451"/>
        <item h="1" x="123"/>
        <item h="1" x="302"/>
        <item h="1" x="301"/>
        <item h="1" x="446"/>
        <item h="1" x="2"/>
        <item t="default"/>
      </items>
    </pivotField>
    <pivotField dataField="1" showAll="0">
      <items count="838">
        <item x="3"/>
        <item x="516"/>
        <item x="535"/>
        <item x="351"/>
        <item x="178"/>
        <item x="348"/>
        <item x="346"/>
        <item x="198"/>
        <item x="170"/>
        <item x="83"/>
        <item x="88"/>
        <item x="161"/>
        <item x="154"/>
        <item x="4"/>
        <item x="77"/>
        <item x="82"/>
        <item x="176"/>
        <item x="98"/>
        <item x="79"/>
        <item x="24"/>
        <item x="144"/>
        <item x="42"/>
        <item x="97"/>
        <item x="78"/>
        <item x="34"/>
        <item x="347"/>
        <item x="64"/>
        <item x="164"/>
        <item x="179"/>
        <item x="156"/>
        <item x="153"/>
        <item x="163"/>
        <item x="149"/>
        <item x="162"/>
        <item x="151"/>
        <item x="62"/>
        <item x="221"/>
        <item x="197"/>
        <item x="117"/>
        <item x="54"/>
        <item x="146"/>
        <item x="91"/>
        <item x="217"/>
        <item x="105"/>
        <item x="182"/>
        <item x="185"/>
        <item x="168"/>
        <item x="61"/>
        <item x="148"/>
        <item x="220"/>
        <item x="37"/>
        <item x="92"/>
        <item x="457"/>
        <item x="147"/>
        <item x="145"/>
        <item x="80"/>
        <item x="362"/>
        <item x="344"/>
        <item x="69"/>
        <item x="202"/>
        <item x="84"/>
        <item x="89"/>
        <item x="85"/>
        <item x="353"/>
        <item x="363"/>
        <item x="51"/>
        <item x="543"/>
        <item x="204"/>
        <item x="349"/>
        <item x="224"/>
        <item x="21"/>
        <item x="39"/>
        <item x="219"/>
        <item x="392"/>
        <item x="114"/>
        <item x="119"/>
        <item x="537"/>
        <item x="387"/>
        <item x="90"/>
        <item x="238"/>
        <item x="615"/>
        <item x="229"/>
        <item x="552"/>
        <item x="233"/>
        <item x="456"/>
        <item x="201"/>
        <item x="706"/>
        <item x="200"/>
        <item x="214"/>
        <item x="173"/>
        <item x="455"/>
        <item x="226"/>
        <item x="364"/>
        <item x="230"/>
        <item x="225"/>
        <item x="352"/>
        <item x="135"/>
        <item x="549"/>
        <item x="231"/>
        <item x="232"/>
        <item x="196"/>
        <item x="258"/>
        <item x="152"/>
        <item x="72"/>
        <item x="211"/>
        <item x="547"/>
        <item x="474"/>
        <item x="407"/>
        <item x="218"/>
        <item x="212"/>
        <item x="617"/>
        <item x="172"/>
        <item x="542"/>
        <item x="544"/>
        <item x="707"/>
        <item x="472"/>
        <item x="222"/>
        <item x="350"/>
        <item x="441"/>
        <item x="376"/>
        <item x="213"/>
        <item x="800"/>
        <item x="74"/>
        <item x="181"/>
        <item x="171"/>
        <item x="111"/>
        <item x="175"/>
        <item x="199"/>
        <item x="59"/>
        <item x="57"/>
        <item x="53"/>
        <item x="574"/>
        <item x="207"/>
        <item x="315"/>
        <item x="203"/>
        <item x="567"/>
        <item x="705"/>
        <item x="205"/>
        <item x="624"/>
        <item x="210"/>
        <item x="745"/>
        <item x="708"/>
        <item x="150"/>
        <item x="560"/>
        <item x="206"/>
        <item x="67"/>
        <item x="517"/>
        <item x="548"/>
        <item x="375"/>
        <item x="305"/>
        <item x="339"/>
        <item x="569"/>
        <item x="65"/>
        <item x="113"/>
        <item x="338"/>
        <item x="99"/>
        <item x="442"/>
        <item x="66"/>
        <item x="254"/>
        <item x="590"/>
        <item x="704"/>
        <item x="836"/>
        <item x="35"/>
        <item x="155"/>
        <item x="763"/>
        <item x="520"/>
        <item x="476"/>
        <item x="740"/>
        <item x="459"/>
        <item x="444"/>
        <item x="568"/>
        <item x="26"/>
        <item x="223"/>
        <item x="801"/>
        <item x="721"/>
        <item x="689"/>
        <item x="788"/>
        <item x="121"/>
        <item x="475"/>
        <item x="136"/>
        <item x="834"/>
        <item x="377"/>
        <item x="438"/>
        <item x="325"/>
        <item x="563"/>
        <item x="752"/>
        <item x="741"/>
        <item x="561"/>
        <item x="468"/>
        <item x="342"/>
        <item x="699"/>
        <item x="368"/>
        <item x="70"/>
        <item x="613"/>
        <item x="93"/>
        <item x="76"/>
        <item x="406"/>
        <item x="827"/>
        <item x="608"/>
        <item x="694"/>
        <item x="454"/>
        <item x="579"/>
        <item x="722"/>
        <item x="180"/>
        <item x="747"/>
        <item x="550"/>
        <item x="576"/>
        <item x="693"/>
        <item x="36"/>
        <item x="397"/>
        <item x="142"/>
        <item x="784"/>
        <item x="659"/>
        <item x="30"/>
        <item x="539"/>
        <item x="828"/>
        <item x="759"/>
        <item x="815"/>
        <item x="718"/>
        <item x="637"/>
        <item x="619"/>
        <item x="49"/>
        <item x="822"/>
        <item x="48"/>
        <item x="331"/>
        <item x="31"/>
        <item x="267"/>
        <item x="395"/>
        <item x="688"/>
        <item x="489"/>
        <item x="612"/>
        <item x="28"/>
        <item x="412"/>
        <item x="746"/>
        <item x="743"/>
        <item x="5"/>
        <item x="383"/>
        <item x="575"/>
        <item x="748"/>
        <item x="484"/>
        <item x="717"/>
        <item x="460"/>
        <item x="753"/>
        <item x="123"/>
        <item x="480"/>
        <item x="247"/>
        <item x="545"/>
        <item x="134"/>
        <item x="409"/>
        <item x="742"/>
        <item x="573"/>
        <item x="447"/>
        <item x="413"/>
        <item x="466"/>
        <item x="95"/>
        <item x="415"/>
        <item x="373"/>
        <item x="479"/>
        <item x="766"/>
        <item x="767"/>
        <item x="23"/>
        <item x="38"/>
        <item x="33"/>
        <item x="41"/>
        <item x="570"/>
        <item x="252"/>
        <item x="381"/>
        <item x="692"/>
        <item x="596"/>
        <item x="414"/>
        <item x="622"/>
        <item x="104"/>
        <item x="546"/>
        <item x="529"/>
        <item x="58"/>
        <item x="527"/>
        <item x="450"/>
        <item x="534"/>
        <item x="380"/>
        <item x="521"/>
        <item x="227"/>
        <item x="228"/>
        <item x="11"/>
        <item x="291"/>
        <item x="731"/>
        <item x="401"/>
        <item x="289"/>
        <item x="764"/>
        <item x="371"/>
        <item x="630"/>
        <item x="372"/>
        <item x="540"/>
        <item x="96"/>
        <item x="355"/>
        <item x="687"/>
        <item x="674"/>
        <item x="765"/>
        <item x="194"/>
        <item x="326"/>
        <item x="611"/>
        <item x="830"/>
        <item x="389"/>
        <item x="618"/>
        <item x="404"/>
        <item x="255"/>
        <item x="602"/>
        <item x="685"/>
        <item x="512"/>
        <item x="771"/>
        <item x="824"/>
        <item x="597"/>
        <item x="410"/>
        <item x="756"/>
        <item x="257"/>
        <item x="408"/>
        <item x="370"/>
        <item x="81"/>
        <item x="330"/>
        <item x="679"/>
        <item x="449"/>
        <item x="601"/>
        <item x="605"/>
        <item x="321"/>
        <item x="143"/>
        <item x="551"/>
        <item x="378"/>
        <item x="329"/>
        <item x="379"/>
        <item x="538"/>
        <item x="598"/>
        <item x="411"/>
        <item x="595"/>
        <item x="386"/>
        <item x="318"/>
        <item x="340"/>
        <item x="100"/>
        <item x="749"/>
        <item x="71"/>
        <item x="300"/>
        <item x="776"/>
        <item x="670"/>
        <item x="803"/>
        <item x="769"/>
        <item x="251"/>
        <item x="437"/>
        <item x="758"/>
        <item x="614"/>
        <item x="133"/>
        <item x="367"/>
        <item x="805"/>
        <item x="272"/>
        <item x="263"/>
        <item x="760"/>
        <item x="786"/>
        <item x="639"/>
        <item x="322"/>
        <item x="316"/>
        <item x="604"/>
        <item x="132"/>
        <item x="600"/>
        <item x="494"/>
        <item x="390"/>
        <item x="599"/>
        <item x="333"/>
        <item x="623"/>
        <item x="793"/>
        <item x="343"/>
        <item x="585"/>
        <item x="506"/>
        <item x="55"/>
        <item x="755"/>
        <item x="374"/>
        <item x="831"/>
        <item x="295"/>
        <item x="137"/>
        <item x="485"/>
        <item x="177"/>
        <item x="32"/>
        <item x="360"/>
        <item x="240"/>
        <item x="264"/>
        <item x="832"/>
        <item x="789"/>
        <item x="440"/>
        <item x="361"/>
        <item x="467"/>
        <item x="138"/>
        <item x="557"/>
        <item x="654"/>
        <item x="259"/>
        <item x="369"/>
        <item x="405"/>
        <item x="716"/>
        <item x="416"/>
        <item x="553"/>
        <item x="126"/>
        <item x="284"/>
        <item x="826"/>
        <item x="586"/>
        <item x="572"/>
        <item x="191"/>
        <item x="768"/>
        <item x="248"/>
        <item x="629"/>
        <item x="17"/>
        <item x="625"/>
        <item x="313"/>
        <item x="750"/>
        <item x="536"/>
        <item x="593"/>
        <item x="482"/>
        <item x="726"/>
        <item x="27"/>
        <item x="757"/>
        <item x="6"/>
        <item x="754"/>
        <item x="744"/>
        <item x="234"/>
        <item x="319"/>
        <item x="443"/>
        <item x="691"/>
        <item x="165"/>
        <item x="187"/>
        <item x="296"/>
        <item x="7"/>
        <item x="293"/>
        <item x="715"/>
        <item x="270"/>
        <item x="772"/>
        <item x="773"/>
        <item x="483"/>
        <item x="657"/>
        <item x="244"/>
        <item x="271"/>
        <item x="616"/>
        <item x="250"/>
        <item x="588"/>
        <item x="436"/>
        <item x="124"/>
        <item x="566"/>
        <item x="829"/>
        <item x="356"/>
        <item x="700"/>
        <item x="357"/>
        <item x="106"/>
        <item x="403"/>
        <item x="209"/>
        <item x="799"/>
        <item x="513"/>
        <item x="587"/>
        <item x="481"/>
        <item x="282"/>
        <item x="584"/>
        <item x="762"/>
        <item x="477"/>
        <item x="94"/>
        <item x="809"/>
        <item x="19"/>
        <item x="435"/>
        <item x="807"/>
        <item x="73"/>
        <item x="810"/>
        <item x="445"/>
        <item x="402"/>
        <item x="682"/>
        <item x="814"/>
        <item x="294"/>
        <item x="118"/>
        <item x="541"/>
        <item x="323"/>
        <item x="603"/>
        <item x="680"/>
        <item x="558"/>
        <item x="621"/>
        <item x="774"/>
        <item x="308"/>
        <item x="448"/>
        <item x="695"/>
        <item x="419"/>
        <item x="129"/>
        <item x="620"/>
        <item x="761"/>
        <item x="320"/>
        <item x="45"/>
        <item x="556"/>
        <item x="728"/>
        <item x="243"/>
        <item x="555"/>
        <item x="665"/>
        <item x="808"/>
        <item x="336"/>
        <item x="107"/>
        <item x="495"/>
        <item x="63"/>
        <item x="559"/>
        <item x="823"/>
        <item x="499"/>
        <item x="431"/>
        <item x="253"/>
        <item x="729"/>
        <item x="524"/>
        <item x="795"/>
        <item x="312"/>
        <item x="275"/>
        <item x="317"/>
        <item x="139"/>
        <item x="709"/>
        <item x="29"/>
        <item x="713"/>
        <item x="794"/>
        <item x="473"/>
        <item x="40"/>
        <item x="633"/>
        <item x="501"/>
        <item x="663"/>
        <item x="439"/>
        <item x="52"/>
        <item x="385"/>
        <item x="286"/>
        <item x="631"/>
        <item x="193"/>
        <item x="725"/>
        <item x="671"/>
        <item x="384"/>
        <item x="280"/>
        <item x="580"/>
        <item x="341"/>
        <item x="737"/>
        <item x="636"/>
        <item x="8"/>
        <item x="739"/>
        <item x="60"/>
        <item x="128"/>
        <item x="10"/>
        <item x="634"/>
        <item x="127"/>
        <item x="735"/>
        <item x="835"/>
        <item x="790"/>
        <item x="279"/>
        <item x="564"/>
        <item x="677"/>
        <item x="719"/>
        <item x="720"/>
        <item x="354"/>
        <item x="734"/>
        <item x="269"/>
        <item x="751"/>
        <item x="122"/>
        <item x="116"/>
        <item x="451"/>
        <item x="712"/>
        <item x="571"/>
        <item x="358"/>
        <item x="658"/>
        <item x="514"/>
        <item x="496"/>
        <item x="562"/>
        <item x="565"/>
        <item x="16"/>
        <item x="791"/>
        <item x="783"/>
        <item x="785"/>
        <item x="787"/>
        <item x="714"/>
        <item x="328"/>
        <item x="242"/>
        <item x="660"/>
        <item x="453"/>
        <item x="478"/>
        <item x="507"/>
        <item x="309"/>
        <item x="635"/>
        <item x="446"/>
        <item x="359"/>
        <item x="626"/>
        <item x="812"/>
        <item x="159"/>
        <item x="833"/>
        <item x="509"/>
        <item x="160"/>
        <item x="311"/>
        <item x="115"/>
        <item x="290"/>
        <item x="498"/>
        <item x="632"/>
        <item x="792"/>
        <item x="493"/>
        <item x="400"/>
        <item x="486"/>
        <item x="711"/>
        <item x="420"/>
        <item x="710"/>
        <item x="652"/>
        <item x="112"/>
        <item x="500"/>
        <item x="703"/>
        <item x="452"/>
        <item x="75"/>
        <item x="702"/>
        <item x="429"/>
        <item x="461"/>
        <item x="215"/>
        <item x="802"/>
        <item x="458"/>
        <item x="519"/>
        <item x="216"/>
        <item x="796"/>
        <item x="798"/>
        <item x="581"/>
        <item x="47"/>
        <item x="188"/>
        <item x="594"/>
        <item x="577"/>
        <item x="818"/>
        <item x="314"/>
        <item x="310"/>
        <item x="811"/>
        <item x="9"/>
        <item x="120"/>
        <item x="110"/>
        <item x="43"/>
        <item x="813"/>
        <item x="648"/>
        <item x="388"/>
        <item x="505"/>
        <item x="277"/>
        <item x="102"/>
        <item x="662"/>
        <item x="345"/>
        <item x="101"/>
        <item x="426"/>
        <item x="531"/>
        <item x="50"/>
        <item x="18"/>
        <item x="56"/>
        <item x="424"/>
        <item x="497"/>
        <item x="655"/>
        <item x="646"/>
        <item x="523"/>
        <item x="522"/>
        <item x="462"/>
        <item x="668"/>
        <item x="578"/>
        <item x="819"/>
        <item x="22"/>
        <item x="86"/>
        <item x="304"/>
        <item x="335"/>
        <item x="487"/>
        <item x="256"/>
        <item x="463"/>
        <item x="398"/>
        <item x="13"/>
        <item x="701"/>
        <item x="287"/>
        <item x="730"/>
        <item x="686"/>
        <item x="733"/>
        <item x="249"/>
        <item x="644"/>
        <item x="208"/>
        <item x="797"/>
        <item x="195"/>
        <item x="515"/>
        <item x="651"/>
        <item x="25"/>
        <item x="528"/>
        <item x="261"/>
        <item x="470"/>
        <item x="12"/>
        <item x="327"/>
        <item x="641"/>
        <item x="650"/>
        <item x="471"/>
        <item x="825"/>
        <item x="518"/>
        <item x="609"/>
        <item x="770"/>
        <item x="723"/>
        <item x="690"/>
        <item x="365"/>
        <item x="669"/>
        <item x="610"/>
        <item x="667"/>
        <item x="698"/>
        <item x="306"/>
        <item x="697"/>
        <item x="490"/>
        <item x="661"/>
        <item x="278"/>
        <item x="653"/>
        <item x="276"/>
        <item x="821"/>
        <item x="141"/>
        <item x="87"/>
        <item x="157"/>
        <item x="643"/>
        <item x="297"/>
        <item x="334"/>
        <item x="301"/>
        <item x="324"/>
        <item x="642"/>
        <item x="239"/>
        <item x="464"/>
        <item x="20"/>
        <item x="465"/>
        <item x="656"/>
        <item x="298"/>
        <item x="302"/>
        <item x="425"/>
        <item x="268"/>
        <item x="666"/>
        <item x="532"/>
        <item x="649"/>
        <item x="530"/>
        <item x="158"/>
        <item x="504"/>
        <item x="140"/>
        <item x="307"/>
        <item x="423"/>
        <item x="732"/>
        <item x="503"/>
        <item x="488"/>
        <item x="418"/>
        <item x="724"/>
        <item x="591"/>
        <item x="727"/>
        <item x="236"/>
        <item x="391"/>
        <item x="266"/>
        <item x="775"/>
        <item x="491"/>
        <item x="337"/>
        <item x="281"/>
        <item x="103"/>
        <item x="396"/>
        <item x="382"/>
        <item x="399"/>
        <item x="816"/>
        <item x="68"/>
        <item x="582"/>
        <item x="192"/>
        <item x="583"/>
        <item x="777"/>
        <item x="525"/>
        <item x="169"/>
        <item x="592"/>
        <item x="673"/>
        <item x="421"/>
        <item x="174"/>
        <item x="780"/>
        <item x="526"/>
        <item x="645"/>
        <item x="738"/>
        <item x="736"/>
        <item x="647"/>
        <item x="262"/>
        <item x="46"/>
        <item x="684"/>
        <item x="292"/>
        <item x="533"/>
        <item x="781"/>
        <item x="265"/>
        <item x="235"/>
        <item x="804"/>
        <item x="184"/>
        <item x="638"/>
        <item x="303"/>
        <item x="817"/>
        <item x="675"/>
        <item x="469"/>
        <item x="246"/>
        <item x="166"/>
        <item x="241"/>
        <item x="422"/>
        <item x="190"/>
        <item x="332"/>
        <item x="108"/>
        <item x="683"/>
        <item x="806"/>
        <item x="672"/>
        <item x="245"/>
        <item x="167"/>
        <item x="427"/>
        <item x="189"/>
        <item x="607"/>
        <item x="676"/>
        <item x="0"/>
        <item x="782"/>
        <item x="434"/>
        <item x="433"/>
        <item x="696"/>
        <item x="131"/>
        <item x="274"/>
        <item x="627"/>
        <item x="14"/>
        <item x="393"/>
        <item x="394"/>
        <item x="15"/>
        <item x="628"/>
        <item x="273"/>
        <item x="130"/>
        <item x="640"/>
        <item x="1"/>
        <item x="428"/>
        <item x="109"/>
        <item x="778"/>
        <item x="417"/>
        <item x="125"/>
        <item x="589"/>
        <item x="183"/>
        <item x="283"/>
        <item x="288"/>
        <item x="779"/>
        <item x="492"/>
        <item x="299"/>
        <item x="260"/>
        <item x="820"/>
        <item x="366"/>
        <item x="186"/>
        <item x="681"/>
        <item x="664"/>
        <item x="44"/>
        <item x="554"/>
        <item x="285"/>
        <item x="430"/>
        <item x="508"/>
        <item x="510"/>
        <item x="678"/>
        <item x="502"/>
        <item x="432"/>
        <item x="606"/>
        <item x="511"/>
        <item x="237"/>
        <item x="2"/>
        <item t="default"/>
      </items>
    </pivotField>
  </pivotFields>
  <rowFields count="1">
    <field x="1"/>
  </rowFields>
  <rowItems count="12">
    <i>
      <x v="36"/>
    </i>
    <i>
      <x v="175"/>
    </i>
    <i>
      <x v="180"/>
    </i>
    <i>
      <x v="207"/>
    </i>
    <i>
      <x v="243"/>
    </i>
    <i>
      <x v="265"/>
    </i>
    <i>
      <x v="274"/>
    </i>
    <i>
      <x v="319"/>
    </i>
    <i>
      <x v="323"/>
    </i>
    <i>
      <x v="384"/>
    </i>
    <i>
      <x v="391"/>
    </i>
    <i t="grand">
      <x/>
    </i>
  </rowItems>
  <colFields count="1">
    <field x="3"/>
  </colFields>
  <colItems count="4">
    <i>
      <x v="241"/>
    </i>
    <i>
      <x v="242"/>
    </i>
    <i>
      <x v="243"/>
    </i>
    <i t="grand">
      <x/>
    </i>
  </colItems>
  <dataFields count="1">
    <dataField name="Sum of Percentage" fld="4" baseField="0" baseItem="0"/>
  </dataFields>
  <formats count="11">
    <format dxfId="10">
      <pivotArea dataOnly="0" labelOnly="1" fieldPosition="0">
        <references count="1">
          <reference field="1" count="1">
            <x v="4"/>
          </reference>
        </references>
      </pivotArea>
    </format>
    <format dxfId="9">
      <pivotArea dataOnly="0" labelOnly="1" fieldPosition="0">
        <references count="1">
          <reference field="1" count="1">
            <x v="136"/>
          </reference>
        </references>
      </pivotArea>
    </format>
    <format dxfId="8">
      <pivotArea dataOnly="0" labelOnly="1" fieldPosition="0">
        <references count="1">
          <reference field="1" count="1">
            <x v="218"/>
          </reference>
        </references>
      </pivotArea>
    </format>
    <format dxfId="7">
      <pivotArea dataOnly="0" labelOnly="1" fieldPosition="0">
        <references count="1">
          <reference field="1" count="1">
            <x v="230"/>
          </reference>
        </references>
      </pivotArea>
    </format>
    <format dxfId="6">
      <pivotArea dataOnly="0" labelOnly="1" fieldPosition="0">
        <references count="1">
          <reference field="1" count="1">
            <x v="268"/>
          </reference>
        </references>
      </pivotArea>
    </format>
    <format dxfId="5">
      <pivotArea dataOnly="0" labelOnly="1" fieldPosition="0">
        <references count="1">
          <reference field="1" count="1">
            <x v="321"/>
          </reference>
        </references>
      </pivotArea>
    </format>
    <format dxfId="4">
      <pivotArea dataOnly="0" labelOnly="1" fieldPosition="0">
        <references count="1">
          <reference field="1" count="1">
            <x v="142"/>
          </reference>
        </references>
      </pivotArea>
    </format>
    <format dxfId="3">
      <pivotArea dataOnly="0" labelOnly="1" fieldPosition="0">
        <references count="1">
          <reference field="1" count="1">
            <x v="9"/>
          </reference>
        </references>
      </pivotArea>
    </format>
    <format dxfId="2">
      <pivotArea dataOnly="0" labelOnly="1" fieldPosition="0">
        <references count="1">
          <reference field="1" count="1">
            <x v="373"/>
          </reference>
        </references>
      </pivotArea>
    </format>
    <format dxfId="1">
      <pivotArea dataOnly="0" labelOnly="1" fieldPosition="0">
        <references count="1">
          <reference field="1" count="1">
            <x v="373"/>
          </reference>
        </references>
      </pivotArea>
    </format>
    <format dxfId="0">
      <pivotArea dataOnly="0" labelOnly="1" fieldPosition="0">
        <references count="1">
          <reference field="1" count="1">
            <x v="9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showGridLines="0" view="pageBreakPreview" zoomScale="90" zoomScaleNormal="100" zoomScaleSheetLayoutView="90" workbookViewId="0"/>
  </sheetViews>
  <sheetFormatPr defaultRowHeight="13.5"/>
  <cols>
    <col min="1" max="1" width="10" style="1578" customWidth="1"/>
    <col min="2" max="2" width="9" style="1578"/>
    <col min="3" max="3" width="49.25" style="1578" bestFit="1" customWidth="1"/>
    <col min="4" max="16384" width="9" style="1578"/>
  </cols>
  <sheetData>
    <row r="1" spans="1:3" ht="15">
      <c r="A1" s="1577" t="str">
        <f>Company_Name</f>
        <v>WATER SERVICE CORPORATION OF KENTUCKY</v>
      </c>
    </row>
    <row r="2" spans="1:3" ht="15">
      <c r="A2" s="1577" t="s">
        <v>2341</v>
      </c>
    </row>
    <row r="4" spans="1:3">
      <c r="A4" s="1578" t="s">
        <v>2342</v>
      </c>
      <c r="C4" s="1578" t="s">
        <v>2343</v>
      </c>
    </row>
    <row r="6" spans="1:3">
      <c r="A6" s="1578" t="s">
        <v>674</v>
      </c>
      <c r="C6" s="1578" t="s">
        <v>666</v>
      </c>
    </row>
    <row r="7" spans="1:3">
      <c r="A7" s="1578" t="s">
        <v>526</v>
      </c>
      <c r="C7" s="1578" t="s">
        <v>147</v>
      </c>
    </row>
    <row r="8" spans="1:3">
      <c r="A8" s="1578" t="s">
        <v>743</v>
      </c>
      <c r="C8" s="1578" t="s">
        <v>2344</v>
      </c>
    </row>
    <row r="9" spans="1:3">
      <c r="A9" s="1578" t="s">
        <v>285</v>
      </c>
      <c r="C9" s="1578" t="s">
        <v>2345</v>
      </c>
    </row>
    <row r="10" spans="1:3">
      <c r="A10" s="1578" t="s">
        <v>83</v>
      </c>
      <c r="C10" s="1578" t="s">
        <v>2330</v>
      </c>
    </row>
    <row r="12" spans="1:3">
      <c r="A12" s="1578" t="s">
        <v>807</v>
      </c>
      <c r="C12" s="1578" t="s">
        <v>2346</v>
      </c>
    </row>
    <row r="13" spans="1:3">
      <c r="A13" s="1578" t="s">
        <v>2347</v>
      </c>
      <c r="C13" s="1578" t="s">
        <v>3606</v>
      </c>
    </row>
    <row r="14" spans="1:3">
      <c r="A14" s="1578" t="s">
        <v>2348</v>
      </c>
      <c r="C14" s="1578" t="s">
        <v>2412</v>
      </c>
    </row>
    <row r="15" spans="1:3">
      <c r="A15" s="1578" t="s">
        <v>1934</v>
      </c>
      <c r="C15" s="1578" t="s">
        <v>324</v>
      </c>
    </row>
    <row r="16" spans="1:3">
      <c r="A16" s="1578" t="s">
        <v>801</v>
      </c>
      <c r="C16" s="1578" t="s">
        <v>62</v>
      </c>
    </row>
    <row r="17" spans="1:3">
      <c r="A17" s="1578" t="s">
        <v>802</v>
      </c>
      <c r="C17" s="1578" t="s">
        <v>417</v>
      </c>
    </row>
    <row r="18" spans="1:3">
      <c r="A18" s="1578" t="s">
        <v>803</v>
      </c>
      <c r="C18" s="1578" t="s">
        <v>2349</v>
      </c>
    </row>
    <row r="19" spans="1:3">
      <c r="A19" s="1578" t="s">
        <v>805</v>
      </c>
      <c r="C19" s="1578" t="s">
        <v>2350</v>
      </c>
    </row>
    <row r="20" spans="1:3">
      <c r="A20" s="1578" t="s">
        <v>141</v>
      </c>
      <c r="C20" s="1578" t="s">
        <v>320</v>
      </c>
    </row>
    <row r="21" spans="1:3">
      <c r="A21" s="1578" t="s">
        <v>142</v>
      </c>
      <c r="C21" s="1578" t="s">
        <v>2406</v>
      </c>
    </row>
    <row r="22" spans="1:3">
      <c r="A22" s="1578" t="s">
        <v>143</v>
      </c>
      <c r="C22" s="1578" t="s">
        <v>2425</v>
      </c>
    </row>
    <row r="23" spans="1:3">
      <c r="A23" s="1578" t="s">
        <v>144</v>
      </c>
      <c r="C23" s="1578" t="s">
        <v>2353</v>
      </c>
    </row>
    <row r="24" spans="1:3">
      <c r="A24" s="1578" t="s">
        <v>2351</v>
      </c>
      <c r="C24" s="1578" t="s">
        <v>1776</v>
      </c>
    </row>
    <row r="25" spans="1:3">
      <c r="A25" s="1578" t="s">
        <v>2352</v>
      </c>
      <c r="C25" s="1578" t="s">
        <v>2390</v>
      </c>
    </row>
    <row r="26" spans="1:3">
      <c r="A26" s="1578" t="s">
        <v>300</v>
      </c>
      <c r="C26" s="1578" t="s">
        <v>2430</v>
      </c>
    </row>
    <row r="27" spans="1:3">
      <c r="A27" s="1578" t="s">
        <v>323</v>
      </c>
      <c r="C27" s="1578" t="s">
        <v>2431</v>
      </c>
    </row>
    <row r="28" spans="1:3">
      <c r="A28" s="1578" t="s">
        <v>527</v>
      </c>
      <c r="C28" s="1578" t="s">
        <v>3871</v>
      </c>
    </row>
    <row r="29" spans="1:3">
      <c r="A29" s="1578" t="s">
        <v>1940</v>
      </c>
      <c r="C29" s="1578" t="s">
        <v>3878</v>
      </c>
    </row>
    <row r="30" spans="1:3">
      <c r="A30" s="1578" t="s">
        <v>2384</v>
      </c>
      <c r="C30" s="1578" t="s">
        <v>3884</v>
      </c>
    </row>
    <row r="32" spans="1:3">
      <c r="A32" s="2015" t="s">
        <v>3902</v>
      </c>
    </row>
    <row r="33" spans="1:3">
      <c r="A33" s="1578" t="s">
        <v>3611</v>
      </c>
      <c r="C33" s="1578" t="s">
        <v>3897</v>
      </c>
    </row>
    <row r="34" spans="1:3">
      <c r="A34" s="1578" t="s">
        <v>3646</v>
      </c>
      <c r="C34" s="1578" t="s">
        <v>3898</v>
      </c>
    </row>
    <row r="35" spans="1:3">
      <c r="A35" s="1578" t="s">
        <v>3676</v>
      </c>
      <c r="C35" s="1578" t="s">
        <v>1835</v>
      </c>
    </row>
    <row r="36" spans="1:3">
      <c r="A36" s="1578" t="s">
        <v>3710</v>
      </c>
      <c r="C36" s="1578" t="s">
        <v>3899</v>
      </c>
    </row>
    <row r="37" spans="1:3">
      <c r="A37" s="1578" t="s">
        <v>3750</v>
      </c>
      <c r="C37" s="1578" t="s">
        <v>3900</v>
      </c>
    </row>
    <row r="38" spans="1:3">
      <c r="A38" s="1578" t="s">
        <v>3760</v>
      </c>
      <c r="C38" s="1578" t="s">
        <v>3893</v>
      </c>
    </row>
    <row r="39" spans="1:3">
      <c r="A39" s="1578" t="s">
        <v>3894</v>
      </c>
      <c r="C39" s="1578" t="s">
        <v>3901</v>
      </c>
    </row>
    <row r="40" spans="1:3">
      <c r="A40" s="1578" t="s">
        <v>3895</v>
      </c>
      <c r="C40" s="1578" t="s">
        <v>3826</v>
      </c>
    </row>
    <row r="41" spans="1:3">
      <c r="A41" s="1578" t="s">
        <v>3896</v>
      </c>
      <c r="C41" s="1578" t="s">
        <v>3850</v>
      </c>
    </row>
    <row r="43" spans="1:3">
      <c r="C43" s="1578" t="s">
        <v>2378</v>
      </c>
    </row>
    <row r="44" spans="1:3">
      <c r="C44" s="1578" t="s">
        <v>2354</v>
      </c>
    </row>
    <row r="45" spans="1:3" ht="15">
      <c r="B45" s="1579" t="s">
        <v>2355</v>
      </c>
      <c r="C45" s="1578" t="s">
        <v>2356</v>
      </c>
    </row>
    <row r="46" spans="1:3">
      <c r="C46" s="1578" t="s">
        <v>2357</v>
      </c>
    </row>
    <row r="47" spans="1:3">
      <c r="C47" s="1578" t="s">
        <v>2358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E59"/>
  <sheetViews>
    <sheetView view="pageBreakPreview" zoomScaleNormal="85" zoomScaleSheetLayoutView="100" workbookViewId="0"/>
  </sheetViews>
  <sheetFormatPr defaultRowHeight="15"/>
  <cols>
    <col min="1" max="1" width="9" style="1909"/>
    <col min="2" max="2" width="27.75" style="1909" bestFit="1" customWidth="1"/>
    <col min="3" max="3" width="13.375" style="1909" bestFit="1" customWidth="1"/>
    <col min="4" max="4" width="16.25" style="1909" bestFit="1" customWidth="1"/>
    <col min="5" max="5" width="8.375" style="1909" bestFit="1" customWidth="1"/>
    <col min="6" max="16384" width="9" style="1909"/>
  </cols>
  <sheetData>
    <row r="1" spans="1:4">
      <c r="B1" s="1910" t="str">
        <f>Company_Name</f>
        <v>WATER SERVICE CORPORATION OF KENTUCKY</v>
      </c>
      <c r="D1" s="2111" t="s">
        <v>3894</v>
      </c>
    </row>
    <row r="2" spans="1:4" ht="16.5" customHeight="1">
      <c r="C2" s="1910" t="s">
        <v>3780</v>
      </c>
    </row>
    <row r="3" spans="1:4" ht="16.5" customHeight="1">
      <c r="B3" s="1911" t="s">
        <v>3781</v>
      </c>
      <c r="C3" s="1912">
        <v>42185</v>
      </c>
    </row>
    <row r="4" spans="1:4">
      <c r="A4" s="1913"/>
      <c r="B4" s="1914" t="s">
        <v>3782</v>
      </c>
      <c r="C4" s="1915">
        <f>'wp - t-9 Plant in Service COSS'!E62</f>
        <v>164394.1</v>
      </c>
    </row>
    <row r="5" spans="1:4">
      <c r="B5" s="1914" t="s">
        <v>3783</v>
      </c>
      <c r="C5" s="1915">
        <f>'wp - t-9 Plant in Service COSS'!F62</f>
        <v>616878.41942461079</v>
      </c>
    </row>
    <row r="6" spans="1:4">
      <c r="B6" s="1914" t="s">
        <v>3784</v>
      </c>
      <c r="C6" s="1915">
        <f>'wp - t-9 Plant in Service COSS'!G62</f>
        <v>9378.9489484922633</v>
      </c>
    </row>
    <row r="7" spans="1:4">
      <c r="B7" s="1914" t="s">
        <v>3785</v>
      </c>
      <c r="C7" s="1915">
        <f>'wp - t-9 Plant in Service COSS'!H62</f>
        <v>2219399.2876600986</v>
      </c>
    </row>
    <row r="8" spans="1:4">
      <c r="B8" s="1914" t="s">
        <v>3786</v>
      </c>
      <c r="C8" s="1915"/>
    </row>
    <row r="9" spans="1:4">
      <c r="B9" s="1909" t="s">
        <v>3787</v>
      </c>
      <c r="C9" s="1915">
        <f>'wp - t-9 Plant in Service COSS'!J62</f>
        <v>3447565.9718906931</v>
      </c>
    </row>
    <row r="10" spans="1:4">
      <c r="B10" s="1909" t="s">
        <v>3788</v>
      </c>
      <c r="C10" s="1915">
        <f>'wp - t-9 Plant in Service COSS'!K62</f>
        <v>1361332.7883855221</v>
      </c>
    </row>
    <row r="11" spans="1:4">
      <c r="B11" s="1909" t="s">
        <v>3789</v>
      </c>
      <c r="C11" s="1915">
        <f>'wp - t-9 Plant in Service COSS'!L62</f>
        <v>896165.17633483314</v>
      </c>
    </row>
    <row r="12" spans="1:4">
      <c r="B12" s="1909" t="s">
        <v>3790</v>
      </c>
      <c r="C12" s="1915">
        <f>'wp - t-9 Plant in Service COSS'!M62</f>
        <v>413501.39448979008</v>
      </c>
    </row>
    <row r="13" spans="1:4">
      <c r="B13" s="1909" t="s">
        <v>3791</v>
      </c>
      <c r="C13" s="1915">
        <f>'wp - t-9 Plant in Service COSS'!N62</f>
        <v>546392.7810570281</v>
      </c>
    </row>
    <row r="14" spans="1:4">
      <c r="B14" s="1914" t="s">
        <v>3792</v>
      </c>
      <c r="C14" s="1915">
        <f>'wp - t-9 Plant in Service COSS'!O62</f>
        <v>1763591.0409528574</v>
      </c>
    </row>
    <row r="15" spans="1:4">
      <c r="B15" s="1914" t="s">
        <v>3794</v>
      </c>
      <c r="C15" s="1915">
        <f>SUM(C4:C14)</f>
        <v>11438599.909143925</v>
      </c>
    </row>
    <row r="16" spans="1:4" ht="7.5" customHeight="1">
      <c r="B16" s="1914"/>
      <c r="C16" s="1915"/>
    </row>
    <row r="17" spans="2:4" hidden="1">
      <c r="B17" s="1911" t="s">
        <v>3795</v>
      </c>
      <c r="C17" s="1915"/>
    </row>
    <row r="18" spans="2:4" hidden="1">
      <c r="B18" s="1914" t="s">
        <v>3782</v>
      </c>
      <c r="C18" s="1915">
        <v>164595.12000000002</v>
      </c>
    </row>
    <row r="19" spans="2:4" hidden="1">
      <c r="B19" s="1914" t="s">
        <v>3796</v>
      </c>
      <c r="C19" s="1915">
        <v>7902966.404911072</v>
      </c>
    </row>
    <row r="20" spans="2:4" hidden="1">
      <c r="B20" s="1914" t="s">
        <v>3797</v>
      </c>
      <c r="C20" s="1915">
        <v>923141.98248822824</v>
      </c>
    </row>
    <row r="21" spans="2:4" hidden="1">
      <c r="B21" s="1914" t="s">
        <v>3798</v>
      </c>
      <c r="C21" s="1915">
        <v>6018305.3562122248</v>
      </c>
    </row>
    <row r="22" spans="2:4" hidden="1">
      <c r="B22" s="1914" t="s">
        <v>3799</v>
      </c>
      <c r="C22" s="1915">
        <v>3831.0242365413578</v>
      </c>
    </row>
    <row r="23" spans="2:4" hidden="1">
      <c r="B23" s="1914" t="s">
        <v>3800</v>
      </c>
      <c r="C23" s="1915">
        <v>1193574.0338620236</v>
      </c>
      <c r="D23" s="1916" t="s">
        <v>3793</v>
      </c>
    </row>
    <row r="24" spans="2:4" hidden="1">
      <c r="B24" s="1914" t="s">
        <v>3801</v>
      </c>
      <c r="C24" s="1915">
        <f>SUM(C18:C23)</f>
        <v>16206413.921710089</v>
      </c>
    </row>
    <row r="25" spans="2:4" ht="3" hidden="1" customHeight="1">
      <c r="B25" s="1914"/>
      <c r="C25" s="1915"/>
    </row>
    <row r="26" spans="2:4" hidden="1">
      <c r="B26" s="1914" t="s">
        <v>3802</v>
      </c>
      <c r="C26" s="1915">
        <f>C15+C24</f>
        <v>27645013.830854014</v>
      </c>
    </row>
    <row r="28" spans="2:4">
      <c r="B28" s="1910" t="s">
        <v>3803</v>
      </c>
      <c r="C28" s="1917">
        <f ca="1">'wp - t-8 Pro Forma Proposed'!Z61</f>
        <v>2684749.33948552</v>
      </c>
      <c r="D28" s="1909" t="s">
        <v>3804</v>
      </c>
    </row>
    <row r="29" spans="2:4">
      <c r="B29" s="1910" t="s">
        <v>3805</v>
      </c>
      <c r="C29" s="1918"/>
    </row>
    <row r="30" spans="2:4">
      <c r="B30" s="1909" t="s">
        <v>3806</v>
      </c>
      <c r="C30" s="1917">
        <f>'wp - t-8 Pro Forma Proposed'!H61</f>
        <v>123204</v>
      </c>
    </row>
    <row r="31" spans="2:4">
      <c r="B31" s="1909" t="s">
        <v>3807</v>
      </c>
      <c r="C31" s="1917">
        <f>'wp - t-8 Pro Forma Proposed'!I61</f>
        <v>0</v>
      </c>
    </row>
    <row r="32" spans="2:4">
      <c r="B32" s="1910" t="s">
        <v>3808</v>
      </c>
      <c r="C32" s="1919"/>
    </row>
    <row r="33" spans="2:3">
      <c r="B33" s="1909" t="s">
        <v>3809</v>
      </c>
      <c r="C33" s="1920">
        <f>'wp - t-8 Pro Forma Proposed'!J61</f>
        <v>114307.69200000001</v>
      </c>
    </row>
    <row r="34" spans="2:3">
      <c r="B34" s="1909" t="s">
        <v>3807</v>
      </c>
      <c r="C34" s="1917">
        <f>'wp - t-8 Pro Forma Proposed'!K61</f>
        <v>37602.36</v>
      </c>
    </row>
    <row r="35" spans="2:3">
      <c r="B35" s="1910" t="s">
        <v>3786</v>
      </c>
      <c r="C35" s="1919"/>
    </row>
    <row r="36" spans="2:3">
      <c r="B36" s="1909" t="s">
        <v>3810</v>
      </c>
      <c r="C36" s="1917">
        <f>'wp - t-8 Pro Forma Proposed'!L61</f>
        <v>768839.06904691597</v>
      </c>
    </row>
    <row r="37" spans="2:3">
      <c r="B37" s="1909" t="s">
        <v>3787</v>
      </c>
      <c r="C37" s="1917">
        <f>'wp - t-8 Pro Forma Proposed'!M61</f>
        <v>115608.1965278429</v>
      </c>
    </row>
    <row r="38" spans="2:3">
      <c r="B38" s="1909" t="s">
        <v>3811</v>
      </c>
      <c r="C38" s="1917">
        <f>'wp - t-8 Pro Forma Proposed'!N61</f>
        <v>0</v>
      </c>
    </row>
    <row r="39" spans="2:3">
      <c r="B39" s="1909" t="s">
        <v>3790</v>
      </c>
      <c r="C39" s="1917">
        <f>'wp - t-8 Pro Forma Proposed'!O61</f>
        <v>0</v>
      </c>
    </row>
    <row r="40" spans="2:3">
      <c r="B40" s="1909" t="s">
        <v>3788</v>
      </c>
      <c r="C40" s="1917">
        <f>'wp - t-8 Pro Forma Proposed'!P61</f>
        <v>0</v>
      </c>
    </row>
    <row r="41" spans="2:3">
      <c r="B41" s="1909" t="s">
        <v>3812</v>
      </c>
      <c r="C41" s="1917">
        <f>'wp - t-8 Pro Forma Proposed'!Q61</f>
        <v>0</v>
      </c>
    </row>
    <row r="42" spans="2:3">
      <c r="B42" s="1909" t="s">
        <v>3813</v>
      </c>
      <c r="C42" s="1917">
        <f>'wp - t-8 Pro Forma Proposed'!R61</f>
        <v>419114.33649559517</v>
      </c>
    </row>
    <row r="43" spans="2:3">
      <c r="C43" s="1918"/>
    </row>
    <row r="44" spans="2:3">
      <c r="B44" s="1910" t="s">
        <v>3814</v>
      </c>
      <c r="C44" s="1919"/>
    </row>
    <row r="45" spans="2:3">
      <c r="B45" s="1909" t="s">
        <v>3815</v>
      </c>
      <c r="C45" s="1917"/>
    </row>
    <row r="46" spans="2:3">
      <c r="B46" s="1914" t="s">
        <v>3816</v>
      </c>
      <c r="C46" s="1917">
        <f>'wp - t-8 Pro Forma Proposed'!S61</f>
        <v>-68682.060099444512</v>
      </c>
    </row>
    <row r="47" spans="2:3">
      <c r="B47" s="1910" t="s">
        <v>3817</v>
      </c>
      <c r="C47" s="1919"/>
    </row>
    <row r="48" spans="2:3">
      <c r="B48" s="1909" t="s">
        <v>3818</v>
      </c>
      <c r="C48" s="1917">
        <f ca="1">'wp - t-8 Pro Forma Proposed'!U61</f>
        <v>51939.358424737628</v>
      </c>
    </row>
    <row r="49" spans="2:5">
      <c r="C49" s="1918"/>
    </row>
    <row r="50" spans="2:5">
      <c r="B50" s="1914" t="s">
        <v>3819</v>
      </c>
      <c r="C50" s="1917">
        <f ca="1">SUM(C30:C49)</f>
        <v>1561932.9523956471</v>
      </c>
    </row>
    <row r="51" spans="2:5">
      <c r="B51" s="1914" t="s">
        <v>3820</v>
      </c>
      <c r="C51" s="1917"/>
    </row>
    <row r="52" spans="2:5">
      <c r="C52" s="1918"/>
    </row>
    <row r="53" spans="2:5">
      <c r="B53" s="1910" t="s">
        <v>3821</v>
      </c>
      <c r="C53" s="1919"/>
    </row>
    <row r="54" spans="2:5">
      <c r="B54" s="1909" t="s">
        <v>3822</v>
      </c>
      <c r="C54" s="1917">
        <f>'wp - t-8 Pro Forma Proposed'!V61</f>
        <v>346602.31314332318</v>
      </c>
    </row>
    <row r="55" spans="2:5">
      <c r="B55" s="1909" t="s">
        <v>3823</v>
      </c>
      <c r="C55" s="1917">
        <f ca="1">'wp - t-8 Pro Forma Proposed'!W61</f>
        <v>143272.40947644127</v>
      </c>
    </row>
    <row r="56" spans="2:5">
      <c r="B56" s="1909" t="s">
        <v>3824</v>
      </c>
      <c r="C56" s="1917">
        <f ca="1">'wp - t-8 Pro Forma Proposed'!X61</f>
        <v>167681.52030033706</v>
      </c>
    </row>
    <row r="57" spans="2:5">
      <c r="B57" s="1909" t="s">
        <v>3825</v>
      </c>
      <c r="C57" s="1917">
        <f ca="1">'wp - t-8 Pro Forma Proposed'!Y61</f>
        <v>465260.14416977158</v>
      </c>
    </row>
    <row r="59" spans="2:5">
      <c r="C59" s="1921"/>
      <c r="E59" s="1922"/>
    </row>
  </sheetData>
  <pageMargins left="0.7" right="0.7" top="0.75" bottom="0.75" header="0.3" footer="0.3"/>
  <pageSetup scale="8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A92"/>
  <sheetViews>
    <sheetView view="pageBreakPreview" zoomScale="90" zoomScaleNormal="85" zoomScaleSheetLayoutView="90" workbookViewId="0">
      <pane xSplit="7" ySplit="7" topLeftCell="H23" activePane="bottomRight" state="frozen"/>
      <selection pane="topRight"/>
      <selection pane="bottomLeft"/>
      <selection pane="bottomRight"/>
    </sheetView>
  </sheetViews>
  <sheetFormatPr defaultColWidth="10.875" defaultRowHeight="13.5"/>
  <cols>
    <col min="1" max="1" width="8.625" style="1926" customWidth="1"/>
    <col min="2" max="2" width="4" style="1924" customWidth="1"/>
    <col min="3" max="3" width="10.875" style="1924" customWidth="1"/>
    <col min="4" max="4" width="17.125" style="1924" customWidth="1"/>
    <col min="5" max="5" width="2.875" style="1924" customWidth="1"/>
    <col min="6" max="6" width="14.125" style="1927" customWidth="1"/>
    <col min="7" max="7" width="0" style="1926" hidden="1" customWidth="1"/>
    <col min="8" max="11" width="10.875" style="1926"/>
    <col min="12" max="12" width="11.625" style="1926" bestFit="1" customWidth="1"/>
    <col min="13" max="16384" width="10.875" style="1926"/>
  </cols>
  <sheetData>
    <row r="1" spans="1:27" ht="15">
      <c r="A1" s="1923" t="str">
        <f>Company_Name</f>
        <v>WATER SERVICE CORPORATION OF KENTUCKY</v>
      </c>
      <c r="B1" s="1923"/>
      <c r="C1" s="1923"/>
      <c r="F1" s="1925" t="s">
        <v>526</v>
      </c>
    </row>
    <row r="2" spans="1:27" ht="15">
      <c r="A2" s="1923" t="str">
        <f>Docket</f>
        <v>Case No. 2015 - 00382</v>
      </c>
      <c r="B2" s="1923"/>
      <c r="C2" s="1923"/>
      <c r="F2" s="1925" t="s">
        <v>3827</v>
      </c>
    </row>
    <row r="3" spans="1:27" ht="15">
      <c r="A3" s="1923" t="s">
        <v>3826</v>
      </c>
      <c r="B3" s="1923"/>
      <c r="F3" s="1925"/>
    </row>
    <row r="4" spans="1:27" ht="15">
      <c r="A4" s="2120" t="str">
        <f>TestYearEnded</f>
        <v>Test Year Ended 6/30/2015</v>
      </c>
      <c r="B4" s="2120"/>
      <c r="C4" s="2120"/>
      <c r="D4" s="2120"/>
    </row>
    <row r="5" spans="1:27" ht="15">
      <c r="A5" s="1928" t="s">
        <v>664</v>
      </c>
      <c r="B5" s="1928"/>
      <c r="C5" s="1928"/>
      <c r="D5" s="1928"/>
    </row>
    <row r="6" spans="1:27">
      <c r="B6" s="1929"/>
      <c r="C6" s="1929"/>
      <c r="D6" s="1929"/>
      <c r="E6" s="1929"/>
      <c r="F6" s="1930" t="s">
        <v>454</v>
      </c>
      <c r="H6" s="2116" t="s">
        <v>3828</v>
      </c>
      <c r="I6" s="2117"/>
      <c r="J6" s="2116" t="s">
        <v>3829</v>
      </c>
      <c r="K6" s="2117"/>
      <c r="L6" s="2116" t="s">
        <v>3830</v>
      </c>
      <c r="M6" s="2118"/>
      <c r="N6" s="2118"/>
      <c r="O6" s="2118"/>
      <c r="P6" s="2118"/>
      <c r="Q6" s="2118"/>
      <c r="R6" s="2117"/>
      <c r="S6" s="1931" t="s">
        <v>3831</v>
      </c>
      <c r="T6" s="2116" t="s">
        <v>3832</v>
      </c>
      <c r="U6" s="2117"/>
      <c r="V6" s="2116" t="s">
        <v>3833</v>
      </c>
      <c r="W6" s="2118"/>
      <c r="X6" s="2118"/>
      <c r="Y6" s="2117"/>
      <c r="Z6" s="1931" t="s">
        <v>1028</v>
      </c>
    </row>
    <row r="7" spans="1:27">
      <c r="A7" s="1932" t="s">
        <v>1786</v>
      </c>
      <c r="B7" s="1929"/>
      <c r="C7" s="1929"/>
      <c r="D7" s="1929"/>
      <c r="E7" s="1929"/>
      <c r="F7" s="1933" t="s">
        <v>139</v>
      </c>
      <c r="H7" s="1934" t="s">
        <v>3834</v>
      </c>
      <c r="I7" s="1935" t="s">
        <v>110</v>
      </c>
      <c r="J7" s="1934" t="s">
        <v>663</v>
      </c>
      <c r="K7" s="1935" t="s">
        <v>110</v>
      </c>
      <c r="L7" s="1934" t="s">
        <v>3835</v>
      </c>
      <c r="M7" s="1932" t="s">
        <v>3836</v>
      </c>
      <c r="N7" s="1932" t="s">
        <v>3837</v>
      </c>
      <c r="O7" s="1932" t="s">
        <v>3838</v>
      </c>
      <c r="P7" s="1932" t="s">
        <v>84</v>
      </c>
      <c r="Q7" s="1932" t="s">
        <v>3789</v>
      </c>
      <c r="R7" s="1935" t="s">
        <v>3839</v>
      </c>
      <c r="S7" s="1936" t="s">
        <v>3840</v>
      </c>
      <c r="T7" s="1934" t="s">
        <v>3841</v>
      </c>
      <c r="U7" s="1935" t="s">
        <v>2346</v>
      </c>
      <c r="V7" s="1934" t="s">
        <v>417</v>
      </c>
      <c r="W7" s="1932" t="s">
        <v>3842</v>
      </c>
      <c r="X7" s="1932" t="s">
        <v>3843</v>
      </c>
      <c r="Y7" s="1935" t="s">
        <v>3844</v>
      </c>
      <c r="Z7" s="1936" t="s">
        <v>3845</v>
      </c>
    </row>
    <row r="8" spans="1:27" ht="15">
      <c r="A8" s="1937">
        <v>1</v>
      </c>
      <c r="B8" s="1938" t="s">
        <v>452</v>
      </c>
      <c r="C8" s="1938"/>
      <c r="D8" s="1938"/>
      <c r="H8" s="1939"/>
      <c r="I8" s="1940"/>
      <c r="J8" s="1940"/>
      <c r="K8" s="1940"/>
      <c r="L8" s="1940"/>
      <c r="M8" s="1940"/>
      <c r="N8" s="1940"/>
      <c r="O8" s="1940"/>
      <c r="P8" s="1940"/>
      <c r="Q8" s="1940"/>
      <c r="R8" s="1940"/>
      <c r="S8" s="1940"/>
      <c r="T8" s="1940"/>
      <c r="U8" s="1940"/>
      <c r="V8" s="1940"/>
      <c r="W8" s="1940"/>
      <c r="X8" s="1940"/>
      <c r="Y8" s="1940"/>
      <c r="Z8" s="1941"/>
    </row>
    <row r="9" spans="1:27" ht="15">
      <c r="A9" s="1937">
        <v>2</v>
      </c>
      <c r="B9" s="1926"/>
      <c r="C9" s="1924" t="s">
        <v>145</v>
      </c>
      <c r="F9" s="1927">
        <f ca="1">'Sch.B-I.S'!N11</f>
        <v>2617250.7594855195</v>
      </c>
      <c r="G9" s="1927">
        <f ca="1">SUM(H9:Z9)</f>
        <v>2617250.7594855195</v>
      </c>
      <c r="H9" s="1942"/>
      <c r="I9" s="1943"/>
      <c r="J9" s="1943"/>
      <c r="K9" s="1943"/>
      <c r="L9" s="1943"/>
      <c r="M9" s="1943"/>
      <c r="N9" s="1943"/>
      <c r="O9" s="1943"/>
      <c r="P9" s="1943"/>
      <c r="Q9" s="1943"/>
      <c r="R9" s="1943"/>
      <c r="S9" s="1943"/>
      <c r="T9" s="1943"/>
      <c r="U9" s="1943"/>
      <c r="V9" s="1943"/>
      <c r="W9" s="1943"/>
      <c r="X9" s="1943"/>
      <c r="Y9" s="1943"/>
      <c r="Z9" s="1944">
        <f ca="1">+F9</f>
        <v>2617250.7594855195</v>
      </c>
      <c r="AA9" s="2071"/>
    </row>
    <row r="10" spans="1:27" ht="15">
      <c r="A10" s="1937">
        <v>3</v>
      </c>
      <c r="B10" s="1926"/>
      <c r="C10" s="1924" t="s">
        <v>282</v>
      </c>
      <c r="F10" s="1927">
        <v>0</v>
      </c>
      <c r="G10" s="1927">
        <f>SUM(H10:Z10)</f>
        <v>0</v>
      </c>
      <c r="H10" s="1942"/>
      <c r="I10" s="1943"/>
      <c r="J10" s="1943"/>
      <c r="K10" s="1943"/>
      <c r="L10" s="1943"/>
      <c r="M10" s="1943"/>
      <c r="N10" s="1943"/>
      <c r="O10" s="1943"/>
      <c r="P10" s="1943"/>
      <c r="Q10" s="1943"/>
      <c r="R10" s="1943"/>
      <c r="S10" s="1943"/>
      <c r="T10" s="1943"/>
      <c r="U10" s="1943"/>
      <c r="V10" s="1943"/>
      <c r="W10" s="1943"/>
      <c r="X10" s="1943"/>
      <c r="Y10" s="1943"/>
      <c r="Z10" s="1944"/>
      <c r="AA10" s="2071"/>
    </row>
    <row r="11" spans="1:27" ht="15.75" thickBot="1">
      <c r="A11" s="1937">
        <v>4</v>
      </c>
      <c r="B11" s="1926"/>
      <c r="C11" s="1924" t="s">
        <v>283</v>
      </c>
      <c r="F11" s="1927">
        <f>'Sch.B-I.S'!N13</f>
        <v>67498.580000000642</v>
      </c>
      <c r="G11" s="1927">
        <f>SUM(H11:Z11)</f>
        <v>67498.580000000642</v>
      </c>
      <c r="H11" s="1942"/>
      <c r="I11" s="1943"/>
      <c r="J11" s="1943"/>
      <c r="K11" s="1943"/>
      <c r="L11" s="1943"/>
      <c r="M11" s="1943"/>
      <c r="N11" s="1943"/>
      <c r="O11" s="1943"/>
      <c r="P11" s="1943"/>
      <c r="Q11" s="1943"/>
      <c r="R11" s="1943"/>
      <c r="S11" s="1943"/>
      <c r="T11" s="1943"/>
      <c r="U11" s="1943"/>
      <c r="V11" s="1943"/>
      <c r="W11" s="1943"/>
      <c r="X11" s="1943"/>
      <c r="Y11" s="1943"/>
      <c r="Z11" s="1944">
        <f>+F11</f>
        <v>67498.580000000642</v>
      </c>
      <c r="AA11" s="2071"/>
    </row>
    <row r="12" spans="1:27" ht="16.5" thickBot="1">
      <c r="A12" s="1937">
        <v>5</v>
      </c>
      <c r="B12" s="1926"/>
      <c r="C12" s="1924" t="s">
        <v>3846</v>
      </c>
      <c r="E12" s="1945" t="s">
        <v>3847</v>
      </c>
      <c r="F12" s="1946">
        <f ca="1">+F9+F10+F11</f>
        <v>2684749.33948552</v>
      </c>
      <c r="G12" s="1927"/>
      <c r="H12" s="1942"/>
      <c r="I12" s="1943"/>
      <c r="J12" s="1943"/>
      <c r="K12" s="1943"/>
      <c r="L12" s="1943"/>
      <c r="M12" s="1943"/>
      <c r="N12" s="1943"/>
      <c r="O12" s="1943"/>
      <c r="P12" s="1943"/>
      <c r="Q12" s="1943"/>
      <c r="R12" s="1943"/>
      <c r="S12" s="1943"/>
      <c r="T12" s="1943"/>
      <c r="U12" s="1943"/>
      <c r="V12" s="1943"/>
      <c r="W12" s="1943"/>
      <c r="X12" s="1943"/>
      <c r="Y12" s="1943"/>
      <c r="Z12" s="1944"/>
      <c r="AA12" s="2071"/>
    </row>
    <row r="13" spans="1:27" ht="15">
      <c r="A13" s="1937"/>
      <c r="B13" s="1926"/>
      <c r="F13" s="1943"/>
      <c r="G13" s="1927"/>
      <c r="H13" s="1942"/>
      <c r="I13" s="1943"/>
      <c r="J13" s="1943"/>
      <c r="K13" s="1943"/>
      <c r="L13" s="1943"/>
      <c r="M13" s="1943"/>
      <c r="N13" s="1943"/>
      <c r="O13" s="1943"/>
      <c r="P13" s="1943"/>
      <c r="Q13" s="1943"/>
      <c r="R13" s="1943"/>
      <c r="S13" s="1943"/>
      <c r="T13" s="1943"/>
      <c r="U13" s="1943"/>
      <c r="V13" s="1943"/>
      <c r="W13" s="1943"/>
      <c r="X13" s="1943"/>
      <c r="Y13" s="1943"/>
      <c r="Z13" s="1944"/>
      <c r="AA13" s="2071"/>
    </row>
    <row r="14" spans="1:27" ht="15">
      <c r="A14" s="1937"/>
      <c r="F14" s="1947"/>
      <c r="G14" s="1927"/>
      <c r="H14" s="1942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4"/>
      <c r="AA14" s="2071"/>
    </row>
    <row r="15" spans="1:27" ht="15">
      <c r="A15" s="1937">
        <v>6</v>
      </c>
      <c r="B15" s="1924" t="s">
        <v>525</v>
      </c>
      <c r="F15" s="1948">
        <f ca="1">+F12</f>
        <v>2684749.33948552</v>
      </c>
      <c r="G15" s="1927">
        <f>SUM(H15:Z15)</f>
        <v>0</v>
      </c>
      <c r="H15" s="1942"/>
      <c r="I15" s="1943"/>
      <c r="J15" s="1943"/>
      <c r="K15" s="1943"/>
      <c r="L15" s="1943"/>
      <c r="M15" s="1943"/>
      <c r="N15" s="1943"/>
      <c r="O15" s="1943"/>
      <c r="P15" s="1943"/>
      <c r="Q15" s="1943"/>
      <c r="R15" s="1943"/>
      <c r="S15" s="1943"/>
      <c r="T15" s="1943"/>
      <c r="U15" s="1943"/>
      <c r="V15" s="1943"/>
      <c r="W15" s="1943"/>
      <c r="X15" s="1943"/>
      <c r="Y15" s="1943"/>
      <c r="Z15" s="1944"/>
      <c r="AA15" s="2071"/>
    </row>
    <row r="16" spans="1:27" ht="15">
      <c r="A16" s="1937">
        <v>7</v>
      </c>
      <c r="G16" s="1927"/>
      <c r="H16" s="1942"/>
      <c r="I16" s="1943"/>
      <c r="J16" s="1943"/>
      <c r="K16" s="1943"/>
      <c r="L16" s="1943"/>
      <c r="M16" s="1943"/>
      <c r="N16" s="1943"/>
      <c r="O16" s="1943"/>
      <c r="P16" s="1943"/>
      <c r="Q16" s="1943"/>
      <c r="R16" s="1943"/>
      <c r="S16" s="1943"/>
      <c r="T16" s="1943"/>
      <c r="U16" s="1943"/>
      <c r="V16" s="1943"/>
      <c r="W16" s="1943"/>
      <c r="X16" s="1943"/>
      <c r="Y16" s="1943"/>
      <c r="Z16" s="1944"/>
      <c r="AA16" s="2071"/>
    </row>
    <row r="17" spans="1:27" ht="15">
      <c r="A17" s="1937">
        <v>8</v>
      </c>
      <c r="B17" s="1938" t="s">
        <v>418</v>
      </c>
      <c r="C17" s="1938"/>
      <c r="D17" s="1938"/>
      <c r="E17" s="1949"/>
      <c r="G17" s="1927"/>
      <c r="H17" s="1942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4"/>
      <c r="AA17" s="2071"/>
    </row>
    <row r="18" spans="1:27" ht="15">
      <c r="A18" s="1937">
        <v>9</v>
      </c>
      <c r="C18" s="1924" t="s">
        <v>419</v>
      </c>
      <c r="E18" s="1950"/>
      <c r="F18" s="1927">
        <f>'Sch.B-I.S'!N18</f>
        <v>538161.00780000002</v>
      </c>
      <c r="G18" s="1927">
        <f t="shared" ref="G18:G28" si="0">SUM(H18:Z18)</f>
        <v>538161.00780000002</v>
      </c>
      <c r="H18" s="1942"/>
      <c r="I18" s="1943"/>
      <c r="J18" s="1943"/>
      <c r="K18" s="1943"/>
      <c r="L18" s="1943">
        <f>+F18</f>
        <v>538161.00780000002</v>
      </c>
      <c r="M18" s="1943"/>
      <c r="N18" s="1943"/>
      <c r="O18" s="1943"/>
      <c r="P18" s="1943"/>
      <c r="Q18" s="1943"/>
      <c r="R18" s="1943"/>
      <c r="S18" s="1943"/>
      <c r="T18" s="1943"/>
      <c r="U18" s="1943"/>
      <c r="V18" s="1943"/>
      <c r="W18" s="1943"/>
      <c r="X18" s="1943"/>
      <c r="Y18" s="1943"/>
      <c r="Z18" s="1944"/>
      <c r="AA18" s="2071"/>
    </row>
    <row r="19" spans="1:27" s="1924" customFormat="1" ht="15">
      <c r="A19" s="1937">
        <v>10</v>
      </c>
      <c r="C19" s="1924" t="s">
        <v>317</v>
      </c>
      <c r="F19" s="1927">
        <f>'Sch.B-I.S'!N19</f>
        <v>123204</v>
      </c>
      <c r="G19" s="1927">
        <f t="shared" si="0"/>
        <v>123204</v>
      </c>
      <c r="H19" s="1942">
        <f>+F19</f>
        <v>123204</v>
      </c>
      <c r="I19" s="1943"/>
      <c r="J19" s="1943"/>
      <c r="K19" s="1943"/>
      <c r="L19" s="1943"/>
      <c r="M19" s="1943"/>
      <c r="N19" s="1943"/>
      <c r="O19" s="1943"/>
      <c r="P19" s="1943"/>
      <c r="Q19" s="1943"/>
      <c r="R19" s="1943"/>
      <c r="S19" s="1943"/>
      <c r="T19" s="1943"/>
      <c r="U19" s="1943"/>
      <c r="V19" s="1943"/>
      <c r="W19" s="1943"/>
      <c r="X19" s="1943"/>
      <c r="Y19" s="1943"/>
      <c r="Z19" s="1944"/>
      <c r="AA19" s="2071"/>
    </row>
    <row r="20" spans="1:27" s="1924" customFormat="1" ht="15">
      <c r="A20" s="1937">
        <v>11</v>
      </c>
      <c r="C20" s="1924" t="s">
        <v>3848</v>
      </c>
      <c r="F20" s="1927">
        <f>'Sch.B-I.S'!N20</f>
        <v>89772.75</v>
      </c>
      <c r="G20" s="1927">
        <f t="shared" si="0"/>
        <v>89772.75</v>
      </c>
      <c r="H20" s="1942"/>
      <c r="I20" s="1943"/>
      <c r="J20" s="1943"/>
      <c r="K20" s="1943"/>
      <c r="L20" s="1943"/>
      <c r="M20" s="1943"/>
      <c r="N20" s="1943"/>
      <c r="O20" s="1943"/>
      <c r="P20" s="1943"/>
      <c r="Q20" s="1943"/>
      <c r="R20" s="1943">
        <f>+F20</f>
        <v>89772.75</v>
      </c>
      <c r="S20" s="1943"/>
      <c r="T20" s="1943"/>
      <c r="U20" s="1943"/>
      <c r="V20" s="1943"/>
      <c r="W20" s="1943"/>
      <c r="X20" s="1943"/>
      <c r="Y20" s="1943"/>
      <c r="Z20" s="1944"/>
      <c r="AA20" s="2071"/>
    </row>
    <row r="21" spans="1:27" s="1924" customFormat="1" ht="15">
      <c r="A21" s="1937">
        <v>12</v>
      </c>
      <c r="C21" s="1924" t="s">
        <v>313</v>
      </c>
      <c r="E21" s="1950"/>
      <c r="F21" s="1927">
        <f>'Sch.B-I.S'!N21</f>
        <v>115608.1965278429</v>
      </c>
      <c r="G21" s="1927">
        <f t="shared" si="0"/>
        <v>115608.1965278429</v>
      </c>
      <c r="H21" s="1942"/>
      <c r="I21" s="1943"/>
      <c r="J21" s="1943"/>
      <c r="K21" s="1943"/>
      <c r="L21" s="1943"/>
      <c r="M21" s="1943">
        <f>+F21</f>
        <v>115608.1965278429</v>
      </c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4"/>
      <c r="AA21" s="2071"/>
    </row>
    <row r="22" spans="1:27" s="1924" customFormat="1" ht="15">
      <c r="A22" s="1937">
        <v>13</v>
      </c>
      <c r="C22" s="1924" t="s">
        <v>70</v>
      </c>
      <c r="E22" s="1950"/>
      <c r="F22" s="1927">
        <f>'Sch.B-I.S'!N22</f>
        <v>37602.36</v>
      </c>
      <c r="G22" s="1927">
        <f t="shared" si="0"/>
        <v>37602.36</v>
      </c>
      <c r="H22" s="1942"/>
      <c r="I22" s="1943"/>
      <c r="J22" s="1943"/>
      <c r="K22" s="1943">
        <f>+F22</f>
        <v>37602.36</v>
      </c>
      <c r="L22" s="1943"/>
      <c r="M22" s="1943"/>
      <c r="N22" s="1943"/>
      <c r="O22" s="1943"/>
      <c r="P22" s="1943"/>
      <c r="Q22" s="1943"/>
      <c r="R22" s="1943"/>
      <c r="S22" s="1943"/>
      <c r="T22" s="1943"/>
      <c r="U22" s="1943"/>
      <c r="V22" s="1943"/>
      <c r="W22" s="1943"/>
      <c r="X22" s="1943"/>
      <c r="Y22" s="1943"/>
      <c r="Z22" s="1944"/>
      <c r="AA22" s="2071"/>
    </row>
    <row r="23" spans="1:27" s="1924" customFormat="1" ht="15">
      <c r="A23" s="1937">
        <v>14</v>
      </c>
      <c r="C23" s="1924" t="s">
        <v>445</v>
      </c>
      <c r="F23" s="1927">
        <f>'Sch.B-I.S'!N23</f>
        <v>0</v>
      </c>
      <c r="G23" s="1927">
        <f t="shared" si="0"/>
        <v>0</v>
      </c>
      <c r="H23" s="1942"/>
      <c r="I23" s="1943"/>
      <c r="J23" s="1943"/>
      <c r="K23" s="1943"/>
      <c r="L23" s="1943"/>
      <c r="M23" s="1943"/>
      <c r="N23" s="1943"/>
      <c r="O23" s="1943"/>
      <c r="P23" s="1943">
        <f>+F23</f>
        <v>0</v>
      </c>
      <c r="Q23" s="1943"/>
      <c r="R23" s="1943"/>
      <c r="S23" s="1943"/>
      <c r="T23" s="1943"/>
      <c r="U23" s="1943"/>
      <c r="V23" s="1943"/>
      <c r="W23" s="1943"/>
      <c r="X23" s="1943"/>
      <c r="Y23" s="1943"/>
      <c r="Z23" s="1944"/>
      <c r="AA23" s="2071"/>
    </row>
    <row r="24" spans="1:27" s="1924" customFormat="1" ht="15">
      <c r="A24" s="1937">
        <v>15</v>
      </c>
      <c r="C24" s="1924" t="s">
        <v>663</v>
      </c>
      <c r="E24" s="1950"/>
      <c r="F24" s="1927">
        <f>'Sch.B-I.S'!N24</f>
        <v>114307.69200000001</v>
      </c>
      <c r="G24" s="1927">
        <f t="shared" si="0"/>
        <v>114307.69200000001</v>
      </c>
      <c r="H24" s="1942"/>
      <c r="I24" s="1943"/>
      <c r="J24" s="1943">
        <f>+F24</f>
        <v>114307.69200000001</v>
      </c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4"/>
      <c r="AA24" s="2071"/>
    </row>
    <row r="25" spans="1:27" s="1924" customFormat="1" ht="15">
      <c r="A25" s="1937">
        <v>16</v>
      </c>
      <c r="C25" s="1924" t="s">
        <v>88</v>
      </c>
      <c r="F25" s="1927">
        <f>'Sch.B-I.S'!N25</f>
        <v>39002.120535319395</v>
      </c>
      <c r="G25" s="1927">
        <f t="shared" si="0"/>
        <v>39002.120535319395</v>
      </c>
      <c r="H25" s="1942"/>
      <c r="I25" s="1943"/>
      <c r="J25" s="1943"/>
      <c r="K25" s="1943"/>
      <c r="L25" s="1943">
        <f>+F25</f>
        <v>39002.120535319395</v>
      </c>
      <c r="M25" s="1943"/>
      <c r="N25" s="1943"/>
      <c r="O25" s="1943"/>
      <c r="P25" s="1943"/>
      <c r="Q25" s="1943"/>
      <c r="R25" s="1943"/>
      <c r="S25" s="1943"/>
      <c r="T25" s="1943"/>
      <c r="U25" s="1943"/>
      <c r="V25" s="1943"/>
      <c r="W25" s="1943"/>
      <c r="X25" s="1943"/>
      <c r="Y25" s="1943"/>
      <c r="Z25" s="1944"/>
      <c r="AA25" s="2071"/>
    </row>
    <row r="26" spans="1:27" s="1924" customFormat="1" ht="15">
      <c r="A26" s="1937">
        <v>17</v>
      </c>
      <c r="C26" s="1924" t="s">
        <v>3849</v>
      </c>
      <c r="F26" s="1927">
        <f>'Sch.B-I.S'!N26</f>
        <v>-155248.95648565629</v>
      </c>
      <c r="G26" s="1927">
        <f t="shared" si="0"/>
        <v>-155248.95648565629</v>
      </c>
      <c r="H26" s="1942"/>
      <c r="I26" s="1943"/>
      <c r="J26" s="1943"/>
      <c r="K26" s="1943"/>
      <c r="L26" s="1943">
        <f>+F26</f>
        <v>-155248.95648565629</v>
      </c>
      <c r="M26" s="1943"/>
      <c r="N26" s="1943"/>
      <c r="O26" s="1943"/>
      <c r="P26" s="1943"/>
      <c r="Q26" s="1943"/>
      <c r="R26" s="1943"/>
      <c r="S26" s="1943"/>
      <c r="T26" s="1943"/>
      <c r="U26" s="1943"/>
      <c r="V26" s="1943"/>
      <c r="W26" s="1943"/>
      <c r="X26" s="1943"/>
      <c r="Y26" s="1943"/>
      <c r="Z26" s="1944"/>
      <c r="AA26" s="2071"/>
    </row>
    <row r="27" spans="1:27" s="1924" customFormat="1" ht="15">
      <c r="A27" s="1937">
        <v>18</v>
      </c>
      <c r="C27" s="1924" t="s">
        <v>72</v>
      </c>
      <c r="F27" s="1927">
        <f>'Sch.B-I.S'!N27</f>
        <v>58954.58</v>
      </c>
      <c r="G27" s="1927">
        <f t="shared" si="0"/>
        <v>58954.58</v>
      </c>
      <c r="H27" s="1942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>
        <f>+F27</f>
        <v>58954.58</v>
      </c>
      <c r="S27" s="1943"/>
      <c r="T27" s="1943"/>
      <c r="U27" s="1943"/>
      <c r="V27" s="1943"/>
      <c r="W27" s="1943"/>
      <c r="X27" s="1943"/>
      <c r="Y27" s="1943"/>
      <c r="Z27" s="1944"/>
      <c r="AA27" s="2071"/>
    </row>
    <row r="28" spans="1:27" s="1924" customFormat="1" ht="15">
      <c r="A28" s="1937">
        <v>19</v>
      </c>
      <c r="F28" s="1927">
        <v>0</v>
      </c>
      <c r="G28" s="1927">
        <f t="shared" si="0"/>
        <v>0</v>
      </c>
      <c r="H28" s="1942"/>
      <c r="I28" s="1943"/>
      <c r="J28" s="1943"/>
      <c r="K28" s="1943"/>
      <c r="L28" s="1943"/>
      <c r="M28" s="1943"/>
      <c r="N28" s="1943"/>
      <c r="O28" s="1943"/>
      <c r="P28" s="1943"/>
      <c r="Q28" s="1943"/>
      <c r="R28" s="1943"/>
      <c r="S28" s="1943"/>
      <c r="T28" s="1943"/>
      <c r="U28" s="1943"/>
      <c r="V28" s="1943"/>
      <c r="W28" s="1943"/>
      <c r="X28" s="1943"/>
      <c r="Y28" s="1943"/>
      <c r="Z28" s="1944"/>
      <c r="AA28" s="2071"/>
    </row>
    <row r="29" spans="1:27" s="1924" customFormat="1" ht="15">
      <c r="A29" s="1937">
        <v>20</v>
      </c>
      <c r="F29" s="1947"/>
      <c r="G29" s="1927"/>
      <c r="H29" s="1942"/>
      <c r="I29" s="1943"/>
      <c r="J29" s="1943"/>
      <c r="K29" s="1943"/>
      <c r="L29" s="1943"/>
      <c r="M29" s="1943"/>
      <c r="N29" s="1943"/>
      <c r="O29" s="1943"/>
      <c r="P29" s="1943"/>
      <c r="Q29" s="1943"/>
      <c r="R29" s="1943"/>
      <c r="S29" s="1943"/>
      <c r="T29" s="1943"/>
      <c r="U29" s="1943"/>
      <c r="V29" s="1943"/>
      <c r="W29" s="1943"/>
      <c r="X29" s="1943"/>
      <c r="Y29" s="1943"/>
      <c r="Z29" s="1944"/>
      <c r="AA29" s="2071"/>
    </row>
    <row r="30" spans="1:27" s="1924" customFormat="1" ht="15">
      <c r="A30" s="1937">
        <v>21</v>
      </c>
      <c r="C30" s="1924" t="s">
        <v>73</v>
      </c>
      <c r="F30" s="1948">
        <f>SUM(F18:F28)</f>
        <v>961363.7503775059</v>
      </c>
      <c r="G30" s="1927">
        <f>SUM(H30:Z30)</f>
        <v>0</v>
      </c>
      <c r="H30" s="1942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4"/>
      <c r="AA30" s="2071"/>
    </row>
    <row r="31" spans="1:27" s="1924" customFormat="1" ht="15">
      <c r="A31" s="1937">
        <v>22</v>
      </c>
      <c r="F31" s="1951"/>
      <c r="G31" s="1927"/>
      <c r="H31" s="1942"/>
      <c r="I31" s="1943"/>
      <c r="J31" s="1943"/>
      <c r="K31" s="1943"/>
      <c r="L31" s="1943"/>
      <c r="M31" s="1943"/>
      <c r="N31" s="1943"/>
      <c r="O31" s="1943"/>
      <c r="P31" s="1943"/>
      <c r="Q31" s="1943"/>
      <c r="R31" s="1943"/>
      <c r="S31" s="1943"/>
      <c r="T31" s="1943"/>
      <c r="U31" s="1943"/>
      <c r="V31" s="1943"/>
      <c r="W31" s="1943"/>
      <c r="X31" s="1943"/>
      <c r="Y31" s="1943"/>
      <c r="Z31" s="1944"/>
      <c r="AA31" s="2071"/>
    </row>
    <row r="32" spans="1:27" s="1924" customFormat="1" ht="15">
      <c r="A32" s="1937">
        <v>23</v>
      </c>
      <c r="B32" s="1938" t="s">
        <v>74</v>
      </c>
      <c r="C32" s="1938"/>
      <c r="D32" s="1938"/>
      <c r="E32" s="1949"/>
      <c r="F32" s="1927"/>
      <c r="G32" s="1927"/>
      <c r="H32" s="1942"/>
      <c r="I32" s="1943"/>
      <c r="J32" s="1943"/>
      <c r="K32" s="1943"/>
      <c r="L32" s="1943"/>
      <c r="M32" s="1943"/>
      <c r="N32" s="1943"/>
      <c r="O32" s="1943"/>
      <c r="P32" s="1943"/>
      <c r="Q32" s="1943"/>
      <c r="R32" s="1943"/>
      <c r="S32" s="1943"/>
      <c r="T32" s="1943"/>
      <c r="U32" s="1943"/>
      <c r="V32" s="1943"/>
      <c r="W32" s="1943"/>
      <c r="X32" s="1943"/>
      <c r="Y32" s="1943"/>
      <c r="Z32" s="1944"/>
      <c r="AA32" s="2071"/>
    </row>
    <row r="33" spans="1:27" s="1924" customFormat="1" ht="15">
      <c r="A33" s="1937">
        <v>24</v>
      </c>
      <c r="C33" s="1924" t="s">
        <v>419</v>
      </c>
      <c r="F33" s="1927">
        <f>'Sch.B-I.S'!N32</f>
        <v>205061.47906174458</v>
      </c>
      <c r="G33" s="1927">
        <f t="shared" ref="G33:G42" si="1">SUM(H33:Z33)</f>
        <v>205061.47906174458</v>
      </c>
      <c r="H33" s="1942"/>
      <c r="I33" s="1943"/>
      <c r="J33" s="1943"/>
      <c r="K33" s="1943"/>
      <c r="L33" s="1943">
        <f>F33-S33</f>
        <v>156221.32833697071</v>
      </c>
      <c r="M33" s="1943"/>
      <c r="N33" s="1943"/>
      <c r="O33" s="1943"/>
      <c r="P33" s="1943"/>
      <c r="Q33" s="1943"/>
      <c r="R33" s="1952"/>
      <c r="S33" s="1952">
        <f>(('Linked TB'!E497+'Linked TB'!E498)/'Sch.B-I.S'!F94)*F33</f>
        <v>48840.15072477387</v>
      </c>
      <c r="T33" s="1943"/>
      <c r="U33" s="1943"/>
      <c r="V33" s="1943"/>
      <c r="W33" s="1943"/>
      <c r="X33" s="1943"/>
      <c r="Y33" s="1943"/>
      <c r="Z33" s="1944"/>
      <c r="AA33" s="2071"/>
    </row>
    <row r="34" spans="1:27" s="1924" customFormat="1" ht="15">
      <c r="A34" s="1937">
        <v>25</v>
      </c>
      <c r="C34" s="1924" t="s">
        <v>309</v>
      </c>
      <c r="F34" s="1927">
        <f>'Sch.B-I.S'!N33</f>
        <v>57608.621824000002</v>
      </c>
      <c r="G34" s="1927">
        <f t="shared" si="1"/>
        <v>57608.621824000002</v>
      </c>
      <c r="H34" s="1942"/>
      <c r="I34" s="1943"/>
      <c r="J34" s="1943"/>
      <c r="K34" s="1943"/>
      <c r="L34" s="1943"/>
      <c r="M34" s="1943"/>
      <c r="N34" s="1943"/>
      <c r="O34" s="1943"/>
      <c r="P34" s="1943"/>
      <c r="Q34" s="1943"/>
      <c r="R34" s="1952">
        <f>F34-S34</f>
        <v>34200.159391317589</v>
      </c>
      <c r="S34" s="1952">
        <f>('Linked TB'!E399/'Sch.B-I.S'!F95)*F34</f>
        <v>23408.462432682409</v>
      </c>
      <c r="T34" s="1943"/>
      <c r="U34" s="1943"/>
      <c r="V34" s="1943"/>
      <c r="W34" s="1943"/>
      <c r="X34" s="1943"/>
      <c r="Y34" s="1943"/>
      <c r="Z34" s="1944"/>
      <c r="AA34" s="2071"/>
    </row>
    <row r="35" spans="1:27" ht="15">
      <c r="A35" s="1937">
        <v>26</v>
      </c>
      <c r="C35" s="1924" t="s">
        <v>310</v>
      </c>
      <c r="F35" s="1927">
        <f>'Sch.B-I.S'!N34</f>
        <v>86983</v>
      </c>
      <c r="G35" s="1927">
        <f t="shared" si="1"/>
        <v>86983</v>
      </c>
      <c r="H35" s="1942"/>
      <c r="I35" s="1943"/>
      <c r="J35" s="1943"/>
      <c r="K35" s="1943"/>
      <c r="L35" s="1943"/>
      <c r="M35" s="1943"/>
      <c r="N35" s="1943"/>
      <c r="O35" s="1943"/>
      <c r="P35" s="1943"/>
      <c r="Q35" s="1943"/>
      <c r="R35" s="1952">
        <f t="shared" ref="R35:R42" si="2">+F35</f>
        <v>86983</v>
      </c>
      <c r="S35" s="1952"/>
      <c r="T35" s="1943"/>
      <c r="U35" s="1943"/>
      <c r="V35" s="1943"/>
      <c r="W35" s="1943"/>
      <c r="X35" s="1943"/>
      <c r="Y35" s="1943"/>
      <c r="Z35" s="1944"/>
      <c r="AA35" s="2071"/>
    </row>
    <row r="36" spans="1:27" ht="15">
      <c r="A36" s="1937">
        <v>27</v>
      </c>
      <c r="C36" s="1924" t="s">
        <v>1</v>
      </c>
      <c r="F36" s="1927">
        <f>'Sch.B-I.S'!N35</f>
        <v>204116.91560338147</v>
      </c>
      <c r="G36" s="1927">
        <f t="shared" si="1"/>
        <v>204116.91560338147</v>
      </c>
      <c r="H36" s="1942"/>
      <c r="I36" s="1943"/>
      <c r="J36" s="1943"/>
      <c r="K36" s="1943"/>
      <c r="L36" s="2099">
        <f>F36-S36</f>
        <v>190703.56886028222</v>
      </c>
      <c r="M36" s="1943"/>
      <c r="N36" s="1943"/>
      <c r="O36" s="1943"/>
      <c r="P36" s="1943"/>
      <c r="Q36" s="1943"/>
      <c r="R36" s="1952">
        <v>0</v>
      </c>
      <c r="S36" s="1952">
        <f>(S33/(F18+F33))*F36</f>
        <v>13413.346743099237</v>
      </c>
      <c r="T36" s="1943"/>
      <c r="U36" s="1943"/>
      <c r="V36" s="1943"/>
      <c r="W36" s="1943"/>
      <c r="X36" s="1943"/>
      <c r="Y36" s="1943"/>
      <c r="Z36" s="1944"/>
      <c r="AA36" s="2071"/>
    </row>
    <row r="37" spans="1:27" ht="15">
      <c r="A37" s="1937">
        <v>28</v>
      </c>
      <c r="C37" s="1924" t="s">
        <v>303</v>
      </c>
      <c r="F37" s="1927">
        <f>'Sch.B-I.S'!N36</f>
        <v>8209.66</v>
      </c>
      <c r="G37" s="1927">
        <f t="shared" si="1"/>
        <v>8209.66</v>
      </c>
      <c r="H37" s="1942"/>
      <c r="I37" s="1943"/>
      <c r="J37" s="1943"/>
      <c r="K37" s="1943"/>
      <c r="L37" s="1943"/>
      <c r="M37" s="1943"/>
      <c r="N37" s="1943"/>
      <c r="O37" s="1943"/>
      <c r="P37" s="1943"/>
      <c r="Q37" s="1943"/>
      <c r="R37" s="1952">
        <f t="shared" si="2"/>
        <v>8209.66</v>
      </c>
      <c r="S37" s="1952"/>
      <c r="T37" s="1943"/>
      <c r="U37" s="1943"/>
      <c r="V37" s="1943"/>
      <c r="W37" s="1943"/>
      <c r="X37" s="1943"/>
      <c r="Y37" s="1943"/>
      <c r="Z37" s="1944"/>
      <c r="AA37" s="2071"/>
    </row>
    <row r="38" spans="1:27" ht="15">
      <c r="A38" s="1937">
        <v>29</v>
      </c>
      <c r="C38" s="1924" t="s">
        <v>304</v>
      </c>
      <c r="F38" s="1927">
        <f>'Sch.B-I.S'!N37</f>
        <v>69092.62999999999</v>
      </c>
      <c r="G38" s="1927">
        <f t="shared" si="1"/>
        <v>69092.62999999999</v>
      </c>
      <c r="H38" s="1942"/>
      <c r="I38" s="1943"/>
      <c r="J38" s="1943"/>
      <c r="K38" s="1943"/>
      <c r="L38" s="1943"/>
      <c r="M38" s="1943"/>
      <c r="N38" s="1943"/>
      <c r="O38" s="1943"/>
      <c r="P38" s="1943"/>
      <c r="Q38" s="1943"/>
      <c r="R38" s="1952">
        <f t="shared" si="2"/>
        <v>69092.62999999999</v>
      </c>
      <c r="S38" s="1952"/>
      <c r="T38" s="1943"/>
      <c r="U38" s="1943"/>
      <c r="V38" s="1943"/>
      <c r="W38" s="1943"/>
      <c r="X38" s="1943"/>
      <c r="Y38" s="1943"/>
      <c r="Z38" s="1944"/>
      <c r="AA38" s="2071"/>
    </row>
    <row r="39" spans="1:27" ht="15">
      <c r="A39" s="1937">
        <v>30</v>
      </c>
      <c r="C39" s="1924" t="s">
        <v>757</v>
      </c>
      <c r="F39" s="1927">
        <f>'Sch.B-I.S'!N38</f>
        <v>52162.270114728068</v>
      </c>
      <c r="G39" s="1927">
        <f t="shared" si="1"/>
        <v>52162.270114728068</v>
      </c>
      <c r="H39" s="1942"/>
      <c r="I39" s="1943"/>
      <c r="J39" s="1943"/>
      <c r="K39" s="1943"/>
      <c r="L39" s="1943"/>
      <c r="M39" s="1943"/>
      <c r="N39" s="1943"/>
      <c r="O39" s="1943"/>
      <c r="P39" s="1943"/>
      <c r="Q39" s="1943"/>
      <c r="R39" s="1952">
        <f t="shared" si="2"/>
        <v>52162.270114728068</v>
      </c>
      <c r="S39" s="1952"/>
      <c r="T39" s="1943"/>
      <c r="U39" s="1943"/>
      <c r="V39" s="1943"/>
      <c r="W39" s="1943"/>
      <c r="X39" s="1943"/>
      <c r="Y39" s="1943"/>
      <c r="Z39" s="1944"/>
      <c r="AA39" s="2071"/>
    </row>
    <row r="40" spans="1:27" ht="15">
      <c r="A40" s="1937">
        <v>31</v>
      </c>
      <c r="B40" s="1926"/>
      <c r="C40" s="1924" t="s">
        <v>63</v>
      </c>
      <c r="F40" s="1927">
        <f ca="1">'Sch.B-I.S'!N39</f>
        <v>51939.358424737628</v>
      </c>
      <c r="G40" s="1927">
        <f ca="1">SUM(H40:Z40)</f>
        <v>51939.358424737628</v>
      </c>
      <c r="H40" s="1942"/>
      <c r="I40" s="1943"/>
      <c r="J40" s="1943"/>
      <c r="K40" s="1943"/>
      <c r="L40" s="1943"/>
      <c r="M40" s="1943"/>
      <c r="N40" s="1943"/>
      <c r="O40" s="1943"/>
      <c r="P40" s="1943"/>
      <c r="Q40" s="1943"/>
      <c r="R40" s="1943"/>
      <c r="S40" s="1943"/>
      <c r="T40" s="1943"/>
      <c r="U40" s="1943">
        <f ca="1">F40</f>
        <v>51939.358424737628</v>
      </c>
      <c r="V40" s="1943"/>
      <c r="W40" s="1943"/>
      <c r="X40" s="1943"/>
      <c r="Y40" s="1943"/>
      <c r="Z40" s="1944"/>
      <c r="AA40" s="2071"/>
    </row>
    <row r="41" spans="1:27" ht="15">
      <c r="A41" s="1937">
        <v>32</v>
      </c>
      <c r="C41" s="1924" t="s">
        <v>416</v>
      </c>
      <c r="F41" s="1927">
        <f>'Sch.B-I.S'!N40</f>
        <v>19739.286989549521</v>
      </c>
      <c r="G41" s="1927">
        <f t="shared" si="1"/>
        <v>19739.286989549521</v>
      </c>
      <c r="H41" s="1942"/>
      <c r="I41" s="1943"/>
      <c r="J41" s="1943"/>
      <c r="K41" s="1943"/>
      <c r="L41" s="1943"/>
      <c r="M41" s="1943"/>
      <c r="N41" s="1943"/>
      <c r="O41" s="1943"/>
      <c r="P41" s="1943"/>
      <c r="Q41" s="1943"/>
      <c r="R41" s="1952">
        <f t="shared" si="2"/>
        <v>19739.286989549521</v>
      </c>
      <c r="S41" s="1952"/>
      <c r="T41" s="1943"/>
      <c r="U41" s="1943"/>
      <c r="V41" s="1943"/>
      <c r="W41" s="1943"/>
      <c r="X41" s="1943"/>
      <c r="Y41" s="1943"/>
      <c r="Z41" s="1944"/>
      <c r="AA41" s="2071"/>
    </row>
    <row r="42" spans="1:27" ht="15">
      <c r="A42" s="1937">
        <v>33</v>
      </c>
      <c r="F42" s="1927">
        <v>0</v>
      </c>
      <c r="G42" s="1927">
        <f t="shared" si="1"/>
        <v>0</v>
      </c>
      <c r="H42" s="1942"/>
      <c r="I42" s="1943"/>
      <c r="J42" s="1943"/>
      <c r="K42" s="1943"/>
      <c r="L42" s="1943"/>
      <c r="M42" s="1943"/>
      <c r="N42" s="1943"/>
      <c r="O42" s="1943"/>
      <c r="P42" s="1943"/>
      <c r="Q42" s="1943"/>
      <c r="R42" s="1952">
        <f t="shared" si="2"/>
        <v>0</v>
      </c>
      <c r="S42" s="1952"/>
      <c r="T42" s="1943"/>
      <c r="U42" s="1943"/>
      <c r="V42" s="1943"/>
      <c r="W42" s="1943"/>
      <c r="X42" s="1943"/>
      <c r="Y42" s="1943"/>
      <c r="Z42" s="1944"/>
      <c r="AA42" s="2071"/>
    </row>
    <row r="43" spans="1:27" ht="15">
      <c r="A43" s="1937">
        <v>34</v>
      </c>
      <c r="F43" s="1947"/>
      <c r="G43" s="1927"/>
      <c r="H43" s="1942"/>
      <c r="I43" s="1943"/>
      <c r="J43" s="1943"/>
      <c r="K43" s="1943"/>
      <c r="L43" s="1943"/>
      <c r="M43" s="1943"/>
      <c r="N43" s="1943"/>
      <c r="O43" s="1943"/>
      <c r="P43" s="1943"/>
      <c r="Q43" s="1943"/>
      <c r="R43" s="1943"/>
      <c r="S43" s="1943"/>
      <c r="T43" s="1943"/>
      <c r="U43" s="1943"/>
      <c r="V43" s="1943"/>
      <c r="W43" s="1943"/>
      <c r="X43" s="1943"/>
      <c r="Y43" s="1943"/>
      <c r="Z43" s="1944"/>
      <c r="AA43" s="2071"/>
    </row>
    <row r="44" spans="1:27" ht="15">
      <c r="A44" s="1937">
        <v>35</v>
      </c>
      <c r="C44" s="1924" t="s">
        <v>73</v>
      </c>
      <c r="F44" s="1948">
        <f ca="1">SUM(F33:F43)</f>
        <v>754913.22201814118</v>
      </c>
      <c r="G44" s="1927">
        <f>SUM(H44:Z44)</f>
        <v>0</v>
      </c>
      <c r="H44" s="1942"/>
      <c r="I44" s="1943"/>
      <c r="J44" s="1943"/>
      <c r="K44" s="1943"/>
      <c r="L44" s="1943"/>
      <c r="M44" s="1943"/>
      <c r="N44" s="1943"/>
      <c r="O44" s="1943"/>
      <c r="P44" s="1943"/>
      <c r="Q44" s="1943"/>
      <c r="R44" s="1943"/>
      <c r="S44" s="1943"/>
      <c r="T44" s="1943"/>
      <c r="U44" s="1943"/>
      <c r="V44" s="1943"/>
      <c r="W44" s="1943"/>
      <c r="X44" s="1943"/>
      <c r="Y44" s="1943"/>
      <c r="Z44" s="1944"/>
      <c r="AA44" s="2071"/>
    </row>
    <row r="45" spans="1:27" ht="15">
      <c r="A45" s="1937">
        <v>36</v>
      </c>
      <c r="F45" s="1951"/>
      <c r="G45" s="1927"/>
      <c r="H45" s="1942"/>
      <c r="I45" s="1943"/>
      <c r="J45" s="1943"/>
      <c r="K45" s="1943"/>
      <c r="L45" s="1943"/>
      <c r="M45" s="1943"/>
      <c r="N45" s="1943"/>
      <c r="O45" s="1943"/>
      <c r="P45" s="1943"/>
      <c r="Q45" s="1943"/>
      <c r="R45" s="1943"/>
      <c r="S45" s="1943"/>
      <c r="T45" s="1943"/>
      <c r="U45" s="1943"/>
      <c r="V45" s="1943"/>
      <c r="W45" s="1943"/>
      <c r="X45" s="1943"/>
      <c r="Y45" s="1943"/>
      <c r="Z45" s="1944"/>
      <c r="AA45" s="2071"/>
    </row>
    <row r="46" spans="1:27" ht="15">
      <c r="A46" s="1937">
        <v>37</v>
      </c>
      <c r="B46" s="1924" t="s">
        <v>417</v>
      </c>
      <c r="F46" s="1927">
        <f>'Sch.B-I.S'!N44</f>
        <v>355954.53467107523</v>
      </c>
      <c r="G46" s="1927">
        <f t="shared" ref="G46:G53" si="3">SUM(H46:Z46)</f>
        <v>355954.53467107523</v>
      </c>
      <c r="H46" s="1942"/>
      <c r="I46" s="1943"/>
      <c r="J46" s="1943"/>
      <c r="K46" s="1943"/>
      <c r="L46" s="1943"/>
      <c r="M46" s="1943"/>
      <c r="N46" s="1943"/>
      <c r="O46" s="1943"/>
      <c r="P46" s="1943"/>
      <c r="Q46" s="1943"/>
      <c r="R46" s="1943"/>
      <c r="S46" s="1943"/>
      <c r="T46" s="1943"/>
      <c r="U46" s="1943"/>
      <c r="V46" s="1943">
        <f>+F46</f>
        <v>355954.53467107523</v>
      </c>
      <c r="W46" s="1943"/>
      <c r="X46" s="1943"/>
      <c r="Y46" s="1943"/>
      <c r="Z46" s="1944"/>
      <c r="AA46" s="2071"/>
    </row>
    <row r="47" spans="1:27" ht="15">
      <c r="A47" s="1937">
        <v>38</v>
      </c>
      <c r="B47" s="1924" t="s">
        <v>1038</v>
      </c>
      <c r="F47" s="1927">
        <f>'Sch.B-I.S'!N45</f>
        <v>0</v>
      </c>
      <c r="G47" s="1927">
        <f t="shared" si="3"/>
        <v>0</v>
      </c>
      <c r="H47" s="1942"/>
      <c r="I47" s="1943"/>
      <c r="J47" s="1943"/>
      <c r="K47" s="1943"/>
      <c r="L47" s="1943"/>
      <c r="M47" s="1943"/>
      <c r="N47" s="1943"/>
      <c r="O47" s="1943"/>
      <c r="P47" s="1943"/>
      <c r="Q47" s="1943"/>
      <c r="R47" s="1943"/>
      <c r="S47" s="1943"/>
      <c r="T47" s="1943"/>
      <c r="U47" s="1943"/>
      <c r="V47" s="1943">
        <f>+F47</f>
        <v>0</v>
      </c>
      <c r="W47" s="1943"/>
      <c r="X47" s="1943"/>
      <c r="Y47" s="1943"/>
      <c r="Z47" s="1944"/>
      <c r="AA47" s="2071"/>
    </row>
    <row r="48" spans="1:27" ht="15">
      <c r="A48" s="1937">
        <v>39</v>
      </c>
      <c r="B48" s="1924" t="s">
        <v>62</v>
      </c>
      <c r="F48" s="1927">
        <f ca="1">'Sch.B-I.S'!N46</f>
        <v>143272.40947644127</v>
      </c>
      <c r="G48" s="1927">
        <f t="shared" ca="1" si="3"/>
        <v>143272.40947644127</v>
      </c>
      <c r="H48" s="1942"/>
      <c r="I48" s="1943"/>
      <c r="J48" s="1943"/>
      <c r="K48" s="1943"/>
      <c r="L48" s="1943"/>
      <c r="M48" s="1943"/>
      <c r="N48" s="1943"/>
      <c r="O48" s="1943"/>
      <c r="P48" s="1943"/>
      <c r="Q48" s="1943"/>
      <c r="R48" s="1943"/>
      <c r="S48" s="1943"/>
      <c r="T48" s="1943"/>
      <c r="U48" s="1943"/>
      <c r="V48" s="1943"/>
      <c r="W48" s="1943">
        <f ca="1">+F48</f>
        <v>143272.40947644127</v>
      </c>
      <c r="X48" s="1943"/>
      <c r="Y48" s="1943"/>
      <c r="Z48" s="1944"/>
      <c r="AA48" s="2071"/>
    </row>
    <row r="49" spans="1:27" ht="15">
      <c r="A49" s="1937">
        <v>40</v>
      </c>
      <c r="B49" s="1924" t="s">
        <v>1048</v>
      </c>
      <c r="F49" s="1927">
        <f>'Sch.B-I.S'!N47</f>
        <v>-154344.02000000002</v>
      </c>
      <c r="G49" s="1927">
        <f t="shared" si="3"/>
        <v>-154344.02000000002</v>
      </c>
      <c r="H49" s="1942"/>
      <c r="I49" s="1943"/>
      <c r="J49" s="1943"/>
      <c r="K49" s="1943"/>
      <c r="L49" s="1943"/>
      <c r="M49" s="1943"/>
      <c r="N49" s="1943"/>
      <c r="O49" s="1943"/>
      <c r="P49" s="1943"/>
      <c r="Q49" s="1943"/>
      <c r="R49" s="1943"/>
      <c r="S49" s="1943">
        <f>+F49</f>
        <v>-154344.02000000002</v>
      </c>
      <c r="T49" s="1943"/>
      <c r="U49" s="1943"/>
      <c r="V49" s="1943"/>
      <c r="W49" s="1943"/>
      <c r="X49" s="1943"/>
      <c r="Y49" s="1943"/>
      <c r="Z49" s="1944"/>
      <c r="AA49" s="2071"/>
    </row>
    <row r="50" spans="1:27" ht="15">
      <c r="A50" s="1937">
        <v>41</v>
      </c>
      <c r="B50" s="1924" t="s">
        <v>108</v>
      </c>
      <c r="F50" s="1927">
        <f ca="1">'Sch.B-I.S'!N48</f>
        <v>141177.59190723847</v>
      </c>
      <c r="G50" s="1927">
        <f t="shared" ca="1" si="3"/>
        <v>141177.59190723847</v>
      </c>
      <c r="H50" s="1942"/>
      <c r="I50" s="1943"/>
      <c r="J50" s="1943"/>
      <c r="K50" s="1943"/>
      <c r="L50" s="1943"/>
      <c r="M50" s="1943"/>
      <c r="N50" s="1943"/>
      <c r="O50" s="1943"/>
      <c r="P50" s="1943"/>
      <c r="Q50" s="1943"/>
      <c r="R50" s="1943"/>
      <c r="S50" s="1943"/>
      <c r="T50" s="1943"/>
      <c r="U50" s="1943"/>
      <c r="V50" s="1943"/>
      <c r="W50" s="1943"/>
      <c r="X50" s="1943">
        <f ca="1">+F50</f>
        <v>141177.59190723847</v>
      </c>
      <c r="Y50" s="1943"/>
      <c r="Z50" s="1944"/>
      <c r="AA50" s="2071"/>
    </row>
    <row r="51" spans="1:27" ht="15">
      <c r="A51" s="1937">
        <v>42</v>
      </c>
      <c r="B51" s="1924" t="s">
        <v>421</v>
      </c>
      <c r="F51" s="1927">
        <f ca="1">'Sch.B-I.S'!N49</f>
        <v>26503.928393098584</v>
      </c>
      <c r="G51" s="1927">
        <f t="shared" ca="1" si="3"/>
        <v>26503.928393098584</v>
      </c>
      <c r="H51" s="1942"/>
      <c r="I51" s="1943"/>
      <c r="J51" s="1943"/>
      <c r="K51" s="1943"/>
      <c r="L51" s="1943"/>
      <c r="M51" s="1943"/>
      <c r="N51" s="1943"/>
      <c r="O51" s="1943"/>
      <c r="P51" s="1943"/>
      <c r="Q51" s="1943"/>
      <c r="R51" s="1943"/>
      <c r="S51" s="1943"/>
      <c r="T51" s="1943"/>
      <c r="U51" s="1943"/>
      <c r="V51" s="1943"/>
      <c r="W51" s="1943"/>
      <c r="X51" s="1943">
        <f ca="1">+F51</f>
        <v>26503.928393098584</v>
      </c>
      <c r="Y51" s="1943"/>
      <c r="Z51" s="1944"/>
      <c r="AA51" s="2071"/>
    </row>
    <row r="52" spans="1:27" ht="15">
      <c r="A52" s="1937">
        <v>43</v>
      </c>
      <c r="B52" s="1924" t="s">
        <v>1040</v>
      </c>
      <c r="F52" s="1927">
        <f>'Sch.B-I.S'!N50</f>
        <v>-9352.2215277520809</v>
      </c>
      <c r="G52" s="1927">
        <f t="shared" si="3"/>
        <v>-9352.2215277520809</v>
      </c>
      <c r="H52" s="1942"/>
      <c r="I52" s="1943"/>
      <c r="J52" s="1943"/>
      <c r="K52" s="1943"/>
      <c r="L52" s="1943"/>
      <c r="M52" s="1943"/>
      <c r="N52" s="1943"/>
      <c r="O52" s="1943"/>
      <c r="P52" s="1943"/>
      <c r="Q52" s="1943"/>
      <c r="R52" s="1943"/>
      <c r="S52" s="1943"/>
      <c r="T52" s="1943"/>
      <c r="U52" s="1943"/>
      <c r="V52" s="1943">
        <f>+F52</f>
        <v>-9352.2215277520809</v>
      </c>
      <c r="W52" s="1943"/>
      <c r="X52" s="1943"/>
      <c r="Y52" s="1943"/>
      <c r="Z52" s="1944"/>
      <c r="AA52" s="2071"/>
    </row>
    <row r="53" spans="1:27" ht="15">
      <c r="A53" s="1937">
        <v>44</v>
      </c>
      <c r="F53" s="1927">
        <v>0</v>
      </c>
      <c r="G53" s="1927">
        <f t="shared" si="3"/>
        <v>0</v>
      </c>
      <c r="H53" s="1942"/>
      <c r="I53" s="1943"/>
      <c r="J53" s="1943"/>
      <c r="K53" s="1943"/>
      <c r="L53" s="1943"/>
      <c r="M53" s="1943"/>
      <c r="N53" s="1943"/>
      <c r="O53" s="1943"/>
      <c r="P53" s="1943"/>
      <c r="Q53" s="1943"/>
      <c r="R53" s="1943"/>
      <c r="S53" s="1943"/>
      <c r="T53" s="1943"/>
      <c r="U53" s="1943"/>
      <c r="V53" s="1943"/>
      <c r="W53" s="1943"/>
      <c r="X53" s="1943"/>
      <c r="Y53" s="1943"/>
      <c r="Z53" s="1944"/>
      <c r="AA53" s="2071"/>
    </row>
    <row r="54" spans="1:27" ht="15">
      <c r="A54" s="1937">
        <v>45</v>
      </c>
      <c r="E54" s="1950"/>
      <c r="F54" s="1947"/>
      <c r="G54" s="1927"/>
      <c r="H54" s="1942"/>
      <c r="I54" s="1943"/>
      <c r="J54" s="1943"/>
      <c r="K54" s="1943"/>
      <c r="L54" s="1943"/>
      <c r="M54" s="1943"/>
      <c r="N54" s="1943"/>
      <c r="O54" s="1943"/>
      <c r="P54" s="1943"/>
      <c r="Q54" s="1943"/>
      <c r="R54" s="1943"/>
      <c r="S54" s="1943"/>
      <c r="T54" s="1943"/>
      <c r="U54" s="1943"/>
      <c r="V54" s="1943"/>
      <c r="W54" s="1943"/>
      <c r="X54" s="1943"/>
      <c r="Y54" s="1943"/>
      <c r="Z54" s="1944"/>
      <c r="AA54" s="2071"/>
    </row>
    <row r="55" spans="1:27" ht="15">
      <c r="A55" s="1937">
        <v>46</v>
      </c>
      <c r="C55" s="1924" t="s">
        <v>314</v>
      </c>
      <c r="F55" s="1948">
        <f ca="1">SUM(F46:F54)</f>
        <v>503212.22292010149</v>
      </c>
      <c r="G55" s="1927">
        <f>SUM(H55:Z55)</f>
        <v>0</v>
      </c>
      <c r="H55" s="1942"/>
      <c r="I55" s="1943"/>
      <c r="J55" s="1943"/>
      <c r="K55" s="1943"/>
      <c r="L55" s="1943"/>
      <c r="M55" s="1943"/>
      <c r="N55" s="1943"/>
      <c r="O55" s="1943"/>
      <c r="P55" s="1943"/>
      <c r="Q55" s="1943"/>
      <c r="R55" s="1943"/>
      <c r="S55" s="1943"/>
      <c r="T55" s="1943"/>
      <c r="U55" s="1943"/>
      <c r="V55" s="1943"/>
      <c r="W55" s="1943"/>
      <c r="X55" s="1943"/>
      <c r="Y55" s="1943"/>
      <c r="Z55" s="1944"/>
      <c r="AA55" s="2071"/>
    </row>
    <row r="56" spans="1:27" ht="15">
      <c r="A56" s="1937">
        <v>47</v>
      </c>
      <c r="F56" s="1951"/>
      <c r="G56" s="1927"/>
      <c r="H56" s="1942"/>
      <c r="I56" s="1943"/>
      <c r="J56" s="1943"/>
      <c r="K56" s="1943"/>
      <c r="L56" s="1943"/>
      <c r="M56" s="1943"/>
      <c r="N56" s="1943"/>
      <c r="O56" s="1943"/>
      <c r="P56" s="1943"/>
      <c r="Q56" s="1943"/>
      <c r="R56" s="1943"/>
      <c r="S56" s="1943"/>
      <c r="T56" s="1943"/>
      <c r="U56" s="1943"/>
      <c r="V56" s="1943"/>
      <c r="W56" s="1943"/>
      <c r="X56" s="1943"/>
      <c r="Y56" s="1943"/>
      <c r="Z56" s="1944"/>
      <c r="AA56" s="2071"/>
    </row>
    <row r="57" spans="1:27" ht="15">
      <c r="A57" s="1937">
        <v>48</v>
      </c>
      <c r="B57" s="1924" t="s">
        <v>455</v>
      </c>
      <c r="F57" s="1948">
        <f ca="1">F55+F44+F30</f>
        <v>2219489.1953157485</v>
      </c>
      <c r="G57" s="1927">
        <f>SUM(H57:Z57)</f>
        <v>0</v>
      </c>
      <c r="H57" s="1942"/>
      <c r="I57" s="1943"/>
      <c r="J57" s="1943"/>
      <c r="K57" s="1943"/>
      <c r="L57" s="1943"/>
      <c r="M57" s="1943"/>
      <c r="N57" s="1943"/>
      <c r="O57" s="1943"/>
      <c r="P57" s="1943"/>
      <c r="Q57" s="1943"/>
      <c r="R57" s="1943"/>
      <c r="S57" s="1943"/>
      <c r="T57" s="1943"/>
      <c r="U57" s="1943"/>
      <c r="V57" s="1943"/>
      <c r="W57" s="1943"/>
      <c r="X57" s="1943"/>
      <c r="Y57" s="1943"/>
      <c r="Z57" s="1944"/>
      <c r="AA57" s="2071"/>
    </row>
    <row r="58" spans="1:27" ht="15">
      <c r="A58" s="1937">
        <v>49</v>
      </c>
      <c r="F58" s="1951"/>
      <c r="G58" s="1927"/>
      <c r="H58" s="1942"/>
      <c r="I58" s="1943"/>
      <c r="J58" s="1943"/>
      <c r="K58" s="1943"/>
      <c r="L58" s="1943"/>
      <c r="M58" s="1943"/>
      <c r="N58" s="1943"/>
      <c r="O58" s="1943"/>
      <c r="P58" s="1943"/>
      <c r="Q58" s="1943"/>
      <c r="R58" s="1943"/>
      <c r="S58" s="1943"/>
      <c r="T58" s="1943"/>
      <c r="U58" s="1943"/>
      <c r="V58" s="1943"/>
      <c r="W58" s="1943"/>
      <c r="X58" s="1943"/>
      <c r="Y58" s="1943"/>
      <c r="Z58" s="1944"/>
      <c r="AA58" s="2071"/>
    </row>
    <row r="59" spans="1:27" ht="15">
      <c r="A59" s="1937">
        <v>50</v>
      </c>
      <c r="B59" s="1938" t="s">
        <v>465</v>
      </c>
      <c r="C59" s="1938"/>
      <c r="D59" s="1938"/>
      <c r="F59" s="1948">
        <f ca="1">+F15-F57</f>
        <v>465260.14416977158</v>
      </c>
      <c r="G59" s="1927">
        <f ca="1">SUM(H59:Z59)</f>
        <v>465260.14416977158</v>
      </c>
      <c r="H59" s="1953"/>
      <c r="I59" s="1948"/>
      <c r="J59" s="1948"/>
      <c r="K59" s="1948"/>
      <c r="L59" s="1948"/>
      <c r="M59" s="1948"/>
      <c r="N59" s="1948"/>
      <c r="O59" s="1948"/>
      <c r="P59" s="1948"/>
      <c r="Q59" s="1948"/>
      <c r="R59" s="1948"/>
      <c r="S59" s="1948"/>
      <c r="T59" s="1948"/>
      <c r="U59" s="1948"/>
      <c r="V59" s="1948"/>
      <c r="W59" s="1948"/>
      <c r="X59" s="1948"/>
      <c r="Y59" s="1948">
        <f ca="1">+F59</f>
        <v>465260.14416977158</v>
      </c>
      <c r="Z59" s="1954"/>
      <c r="AA59" s="2071"/>
    </row>
    <row r="60" spans="1:27" ht="16.5" thickBot="1">
      <c r="A60" s="1924"/>
      <c r="B60" s="1926"/>
      <c r="C60" s="1955"/>
      <c r="F60" s="1925"/>
      <c r="Z60" s="1945" t="s">
        <v>3847</v>
      </c>
    </row>
    <row r="61" spans="1:27" ht="15.75" thickBot="1">
      <c r="B61" s="1924" t="s">
        <v>314</v>
      </c>
      <c r="C61" s="1955"/>
      <c r="F61" s="1927">
        <f ca="1">+F59+F57</f>
        <v>2684749.33948552</v>
      </c>
      <c r="H61" s="1956">
        <f t="shared" ref="H61:Z61" si="4">SUM(H9:H59)</f>
        <v>123204</v>
      </c>
      <c r="I61" s="1956">
        <f t="shared" si="4"/>
        <v>0</v>
      </c>
      <c r="J61" s="1956">
        <f t="shared" si="4"/>
        <v>114307.69200000001</v>
      </c>
      <c r="K61" s="1956">
        <f t="shared" si="4"/>
        <v>37602.36</v>
      </c>
      <c r="L61" s="1956">
        <f t="shared" si="4"/>
        <v>768839.06904691597</v>
      </c>
      <c r="M61" s="1956">
        <f t="shared" si="4"/>
        <v>115608.1965278429</v>
      </c>
      <c r="N61" s="1956">
        <f t="shared" si="4"/>
        <v>0</v>
      </c>
      <c r="O61" s="1956">
        <f t="shared" si="4"/>
        <v>0</v>
      </c>
      <c r="P61" s="1956">
        <f t="shared" si="4"/>
        <v>0</v>
      </c>
      <c r="Q61" s="1956">
        <f t="shared" si="4"/>
        <v>0</v>
      </c>
      <c r="R61" s="1956">
        <f t="shared" si="4"/>
        <v>419114.33649559517</v>
      </c>
      <c r="S61" s="1956">
        <f t="shared" si="4"/>
        <v>-68682.060099444512</v>
      </c>
      <c r="T61" s="1956">
        <f t="shared" si="4"/>
        <v>0</v>
      </c>
      <c r="U61" s="1956">
        <f t="shared" ca="1" si="4"/>
        <v>51939.358424737628</v>
      </c>
      <c r="V61" s="1956">
        <f t="shared" si="4"/>
        <v>346602.31314332318</v>
      </c>
      <c r="W61" s="1956">
        <f t="shared" ca="1" si="4"/>
        <v>143272.40947644127</v>
      </c>
      <c r="X61" s="1956">
        <f t="shared" ca="1" si="4"/>
        <v>167681.52030033706</v>
      </c>
      <c r="Y61" s="1956">
        <f t="shared" ca="1" si="4"/>
        <v>465260.14416977158</v>
      </c>
      <c r="Z61" s="1957">
        <f t="shared" ca="1" si="4"/>
        <v>2684749.33948552</v>
      </c>
    </row>
    <row r="62" spans="1:27" ht="14.25" thickTop="1">
      <c r="C62" s="1955"/>
    </row>
    <row r="63" spans="1:27" s="1958" customFormat="1" ht="16.5" customHeight="1">
      <c r="B63" s="1959"/>
      <c r="C63" s="2121"/>
      <c r="D63" s="2121"/>
      <c r="E63" s="2121"/>
      <c r="F63" s="1960"/>
      <c r="Z63" s="1943"/>
    </row>
    <row r="64" spans="1:27" s="1958" customFormat="1">
      <c r="B64" s="1959"/>
      <c r="C64" s="1959"/>
      <c r="D64" s="1959"/>
      <c r="E64" s="1959"/>
      <c r="F64" s="1960"/>
      <c r="R64" s="1943"/>
    </row>
    <row r="65" spans="2:26" s="1958" customFormat="1" ht="28.5" customHeight="1">
      <c r="B65" s="1959"/>
      <c r="C65" s="2119"/>
      <c r="D65" s="2119"/>
      <c r="E65" s="2119"/>
      <c r="F65" s="1960"/>
      <c r="R65" s="1943"/>
      <c r="Z65" s="1943"/>
    </row>
    <row r="66" spans="2:26" s="1958" customFormat="1">
      <c r="B66" s="1959"/>
      <c r="C66" s="1959"/>
      <c r="D66" s="1959"/>
      <c r="E66" s="1959"/>
      <c r="F66" s="1960"/>
      <c r="R66" s="1943"/>
    </row>
    <row r="67" spans="2:26" s="1958" customFormat="1" ht="15.75" customHeight="1">
      <c r="B67" s="1959"/>
      <c r="C67" s="2119"/>
      <c r="D67" s="2119"/>
      <c r="E67" s="2119"/>
      <c r="F67" s="1960"/>
      <c r="R67" s="1943"/>
    </row>
    <row r="68" spans="2:26" s="1958" customFormat="1">
      <c r="B68" s="1959"/>
      <c r="C68" s="1959"/>
      <c r="D68" s="1959"/>
      <c r="E68" s="1959"/>
      <c r="F68" s="1960"/>
      <c r="R68" s="1943"/>
    </row>
    <row r="69" spans="2:26" s="1958" customFormat="1" ht="15.75" customHeight="1">
      <c r="B69" s="1959"/>
      <c r="C69" s="2119"/>
      <c r="D69" s="2119"/>
      <c r="E69" s="2119"/>
      <c r="F69" s="1960"/>
      <c r="R69" s="1943"/>
    </row>
    <row r="70" spans="2:26" s="1958" customFormat="1">
      <c r="B70" s="1959"/>
      <c r="C70" s="1959"/>
      <c r="D70" s="1959"/>
      <c r="E70" s="1959"/>
      <c r="F70" s="1960"/>
    </row>
    <row r="71" spans="2:26" s="1958" customFormat="1" ht="30" customHeight="1">
      <c r="B71" s="1959"/>
      <c r="C71" s="2119"/>
      <c r="D71" s="2119"/>
      <c r="E71" s="2119"/>
      <c r="F71" s="1960"/>
    </row>
    <row r="72" spans="2:26" s="1958" customFormat="1">
      <c r="B72" s="1959"/>
      <c r="C72" s="1959"/>
      <c r="D72" s="1959"/>
      <c r="E72" s="1959"/>
      <c r="F72" s="1960"/>
    </row>
    <row r="73" spans="2:26" s="1958" customFormat="1" ht="29.25" customHeight="1">
      <c r="B73" s="1959"/>
      <c r="C73" s="2119"/>
      <c r="D73" s="2119"/>
      <c r="E73" s="2119"/>
      <c r="F73" s="1960"/>
    </row>
    <row r="74" spans="2:26" s="1958" customFormat="1">
      <c r="C74" s="1959"/>
      <c r="D74" s="1959"/>
      <c r="E74" s="1959"/>
      <c r="F74" s="1960"/>
    </row>
    <row r="75" spans="2:26" s="1958" customFormat="1" ht="15" customHeight="1">
      <c r="B75" s="1959"/>
      <c r="C75" s="2119"/>
      <c r="D75" s="2119"/>
      <c r="E75" s="2119"/>
      <c r="F75" s="1960"/>
    </row>
    <row r="76" spans="2:26" s="1958" customFormat="1">
      <c r="B76" s="1959"/>
      <c r="C76" s="1959"/>
      <c r="D76" s="1959"/>
      <c r="E76" s="1959"/>
      <c r="F76" s="1960"/>
    </row>
    <row r="77" spans="2:26" s="1958" customFormat="1" ht="17.25" customHeight="1">
      <c r="B77" s="1959"/>
      <c r="C77" s="2119"/>
      <c r="D77" s="2119"/>
      <c r="E77" s="2119"/>
      <c r="F77" s="1960"/>
    </row>
    <row r="78" spans="2:26" s="1958" customFormat="1">
      <c r="B78" s="1959"/>
      <c r="C78" s="1959"/>
      <c r="D78" s="1959"/>
      <c r="E78" s="1959"/>
      <c r="F78" s="1960"/>
    </row>
    <row r="79" spans="2:26" s="1958" customFormat="1" ht="15.75" customHeight="1">
      <c r="B79" s="1959"/>
      <c r="C79" s="2119"/>
      <c r="D79" s="2119"/>
      <c r="E79" s="2119"/>
      <c r="F79" s="1960"/>
    </row>
    <row r="80" spans="2:26" s="1958" customFormat="1">
      <c r="B80" s="1959"/>
      <c r="C80" s="1959"/>
      <c r="D80" s="1959"/>
      <c r="E80" s="1959"/>
      <c r="F80" s="1960"/>
    </row>
    <row r="81" spans="2:6" s="1958" customFormat="1" ht="15.75" customHeight="1">
      <c r="B81" s="1959"/>
      <c r="C81" s="2119"/>
      <c r="D81" s="2119"/>
      <c r="E81" s="2119"/>
      <c r="F81" s="1960"/>
    </row>
    <row r="82" spans="2:6" s="1958" customFormat="1">
      <c r="B82" s="1959"/>
      <c r="C82" s="1959"/>
      <c r="D82" s="1959"/>
      <c r="E82" s="1959"/>
      <c r="F82" s="1960"/>
    </row>
    <row r="83" spans="2:6" s="1958" customFormat="1" ht="16.5" customHeight="1">
      <c r="B83" s="1959"/>
      <c r="C83" s="2119"/>
      <c r="D83" s="2119"/>
      <c r="E83" s="2119"/>
      <c r="F83" s="1960"/>
    </row>
    <row r="84" spans="2:6" s="1958" customFormat="1">
      <c r="B84" s="1959"/>
      <c r="C84" s="1959"/>
      <c r="D84" s="1959"/>
      <c r="E84" s="1959"/>
      <c r="F84" s="1960"/>
    </row>
    <row r="85" spans="2:6" s="1958" customFormat="1" ht="17.25" customHeight="1">
      <c r="B85" s="1959"/>
      <c r="C85" s="2119"/>
      <c r="D85" s="2119"/>
      <c r="E85" s="2119"/>
      <c r="F85" s="1960"/>
    </row>
    <row r="86" spans="2:6" s="1958" customFormat="1">
      <c r="B86" s="1959"/>
      <c r="C86" s="1959"/>
      <c r="D86" s="1959"/>
      <c r="E86" s="1959"/>
      <c r="F86" s="1960"/>
    </row>
    <row r="87" spans="2:6" s="1958" customFormat="1" ht="18" customHeight="1">
      <c r="B87" s="1959"/>
      <c r="C87" s="2119"/>
      <c r="D87" s="2119"/>
      <c r="E87" s="2119"/>
      <c r="F87" s="1960"/>
    </row>
    <row r="88" spans="2:6" s="1958" customFormat="1">
      <c r="B88" s="1959"/>
      <c r="C88" s="1959"/>
      <c r="D88" s="1959"/>
      <c r="E88" s="1959"/>
      <c r="F88" s="1960"/>
    </row>
    <row r="89" spans="2:6" s="1958" customFormat="1" ht="18" customHeight="1">
      <c r="B89" s="1959"/>
      <c r="C89" s="2119"/>
      <c r="D89" s="2119"/>
      <c r="E89" s="2119"/>
      <c r="F89" s="1960"/>
    </row>
    <row r="90" spans="2:6" s="1958" customFormat="1">
      <c r="B90" s="1959"/>
      <c r="C90" s="1959"/>
      <c r="D90" s="1959"/>
      <c r="E90" s="1959"/>
      <c r="F90" s="1960"/>
    </row>
    <row r="91" spans="2:6" s="1958" customFormat="1" ht="15.75" customHeight="1">
      <c r="B91" s="1959"/>
      <c r="C91" s="2119"/>
      <c r="D91" s="2119"/>
      <c r="E91" s="2119"/>
      <c r="F91" s="1960"/>
    </row>
    <row r="92" spans="2:6" s="1958" customFormat="1">
      <c r="B92" s="1959"/>
      <c r="C92" s="1959"/>
      <c r="D92" s="1959"/>
      <c r="E92" s="1959"/>
      <c r="F92" s="1960"/>
    </row>
  </sheetData>
  <mergeCells count="21">
    <mergeCell ref="C87:E87"/>
    <mergeCell ref="C89:E89"/>
    <mergeCell ref="C91:E91"/>
    <mergeCell ref="C75:E75"/>
    <mergeCell ref="C77:E77"/>
    <mergeCell ref="C79:E79"/>
    <mergeCell ref="C81:E81"/>
    <mergeCell ref="C83:E83"/>
    <mergeCell ref="C85:E85"/>
    <mergeCell ref="T6:U6"/>
    <mergeCell ref="V6:Y6"/>
    <mergeCell ref="C73:E73"/>
    <mergeCell ref="A4:D4"/>
    <mergeCell ref="H6:I6"/>
    <mergeCell ref="J6:K6"/>
    <mergeCell ref="L6:R6"/>
    <mergeCell ref="C63:E63"/>
    <mergeCell ref="C65:E65"/>
    <mergeCell ref="C67:E67"/>
    <mergeCell ref="C69:E69"/>
    <mergeCell ref="C71:E71"/>
  </mergeCells>
  <pageMargins left="0.5" right="0.5" top="0.5" bottom="0.5" header="0.3" footer="0.25"/>
  <pageSetup scale="4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P63"/>
  <sheetViews>
    <sheetView view="pageBreakPreview" zoomScale="90" zoomScaleNormal="85" zoomScaleSheetLayoutView="90" workbookViewId="0">
      <pane xSplit="4" ySplit="8" topLeftCell="E9" activePane="bottomRight" state="frozen"/>
      <selection pane="topRight"/>
      <selection pane="bottomLeft"/>
      <selection pane="bottomRight" activeCell="K42" sqref="K42"/>
    </sheetView>
  </sheetViews>
  <sheetFormatPr defaultRowHeight="12.75"/>
  <cols>
    <col min="1" max="1" width="8.25" style="1962" customWidth="1"/>
    <col min="2" max="2" width="5.875" style="1964" bestFit="1" customWidth="1"/>
    <col min="3" max="3" width="32.5" style="1962" bestFit="1" customWidth="1"/>
    <col min="4" max="4" width="12.375" style="1962" customWidth="1"/>
    <col min="5" max="14" width="12.125" style="1962" customWidth="1"/>
    <col min="15" max="15" width="12.625" style="1962" customWidth="1"/>
    <col min="16" max="16" width="11.875" style="1962" bestFit="1" customWidth="1"/>
    <col min="17" max="17" width="9" style="1962"/>
    <col min="18" max="18" width="11.125" style="1962" bestFit="1" customWidth="1"/>
    <col min="19" max="16384" width="9" style="1962"/>
  </cols>
  <sheetData>
    <row r="1" spans="1:16">
      <c r="A1" s="1961" t="str">
        <f>Company_Name</f>
        <v>WATER SERVICE CORPORATION OF KENTUCKY</v>
      </c>
      <c r="B1" s="1961"/>
      <c r="C1" s="1961"/>
    </row>
    <row r="2" spans="1:16">
      <c r="A2" s="1961" t="str">
        <f>Docket</f>
        <v>Case No. 2015 - 00382</v>
      </c>
      <c r="B2" s="1961"/>
      <c r="C2" s="1961"/>
    </row>
    <row r="3" spans="1:16">
      <c r="A3" s="1961" t="s">
        <v>3850</v>
      </c>
      <c r="B3" s="1961"/>
      <c r="C3" s="1963"/>
    </row>
    <row r="4" spans="1:16">
      <c r="A4" s="2122" t="str">
        <f>TestYearEnded</f>
        <v>Test Year Ended 6/30/2015</v>
      </c>
      <c r="B4" s="2122"/>
      <c r="C4" s="2122"/>
    </row>
    <row r="5" spans="1:16" ht="15">
      <c r="A5" s="1928"/>
      <c r="B5" s="1928"/>
      <c r="C5" s="1928"/>
    </row>
    <row r="6" spans="1:16">
      <c r="C6" s="1965" t="s">
        <v>958</v>
      </c>
      <c r="H6" s="1966" t="s">
        <v>671</v>
      </c>
    </row>
    <row r="7" spans="1:16">
      <c r="D7" s="1967" t="s">
        <v>748</v>
      </c>
      <c r="E7" s="1967" t="s">
        <v>3851</v>
      </c>
      <c r="F7" s="1967" t="s">
        <v>3852</v>
      </c>
      <c r="G7" s="1967" t="s">
        <v>3853</v>
      </c>
      <c r="H7" s="1967" t="s">
        <v>3854</v>
      </c>
      <c r="I7" s="1967" t="s">
        <v>3855</v>
      </c>
      <c r="J7" s="1967"/>
      <c r="K7" s="1967"/>
      <c r="L7" s="1967"/>
      <c r="M7" s="1967"/>
      <c r="N7" s="1967"/>
      <c r="O7" s="1967" t="s">
        <v>3841</v>
      </c>
    </row>
    <row r="8" spans="1:16">
      <c r="B8" s="1964" t="s">
        <v>3856</v>
      </c>
      <c r="C8" s="1962" t="s">
        <v>679</v>
      </c>
      <c r="D8" s="1968" t="s">
        <v>671</v>
      </c>
      <c r="E8" s="1968" t="s">
        <v>292</v>
      </c>
      <c r="F8" s="1968" t="s">
        <v>3857</v>
      </c>
      <c r="G8" s="1968" t="s">
        <v>292</v>
      </c>
      <c r="H8" s="1968" t="s">
        <v>292</v>
      </c>
      <c r="I8" s="1968" t="s">
        <v>3858</v>
      </c>
      <c r="J8" s="1968" t="s">
        <v>3836</v>
      </c>
      <c r="K8" s="1968" t="s">
        <v>84</v>
      </c>
      <c r="L8" s="1968" t="s">
        <v>3789</v>
      </c>
      <c r="M8" s="1968" t="s">
        <v>444</v>
      </c>
      <c r="N8" s="1968" t="s">
        <v>3859</v>
      </c>
      <c r="O8" s="1968" t="s">
        <v>292</v>
      </c>
      <c r="P8" s="1962" t="s">
        <v>314</v>
      </c>
    </row>
    <row r="9" spans="1:16" ht="15">
      <c r="B9" s="1969"/>
      <c r="C9" s="1970"/>
      <c r="D9" s="1971"/>
    </row>
    <row r="10" spans="1:16">
      <c r="B10" s="1972">
        <v>1020</v>
      </c>
      <c r="C10" s="1973" t="s">
        <v>1975</v>
      </c>
      <c r="D10" s="1974">
        <f>SUMIFS('wp-f-depr new rates'!$E:$E,'wp-f-depr new rates'!$B:$B,'wp - t-9 Plant in Service COSS'!$B10)+SUMIFS('wp-f-depr new rates'!$G:$G,'wp-f-depr new rates'!$B:$B,'wp - t-9 Plant in Service COSS'!$B10)</f>
        <v>164394.1</v>
      </c>
      <c r="E10" s="1975">
        <f>+D10</f>
        <v>164394.1</v>
      </c>
      <c r="P10" s="1962">
        <f>SUM(E10:O10)</f>
        <v>164394.1</v>
      </c>
    </row>
    <row r="11" spans="1:16">
      <c r="B11" s="1972">
        <v>1025</v>
      </c>
      <c r="C11" s="1973" t="s">
        <v>3860</v>
      </c>
      <c r="D11" s="1974">
        <f>SUMIFS('wp-f-depr new rates'!$E:$E,'wp-f-depr new rates'!$B:$B,'wp - t-9 Plant in Service COSS'!$B11)+SUMIFS('wp-f-depr new rates'!$G:$G,'wp-f-depr new rates'!$B:$B,'wp - t-9 Plant in Service COSS'!$B11)</f>
        <v>0</v>
      </c>
      <c r="E11" s="1975">
        <f>+D11</f>
        <v>0</v>
      </c>
      <c r="P11" s="1962">
        <f t="shared" ref="P11:P42" si="0">SUM(E11:O11)</f>
        <v>0</v>
      </c>
    </row>
    <row r="12" spans="1:16">
      <c r="B12" s="1972">
        <v>1030</v>
      </c>
      <c r="C12" s="1973" t="s">
        <v>3861</v>
      </c>
      <c r="D12" s="1974">
        <f>SUMIFS('wp-f-depr new rates'!$E:$E,'wp-f-depr new rates'!$B:$B,'wp - t-9 Plant in Service COSS'!$B12)+SUMIFS('wp-f-depr new rates'!$G:$G,'wp-f-depr new rates'!$B:$B,'wp - t-9 Plant in Service COSS'!$B12)</f>
        <v>0</v>
      </c>
      <c r="G12" s="1975">
        <f>+D12</f>
        <v>0</v>
      </c>
      <c r="P12" s="1962">
        <f t="shared" si="0"/>
        <v>0</v>
      </c>
    </row>
    <row r="13" spans="1:16">
      <c r="B13" s="1972">
        <v>1035</v>
      </c>
      <c r="C13" s="1973" t="s">
        <v>3862</v>
      </c>
      <c r="D13" s="1974">
        <f>SUMIFS('wp-f-depr new rates'!$E:$E,'wp-f-depr new rates'!$B:$B,'wp - t-9 Plant in Service COSS'!$B13)+SUMIFS('wp-f-depr new rates'!$G:$G,'wp-f-depr new rates'!$B:$B,'wp - t-9 Plant in Service COSS'!$B13)</f>
        <v>0</v>
      </c>
      <c r="H13" s="1975">
        <f>+D13</f>
        <v>0</v>
      </c>
      <c r="P13" s="1962">
        <f t="shared" si="0"/>
        <v>0</v>
      </c>
    </row>
    <row r="14" spans="1:16">
      <c r="B14" s="1972">
        <v>1040</v>
      </c>
      <c r="C14" s="1973" t="s">
        <v>3863</v>
      </c>
      <c r="D14" s="1974">
        <f>SUMIFS('wp-f-depr new rates'!$E:$E,'wp-f-depr new rates'!$B:$B,'wp - t-9 Plant in Service COSS'!$B14)+SUMIFS('wp-f-depr new rates'!$G:$G,'wp-f-depr new rates'!$B:$B,'wp - t-9 Plant in Service COSS'!$B14)</f>
        <v>0</v>
      </c>
      <c r="N14" s="1975">
        <f>+D14</f>
        <v>0</v>
      </c>
      <c r="P14" s="1962">
        <f t="shared" si="0"/>
        <v>0</v>
      </c>
    </row>
    <row r="15" spans="1:16">
      <c r="B15" s="1972">
        <v>1045</v>
      </c>
      <c r="C15" s="1973" t="s">
        <v>1976</v>
      </c>
      <c r="D15" s="1974">
        <f>SUMIFS('wp-f-depr new rates'!$E:$E,'wp-f-depr new rates'!$B:$B,'wp - t-9 Plant in Service COSS'!$B15)+SUMIFS('wp-f-depr new rates'!$G:$G,'wp-f-depr new rates'!$B:$B,'wp - t-9 Plant in Service COSS'!$B15)</f>
        <v>22551.41</v>
      </c>
      <c r="F15" s="1976"/>
      <c r="O15" s="1975">
        <f>+D15</f>
        <v>22551.41</v>
      </c>
      <c r="P15" s="1962">
        <f>SUM(E15:O15)</f>
        <v>22551.41</v>
      </c>
    </row>
    <row r="16" spans="1:16">
      <c r="B16" s="1972">
        <v>1050</v>
      </c>
      <c r="C16" s="1973" t="s">
        <v>1977</v>
      </c>
      <c r="D16" s="1974">
        <f>SUMIFS('wp-f-depr new rates'!$E:$E,'wp-f-depr new rates'!$B:$B,'wp - t-9 Plant in Service COSS'!$B16)+SUMIFS('wp-f-depr new rates'!$G:$G,'wp-f-depr new rates'!$B:$B,'wp - t-9 Plant in Service COSS'!$B16)</f>
        <v>121758.46522406678</v>
      </c>
      <c r="F16" s="1975">
        <f>+D16</f>
        <v>121758.46522406678</v>
      </c>
      <c r="P16" s="1962">
        <f t="shared" si="0"/>
        <v>121758.46522406678</v>
      </c>
    </row>
    <row r="17" spans="2:16">
      <c r="B17" s="1972">
        <v>1055</v>
      </c>
      <c r="C17" s="1973" t="s">
        <v>1978</v>
      </c>
      <c r="D17" s="1974">
        <f>SUMIFS('wp-f-depr new rates'!$E:$E,'wp-f-depr new rates'!$B:$B,'wp - t-9 Plant in Service COSS'!$B17)+SUMIFS('wp-f-depr new rates'!$G:$G,'wp-f-depr new rates'!$B:$B,'wp - t-9 Plant in Service COSS'!$B17)</f>
        <v>476964.47236481134</v>
      </c>
      <c r="H17" s="1975">
        <f>+D17</f>
        <v>476964.47236481134</v>
      </c>
      <c r="P17" s="1962">
        <f t="shared" si="0"/>
        <v>476964.47236481134</v>
      </c>
    </row>
    <row r="18" spans="2:16">
      <c r="B18" s="1972">
        <v>1060</v>
      </c>
      <c r="C18" s="1973" t="s">
        <v>1979</v>
      </c>
      <c r="D18" s="1974">
        <f>SUMIFS('wp-f-depr new rates'!$E:$E,'wp-f-depr new rates'!$B:$B,'wp - t-9 Plant in Service COSS'!$B18)+SUMIFS('wp-f-depr new rates'!$G:$G,'wp-f-depr new rates'!$B:$B,'wp - t-9 Plant in Service COSS'!$B18)</f>
        <v>469.30285663023022</v>
      </c>
      <c r="J18" s="1976"/>
      <c r="N18" s="1975">
        <f>+D18</f>
        <v>469.30285663023022</v>
      </c>
      <c r="P18" s="1962">
        <f t="shared" si="0"/>
        <v>469.30285663023022</v>
      </c>
    </row>
    <row r="19" spans="2:16">
      <c r="B19" s="1972">
        <v>1065</v>
      </c>
      <c r="C19" s="1973" t="s">
        <v>1980</v>
      </c>
      <c r="D19" s="1974">
        <f>SUMIFS('wp-f-depr new rates'!$E:$E,'wp-f-depr new rates'!$B:$B,'wp - t-9 Plant in Service COSS'!$B19)+SUMIFS('wp-f-depr new rates'!$G:$G,'wp-f-depr new rates'!$B:$B,'wp - t-9 Plant in Service COSS'!$B19)</f>
        <v>131793.9297180422</v>
      </c>
      <c r="H19" s="1976"/>
      <c r="O19" s="1975">
        <f>+D19</f>
        <v>131793.9297180422</v>
      </c>
      <c r="P19" s="1962">
        <f>SUM(E19:O19)</f>
        <v>131793.9297180422</v>
      </c>
    </row>
    <row r="20" spans="2:16">
      <c r="B20" s="1972">
        <v>1070</v>
      </c>
      <c r="C20" s="1973" t="s">
        <v>3864</v>
      </c>
      <c r="D20" s="1974">
        <f>SUMIFS('wp-f-depr new rates'!$E:$E,'wp-f-depr new rates'!$B:$B,'wp - t-9 Plant in Service COSS'!$B20)+SUMIFS('wp-f-depr new rates'!$G:$G,'wp-f-depr new rates'!$B:$B,'wp - t-9 Plant in Service COSS'!$B20)</f>
        <v>0</v>
      </c>
      <c r="F20" s="1975">
        <f>+D20</f>
        <v>0</v>
      </c>
      <c r="H20" s="1976"/>
      <c r="P20" s="1962">
        <f t="shared" si="0"/>
        <v>0</v>
      </c>
    </row>
    <row r="21" spans="2:16">
      <c r="B21" s="1972">
        <v>1080</v>
      </c>
      <c r="C21" s="1973" t="s">
        <v>1981</v>
      </c>
      <c r="D21" s="1974">
        <f>SUMIFS('wp-f-depr new rates'!$E:$E,'wp-f-depr new rates'!$B:$B,'wp - t-9 Plant in Service COSS'!$B21)+SUMIFS('wp-f-depr new rates'!$G:$G,'wp-f-depr new rates'!$B:$B,'wp - t-9 Plant in Service COSS'!$B21)</f>
        <v>485469.78582650056</v>
      </c>
      <c r="F21" s="1975">
        <f>+D21</f>
        <v>485469.78582650056</v>
      </c>
      <c r="P21" s="1962">
        <f t="shared" si="0"/>
        <v>485469.78582650056</v>
      </c>
    </row>
    <row r="22" spans="2:16">
      <c r="B22" s="1972">
        <v>1090</v>
      </c>
      <c r="C22" s="1973" t="s">
        <v>1982</v>
      </c>
      <c r="D22" s="1974">
        <f>SUMIFS('wp-f-depr new rates'!$E:$E,'wp-f-depr new rates'!$B:$B,'wp - t-9 Plant in Service COSS'!$B22)+SUMIFS('wp-f-depr new rates'!$G:$G,'wp-f-depr new rates'!$B:$B,'wp - t-9 Plant in Service COSS'!$B22)</f>
        <v>9650.1683740433982</v>
      </c>
      <c r="F22" s="1975">
        <f>+D22</f>
        <v>9650.1683740433982</v>
      </c>
      <c r="P22" s="1962">
        <f t="shared" si="0"/>
        <v>9650.1683740433982</v>
      </c>
    </row>
    <row r="23" spans="2:16">
      <c r="B23" s="1972">
        <v>1095</v>
      </c>
      <c r="C23" s="1973" t="s">
        <v>3865</v>
      </c>
      <c r="D23" s="1974">
        <f>SUMIFS('wp-f-depr new rates'!$E:$E,'wp-f-depr new rates'!$B:$B,'wp - t-9 Plant in Service COSS'!$B23)+SUMIFS('wp-f-depr new rates'!$G:$G,'wp-f-depr new rates'!$B:$B,'wp - t-9 Plant in Service COSS'!$B23)</f>
        <v>0</v>
      </c>
      <c r="G23" s="1975">
        <f>+D23</f>
        <v>0</v>
      </c>
      <c r="P23" s="1962">
        <f t="shared" si="0"/>
        <v>0</v>
      </c>
    </row>
    <row r="24" spans="2:16">
      <c r="B24" s="1972">
        <v>1100</v>
      </c>
      <c r="C24" s="1973" t="s">
        <v>1983</v>
      </c>
      <c r="D24" s="1974">
        <f>SUMIFS('wp-f-depr new rates'!$E:$E,'wp-f-depr new rates'!$B:$B,'wp - t-9 Plant in Service COSS'!$B24)+SUMIFS('wp-f-depr new rates'!$G:$G,'wp-f-depr new rates'!$B:$B,'wp - t-9 Plant in Service COSS'!$B24)</f>
        <v>9378.9489484922633</v>
      </c>
      <c r="G24" s="1975">
        <f>+D24</f>
        <v>9378.9489484922633</v>
      </c>
      <c r="P24" s="1962">
        <f t="shared" si="0"/>
        <v>9378.9489484922633</v>
      </c>
    </row>
    <row r="25" spans="2:16">
      <c r="B25" s="1972">
        <v>1105</v>
      </c>
      <c r="C25" s="1973" t="s">
        <v>1984</v>
      </c>
      <c r="D25" s="1974">
        <f>SUMIFS('wp-f-depr new rates'!$E:$E,'wp-f-depr new rates'!$B:$B,'wp - t-9 Plant in Service COSS'!$B25)+SUMIFS('wp-f-depr new rates'!$G:$G,'wp-f-depr new rates'!$B:$B,'wp - t-9 Plant in Service COSS'!$B25)</f>
        <v>714038.88641447225</v>
      </c>
      <c r="G25" s="1976"/>
      <c r="H25" s="1975">
        <f>+D25</f>
        <v>714038.88641447225</v>
      </c>
      <c r="P25" s="1962">
        <f t="shared" si="0"/>
        <v>714038.88641447225</v>
      </c>
    </row>
    <row r="26" spans="2:16">
      <c r="B26" s="1972">
        <v>1110</v>
      </c>
      <c r="C26" s="1973" t="s">
        <v>1985</v>
      </c>
      <c r="D26" s="1974">
        <f>SUMIFS('wp-f-depr new rates'!$E:$E,'wp-f-depr new rates'!$B:$B,'wp - t-9 Plant in Service COSS'!$B26)+SUMIFS('wp-f-depr new rates'!$G:$G,'wp-f-depr new rates'!$B:$B,'wp - t-9 Plant in Service COSS'!$B26)</f>
        <v>7660.2327402473729</v>
      </c>
      <c r="G26" s="1976"/>
      <c r="N26" s="1975">
        <f>+D26</f>
        <v>7660.2327402473729</v>
      </c>
      <c r="P26" s="1962">
        <f t="shared" si="0"/>
        <v>7660.2327402473729</v>
      </c>
    </row>
    <row r="27" spans="2:16">
      <c r="B27" s="1972">
        <v>1115</v>
      </c>
      <c r="C27" s="1973" t="s">
        <v>1986</v>
      </c>
      <c r="D27" s="1974">
        <f>SUMIFS('wp-f-depr new rates'!$E:$E,'wp-f-depr new rates'!$B:$B,'wp - t-9 Plant in Service COSS'!$B27)+SUMIFS('wp-f-depr new rates'!$G:$G,'wp-f-depr new rates'!$B:$B,'wp - t-9 Plant in Service COSS'!$B27)</f>
        <v>1028395.9288808148</v>
      </c>
      <c r="H27" s="1975">
        <f>+D27</f>
        <v>1028395.9288808148</v>
      </c>
      <c r="P27" s="1962">
        <f t="shared" si="0"/>
        <v>1028395.9288808148</v>
      </c>
    </row>
    <row r="28" spans="2:16">
      <c r="B28" s="1972">
        <v>1120</v>
      </c>
      <c r="C28" s="1973" t="s">
        <v>1987</v>
      </c>
      <c r="D28" s="1974">
        <f>SUMIFS('wp-f-depr new rates'!$E:$E,'wp-f-depr new rates'!$B:$B,'wp - t-9 Plant in Service COSS'!$B28)+SUMIFS('wp-f-depr new rates'!$G:$G,'wp-f-depr new rates'!$B:$B,'wp - t-9 Plant in Service COSS'!$B28)</f>
        <v>538263.24546015053</v>
      </c>
      <c r="N28" s="1975">
        <f>+D28</f>
        <v>538263.24546015053</v>
      </c>
      <c r="O28" s="1976"/>
      <c r="P28" s="1962">
        <f t="shared" si="0"/>
        <v>538263.24546015053</v>
      </c>
    </row>
    <row r="29" spans="2:16">
      <c r="B29" s="1972">
        <v>1125</v>
      </c>
      <c r="C29" s="1973" t="s">
        <v>1988</v>
      </c>
      <c r="D29" s="1974">
        <f>SUMIFS('wp-f-depr new rates'!$E:$E,'wp-f-depr new rates'!$B:$B,'wp - t-9 Plant in Service COSS'!$B29)+SUMIFS('wp-f-depr new rates'!$G:$G,'wp-f-depr new rates'!$B:$B,'wp - t-9 Plant in Service COSS'!$B29)</f>
        <v>3447565.9718906931</v>
      </c>
      <c r="J29" s="1975">
        <f>+D29</f>
        <v>3447565.9718906931</v>
      </c>
      <c r="P29" s="1962">
        <f t="shared" si="0"/>
        <v>3447565.9718906931</v>
      </c>
    </row>
    <row r="30" spans="2:16">
      <c r="B30" s="1972">
        <v>1130</v>
      </c>
      <c r="C30" s="1973" t="s">
        <v>1989</v>
      </c>
      <c r="D30" s="1974">
        <f>SUMIFS('wp-f-depr new rates'!$E:$E,'wp-f-depr new rates'!$B:$B,'wp - t-9 Plant in Service COSS'!$B30)+SUMIFS('wp-f-depr new rates'!$G:$G,'wp-f-depr new rates'!$B:$B,'wp - t-9 Plant in Service COSS'!$B30)</f>
        <v>896165.17633483314</v>
      </c>
      <c r="L30" s="1975">
        <f>+D30</f>
        <v>896165.17633483314</v>
      </c>
      <c r="P30" s="1962">
        <f t="shared" si="0"/>
        <v>896165.17633483314</v>
      </c>
    </row>
    <row r="31" spans="2:16">
      <c r="B31" s="1972">
        <v>1135</v>
      </c>
      <c r="C31" s="1973" t="s">
        <v>1990</v>
      </c>
      <c r="D31" s="1974">
        <f>SUMIFS('wp-f-depr new rates'!$E:$E,'wp-f-depr new rates'!$B:$B,'wp - t-9 Plant in Service COSS'!$B31)+SUMIFS('wp-f-depr new rates'!$G:$G,'wp-f-depr new rates'!$B:$B,'wp - t-9 Plant in Service COSS'!$B31)</f>
        <v>750601.91097233607</v>
      </c>
      <c r="K31" s="1975">
        <f>+D31</f>
        <v>750601.91097233607</v>
      </c>
      <c r="P31" s="1962">
        <f t="shared" si="0"/>
        <v>750601.91097233607</v>
      </c>
    </row>
    <row r="32" spans="2:16">
      <c r="B32" s="1972">
        <v>1140</v>
      </c>
      <c r="C32" s="1973" t="s">
        <v>1991</v>
      </c>
      <c r="D32" s="1974">
        <f>SUMIFS('wp-f-depr new rates'!$E:$E,'wp-f-depr new rates'!$B:$B,'wp - t-9 Plant in Service COSS'!$B32)+SUMIFS('wp-f-depr new rates'!$G:$G,'wp-f-depr new rates'!$B:$B,'wp - t-9 Plant in Service COSS'!$B32)</f>
        <v>610730.87741318613</v>
      </c>
      <c r="K32" s="1975">
        <f>+D32</f>
        <v>610730.87741318613</v>
      </c>
      <c r="P32" s="1962">
        <f t="shared" si="0"/>
        <v>610730.87741318613</v>
      </c>
    </row>
    <row r="33" spans="2:16">
      <c r="B33" s="1972">
        <v>1145</v>
      </c>
      <c r="C33" s="1973" t="s">
        <v>1992</v>
      </c>
      <c r="D33" s="1974">
        <f>SUMIFS('wp-f-depr new rates'!$E:$E,'wp-f-depr new rates'!$B:$B,'wp - t-9 Plant in Service COSS'!$B33)+SUMIFS('wp-f-depr new rates'!$G:$G,'wp-f-depr new rates'!$B:$B,'wp - t-9 Plant in Service COSS'!$B33)</f>
        <v>413501.39448979008</v>
      </c>
      <c r="M33" s="1975">
        <f>+D33</f>
        <v>413501.39448979008</v>
      </c>
      <c r="P33" s="1962">
        <f t="shared" si="0"/>
        <v>413501.39448979008</v>
      </c>
    </row>
    <row r="34" spans="2:16">
      <c r="B34" s="1972">
        <v>1150</v>
      </c>
      <c r="C34" s="1973" t="s">
        <v>3866</v>
      </c>
      <c r="D34" s="1974">
        <f>SUMIFS('wp-f-depr new rates'!$E:$E,'wp-f-depr new rates'!$B:$B,'wp - t-9 Plant in Service COSS'!$B34)+SUMIFS('wp-f-depr new rates'!$G:$G,'wp-f-depr new rates'!$B:$B,'wp - t-9 Plant in Service COSS'!$B34)</f>
        <v>0</v>
      </c>
      <c r="N34" s="1975">
        <f>+D34</f>
        <v>0</v>
      </c>
      <c r="O34" s="1976"/>
      <c r="P34" s="1962">
        <f t="shared" si="0"/>
        <v>0</v>
      </c>
    </row>
    <row r="35" spans="2:16">
      <c r="B35" s="1972">
        <v>1165</v>
      </c>
      <c r="C35" s="1973" t="s">
        <v>3867</v>
      </c>
      <c r="D35" s="1974">
        <f>SUMIFS('wp-f-depr new rates'!$E:$E,'wp-f-depr new rates'!$B:$B,'wp - t-9 Plant in Service COSS'!$B35)+SUMIFS('wp-f-depr new rates'!$G:$G,'wp-f-depr new rates'!$B:$B,'wp - t-9 Plant in Service COSS'!$B35)</f>
        <v>0</v>
      </c>
      <c r="H35" s="1975">
        <f>+D35</f>
        <v>0</v>
      </c>
      <c r="O35" s="1976"/>
      <c r="P35" s="1962">
        <f t="shared" si="0"/>
        <v>0</v>
      </c>
    </row>
    <row r="36" spans="2:16">
      <c r="B36" s="1972">
        <v>1175</v>
      </c>
      <c r="C36" s="1973" t="s">
        <v>1993</v>
      </c>
      <c r="D36" s="1974">
        <f>SUMIFS('wp-f-depr new rates'!$E:$E,'wp-f-depr new rates'!$B:$B,'wp - t-9 Plant in Service COSS'!$B36)+SUMIFS('wp-f-depr new rates'!$G:$G,'wp-f-depr new rates'!$B:$B,'wp - t-9 Plant in Service COSS'!$B36)</f>
        <v>153829.22928276699</v>
      </c>
      <c r="O36" s="1975">
        <f t="shared" ref="O36:O42" si="1">+D36</f>
        <v>153829.22928276699</v>
      </c>
      <c r="P36" s="1962">
        <f t="shared" si="0"/>
        <v>153829.22928276699</v>
      </c>
    </row>
    <row r="37" spans="2:16">
      <c r="B37" s="1972">
        <v>1180</v>
      </c>
      <c r="C37" s="1973" t="s">
        <v>1994</v>
      </c>
      <c r="D37" s="1974">
        <f>SUMIFS('wp-f-depr new rates'!$E:$E,'wp-f-depr new rates'!$B:$B,'wp - t-9 Plant in Service COSS'!$B37)+SUMIFS('wp-f-depr new rates'!$G:$G,'wp-f-depr new rates'!$B:$B,'wp - t-9 Plant in Service COSS'!$B37)</f>
        <v>102641.97520068243</v>
      </c>
      <c r="O37" s="1975">
        <f t="shared" si="1"/>
        <v>102641.97520068243</v>
      </c>
      <c r="P37" s="1962">
        <f t="shared" si="0"/>
        <v>102641.97520068243</v>
      </c>
    </row>
    <row r="38" spans="2:16">
      <c r="B38" s="1972">
        <v>1190</v>
      </c>
      <c r="C38" s="1973" t="s">
        <v>1995</v>
      </c>
      <c r="D38" s="1974">
        <f>SUMIFS('wp-f-depr new rates'!$E:$E,'wp-f-depr new rates'!$B:$B,'wp - t-9 Plant in Service COSS'!$B38)+SUMIFS('wp-f-depr new rates'!$G:$G,'wp-f-depr new rates'!$B:$B,'wp - t-9 Plant in Service COSS'!$B38)</f>
        <v>274503.94557206339</v>
      </c>
      <c r="O38" s="1975">
        <f t="shared" si="1"/>
        <v>274503.94557206339</v>
      </c>
      <c r="P38" s="1962">
        <f t="shared" si="0"/>
        <v>274503.94557206339</v>
      </c>
    </row>
    <row r="39" spans="2:16">
      <c r="B39" s="1972">
        <v>1195</v>
      </c>
      <c r="C39" s="1973" t="s">
        <v>1996</v>
      </c>
      <c r="D39" s="1974">
        <f>SUMIFS('wp-f-depr new rates'!$E:$E,'wp-f-depr new rates'!$B:$B,'wp - t-9 Plant in Service COSS'!$B39)+SUMIFS('wp-f-depr new rates'!$G:$G,'wp-f-depr new rates'!$B:$B,'wp - t-9 Plant in Service COSS'!$B39)</f>
        <v>79586.44274977906</v>
      </c>
      <c r="O39" s="1975">
        <f t="shared" si="1"/>
        <v>79586.44274977906</v>
      </c>
      <c r="P39" s="1962">
        <f t="shared" si="0"/>
        <v>79586.44274977906</v>
      </c>
    </row>
    <row r="40" spans="2:16">
      <c r="B40" s="1972">
        <v>1200</v>
      </c>
      <c r="C40" s="1973" t="s">
        <v>1997</v>
      </c>
      <c r="D40" s="1974">
        <f>SUMIFS('wp-f-depr new rates'!$E:$E,'wp-f-depr new rates'!$B:$B,'wp - t-9 Plant in Service COSS'!$B40)+SUMIFS('wp-f-depr new rates'!$G:$G,'wp-f-depr new rates'!$B:$B,'wp - t-9 Plant in Service COSS'!$B40)</f>
        <v>2613.6152329290412</v>
      </c>
      <c r="O40" s="1975">
        <f t="shared" si="1"/>
        <v>2613.6152329290412</v>
      </c>
      <c r="P40" s="1962">
        <f t="shared" si="0"/>
        <v>2613.6152329290412</v>
      </c>
    </row>
    <row r="41" spans="2:16">
      <c r="B41" s="1972">
        <v>1205</v>
      </c>
      <c r="C41" s="1973" t="s">
        <v>1998</v>
      </c>
      <c r="D41" s="1974">
        <f>SUMIFS('wp-f-depr new rates'!$E:$E,'wp-f-depr new rates'!$B:$B,'wp - t-9 Plant in Service COSS'!$B41)+SUMIFS('wp-f-depr new rates'!$G:$G,'wp-f-depr new rates'!$B:$B,'wp - t-9 Plant in Service COSS'!$B41)</f>
        <v>55717.892674009228</v>
      </c>
      <c r="O41" s="1975">
        <f t="shared" si="1"/>
        <v>55717.892674009228</v>
      </c>
      <c r="P41" s="1962">
        <f t="shared" si="0"/>
        <v>55717.892674009228</v>
      </c>
    </row>
    <row r="42" spans="2:16">
      <c r="B42" s="1972">
        <v>1215</v>
      </c>
      <c r="C42" s="1973" t="s">
        <v>1999</v>
      </c>
      <c r="D42" s="1974">
        <f>SUMIFS('wp-f-depr new rates'!$E:$E,'wp-f-depr new rates'!$B:$B,'wp - t-9 Plant in Service COSS'!$B42)+SUMIFS('wp-f-depr new rates'!$G:$G,'wp-f-depr new rates'!$B:$B,'wp - t-9 Plant in Service COSS'!$B42)</f>
        <v>71159.126100881884</v>
      </c>
      <c r="O42" s="1975">
        <f t="shared" si="1"/>
        <v>71159.126100881884</v>
      </c>
      <c r="P42" s="1962">
        <f t="shared" si="0"/>
        <v>71159.126100881884</v>
      </c>
    </row>
    <row r="43" spans="2:16">
      <c r="B43" s="1972"/>
      <c r="C43" s="1977"/>
      <c r="D43" s="1978"/>
    </row>
    <row r="44" spans="2:16">
      <c r="B44" s="1972" t="s">
        <v>959</v>
      </c>
      <c r="C44" s="1973" t="s">
        <v>960</v>
      </c>
      <c r="D44" s="1979">
        <f>SUM(D10:D43)</f>
        <v>10569406.434722219</v>
      </c>
      <c r="P44" s="1979">
        <f>SUM(P10:P43)</f>
        <v>10569406.434722219</v>
      </c>
    </row>
    <row r="45" spans="2:16">
      <c r="B45" s="1972"/>
      <c r="C45" s="1973"/>
      <c r="D45" s="1971"/>
    </row>
    <row r="46" spans="2:16">
      <c r="B46" s="1980">
        <v>1555</v>
      </c>
      <c r="C46" s="1973" t="s">
        <v>2000</v>
      </c>
      <c r="D46" s="1974">
        <f>'wp-p-Vehicles'!N30</f>
        <v>645193.41061555245</v>
      </c>
      <c r="O46" s="1975">
        <f>+D46</f>
        <v>645193.41061555245</v>
      </c>
      <c r="P46" s="1962">
        <f t="shared" ref="P46" si="2">SUM(E46:O46)</f>
        <v>645193.41061555245</v>
      </c>
    </row>
    <row r="47" spans="2:16">
      <c r="B47" s="1972"/>
      <c r="C47" s="1977"/>
      <c r="D47" s="1971"/>
    </row>
    <row r="48" spans="2:16">
      <c r="B48" s="1972" t="s">
        <v>959</v>
      </c>
      <c r="C48" s="1973" t="s">
        <v>961</v>
      </c>
      <c r="D48" s="1979">
        <f>+D46</f>
        <v>645193.41061555245</v>
      </c>
      <c r="P48" s="1979">
        <f>+P46</f>
        <v>645193.41061555245</v>
      </c>
    </row>
    <row r="49" spans="2:16">
      <c r="B49" s="1972"/>
      <c r="C49" s="1977"/>
      <c r="D49" s="1971"/>
    </row>
    <row r="50" spans="2:16">
      <c r="B50" s="1980">
        <v>1580</v>
      </c>
      <c r="C50" s="1973" t="s">
        <v>2001</v>
      </c>
      <c r="D50" s="1974">
        <f>'wp-o-Computers'!E853</f>
        <v>28678.820372546834</v>
      </c>
      <c r="O50" s="1975">
        <f>+D50</f>
        <v>28678.820372546834</v>
      </c>
      <c r="P50" s="1962">
        <f t="shared" ref="P50:P53" si="3">SUM(E50:O50)</f>
        <v>28678.820372546834</v>
      </c>
    </row>
    <row r="51" spans="2:16">
      <c r="B51" s="1980">
        <v>1585</v>
      </c>
      <c r="C51" s="1973" t="s">
        <v>2002</v>
      </c>
      <c r="D51" s="1974">
        <f>'wp-o-Computers'!E854</f>
        <v>134842.59210817434</v>
      </c>
      <c r="O51" s="1975">
        <f>+D51</f>
        <v>134842.59210817434</v>
      </c>
      <c r="P51" s="1962">
        <f t="shared" si="3"/>
        <v>134842.59210817434</v>
      </c>
    </row>
    <row r="52" spans="2:16">
      <c r="B52" s="1980">
        <v>1590</v>
      </c>
      <c r="C52" s="1973" t="s">
        <v>2003</v>
      </c>
      <c r="D52" s="1974">
        <f>'wp-o-Computers'!E855</f>
        <v>42399.573353185602</v>
      </c>
      <c r="O52" s="1975">
        <f>+D52</f>
        <v>42399.573353185602</v>
      </c>
      <c r="P52" s="1962">
        <f t="shared" si="3"/>
        <v>42399.573353185602</v>
      </c>
    </row>
    <row r="53" spans="2:16">
      <c r="B53" s="1980">
        <v>1595</v>
      </c>
      <c r="C53" s="1973" t="s">
        <v>2004</v>
      </c>
      <c r="D53" s="1974">
        <f>'wp-o-Computers'!E856</f>
        <v>18079.077972244017</v>
      </c>
      <c r="O53" s="1975">
        <f>+D53</f>
        <v>18079.077972244017</v>
      </c>
      <c r="P53" s="1962">
        <f t="shared" si="3"/>
        <v>18079.077972244017</v>
      </c>
    </row>
    <row r="54" spans="2:16">
      <c r="B54" s="1972"/>
      <c r="C54" s="1977"/>
      <c r="D54" s="1971"/>
    </row>
    <row r="55" spans="2:16">
      <c r="B55" s="1972" t="s">
        <v>959</v>
      </c>
      <c r="C55" s="1973" t="s">
        <v>962</v>
      </c>
      <c r="D55" s="1979">
        <f>SUM(D50:D53)</f>
        <v>224000.06380615081</v>
      </c>
      <c r="P55" s="1979">
        <f>SUM(P50:P53)</f>
        <v>224000.06380615081</v>
      </c>
    </row>
    <row r="56" spans="2:16">
      <c r="B56" s="1972"/>
      <c r="C56" s="1977"/>
      <c r="D56" s="1971"/>
    </row>
    <row r="57" spans="2:16">
      <c r="B57" s="1972"/>
      <c r="C57" s="1973"/>
      <c r="D57" s="1978"/>
    </row>
    <row r="58" spans="2:16">
      <c r="D58" s="1971"/>
    </row>
    <row r="59" spans="2:16">
      <c r="B59" s="1972" t="s">
        <v>959</v>
      </c>
      <c r="C59" s="1973" t="s">
        <v>3868</v>
      </c>
      <c r="D59" s="1981">
        <f>+D44+D48+D55</f>
        <v>11438599.909143921</v>
      </c>
      <c r="P59" s="1981">
        <f>+P44+P48+P55</f>
        <v>11438599.909143921</v>
      </c>
    </row>
    <row r="62" spans="2:16" ht="13.5" thickBot="1">
      <c r="B62" s="1972" t="s">
        <v>959</v>
      </c>
      <c r="C62" s="1973" t="s">
        <v>3869</v>
      </c>
      <c r="D62" s="1982">
        <f>+D59</f>
        <v>11438599.909143921</v>
      </c>
      <c r="E62" s="1983">
        <f t="shared" ref="E62:O62" si="4">SUM(E10:E61)</f>
        <v>164394.1</v>
      </c>
      <c r="F62" s="1983">
        <f t="shared" si="4"/>
        <v>616878.41942461079</v>
      </c>
      <c r="G62" s="1983">
        <f t="shared" si="4"/>
        <v>9378.9489484922633</v>
      </c>
      <c r="H62" s="1983">
        <f t="shared" si="4"/>
        <v>2219399.2876600986</v>
      </c>
      <c r="I62" s="1983">
        <f t="shared" si="4"/>
        <v>0</v>
      </c>
      <c r="J62" s="1983">
        <f t="shared" si="4"/>
        <v>3447565.9718906931</v>
      </c>
      <c r="K62" s="1983">
        <f t="shared" si="4"/>
        <v>1361332.7883855221</v>
      </c>
      <c r="L62" s="1983">
        <f t="shared" si="4"/>
        <v>896165.17633483314</v>
      </c>
      <c r="M62" s="1983">
        <f t="shared" si="4"/>
        <v>413501.39448979008</v>
      </c>
      <c r="N62" s="1983">
        <f t="shared" si="4"/>
        <v>546392.7810570281</v>
      </c>
      <c r="O62" s="1983">
        <f t="shared" si="4"/>
        <v>1763591.0409528574</v>
      </c>
      <c r="P62" s="1982">
        <f>+P59</f>
        <v>11438599.909143921</v>
      </c>
    </row>
    <row r="63" spans="2:16" ht="13.5" thickTop="1">
      <c r="O63" s="1962" t="s">
        <v>1352</v>
      </c>
      <c r="P63" s="1962">
        <f>P62-D62</f>
        <v>0</v>
      </c>
    </row>
  </sheetData>
  <mergeCells count="1">
    <mergeCell ref="A4:C4"/>
  </mergeCells>
  <pageMargins left="0.7" right="0.7" top="0.75" bottom="0.75" header="0.3" footer="0.3"/>
  <pageSetup scale="5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"/>
  <sheetViews>
    <sheetView showGridLines="0" workbookViewId="0">
      <selection sqref="A1:XFD1048576"/>
    </sheetView>
  </sheetViews>
  <sheetFormatPr defaultRowHeight="1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3"/>
  <sheetViews>
    <sheetView view="pageBreakPreview" zoomScaleNormal="100" zoomScaleSheetLayoutView="100" workbookViewId="0">
      <pane ySplit="8" topLeftCell="A9" activePane="bottomLeft" state="frozen"/>
      <selection pane="bottomLeft" activeCell="H18" sqref="H18"/>
    </sheetView>
  </sheetViews>
  <sheetFormatPr defaultRowHeight="12.75"/>
  <cols>
    <col min="1" max="1" width="6.75" style="636" customWidth="1"/>
    <col min="2" max="2" width="9.75" style="636" bestFit="1" customWidth="1"/>
    <col min="3" max="3" width="30.5" style="636" bestFit="1" customWidth="1"/>
    <col min="4" max="4" width="10.375" style="953" bestFit="1" customWidth="1"/>
    <col min="5" max="5" width="9" style="953"/>
    <col min="6" max="16384" width="9" style="636"/>
  </cols>
  <sheetData>
    <row r="1" spans="1:4">
      <c r="A1" s="1016" t="str">
        <f>Company_Name</f>
        <v>WATER SERVICE CORPORATION OF KENTUCKY</v>
      </c>
    </row>
    <row r="2" spans="1:4">
      <c r="A2" s="1016" t="str">
        <f>Docket</f>
        <v>Case No. 2015 - 00382</v>
      </c>
    </row>
    <row r="3" spans="1:4">
      <c r="A3" s="1016" t="s">
        <v>2300</v>
      </c>
    </row>
    <row r="4" spans="1:4">
      <c r="A4" s="1016" t="str">
        <f>TestYearEnded</f>
        <v>Test Year Ended 6/30/2015</v>
      </c>
    </row>
    <row r="6" spans="1:4">
      <c r="B6" s="884" t="s">
        <v>235</v>
      </c>
      <c r="C6" s="884" t="s">
        <v>236</v>
      </c>
      <c r="D6" s="1484" t="s">
        <v>237</v>
      </c>
    </row>
    <row r="8" spans="1:4">
      <c r="A8" s="636" t="s">
        <v>1786</v>
      </c>
      <c r="B8" s="636" t="s">
        <v>2301</v>
      </c>
      <c r="C8" s="636" t="s">
        <v>2302</v>
      </c>
      <c r="D8" s="953" t="s">
        <v>536</v>
      </c>
    </row>
    <row r="9" spans="1:4">
      <c r="A9" s="884">
        <v>1</v>
      </c>
      <c r="B9" s="636">
        <v>1020</v>
      </c>
      <c r="C9" s="636" t="s">
        <v>1975</v>
      </c>
      <c r="D9" s="953">
        <v>164394.1</v>
      </c>
    </row>
    <row r="10" spans="1:4">
      <c r="A10" s="884">
        <v>2</v>
      </c>
      <c r="B10" s="636">
        <v>1045</v>
      </c>
      <c r="C10" s="636" t="s">
        <v>1976</v>
      </c>
      <c r="D10" s="953">
        <v>22551.41</v>
      </c>
    </row>
    <row r="11" spans="1:4">
      <c r="A11" s="884">
        <v>3</v>
      </c>
      <c r="B11" s="636">
        <v>1050</v>
      </c>
      <c r="C11" s="636" t="s">
        <v>1977</v>
      </c>
      <c r="D11" s="953">
        <v>119734.05</v>
      </c>
    </row>
    <row r="12" spans="1:4">
      <c r="A12" s="884">
        <v>4</v>
      </c>
      <c r="B12" s="636">
        <v>1055</v>
      </c>
      <c r="C12" s="636" t="s">
        <v>1978</v>
      </c>
      <c r="D12" s="953">
        <v>469034.23</v>
      </c>
    </row>
    <row r="13" spans="1:4">
      <c r="A13" s="884">
        <v>5</v>
      </c>
      <c r="B13" s="636">
        <v>1060</v>
      </c>
      <c r="C13" s="636" t="s">
        <v>1979</v>
      </c>
      <c r="D13" s="953">
        <v>461.5</v>
      </c>
    </row>
    <row r="14" spans="1:4">
      <c r="A14" s="884">
        <v>6</v>
      </c>
      <c r="B14" s="636">
        <v>1065</v>
      </c>
      <c r="C14" s="636" t="s">
        <v>1980</v>
      </c>
      <c r="D14" s="953">
        <v>129602.66</v>
      </c>
    </row>
    <row r="15" spans="1:4">
      <c r="A15" s="884">
        <v>7</v>
      </c>
      <c r="B15" s="636">
        <v>1080</v>
      </c>
      <c r="C15" s="636" t="s">
        <v>1981</v>
      </c>
      <c r="D15" s="953">
        <v>477398.13</v>
      </c>
    </row>
    <row r="16" spans="1:4">
      <c r="A16" s="884">
        <v>8</v>
      </c>
      <c r="B16" s="636">
        <v>1090</v>
      </c>
      <c r="C16" s="636" t="s">
        <v>1982</v>
      </c>
      <c r="D16" s="953">
        <v>9489.7199999999993</v>
      </c>
    </row>
    <row r="17" spans="1:4">
      <c r="A17" s="884">
        <v>9</v>
      </c>
      <c r="B17" s="636">
        <v>1100</v>
      </c>
      <c r="C17" s="636" t="s">
        <v>1983</v>
      </c>
      <c r="D17" s="953">
        <v>9223.01</v>
      </c>
    </row>
    <row r="18" spans="1:4">
      <c r="A18" s="884">
        <v>10</v>
      </c>
      <c r="B18" s="636">
        <v>1105</v>
      </c>
      <c r="C18" s="636" t="s">
        <v>1984</v>
      </c>
      <c r="D18" s="953">
        <v>702166.93</v>
      </c>
    </row>
    <row r="19" spans="1:4">
      <c r="A19" s="884">
        <v>11</v>
      </c>
      <c r="B19" s="636">
        <v>1110</v>
      </c>
      <c r="C19" s="636" t="s">
        <v>1985</v>
      </c>
      <c r="D19" s="953">
        <v>7532.87</v>
      </c>
    </row>
    <row r="20" spans="1:4">
      <c r="A20" s="884">
        <v>12</v>
      </c>
      <c r="B20" s="636">
        <v>1115</v>
      </c>
      <c r="C20" s="636" t="s">
        <v>1986</v>
      </c>
      <c r="D20" s="953">
        <v>1011297.32</v>
      </c>
    </row>
    <row r="21" spans="1:4">
      <c r="A21" s="884">
        <v>13</v>
      </c>
      <c r="B21" s="636">
        <v>1120</v>
      </c>
      <c r="C21" s="636" t="s">
        <v>1987</v>
      </c>
      <c r="D21" s="953">
        <v>529313.81999999995</v>
      </c>
    </row>
    <row r="22" spans="1:4">
      <c r="A22" s="884">
        <v>14</v>
      </c>
      <c r="B22" s="636">
        <v>1125</v>
      </c>
      <c r="C22" s="636" t="s">
        <v>1988</v>
      </c>
      <c r="D22" s="953">
        <v>3390245.07</v>
      </c>
    </row>
    <row r="23" spans="1:4">
      <c r="A23" s="884">
        <v>15</v>
      </c>
      <c r="B23" s="636">
        <v>1130</v>
      </c>
      <c r="C23" s="636" t="s">
        <v>1989</v>
      </c>
      <c r="D23" s="953">
        <v>881265.1</v>
      </c>
    </row>
    <row r="24" spans="1:4">
      <c r="A24" s="884">
        <v>16</v>
      </c>
      <c r="B24" s="636">
        <v>1135</v>
      </c>
      <c r="C24" s="636" t="s">
        <v>1990</v>
      </c>
      <c r="D24" s="953">
        <v>738122.04</v>
      </c>
    </row>
    <row r="25" spans="1:4">
      <c r="A25" s="884">
        <v>17</v>
      </c>
      <c r="B25" s="636">
        <v>1140</v>
      </c>
      <c r="C25" s="636" t="s">
        <v>1991</v>
      </c>
      <c r="D25" s="953">
        <v>600576.56999999995</v>
      </c>
    </row>
    <row r="26" spans="1:4">
      <c r="A26" s="884">
        <v>18</v>
      </c>
      <c r="B26" s="636">
        <v>1145</v>
      </c>
      <c r="C26" s="636" t="s">
        <v>1992</v>
      </c>
      <c r="D26" s="953">
        <v>406626.32</v>
      </c>
    </row>
    <row r="27" spans="1:4">
      <c r="A27" s="884">
        <v>19</v>
      </c>
      <c r="B27" s="636">
        <v>1175</v>
      </c>
      <c r="C27" s="636" t="s">
        <v>1993</v>
      </c>
      <c r="D27" s="953">
        <v>151271.59</v>
      </c>
    </row>
    <row r="28" spans="1:4">
      <c r="A28" s="884">
        <v>20</v>
      </c>
      <c r="B28" s="636">
        <v>1180</v>
      </c>
      <c r="C28" s="636" t="s">
        <v>1994</v>
      </c>
      <c r="D28" s="953">
        <v>100935.4</v>
      </c>
    </row>
    <row r="29" spans="1:4">
      <c r="A29" s="884">
        <v>21</v>
      </c>
      <c r="B29" s="636">
        <v>1190</v>
      </c>
      <c r="C29" s="636" t="s">
        <v>1995</v>
      </c>
      <c r="D29" s="953">
        <v>269939.90999999997</v>
      </c>
    </row>
    <row r="30" spans="1:4">
      <c r="A30" s="884">
        <v>22</v>
      </c>
      <c r="B30" s="636">
        <v>1195</v>
      </c>
      <c r="C30" s="636" t="s">
        <v>1996</v>
      </c>
      <c r="D30" s="953">
        <v>78263.199999999997</v>
      </c>
    </row>
    <row r="31" spans="1:4">
      <c r="A31" s="884">
        <v>23</v>
      </c>
      <c r="B31" s="636">
        <v>1200</v>
      </c>
      <c r="C31" s="636" t="s">
        <v>1997</v>
      </c>
      <c r="D31" s="953">
        <v>2570.16</v>
      </c>
    </row>
    <row r="32" spans="1:4">
      <c r="A32" s="884">
        <v>24</v>
      </c>
      <c r="B32" s="636">
        <v>1205</v>
      </c>
      <c r="C32" s="636" t="s">
        <v>1998</v>
      </c>
      <c r="D32" s="953">
        <v>54791.5</v>
      </c>
    </row>
    <row r="33" spans="1:4">
      <c r="A33" s="884">
        <v>25</v>
      </c>
      <c r="B33" s="636">
        <v>1215</v>
      </c>
      <c r="C33" s="636" t="s">
        <v>1999</v>
      </c>
      <c r="D33" s="953">
        <v>69976</v>
      </c>
    </row>
    <row r="34" spans="1:4">
      <c r="A34" s="884">
        <v>26</v>
      </c>
      <c r="B34" s="636">
        <v>1555</v>
      </c>
      <c r="C34" s="636" t="s">
        <v>2000</v>
      </c>
      <c r="D34" s="953">
        <v>594204.38</v>
      </c>
    </row>
    <row r="35" spans="1:4">
      <c r="A35" s="884">
        <v>27</v>
      </c>
      <c r="B35" s="636">
        <v>1580</v>
      </c>
      <c r="C35" s="636" t="s">
        <v>2001</v>
      </c>
      <c r="D35" s="953">
        <v>28678.82</v>
      </c>
    </row>
    <row r="36" spans="1:4">
      <c r="A36" s="884">
        <v>28</v>
      </c>
      <c r="B36" s="636">
        <v>1585</v>
      </c>
      <c r="C36" s="636" t="s">
        <v>2002</v>
      </c>
      <c r="D36" s="953">
        <v>134842.59</v>
      </c>
    </row>
    <row r="37" spans="1:4">
      <c r="A37" s="884">
        <v>29</v>
      </c>
      <c r="B37" s="636">
        <v>1590</v>
      </c>
      <c r="C37" s="636" t="s">
        <v>2003</v>
      </c>
      <c r="D37" s="953">
        <v>656946.85</v>
      </c>
    </row>
    <row r="38" spans="1:4">
      <c r="A38" s="884">
        <v>30</v>
      </c>
      <c r="B38" s="636">
        <v>1595</v>
      </c>
      <c r="C38" s="636" t="s">
        <v>2004</v>
      </c>
      <c r="D38" s="953">
        <v>18079.080000000002</v>
      </c>
    </row>
    <row r="39" spans="1:4">
      <c r="A39" s="884">
        <v>31</v>
      </c>
      <c r="B39" s="636">
        <v>1665</v>
      </c>
      <c r="C39" s="636" t="s">
        <v>2005</v>
      </c>
      <c r="D39" s="953">
        <v>185448.02000000002</v>
      </c>
    </row>
    <row r="40" spans="1:4">
      <c r="A40" s="884">
        <v>32</v>
      </c>
      <c r="B40" s="636">
        <v>1666</v>
      </c>
      <c r="C40" s="636" t="s">
        <v>2006</v>
      </c>
      <c r="D40" s="953">
        <v>19603.849999999995</v>
      </c>
    </row>
    <row r="41" spans="1:4">
      <c r="A41" s="884">
        <v>33</v>
      </c>
      <c r="B41" s="636">
        <v>1667</v>
      </c>
      <c r="C41" s="636" t="s">
        <v>2007</v>
      </c>
      <c r="D41" s="953">
        <v>19773.05</v>
      </c>
    </row>
    <row r="42" spans="1:4">
      <c r="A42" s="884">
        <v>34</v>
      </c>
      <c r="B42" s="636">
        <v>1668</v>
      </c>
      <c r="C42" s="636" t="s">
        <v>2008</v>
      </c>
      <c r="D42" s="953">
        <v>269671.96999999997</v>
      </c>
    </row>
    <row r="43" spans="1:4">
      <c r="A43" s="884">
        <v>35</v>
      </c>
      <c r="B43" s="636">
        <v>1669</v>
      </c>
      <c r="C43" s="636" t="s">
        <v>2009</v>
      </c>
      <c r="D43" s="953">
        <v>204363.16999999998</v>
      </c>
    </row>
    <row r="44" spans="1:4">
      <c r="A44" s="884">
        <v>36</v>
      </c>
      <c r="B44" s="636">
        <v>1670</v>
      </c>
      <c r="C44" s="636" t="s">
        <v>2010</v>
      </c>
      <c r="D44" s="953">
        <v>143275.58000000002</v>
      </c>
    </row>
    <row r="45" spans="1:4">
      <c r="A45" s="884">
        <v>37</v>
      </c>
      <c r="B45" s="636">
        <v>1672</v>
      </c>
      <c r="C45" s="636" t="s">
        <v>2011</v>
      </c>
      <c r="D45" s="953">
        <v>193298.13</v>
      </c>
    </row>
    <row r="46" spans="1:4">
      <c r="A46" s="884">
        <v>38</v>
      </c>
      <c r="B46" s="636">
        <v>1673</v>
      </c>
      <c r="C46" s="636" t="s">
        <v>2012</v>
      </c>
      <c r="D46" s="953">
        <v>1410</v>
      </c>
    </row>
    <row r="47" spans="1:4">
      <c r="A47" s="884">
        <v>39</v>
      </c>
      <c r="B47" s="636">
        <v>1683</v>
      </c>
      <c r="C47" s="636" t="s">
        <v>2013</v>
      </c>
      <c r="D47" s="953">
        <v>331861.62</v>
      </c>
    </row>
    <row r="48" spans="1:4">
      <c r="A48" s="884">
        <v>40</v>
      </c>
      <c r="B48" s="636">
        <v>1699</v>
      </c>
      <c r="C48" s="636" t="s">
        <v>2014</v>
      </c>
      <c r="D48" s="953">
        <v>-1368705.3900000001</v>
      </c>
    </row>
    <row r="49" spans="1:4">
      <c r="A49" s="884">
        <v>41</v>
      </c>
      <c r="B49" s="636">
        <v>1775</v>
      </c>
      <c r="C49" s="636" t="s">
        <v>2005</v>
      </c>
      <c r="D49" s="953">
        <v>6015.74</v>
      </c>
    </row>
    <row r="50" spans="1:4">
      <c r="A50" s="884">
        <v>42</v>
      </c>
      <c r="B50" s="636">
        <v>1782</v>
      </c>
      <c r="C50" s="636" t="s">
        <v>2015</v>
      </c>
      <c r="D50" s="953">
        <v>95125.58</v>
      </c>
    </row>
    <row r="51" spans="1:4">
      <c r="A51" s="884">
        <v>43</v>
      </c>
      <c r="B51" s="636">
        <v>1799</v>
      </c>
      <c r="C51" s="636" t="s">
        <v>2016</v>
      </c>
      <c r="D51" s="953">
        <v>-101141.32</v>
      </c>
    </row>
    <row r="52" spans="1:4">
      <c r="A52" s="884">
        <v>44</v>
      </c>
      <c r="B52" s="636">
        <v>1835</v>
      </c>
      <c r="C52" s="636" t="s">
        <v>2017</v>
      </c>
      <c r="D52" s="953">
        <v>-13138.16</v>
      </c>
    </row>
    <row r="53" spans="1:4">
      <c r="A53" s="884">
        <v>45</v>
      </c>
      <c r="B53" s="636">
        <v>1845</v>
      </c>
      <c r="C53" s="636" t="s">
        <v>2018</v>
      </c>
      <c r="D53" s="953">
        <v>-34186.11</v>
      </c>
    </row>
    <row r="54" spans="1:4">
      <c r="A54" s="884">
        <v>46</v>
      </c>
      <c r="B54" s="636">
        <v>1850</v>
      </c>
      <c r="C54" s="636" t="s">
        <v>2019</v>
      </c>
      <c r="D54" s="953">
        <v>-193220.73</v>
      </c>
    </row>
    <row r="55" spans="1:4">
      <c r="A55" s="884">
        <v>47</v>
      </c>
      <c r="B55" s="636">
        <v>1855</v>
      </c>
      <c r="C55" s="636" t="s">
        <v>2020</v>
      </c>
      <c r="D55" s="953">
        <v>-2.31</v>
      </c>
    </row>
    <row r="56" spans="1:4">
      <c r="A56" s="884">
        <v>48</v>
      </c>
      <c r="B56" s="636">
        <v>1860</v>
      </c>
      <c r="C56" s="636" t="s">
        <v>2021</v>
      </c>
      <c r="D56" s="953">
        <v>-19660.47</v>
      </c>
    </row>
    <row r="57" spans="1:4">
      <c r="A57" s="884">
        <v>49</v>
      </c>
      <c r="B57" s="636">
        <v>1875</v>
      </c>
      <c r="C57" s="636" t="s">
        <v>2022</v>
      </c>
      <c r="D57" s="953">
        <v>-113744.17</v>
      </c>
    </row>
    <row r="58" spans="1:4">
      <c r="A58" s="884">
        <v>50</v>
      </c>
      <c r="B58" s="636">
        <v>1885</v>
      </c>
      <c r="C58" s="636" t="s">
        <v>2023</v>
      </c>
      <c r="D58" s="953">
        <v>-890.45</v>
      </c>
    </row>
    <row r="59" spans="1:4">
      <c r="A59" s="884">
        <v>51</v>
      </c>
      <c r="B59" s="636">
        <v>1895</v>
      </c>
      <c r="C59" s="636" t="s">
        <v>2024</v>
      </c>
      <c r="D59" s="953">
        <v>-570.29</v>
      </c>
    </row>
    <row r="60" spans="1:4">
      <c r="A60" s="884">
        <v>52</v>
      </c>
      <c r="B60" s="636">
        <v>1900</v>
      </c>
      <c r="C60" s="636" t="s">
        <v>2025</v>
      </c>
      <c r="D60" s="953">
        <v>-138177.82999999999</v>
      </c>
    </row>
    <row r="61" spans="1:4">
      <c r="A61" s="884">
        <v>53</v>
      </c>
      <c r="B61" s="636">
        <v>1905</v>
      </c>
      <c r="C61" s="636" t="s">
        <v>2026</v>
      </c>
      <c r="D61" s="953">
        <v>-215.4</v>
      </c>
    </row>
    <row r="62" spans="1:4">
      <c r="A62" s="884">
        <v>54</v>
      </c>
      <c r="B62" s="636">
        <v>1910</v>
      </c>
      <c r="C62" s="636" t="s">
        <v>2027</v>
      </c>
      <c r="D62" s="953">
        <v>-238141.08</v>
      </c>
    </row>
    <row r="63" spans="1:4">
      <c r="A63" s="884">
        <v>55</v>
      </c>
      <c r="B63" s="636">
        <v>1915</v>
      </c>
      <c r="C63" s="636" t="s">
        <v>2028</v>
      </c>
      <c r="D63" s="953">
        <v>-278778.78999999998</v>
      </c>
    </row>
    <row r="64" spans="1:4">
      <c r="A64" s="884">
        <v>56</v>
      </c>
      <c r="B64" s="636">
        <v>1920</v>
      </c>
      <c r="C64" s="636" t="s">
        <v>2029</v>
      </c>
      <c r="D64" s="953">
        <v>-1094451.8500000001</v>
      </c>
    </row>
    <row r="65" spans="1:4">
      <c r="A65" s="884">
        <v>57</v>
      </c>
      <c r="B65" s="636">
        <v>1925</v>
      </c>
      <c r="C65" s="636" t="s">
        <v>2030</v>
      </c>
      <c r="D65" s="953">
        <v>-635589.55000000005</v>
      </c>
    </row>
    <row r="66" spans="1:4">
      <c r="A66" s="884">
        <v>58</v>
      </c>
      <c r="B66" s="636">
        <v>1930</v>
      </c>
      <c r="C66" s="636" t="s">
        <v>2031</v>
      </c>
      <c r="D66" s="953">
        <v>-463287.66</v>
      </c>
    </row>
    <row r="67" spans="1:4">
      <c r="A67" s="884">
        <v>59</v>
      </c>
      <c r="B67" s="636">
        <v>1935</v>
      </c>
      <c r="C67" s="636" t="s">
        <v>2032</v>
      </c>
      <c r="D67" s="953">
        <v>-217855.58</v>
      </c>
    </row>
    <row r="68" spans="1:4">
      <c r="A68" s="884">
        <v>60</v>
      </c>
      <c r="B68" s="636">
        <v>1940</v>
      </c>
      <c r="C68" s="636" t="s">
        <v>2033</v>
      </c>
      <c r="D68" s="953">
        <v>-83866.38</v>
      </c>
    </row>
    <row r="69" spans="1:4">
      <c r="A69" s="884">
        <v>61</v>
      </c>
      <c r="B69" s="636">
        <v>1970</v>
      </c>
      <c r="C69" s="636" t="s">
        <v>2034</v>
      </c>
      <c r="D69" s="953">
        <v>-61998.86</v>
      </c>
    </row>
    <row r="70" spans="1:4">
      <c r="A70" s="884">
        <v>62</v>
      </c>
      <c r="B70" s="636">
        <v>1975</v>
      </c>
      <c r="C70" s="636" t="s">
        <v>2035</v>
      </c>
      <c r="D70" s="953">
        <v>-90560.35</v>
      </c>
    </row>
    <row r="71" spans="1:4">
      <c r="A71" s="884">
        <v>63</v>
      </c>
      <c r="B71" s="636">
        <v>1985</v>
      </c>
      <c r="C71" s="636" t="s">
        <v>2036</v>
      </c>
      <c r="D71" s="953">
        <v>-139794.07999999999</v>
      </c>
    </row>
    <row r="72" spans="1:4">
      <c r="A72" s="884">
        <v>64</v>
      </c>
      <c r="B72" s="636">
        <v>1990</v>
      </c>
      <c r="C72" s="636" t="s">
        <v>2037</v>
      </c>
      <c r="D72" s="953">
        <v>-29359.08</v>
      </c>
    </row>
    <row r="73" spans="1:4">
      <c r="A73" s="884">
        <v>65</v>
      </c>
      <c r="B73" s="636">
        <v>1995</v>
      </c>
      <c r="C73" s="636" t="s">
        <v>2038</v>
      </c>
      <c r="D73" s="953">
        <v>-856.8</v>
      </c>
    </row>
    <row r="74" spans="1:4">
      <c r="A74" s="884">
        <v>66</v>
      </c>
      <c r="B74" s="636">
        <v>2000</v>
      </c>
      <c r="C74" s="636" t="s">
        <v>2039</v>
      </c>
      <c r="D74" s="953">
        <v>-46047.19</v>
      </c>
    </row>
    <row r="75" spans="1:4">
      <c r="A75" s="884">
        <v>67</v>
      </c>
      <c r="B75" s="636">
        <v>2010</v>
      </c>
      <c r="C75" s="636" t="s">
        <v>2040</v>
      </c>
      <c r="D75" s="953">
        <v>-15392.5</v>
      </c>
    </row>
    <row r="76" spans="1:4">
      <c r="A76" s="884">
        <v>68</v>
      </c>
      <c r="B76" s="636">
        <v>2300</v>
      </c>
      <c r="C76" s="636" t="s">
        <v>2041</v>
      </c>
      <c r="D76" s="953">
        <v>-550225.31999999995</v>
      </c>
    </row>
    <row r="77" spans="1:4">
      <c r="A77" s="884">
        <v>69</v>
      </c>
      <c r="B77" s="636">
        <v>2320</v>
      </c>
      <c r="C77" s="636" t="s">
        <v>2042</v>
      </c>
      <c r="D77" s="953">
        <v>-28652.78</v>
      </c>
    </row>
    <row r="78" spans="1:4">
      <c r="A78" s="884">
        <v>70</v>
      </c>
      <c r="B78" s="636">
        <v>2325</v>
      </c>
      <c r="C78" s="636" t="s">
        <v>2043</v>
      </c>
      <c r="D78" s="953">
        <v>-100975.81</v>
      </c>
    </row>
    <row r="79" spans="1:4">
      <c r="A79" s="884">
        <v>71</v>
      </c>
      <c r="B79" s="636">
        <v>2330</v>
      </c>
      <c r="C79" s="636" t="s">
        <v>2044</v>
      </c>
      <c r="D79" s="953">
        <v>-573458.36</v>
      </c>
    </row>
    <row r="80" spans="1:4">
      <c r="A80" s="884">
        <v>72</v>
      </c>
      <c r="B80" s="636">
        <v>2335</v>
      </c>
      <c r="C80" s="636" t="s">
        <v>2045</v>
      </c>
      <c r="D80" s="953">
        <v>-18079.080000000002</v>
      </c>
    </row>
    <row r="81" spans="1:4">
      <c r="A81" s="884">
        <v>73</v>
      </c>
      <c r="B81" s="636">
        <v>2400</v>
      </c>
      <c r="C81" s="636" t="s">
        <v>2046</v>
      </c>
      <c r="D81" s="953">
        <v>-183024.56</v>
      </c>
    </row>
    <row r="82" spans="1:4">
      <c r="A82" s="884">
        <v>74</v>
      </c>
      <c r="B82" s="636">
        <v>2420</v>
      </c>
      <c r="C82" s="636" t="s">
        <v>2047</v>
      </c>
      <c r="D82" s="953">
        <v>45756.02</v>
      </c>
    </row>
    <row r="83" spans="1:4">
      <c r="A83" s="884">
        <v>75</v>
      </c>
      <c r="B83" s="636">
        <v>2640</v>
      </c>
      <c r="C83" s="636" t="s">
        <v>966</v>
      </c>
      <c r="D83" s="953">
        <v>104802.78</v>
      </c>
    </row>
    <row r="84" spans="1:4">
      <c r="A84" s="884">
        <v>76</v>
      </c>
      <c r="B84" s="636">
        <v>2675</v>
      </c>
      <c r="C84" s="636" t="s">
        <v>2048</v>
      </c>
      <c r="D84" s="953">
        <v>352588.52</v>
      </c>
    </row>
    <row r="85" spans="1:4">
      <c r="A85" s="884">
        <v>77</v>
      </c>
      <c r="B85" s="636">
        <v>2680</v>
      </c>
      <c r="C85" s="636" t="s">
        <v>2049</v>
      </c>
      <c r="D85" s="953">
        <v>117250</v>
      </c>
    </row>
    <row r="86" spans="1:4">
      <c r="A86" s="884">
        <v>78</v>
      </c>
      <c r="B86" s="636">
        <v>2685</v>
      </c>
      <c r="C86" s="636" t="s">
        <v>2050</v>
      </c>
      <c r="D86" s="953">
        <v>31.67</v>
      </c>
    </row>
    <row r="87" spans="1:4">
      <c r="A87" s="884">
        <v>79</v>
      </c>
      <c r="B87" s="636">
        <v>2690</v>
      </c>
      <c r="C87" s="636" t="s">
        <v>2051</v>
      </c>
      <c r="D87" s="953">
        <v>-44421.84</v>
      </c>
    </row>
    <row r="88" spans="1:4">
      <c r="A88" s="884">
        <v>80</v>
      </c>
      <c r="B88" s="636">
        <v>2700</v>
      </c>
      <c r="C88" s="636" t="s">
        <v>2052</v>
      </c>
      <c r="D88" s="953">
        <v>10500</v>
      </c>
    </row>
    <row r="89" spans="1:4">
      <c r="A89" s="884">
        <v>81</v>
      </c>
      <c r="B89" s="636">
        <v>2710</v>
      </c>
      <c r="C89" s="636" t="s">
        <v>2053</v>
      </c>
      <c r="D89" s="953">
        <v>289626.74</v>
      </c>
    </row>
    <row r="90" spans="1:4">
      <c r="A90" s="884">
        <v>82</v>
      </c>
      <c r="B90" s="636">
        <v>2755</v>
      </c>
      <c r="C90" s="636" t="s">
        <v>2054</v>
      </c>
      <c r="D90" s="953">
        <v>7700</v>
      </c>
    </row>
    <row r="91" spans="1:4">
      <c r="A91" s="884">
        <v>83</v>
      </c>
      <c r="B91" s="636">
        <v>2775</v>
      </c>
      <c r="C91" s="636" t="s">
        <v>2055</v>
      </c>
      <c r="D91" s="953">
        <v>6100</v>
      </c>
    </row>
    <row r="92" spans="1:4">
      <c r="A92" s="884">
        <v>84</v>
      </c>
      <c r="B92" s="636">
        <v>2906</v>
      </c>
      <c r="C92" s="636" t="s">
        <v>2056</v>
      </c>
      <c r="D92" s="953">
        <v>220258.43</v>
      </c>
    </row>
    <row r="93" spans="1:4">
      <c r="A93" s="884">
        <v>85</v>
      </c>
      <c r="B93" s="636">
        <v>2907</v>
      </c>
      <c r="C93" s="636" t="s">
        <v>2005</v>
      </c>
      <c r="D93" s="953">
        <v>214873.78000000003</v>
      </c>
    </row>
    <row r="94" spans="1:4">
      <c r="A94" s="884">
        <v>86</v>
      </c>
      <c r="B94" s="636">
        <v>2908</v>
      </c>
      <c r="C94" s="636" t="s">
        <v>2057</v>
      </c>
      <c r="D94" s="953">
        <v>4689.7299999999996</v>
      </c>
    </row>
    <row r="95" spans="1:4">
      <c r="A95" s="884">
        <v>87</v>
      </c>
      <c r="B95" s="636">
        <v>2909</v>
      </c>
      <c r="C95" s="636" t="s">
        <v>2058</v>
      </c>
      <c r="D95" s="953">
        <v>10204.459999999999</v>
      </c>
    </row>
    <row r="96" spans="1:4">
      <c r="A96" s="884">
        <v>88</v>
      </c>
      <c r="B96" s="636">
        <v>2910</v>
      </c>
      <c r="C96" s="636" t="s">
        <v>2059</v>
      </c>
      <c r="D96" s="953">
        <v>95257.98000000001</v>
      </c>
    </row>
    <row r="97" spans="1:4">
      <c r="A97" s="884">
        <v>89</v>
      </c>
      <c r="B97" s="636">
        <v>2914</v>
      </c>
      <c r="C97" s="636" t="s">
        <v>2060</v>
      </c>
      <c r="D97" s="953">
        <v>-545284.38</v>
      </c>
    </row>
    <row r="98" spans="1:4">
      <c r="A98" s="884">
        <v>90</v>
      </c>
      <c r="B98" s="636">
        <v>2920</v>
      </c>
      <c r="C98" s="636" t="s">
        <v>2061</v>
      </c>
      <c r="D98" s="953">
        <v>545699.6</v>
      </c>
    </row>
    <row r="99" spans="1:4">
      <c r="A99" s="884">
        <v>91</v>
      </c>
      <c r="B99" s="636">
        <v>2930</v>
      </c>
      <c r="C99" s="636" t="s">
        <v>2062</v>
      </c>
      <c r="D99" s="953">
        <v>-375724.06</v>
      </c>
    </row>
    <row r="100" spans="1:4">
      <c r="A100" s="884">
        <v>92</v>
      </c>
      <c r="B100" s="636">
        <v>2960</v>
      </c>
      <c r="C100" s="636" t="s">
        <v>2063</v>
      </c>
      <c r="D100" s="953">
        <v>135710.32</v>
      </c>
    </row>
    <row r="101" spans="1:4">
      <c r="A101" s="884">
        <v>93</v>
      </c>
      <c r="B101" s="636">
        <v>3005</v>
      </c>
      <c r="C101" s="636" t="s">
        <v>2064</v>
      </c>
      <c r="D101" s="953">
        <v>2455</v>
      </c>
    </row>
    <row r="102" spans="1:4">
      <c r="A102" s="884">
        <v>94</v>
      </c>
      <c r="B102" s="636">
        <v>3110</v>
      </c>
      <c r="C102" s="636" t="s">
        <v>2065</v>
      </c>
      <c r="D102" s="953">
        <v>-82841.52</v>
      </c>
    </row>
    <row r="103" spans="1:4">
      <c r="A103" s="884">
        <v>95</v>
      </c>
      <c r="B103" s="636">
        <v>3160</v>
      </c>
      <c r="C103" s="636" t="s">
        <v>2066</v>
      </c>
      <c r="D103" s="953">
        <v>-682.69</v>
      </c>
    </row>
    <row r="104" spans="1:4">
      <c r="A104" s="884">
        <v>96</v>
      </c>
      <c r="B104" s="636">
        <v>3225</v>
      </c>
      <c r="C104" s="636" t="s">
        <v>2067</v>
      </c>
      <c r="D104" s="953">
        <v>-75637.36</v>
      </c>
    </row>
    <row r="105" spans="1:4">
      <c r="A105" s="884">
        <v>97</v>
      </c>
      <c r="B105" s="636">
        <v>3235</v>
      </c>
      <c r="C105" s="636" t="s">
        <v>2068</v>
      </c>
      <c r="D105" s="953">
        <v>2261.61</v>
      </c>
    </row>
    <row r="106" spans="1:4">
      <c r="A106" s="884">
        <v>98</v>
      </c>
      <c r="B106" s="636">
        <v>3350</v>
      </c>
      <c r="C106" s="636" t="s">
        <v>2069</v>
      </c>
      <c r="D106" s="953">
        <v>-83141</v>
      </c>
    </row>
    <row r="107" spans="1:4">
      <c r="A107" s="884">
        <v>99</v>
      </c>
      <c r="B107" s="636">
        <v>3430</v>
      </c>
      <c r="C107" s="636" t="s">
        <v>2070</v>
      </c>
      <c r="D107" s="953">
        <v>-104168.69</v>
      </c>
    </row>
    <row r="108" spans="1:4">
      <c r="A108" s="884">
        <v>100</v>
      </c>
      <c r="B108" s="636">
        <v>3435</v>
      </c>
      <c r="C108" s="636" t="s">
        <v>2071</v>
      </c>
      <c r="D108" s="953">
        <v>-51712.25</v>
      </c>
    </row>
    <row r="109" spans="1:4">
      <c r="A109" s="884">
        <v>101</v>
      </c>
      <c r="B109" s="636">
        <v>3895</v>
      </c>
      <c r="C109" s="636" t="s">
        <v>2072</v>
      </c>
      <c r="D109" s="953">
        <v>2909.97</v>
      </c>
    </row>
    <row r="110" spans="1:4">
      <c r="A110" s="884">
        <v>102</v>
      </c>
      <c r="B110" s="636">
        <v>3975</v>
      </c>
      <c r="C110" s="636" t="s">
        <v>2073</v>
      </c>
      <c r="D110" s="953">
        <v>44777.58</v>
      </c>
    </row>
    <row r="111" spans="1:4">
      <c r="A111" s="884">
        <v>103</v>
      </c>
      <c r="B111" s="636">
        <v>3980</v>
      </c>
      <c r="C111" s="636" t="s">
        <v>2074</v>
      </c>
      <c r="D111" s="953">
        <v>2680.44</v>
      </c>
    </row>
    <row r="112" spans="1:4">
      <c r="A112" s="884">
        <v>104</v>
      </c>
      <c r="B112" s="636">
        <v>4371</v>
      </c>
      <c r="C112" s="636" t="s">
        <v>2075</v>
      </c>
      <c r="D112" s="953">
        <v>66.400000000000006</v>
      </c>
    </row>
    <row r="113" spans="1:4">
      <c r="A113" s="884">
        <v>105</v>
      </c>
      <c r="B113" s="636">
        <v>4375</v>
      </c>
      <c r="C113" s="636" t="s">
        <v>2076</v>
      </c>
      <c r="D113" s="953">
        <v>-45812.29</v>
      </c>
    </row>
    <row r="114" spans="1:4">
      <c r="A114" s="884">
        <v>106</v>
      </c>
      <c r="B114" s="636">
        <v>4377</v>
      </c>
      <c r="C114" s="636" t="s">
        <v>2077</v>
      </c>
      <c r="D114" s="953">
        <v>-23972.05</v>
      </c>
    </row>
    <row r="115" spans="1:4">
      <c r="A115" s="884">
        <v>107</v>
      </c>
      <c r="B115" s="636">
        <v>4383</v>
      </c>
      <c r="C115" s="636" t="s">
        <v>2078</v>
      </c>
      <c r="D115" s="953">
        <v>-41173</v>
      </c>
    </row>
    <row r="116" spans="1:4">
      <c r="A116" s="884">
        <v>108</v>
      </c>
      <c r="B116" s="636">
        <v>4385</v>
      </c>
      <c r="C116" s="636" t="s">
        <v>2079</v>
      </c>
      <c r="D116" s="953">
        <v>10476</v>
      </c>
    </row>
    <row r="117" spans="1:4">
      <c r="A117" s="884">
        <v>109</v>
      </c>
      <c r="B117" s="636">
        <v>4387</v>
      </c>
      <c r="C117" s="636" t="s">
        <v>2080</v>
      </c>
      <c r="D117" s="953">
        <v>-714575.55</v>
      </c>
    </row>
    <row r="118" spans="1:4">
      <c r="A118" s="884">
        <v>110</v>
      </c>
      <c r="B118" s="636">
        <v>4389</v>
      </c>
      <c r="C118" s="636" t="s">
        <v>2081</v>
      </c>
      <c r="D118" s="953">
        <v>57069.03</v>
      </c>
    </row>
    <row r="119" spans="1:4">
      <c r="A119" s="884">
        <v>111</v>
      </c>
      <c r="B119" s="636">
        <v>4417</v>
      </c>
      <c r="C119" s="636" t="s">
        <v>2082</v>
      </c>
      <c r="D119" s="953">
        <v>-15.62</v>
      </c>
    </row>
    <row r="120" spans="1:4">
      <c r="A120" s="884">
        <v>112</v>
      </c>
      <c r="B120" s="636">
        <v>4421</v>
      </c>
      <c r="C120" s="636" t="s">
        <v>2083</v>
      </c>
      <c r="D120" s="953">
        <v>13.6</v>
      </c>
    </row>
    <row r="121" spans="1:4">
      <c r="A121" s="884">
        <v>113</v>
      </c>
      <c r="B121" s="636">
        <v>4425</v>
      </c>
      <c r="C121" s="636" t="s">
        <v>2084</v>
      </c>
      <c r="D121" s="953">
        <v>-10534.27</v>
      </c>
    </row>
    <row r="122" spans="1:4">
      <c r="A122" s="884">
        <v>114</v>
      </c>
      <c r="B122" s="636">
        <v>4427</v>
      </c>
      <c r="C122" s="636" t="s">
        <v>2085</v>
      </c>
      <c r="D122" s="953">
        <v>-4552.38</v>
      </c>
    </row>
    <row r="123" spans="1:4">
      <c r="A123" s="884">
        <v>115</v>
      </c>
      <c r="B123" s="636">
        <v>4433</v>
      </c>
      <c r="C123" s="636" t="s">
        <v>2086</v>
      </c>
      <c r="D123" s="953">
        <v>-4551</v>
      </c>
    </row>
    <row r="124" spans="1:4">
      <c r="A124" s="884">
        <v>116</v>
      </c>
      <c r="B124" s="636">
        <v>4435</v>
      </c>
      <c r="C124" s="636" t="s">
        <v>2087</v>
      </c>
      <c r="D124" s="953">
        <v>2350</v>
      </c>
    </row>
    <row r="125" spans="1:4">
      <c r="A125" s="884">
        <v>117</v>
      </c>
      <c r="B125" s="636">
        <v>4437</v>
      </c>
      <c r="C125" s="636" t="s">
        <v>2088</v>
      </c>
      <c r="D125" s="953">
        <v>-67689.13</v>
      </c>
    </row>
    <row r="126" spans="1:4">
      <c r="A126" s="884">
        <v>118</v>
      </c>
      <c r="B126" s="636">
        <v>4439</v>
      </c>
      <c r="C126" s="636" t="s">
        <v>2089</v>
      </c>
      <c r="D126" s="953">
        <v>6728</v>
      </c>
    </row>
    <row r="127" spans="1:4">
      <c r="A127" s="884">
        <v>119</v>
      </c>
      <c r="B127" s="636">
        <v>4515</v>
      </c>
      <c r="C127" s="636" t="s">
        <v>2090</v>
      </c>
      <c r="D127" s="953">
        <v>-57031.519999999997</v>
      </c>
    </row>
    <row r="128" spans="1:4">
      <c r="A128" s="884">
        <v>120</v>
      </c>
      <c r="B128" s="636">
        <v>4525</v>
      </c>
      <c r="C128" s="636" t="s">
        <v>2091</v>
      </c>
      <c r="D128" s="953">
        <v>-285978.87</v>
      </c>
    </row>
    <row r="129" spans="1:4">
      <c r="A129" s="884">
        <v>121</v>
      </c>
      <c r="B129" s="636">
        <v>4527</v>
      </c>
      <c r="C129" s="636" t="s">
        <v>2092</v>
      </c>
      <c r="D129" s="953">
        <v>-6511.75</v>
      </c>
    </row>
    <row r="130" spans="1:4">
      <c r="A130" s="884">
        <v>122</v>
      </c>
      <c r="B130" s="636">
        <v>4535</v>
      </c>
      <c r="C130" s="636" t="s">
        <v>2093</v>
      </c>
      <c r="D130" s="953">
        <v>-1667632.54</v>
      </c>
    </row>
    <row r="131" spans="1:4">
      <c r="A131" s="884">
        <v>123</v>
      </c>
      <c r="B131" s="636">
        <v>4545</v>
      </c>
      <c r="C131" s="636" t="s">
        <v>2094</v>
      </c>
      <c r="D131" s="953">
        <v>-4544.87</v>
      </c>
    </row>
    <row r="132" spans="1:4">
      <c r="A132" s="884">
        <v>124</v>
      </c>
      <c r="B132" s="636">
        <v>4565</v>
      </c>
      <c r="C132" s="636" t="s">
        <v>977</v>
      </c>
      <c r="D132" s="953">
        <v>457635.31</v>
      </c>
    </row>
    <row r="133" spans="1:4">
      <c r="A133" s="884">
        <v>125</v>
      </c>
      <c r="B133" s="636">
        <v>4595</v>
      </c>
      <c r="C133" s="636" t="s">
        <v>978</v>
      </c>
      <c r="D133" s="953">
        <v>-35468.68</v>
      </c>
    </row>
    <row r="134" spans="1:4">
      <c r="A134" s="884">
        <v>126</v>
      </c>
      <c r="B134" s="636">
        <v>4612</v>
      </c>
      <c r="C134" s="636" t="s">
        <v>2095</v>
      </c>
      <c r="D134" s="953">
        <v>-27377.13</v>
      </c>
    </row>
    <row r="135" spans="1:4">
      <c r="A135" s="884">
        <v>127</v>
      </c>
      <c r="B135" s="636">
        <v>4618</v>
      </c>
      <c r="C135" s="636" t="s">
        <v>2096</v>
      </c>
      <c r="D135" s="953">
        <v>-881.24</v>
      </c>
    </row>
    <row r="136" spans="1:4">
      <c r="A136" s="884">
        <v>128</v>
      </c>
      <c r="B136" s="636">
        <v>4628</v>
      </c>
      <c r="C136" s="636" t="s">
        <v>2097</v>
      </c>
      <c r="D136" s="953">
        <v>-1971.61</v>
      </c>
    </row>
    <row r="137" spans="1:4">
      <c r="A137" s="884">
        <v>129</v>
      </c>
      <c r="B137" s="636">
        <v>4630</v>
      </c>
      <c r="C137" s="636" t="s">
        <v>2098</v>
      </c>
      <c r="D137" s="953">
        <v>-4835.25</v>
      </c>
    </row>
    <row r="138" spans="1:4">
      <c r="A138" s="884">
        <v>130</v>
      </c>
      <c r="B138" s="636">
        <v>4634</v>
      </c>
      <c r="C138" s="636" t="s">
        <v>2099</v>
      </c>
      <c r="D138" s="953">
        <v>-10520.61</v>
      </c>
    </row>
    <row r="139" spans="1:4">
      <c r="A139" s="884">
        <v>131</v>
      </c>
      <c r="B139" s="636">
        <v>4635</v>
      </c>
      <c r="C139" s="636" t="s">
        <v>2100</v>
      </c>
      <c r="D139" s="953">
        <v>-54.17</v>
      </c>
    </row>
    <row r="140" spans="1:4">
      <c r="A140" s="884">
        <v>132</v>
      </c>
      <c r="B140" s="636">
        <v>4636</v>
      </c>
      <c r="C140" s="636" t="s">
        <v>2101</v>
      </c>
      <c r="D140" s="953">
        <v>-4694.75</v>
      </c>
    </row>
    <row r="141" spans="1:4">
      <c r="A141" s="884">
        <v>133</v>
      </c>
      <c r="B141" s="636">
        <v>4637</v>
      </c>
      <c r="C141" s="636" t="s">
        <v>2102</v>
      </c>
      <c r="D141" s="953">
        <v>1296.49</v>
      </c>
    </row>
    <row r="142" spans="1:4">
      <c r="A142" s="884">
        <v>134</v>
      </c>
      <c r="B142" s="636">
        <v>4638</v>
      </c>
      <c r="C142" s="636" t="s">
        <v>2103</v>
      </c>
      <c r="D142" s="953">
        <v>-16886.2</v>
      </c>
    </row>
    <row r="143" spans="1:4">
      <c r="A143" s="884">
        <v>135</v>
      </c>
      <c r="B143" s="636">
        <v>4639</v>
      </c>
      <c r="C143" s="636" t="s">
        <v>2104</v>
      </c>
      <c r="D143" s="953">
        <v>-261.29000000000002</v>
      </c>
    </row>
    <row r="144" spans="1:4">
      <c r="A144" s="884">
        <v>136</v>
      </c>
      <c r="B144" s="636">
        <v>4659</v>
      </c>
      <c r="C144" s="636" t="s">
        <v>2105</v>
      </c>
      <c r="D144" s="953">
        <v>78303</v>
      </c>
    </row>
    <row r="145" spans="1:4">
      <c r="A145" s="884">
        <v>137</v>
      </c>
      <c r="B145" s="636">
        <v>4661</v>
      </c>
      <c r="C145" s="636" t="s">
        <v>2106</v>
      </c>
      <c r="D145" s="953">
        <v>13521.94</v>
      </c>
    </row>
    <row r="146" spans="1:4">
      <c r="A146" s="884">
        <v>138</v>
      </c>
      <c r="B146" s="636">
        <v>4685</v>
      </c>
      <c r="C146" s="636" t="s">
        <v>2107</v>
      </c>
      <c r="D146" s="953">
        <v>-901.23</v>
      </c>
    </row>
    <row r="147" spans="1:4">
      <c r="A147" s="884">
        <v>139</v>
      </c>
      <c r="B147" s="636">
        <v>4760</v>
      </c>
      <c r="C147" s="636" t="s">
        <v>2108</v>
      </c>
      <c r="D147" s="953">
        <v>-1000</v>
      </c>
    </row>
    <row r="148" spans="1:4">
      <c r="A148" s="884">
        <v>140</v>
      </c>
      <c r="B148" s="636">
        <v>4780</v>
      </c>
      <c r="C148" s="636" t="s">
        <v>2109</v>
      </c>
      <c r="D148" s="953">
        <v>-2834076</v>
      </c>
    </row>
    <row r="149" spans="1:4">
      <c r="A149" s="884">
        <v>141</v>
      </c>
      <c r="B149" s="636">
        <v>4785</v>
      </c>
      <c r="C149" s="636" t="s">
        <v>2110</v>
      </c>
      <c r="D149" s="953">
        <v>-2233362.2599999998</v>
      </c>
    </row>
    <row r="150" spans="1:4">
      <c r="A150" s="884">
        <v>142</v>
      </c>
      <c r="B150" s="636">
        <v>4998</v>
      </c>
      <c r="C150" s="636" t="s">
        <v>2111</v>
      </c>
      <c r="D150" s="953">
        <v>206373.68</v>
      </c>
    </row>
    <row r="151" spans="1:4">
      <c r="A151" s="884">
        <v>143</v>
      </c>
      <c r="B151" s="636">
        <v>4999</v>
      </c>
      <c r="C151" s="636" t="s">
        <v>2112</v>
      </c>
      <c r="D151" s="953">
        <v>142616.04000000141</v>
      </c>
    </row>
    <row r="152" spans="1:4">
      <c r="A152" s="884">
        <v>144</v>
      </c>
      <c r="B152" s="636">
        <v>5025</v>
      </c>
      <c r="C152" s="636" t="s">
        <v>2113</v>
      </c>
      <c r="D152" s="953">
        <v>-1384496.290000001</v>
      </c>
    </row>
    <row r="153" spans="1:4">
      <c r="A153" s="884">
        <v>145</v>
      </c>
      <c r="B153" s="636">
        <v>5030</v>
      </c>
      <c r="C153" s="636" t="s">
        <v>2114</v>
      </c>
      <c r="D153" s="953">
        <v>4653</v>
      </c>
    </row>
    <row r="154" spans="1:4">
      <c r="A154" s="884">
        <v>146</v>
      </c>
      <c r="B154" s="636">
        <v>5035</v>
      </c>
      <c r="C154" s="636" t="s">
        <v>2115</v>
      </c>
      <c r="D154" s="953">
        <v>-399746.66999999993</v>
      </c>
    </row>
    <row r="155" spans="1:4">
      <c r="A155" s="884">
        <v>147</v>
      </c>
      <c r="B155" s="636">
        <v>5040</v>
      </c>
      <c r="C155" s="636" t="s">
        <v>2116</v>
      </c>
      <c r="D155" s="953">
        <v>-156255.01999999996</v>
      </c>
    </row>
    <row r="156" spans="1:4">
      <c r="A156" s="884">
        <v>148</v>
      </c>
      <c r="B156" s="636">
        <v>5045</v>
      </c>
      <c r="C156" s="636" t="s">
        <v>2117</v>
      </c>
      <c r="D156" s="953">
        <v>-125305.62999999998</v>
      </c>
    </row>
    <row r="157" spans="1:4">
      <c r="A157" s="884">
        <v>149</v>
      </c>
      <c r="B157" s="636">
        <v>5050</v>
      </c>
      <c r="C157" s="636" t="s">
        <v>2118</v>
      </c>
      <c r="D157" s="953">
        <v>-11539.069999999998</v>
      </c>
    </row>
    <row r="158" spans="1:4">
      <c r="A158" s="884">
        <v>150</v>
      </c>
      <c r="B158" s="636">
        <v>5052</v>
      </c>
      <c r="C158" s="636" t="s">
        <v>2119</v>
      </c>
      <c r="D158" s="953">
        <v>17.5</v>
      </c>
    </row>
    <row r="159" spans="1:4">
      <c r="A159" s="884">
        <v>151</v>
      </c>
      <c r="B159" s="636">
        <v>5060</v>
      </c>
      <c r="C159" s="636" t="s">
        <v>2120</v>
      </c>
      <c r="D159" s="953">
        <v>-35092.80999999999</v>
      </c>
    </row>
    <row r="160" spans="1:4">
      <c r="A160" s="884">
        <v>152</v>
      </c>
      <c r="B160" s="636">
        <v>5100</v>
      </c>
      <c r="C160" s="636" t="s">
        <v>2121</v>
      </c>
      <c r="D160" s="953">
        <v>0</v>
      </c>
    </row>
    <row r="161" spans="1:4">
      <c r="A161" s="884">
        <v>153</v>
      </c>
      <c r="B161" s="636">
        <v>5105</v>
      </c>
      <c r="C161" s="636" t="s">
        <v>2122</v>
      </c>
      <c r="D161" s="953">
        <v>0</v>
      </c>
    </row>
    <row r="162" spans="1:4">
      <c r="A162" s="884">
        <v>154</v>
      </c>
      <c r="B162" s="636">
        <v>5140</v>
      </c>
      <c r="C162" s="636" t="s">
        <v>2121</v>
      </c>
      <c r="D162" s="953">
        <v>0</v>
      </c>
    </row>
    <row r="163" spans="1:4">
      <c r="A163" s="884">
        <v>155</v>
      </c>
      <c r="B163" s="636">
        <v>5155</v>
      </c>
      <c r="C163" s="636" t="s">
        <v>2123</v>
      </c>
      <c r="D163" s="953">
        <v>0</v>
      </c>
    </row>
    <row r="164" spans="1:4">
      <c r="A164" s="884">
        <v>156</v>
      </c>
      <c r="B164" s="636">
        <v>5255</v>
      </c>
      <c r="C164" s="636" t="s">
        <v>2124</v>
      </c>
      <c r="D164" s="953">
        <v>0</v>
      </c>
    </row>
    <row r="165" spans="1:4">
      <c r="A165" s="884">
        <v>157</v>
      </c>
      <c r="B165" s="636">
        <v>5270</v>
      </c>
      <c r="C165" s="636" t="s">
        <v>2125</v>
      </c>
      <c r="D165" s="953">
        <v>-606.32999999999993</v>
      </c>
    </row>
    <row r="166" spans="1:4">
      <c r="A166" s="884">
        <v>158</v>
      </c>
      <c r="B166" s="636">
        <v>5285</v>
      </c>
      <c r="C166" s="636" t="s">
        <v>2126</v>
      </c>
      <c r="D166" s="953">
        <v>-65092.25</v>
      </c>
    </row>
    <row r="167" spans="1:4">
      <c r="A167" s="884">
        <v>159</v>
      </c>
      <c r="B167" s="636">
        <v>5390</v>
      </c>
      <c r="C167" s="636" t="s">
        <v>2127</v>
      </c>
      <c r="D167" s="953">
        <v>-6.3965899244067259E-10</v>
      </c>
    </row>
    <row r="168" spans="1:4">
      <c r="A168" s="884">
        <v>160</v>
      </c>
      <c r="B168" s="636">
        <v>5405</v>
      </c>
      <c r="C168" s="636" t="s">
        <v>2128</v>
      </c>
      <c r="D168" s="953">
        <v>-154344.02000000002</v>
      </c>
    </row>
    <row r="169" spans="1:4">
      <c r="A169" s="884">
        <v>161</v>
      </c>
      <c r="B169" s="636">
        <v>5435</v>
      </c>
      <c r="C169" s="636" t="s">
        <v>2129</v>
      </c>
      <c r="D169" s="953">
        <v>123204</v>
      </c>
    </row>
    <row r="170" spans="1:4">
      <c r="A170" s="884">
        <v>162</v>
      </c>
      <c r="B170" s="636">
        <v>5465</v>
      </c>
      <c r="C170" s="636" t="s">
        <v>2130</v>
      </c>
      <c r="D170" s="953">
        <v>79380.929999999993</v>
      </c>
    </row>
    <row r="171" spans="1:4">
      <c r="A171" s="884">
        <v>163</v>
      </c>
      <c r="B171" s="636">
        <v>5470</v>
      </c>
      <c r="C171" s="636" t="s">
        <v>2131</v>
      </c>
      <c r="D171" s="953">
        <v>10391.820000000002</v>
      </c>
    </row>
    <row r="172" spans="1:4">
      <c r="A172" s="884">
        <v>164</v>
      </c>
      <c r="B172" s="636">
        <v>5480</v>
      </c>
      <c r="C172" s="636" t="s">
        <v>2132</v>
      </c>
      <c r="D172" s="953">
        <v>34161.089999999997</v>
      </c>
    </row>
    <row r="173" spans="1:4">
      <c r="A173" s="884">
        <v>165</v>
      </c>
      <c r="B173" s="636">
        <v>5490</v>
      </c>
      <c r="C173" s="636" t="s">
        <v>2133</v>
      </c>
      <c r="D173" s="953">
        <v>98503.170000000027</v>
      </c>
    </row>
    <row r="174" spans="1:4">
      <c r="A174" s="884">
        <v>166</v>
      </c>
      <c r="B174" s="636">
        <v>5505</v>
      </c>
      <c r="C174" s="636" t="s">
        <v>2134</v>
      </c>
      <c r="D174" s="953">
        <v>549.06000000000006</v>
      </c>
    </row>
    <row r="175" spans="1:4">
      <c r="A175" s="884">
        <v>167</v>
      </c>
      <c r="B175" s="636">
        <v>5510</v>
      </c>
      <c r="C175" s="636" t="s">
        <v>2135</v>
      </c>
      <c r="D175" s="953">
        <v>35127.69999999999</v>
      </c>
    </row>
    <row r="176" spans="1:4">
      <c r="A176" s="884">
        <v>168</v>
      </c>
      <c r="B176" s="636">
        <v>5515</v>
      </c>
      <c r="C176" s="636" t="s">
        <v>2136</v>
      </c>
      <c r="D176" s="953">
        <v>6151.85</v>
      </c>
    </row>
    <row r="177" spans="1:4">
      <c r="A177" s="884">
        <v>169</v>
      </c>
      <c r="B177" s="636">
        <v>5525</v>
      </c>
      <c r="C177" s="636" t="s">
        <v>2137</v>
      </c>
      <c r="D177" s="953">
        <v>718.45</v>
      </c>
    </row>
    <row r="178" spans="1:4">
      <c r="A178" s="884">
        <v>170</v>
      </c>
      <c r="B178" s="636">
        <v>5535</v>
      </c>
      <c r="C178" s="636" t="s">
        <v>2138</v>
      </c>
      <c r="D178" s="953">
        <v>1291.5700000000002</v>
      </c>
    </row>
    <row r="179" spans="1:4">
      <c r="A179" s="884">
        <v>171</v>
      </c>
      <c r="B179" s="636">
        <v>5540</v>
      </c>
      <c r="C179" s="636" t="s">
        <v>2139</v>
      </c>
      <c r="D179" s="953">
        <v>20179.309999999998</v>
      </c>
    </row>
    <row r="180" spans="1:4">
      <c r="A180" s="884">
        <v>172</v>
      </c>
      <c r="B180" s="636">
        <v>5545</v>
      </c>
      <c r="C180" s="636" t="s">
        <v>2140</v>
      </c>
      <c r="D180" s="953">
        <v>1377.8100000000002</v>
      </c>
    </row>
    <row r="181" spans="1:4">
      <c r="A181" s="884">
        <v>173</v>
      </c>
      <c r="B181" s="636">
        <v>5625</v>
      </c>
      <c r="C181" s="636" t="s">
        <v>2141</v>
      </c>
      <c r="D181" s="953">
        <v>25102.400000000001</v>
      </c>
    </row>
    <row r="182" spans="1:4">
      <c r="A182" s="884">
        <v>174</v>
      </c>
      <c r="B182" s="636">
        <v>5630</v>
      </c>
      <c r="C182" s="636" t="s">
        <v>2142</v>
      </c>
      <c r="D182" s="953">
        <v>17374.949999999997</v>
      </c>
    </row>
    <row r="183" spans="1:4">
      <c r="A183" s="884">
        <v>175</v>
      </c>
      <c r="B183" s="636">
        <v>5635</v>
      </c>
      <c r="C183" s="636" t="s">
        <v>2143</v>
      </c>
      <c r="D183" s="953">
        <v>3395.4300000000003</v>
      </c>
    </row>
    <row r="184" spans="1:4">
      <c r="A184" s="884">
        <v>176</v>
      </c>
      <c r="B184" s="636">
        <v>5645</v>
      </c>
      <c r="C184" s="636" t="s">
        <v>2144</v>
      </c>
      <c r="D184" s="953">
        <v>-26986.519999999997</v>
      </c>
    </row>
    <row r="185" spans="1:4">
      <c r="A185" s="884">
        <v>177</v>
      </c>
      <c r="B185" s="636">
        <v>5650</v>
      </c>
      <c r="C185" s="636" t="s">
        <v>2145</v>
      </c>
      <c r="D185" s="953">
        <v>1902.1899999999998</v>
      </c>
    </row>
    <row r="186" spans="1:4">
      <c r="A186" s="884">
        <v>178</v>
      </c>
      <c r="B186" s="636">
        <v>5655</v>
      </c>
      <c r="C186" s="636" t="s">
        <v>2146</v>
      </c>
      <c r="D186" s="953">
        <v>124526.97</v>
      </c>
    </row>
    <row r="187" spans="1:4">
      <c r="A187" s="884">
        <v>179</v>
      </c>
      <c r="B187" s="636">
        <v>5660</v>
      </c>
      <c r="C187" s="636" t="s">
        <v>2147</v>
      </c>
      <c r="D187" s="953">
        <v>913.20999999999992</v>
      </c>
    </row>
    <row r="188" spans="1:4">
      <c r="A188" s="884">
        <v>180</v>
      </c>
      <c r="B188" s="636">
        <v>5665</v>
      </c>
      <c r="C188" s="636" t="s">
        <v>2148</v>
      </c>
      <c r="D188" s="953">
        <v>9215.9599999999991</v>
      </c>
    </row>
    <row r="189" spans="1:4">
      <c r="A189" s="884">
        <v>181</v>
      </c>
      <c r="B189" s="636">
        <v>5670</v>
      </c>
      <c r="C189" s="636" t="s">
        <v>2149</v>
      </c>
      <c r="D189" s="953">
        <v>4287.6499999999996</v>
      </c>
    </row>
    <row r="190" spans="1:4">
      <c r="A190" s="884">
        <v>182</v>
      </c>
      <c r="B190" s="636">
        <v>5675</v>
      </c>
      <c r="C190" s="636" t="s">
        <v>2150</v>
      </c>
      <c r="D190" s="953">
        <v>-923.2600000000001</v>
      </c>
    </row>
    <row r="191" spans="1:4">
      <c r="A191" s="884">
        <v>183</v>
      </c>
      <c r="B191" s="636">
        <v>5680</v>
      </c>
      <c r="C191" s="636" t="s">
        <v>2151</v>
      </c>
      <c r="D191" s="953">
        <v>-468.30999999999995</v>
      </c>
    </row>
    <row r="192" spans="1:4">
      <c r="A192" s="884">
        <v>184</v>
      </c>
      <c r="B192" s="636">
        <v>5690</v>
      </c>
      <c r="C192" s="636" t="s">
        <v>2152</v>
      </c>
      <c r="D192" s="953">
        <v>1.1100000000000001</v>
      </c>
    </row>
    <row r="193" spans="1:4">
      <c r="A193" s="884">
        <v>185</v>
      </c>
      <c r="B193" s="636">
        <v>5705</v>
      </c>
      <c r="C193" s="636" t="s">
        <v>2153</v>
      </c>
      <c r="D193" s="953">
        <v>60192.729999999996</v>
      </c>
    </row>
    <row r="194" spans="1:4">
      <c r="A194" s="884">
        <v>186</v>
      </c>
      <c r="B194" s="636">
        <v>5715</v>
      </c>
      <c r="C194" s="636" t="s">
        <v>2154</v>
      </c>
      <c r="D194" s="953">
        <v>8899.9</v>
      </c>
    </row>
    <row r="195" spans="1:4">
      <c r="A195" s="884">
        <v>187</v>
      </c>
      <c r="B195" s="636">
        <v>5735</v>
      </c>
      <c r="C195" s="636" t="s">
        <v>2155</v>
      </c>
      <c r="D195" s="953">
        <v>20253.769999999997</v>
      </c>
    </row>
    <row r="196" spans="1:4">
      <c r="A196" s="884">
        <v>188</v>
      </c>
      <c r="B196" s="636">
        <v>5740</v>
      </c>
      <c r="C196" s="636" t="s">
        <v>2156</v>
      </c>
      <c r="D196" s="953">
        <v>0.59000000000000008</v>
      </c>
    </row>
    <row r="197" spans="1:4">
      <c r="A197" s="884">
        <v>189</v>
      </c>
      <c r="B197" s="636">
        <v>5745</v>
      </c>
      <c r="C197" s="636" t="s">
        <v>2157</v>
      </c>
      <c r="D197" s="953">
        <v>-0.14000000000000057</v>
      </c>
    </row>
    <row r="198" spans="1:4">
      <c r="A198" s="884">
        <v>190</v>
      </c>
      <c r="B198" s="636">
        <v>5750</v>
      </c>
      <c r="C198" s="636" t="s">
        <v>2158</v>
      </c>
      <c r="D198" s="953">
        <v>3003.9700000000003</v>
      </c>
    </row>
    <row r="199" spans="1:4">
      <c r="A199" s="884">
        <v>191</v>
      </c>
      <c r="B199" s="636">
        <v>5785</v>
      </c>
      <c r="C199" s="636" t="s">
        <v>2159</v>
      </c>
      <c r="D199" s="953">
        <v>1001.8499999999999</v>
      </c>
    </row>
    <row r="200" spans="1:4">
      <c r="A200" s="884">
        <v>192</v>
      </c>
      <c r="B200" s="636">
        <v>5790</v>
      </c>
      <c r="C200" s="636" t="s">
        <v>2160</v>
      </c>
      <c r="D200" s="953">
        <v>2826.62</v>
      </c>
    </row>
    <row r="201" spans="1:4">
      <c r="A201" s="884">
        <v>193</v>
      </c>
      <c r="B201" s="636">
        <v>5795</v>
      </c>
      <c r="C201" s="636" t="s">
        <v>2161</v>
      </c>
      <c r="D201" s="953">
        <v>27.49</v>
      </c>
    </row>
    <row r="202" spans="1:4">
      <c r="A202" s="884">
        <v>194</v>
      </c>
      <c r="B202" s="636">
        <v>5805</v>
      </c>
      <c r="C202" s="636" t="s">
        <v>2162</v>
      </c>
      <c r="D202" s="953">
        <v>324.63</v>
      </c>
    </row>
    <row r="203" spans="1:4">
      <c r="A203" s="884">
        <v>195</v>
      </c>
      <c r="B203" s="636">
        <v>5810</v>
      </c>
      <c r="C203" s="636" t="s">
        <v>2163</v>
      </c>
      <c r="D203" s="953">
        <v>5560.51</v>
      </c>
    </row>
    <row r="204" spans="1:4">
      <c r="A204" s="884">
        <v>196</v>
      </c>
      <c r="B204" s="636">
        <v>5815</v>
      </c>
      <c r="C204" s="636" t="s">
        <v>2164</v>
      </c>
      <c r="D204" s="953">
        <v>2.7099999999998863</v>
      </c>
    </row>
    <row r="205" spans="1:4">
      <c r="A205" s="884">
        <v>197</v>
      </c>
      <c r="B205" s="636">
        <v>5820</v>
      </c>
      <c r="C205" s="636" t="s">
        <v>2165</v>
      </c>
      <c r="D205" s="953">
        <v>913.08999999999992</v>
      </c>
    </row>
    <row r="206" spans="1:4">
      <c r="A206" s="884">
        <v>198</v>
      </c>
      <c r="B206" s="636">
        <v>5825</v>
      </c>
      <c r="C206" s="636" t="s">
        <v>2166</v>
      </c>
      <c r="D206" s="953">
        <v>310.44999999999993</v>
      </c>
    </row>
    <row r="207" spans="1:4">
      <c r="A207" s="884">
        <v>199</v>
      </c>
      <c r="B207" s="636">
        <v>5855</v>
      </c>
      <c r="C207" s="636" t="s">
        <v>2167</v>
      </c>
      <c r="D207" s="953">
        <v>646.5</v>
      </c>
    </row>
    <row r="208" spans="1:4">
      <c r="A208" s="884">
        <v>200</v>
      </c>
      <c r="B208" s="636">
        <v>5860</v>
      </c>
      <c r="C208" s="636" t="s">
        <v>2168</v>
      </c>
      <c r="D208" s="953">
        <v>1071.3200000000002</v>
      </c>
    </row>
    <row r="209" spans="1:4">
      <c r="A209" s="884">
        <v>201</v>
      </c>
      <c r="B209" s="636">
        <v>5865</v>
      </c>
      <c r="C209" s="636" t="s">
        <v>2169</v>
      </c>
      <c r="D209" s="953">
        <v>1155.4299999999998</v>
      </c>
    </row>
    <row r="210" spans="1:4">
      <c r="A210" s="884">
        <v>202</v>
      </c>
      <c r="B210" s="636">
        <v>5870</v>
      </c>
      <c r="C210" s="636" t="s">
        <v>2170</v>
      </c>
      <c r="D210" s="953">
        <v>407.09</v>
      </c>
    </row>
    <row r="211" spans="1:4">
      <c r="A211" s="884">
        <v>203</v>
      </c>
      <c r="B211" s="636">
        <v>5875</v>
      </c>
      <c r="C211" s="636" t="s">
        <v>2171</v>
      </c>
      <c r="D211" s="953">
        <v>306.73</v>
      </c>
    </row>
    <row r="212" spans="1:4">
      <c r="A212" s="884">
        <v>204</v>
      </c>
      <c r="B212" s="636">
        <v>5880</v>
      </c>
      <c r="C212" s="636" t="s">
        <v>2172</v>
      </c>
      <c r="D212" s="953">
        <v>1070.0699999999997</v>
      </c>
    </row>
    <row r="213" spans="1:4">
      <c r="A213" s="884">
        <v>205</v>
      </c>
      <c r="B213" s="636">
        <v>5885</v>
      </c>
      <c r="C213" s="636" t="s">
        <v>2173</v>
      </c>
      <c r="D213" s="953">
        <v>232.04000000000002</v>
      </c>
    </row>
    <row r="214" spans="1:4">
      <c r="A214" s="884">
        <v>206</v>
      </c>
      <c r="B214" s="636">
        <v>5890</v>
      </c>
      <c r="C214" s="636" t="s">
        <v>2174</v>
      </c>
      <c r="D214" s="953">
        <v>7.42</v>
      </c>
    </row>
    <row r="215" spans="1:4">
      <c r="A215" s="884">
        <v>207</v>
      </c>
      <c r="B215" s="636">
        <v>5895</v>
      </c>
      <c r="C215" s="636" t="s">
        <v>2175</v>
      </c>
      <c r="D215" s="953">
        <v>5252.3500000000022</v>
      </c>
    </row>
    <row r="216" spans="1:4">
      <c r="A216" s="884">
        <v>208</v>
      </c>
      <c r="B216" s="636">
        <v>5900</v>
      </c>
      <c r="C216" s="636" t="s">
        <v>2176</v>
      </c>
      <c r="D216" s="953">
        <v>1024.8499999999999</v>
      </c>
    </row>
    <row r="217" spans="1:4">
      <c r="A217" s="884">
        <v>209</v>
      </c>
      <c r="B217" s="636">
        <v>5930</v>
      </c>
      <c r="C217" s="636" t="s">
        <v>2177</v>
      </c>
      <c r="D217" s="953">
        <v>1456.05</v>
      </c>
    </row>
    <row r="218" spans="1:4">
      <c r="A218" s="884">
        <v>210</v>
      </c>
      <c r="B218" s="636">
        <v>5935</v>
      </c>
      <c r="C218" s="636" t="s">
        <v>2178</v>
      </c>
      <c r="D218" s="953">
        <v>892.45</v>
      </c>
    </row>
    <row r="219" spans="1:4">
      <c r="A219" s="884">
        <v>211</v>
      </c>
      <c r="B219" s="636">
        <v>5940</v>
      </c>
      <c r="C219" s="636" t="s">
        <v>2179</v>
      </c>
      <c r="D219" s="953">
        <v>1054.5499999999997</v>
      </c>
    </row>
    <row r="220" spans="1:4">
      <c r="A220" s="884">
        <v>212</v>
      </c>
      <c r="B220" s="636">
        <v>5945</v>
      </c>
      <c r="C220" s="636" t="s">
        <v>2180</v>
      </c>
      <c r="D220" s="953">
        <v>33287.329999999994</v>
      </c>
    </row>
    <row r="221" spans="1:4">
      <c r="A221" s="884">
        <v>213</v>
      </c>
      <c r="B221" s="636">
        <v>5950</v>
      </c>
      <c r="C221" s="636" t="s">
        <v>2181</v>
      </c>
      <c r="D221" s="953">
        <v>1088.8899999999999</v>
      </c>
    </row>
    <row r="222" spans="1:4">
      <c r="A222" s="884">
        <v>214</v>
      </c>
      <c r="B222" s="636">
        <v>5955</v>
      </c>
      <c r="C222" s="636" t="s">
        <v>2182</v>
      </c>
      <c r="D222" s="953">
        <v>7343.2800000000007</v>
      </c>
    </row>
    <row r="223" spans="1:4">
      <c r="A223" s="884">
        <v>215</v>
      </c>
      <c r="B223" s="636">
        <v>5960</v>
      </c>
      <c r="C223" s="636" t="s">
        <v>2183</v>
      </c>
      <c r="D223" s="953">
        <v>2305.1999999999994</v>
      </c>
    </row>
    <row r="224" spans="1:4">
      <c r="A224" s="884">
        <v>216</v>
      </c>
      <c r="B224" s="636">
        <v>5965</v>
      </c>
      <c r="C224" s="636" t="s">
        <v>2184</v>
      </c>
      <c r="D224" s="953">
        <v>1365.25</v>
      </c>
    </row>
    <row r="225" spans="1:4">
      <c r="A225" s="884">
        <v>217</v>
      </c>
      <c r="B225" s="636">
        <v>5970</v>
      </c>
      <c r="C225" s="636" t="s">
        <v>2185</v>
      </c>
      <c r="D225" s="953">
        <v>3097.9700000000003</v>
      </c>
    </row>
    <row r="226" spans="1:4">
      <c r="A226" s="884">
        <v>218</v>
      </c>
      <c r="B226" s="636">
        <v>5975</v>
      </c>
      <c r="C226" s="636" t="s">
        <v>2186</v>
      </c>
      <c r="D226" s="953">
        <v>456.63</v>
      </c>
    </row>
    <row r="227" spans="1:4">
      <c r="A227" s="884">
        <v>219</v>
      </c>
      <c r="B227" s="636">
        <v>5980</v>
      </c>
      <c r="C227" s="636" t="s">
        <v>2187</v>
      </c>
      <c r="D227" s="953">
        <v>4.33</v>
      </c>
    </row>
    <row r="228" spans="1:4">
      <c r="A228" s="884">
        <v>220</v>
      </c>
      <c r="B228" s="636">
        <v>6010</v>
      </c>
      <c r="C228" s="636" t="s">
        <v>2188</v>
      </c>
      <c r="D228" s="953">
        <v>9427.02</v>
      </c>
    </row>
    <row r="229" spans="1:4">
      <c r="A229" s="884">
        <v>221</v>
      </c>
      <c r="B229" s="636">
        <v>6015</v>
      </c>
      <c r="C229" s="636" t="s">
        <v>2189</v>
      </c>
      <c r="D229" s="953">
        <v>60.110000000000014</v>
      </c>
    </row>
    <row r="230" spans="1:4">
      <c r="A230" s="884">
        <v>222</v>
      </c>
      <c r="B230" s="636">
        <v>6025</v>
      </c>
      <c r="C230" s="636" t="s">
        <v>2190</v>
      </c>
      <c r="D230" s="953">
        <v>12783.08</v>
      </c>
    </row>
    <row r="231" spans="1:4">
      <c r="A231" s="884">
        <v>223</v>
      </c>
      <c r="B231" s="636">
        <v>6035</v>
      </c>
      <c r="C231" s="636" t="s">
        <v>2191</v>
      </c>
      <c r="D231" s="953">
        <v>2645.3</v>
      </c>
    </row>
    <row r="232" spans="1:4">
      <c r="A232" s="884">
        <v>224</v>
      </c>
      <c r="B232" s="636">
        <v>6040</v>
      </c>
      <c r="C232" s="636" t="s">
        <v>2192</v>
      </c>
      <c r="D232" s="953">
        <v>28799.350000000002</v>
      </c>
    </row>
    <row r="233" spans="1:4">
      <c r="A233" s="884">
        <v>225</v>
      </c>
      <c r="B233" s="636">
        <v>6045</v>
      </c>
      <c r="C233" s="636" t="s">
        <v>2193</v>
      </c>
      <c r="D233" s="953">
        <v>348.26</v>
      </c>
    </row>
    <row r="234" spans="1:4">
      <c r="A234" s="884">
        <v>226</v>
      </c>
      <c r="B234" s="636">
        <v>6050</v>
      </c>
      <c r="C234" s="636" t="s">
        <v>2194</v>
      </c>
      <c r="D234" s="953">
        <v>11932.849999999999</v>
      </c>
    </row>
    <row r="235" spans="1:4">
      <c r="A235" s="884">
        <v>227</v>
      </c>
      <c r="B235" s="636">
        <v>6065</v>
      </c>
      <c r="C235" s="636" t="s">
        <v>2195</v>
      </c>
      <c r="D235" s="953">
        <v>89438.599999999991</v>
      </c>
    </row>
    <row r="236" spans="1:4">
      <c r="A236" s="884">
        <v>228</v>
      </c>
      <c r="B236" s="636">
        <v>6070</v>
      </c>
      <c r="C236" s="636" t="s">
        <v>2196</v>
      </c>
      <c r="D236" s="953">
        <v>1799.9999999999998</v>
      </c>
    </row>
    <row r="237" spans="1:4">
      <c r="A237" s="884">
        <v>229</v>
      </c>
      <c r="B237" s="636">
        <v>6080</v>
      </c>
      <c r="C237" s="636" t="s">
        <v>2197</v>
      </c>
      <c r="D237" s="953">
        <v>23077.62</v>
      </c>
    </row>
    <row r="238" spans="1:4">
      <c r="A238" s="884">
        <v>230</v>
      </c>
      <c r="B238" s="636">
        <v>6090</v>
      </c>
      <c r="C238" s="636" t="s">
        <v>2198</v>
      </c>
      <c r="D238" s="953">
        <v>8209.66</v>
      </c>
    </row>
    <row r="239" spans="1:4">
      <c r="A239" s="884">
        <v>231</v>
      </c>
      <c r="B239" s="636">
        <v>6110</v>
      </c>
      <c r="C239" s="636" t="s">
        <v>2199</v>
      </c>
      <c r="D239" s="953">
        <v>28277.84</v>
      </c>
    </row>
    <row r="240" spans="1:4">
      <c r="A240" s="884">
        <v>232</v>
      </c>
      <c r="B240" s="636">
        <v>6115</v>
      </c>
      <c r="C240" s="636" t="s">
        <v>2200</v>
      </c>
      <c r="D240" s="953">
        <v>4468.05</v>
      </c>
    </row>
    <row r="241" spans="1:4">
      <c r="A241" s="884">
        <v>233</v>
      </c>
      <c r="B241" s="636">
        <v>6120</v>
      </c>
      <c r="C241" s="636" t="s">
        <v>2201</v>
      </c>
      <c r="D241" s="953">
        <v>18459.129999999997</v>
      </c>
    </row>
    <row r="242" spans="1:4">
      <c r="A242" s="884">
        <v>234</v>
      </c>
      <c r="B242" s="636">
        <v>6125</v>
      </c>
      <c r="C242" s="636" t="s">
        <v>2202</v>
      </c>
      <c r="D242" s="953">
        <v>4225.5199999999995</v>
      </c>
    </row>
    <row r="243" spans="1:4">
      <c r="A243" s="884">
        <v>235</v>
      </c>
      <c r="B243" s="636">
        <v>6130</v>
      </c>
      <c r="C243" s="636" t="s">
        <v>2203</v>
      </c>
      <c r="D243" s="953">
        <v>9798.2900000000009</v>
      </c>
    </row>
    <row r="244" spans="1:4">
      <c r="A244" s="884">
        <v>236</v>
      </c>
      <c r="B244" s="636">
        <v>6135</v>
      </c>
      <c r="C244" s="636" t="s">
        <v>2204</v>
      </c>
      <c r="D244" s="953">
        <v>65862.959999999992</v>
      </c>
    </row>
    <row r="245" spans="1:4">
      <c r="A245" s="884">
        <v>237</v>
      </c>
      <c r="B245" s="636">
        <v>6140</v>
      </c>
      <c r="C245" s="636" t="s">
        <v>2205</v>
      </c>
      <c r="D245" s="953">
        <v>9369.7899999999991</v>
      </c>
    </row>
    <row r="246" spans="1:4">
      <c r="A246" s="884">
        <v>238</v>
      </c>
      <c r="B246" s="636">
        <v>6145</v>
      </c>
      <c r="C246" s="636" t="s">
        <v>2206</v>
      </c>
      <c r="D246" s="953">
        <v>27578.94</v>
      </c>
    </row>
    <row r="247" spans="1:4">
      <c r="A247" s="884">
        <v>239</v>
      </c>
      <c r="B247" s="636">
        <v>6146</v>
      </c>
      <c r="C247" s="636" t="s">
        <v>2207</v>
      </c>
      <c r="D247" s="953">
        <v>11893.780000000002</v>
      </c>
    </row>
    <row r="248" spans="1:4">
      <c r="A248" s="884">
        <v>240</v>
      </c>
      <c r="B248" s="636">
        <v>6150</v>
      </c>
      <c r="C248" s="636" t="s">
        <v>2208</v>
      </c>
      <c r="D248" s="953">
        <v>444959.46000000049</v>
      </c>
    </row>
    <row r="249" spans="1:4">
      <c r="A249" s="884">
        <v>241</v>
      </c>
      <c r="B249" s="636">
        <v>6155</v>
      </c>
      <c r="C249" s="636" t="s">
        <v>2209</v>
      </c>
      <c r="D249" s="953">
        <v>44883.149999999987</v>
      </c>
    </row>
    <row r="250" spans="1:4">
      <c r="A250" s="884">
        <v>242</v>
      </c>
      <c r="B250" s="636">
        <v>6160</v>
      </c>
      <c r="C250" s="636" t="s">
        <v>2210</v>
      </c>
      <c r="D250" s="953">
        <v>6776.66</v>
      </c>
    </row>
    <row r="251" spans="1:4">
      <c r="A251" s="884">
        <v>243</v>
      </c>
      <c r="B251" s="636">
        <v>6165</v>
      </c>
      <c r="C251" s="636" t="s">
        <v>2211</v>
      </c>
      <c r="D251" s="953">
        <v>-159697.67000000077</v>
      </c>
    </row>
    <row r="252" spans="1:4">
      <c r="A252" s="884">
        <v>244</v>
      </c>
      <c r="B252" s="636">
        <v>6185</v>
      </c>
      <c r="C252" s="636" t="s">
        <v>2212</v>
      </c>
      <c r="D252" s="953">
        <v>5531.87</v>
      </c>
    </row>
    <row r="253" spans="1:4">
      <c r="A253" s="884">
        <v>245</v>
      </c>
      <c r="B253" s="636">
        <v>6190</v>
      </c>
      <c r="C253" s="636" t="s">
        <v>2213</v>
      </c>
      <c r="D253" s="953">
        <v>2752.8</v>
      </c>
    </row>
    <row r="254" spans="1:4">
      <c r="A254" s="884">
        <v>246</v>
      </c>
      <c r="B254" s="636">
        <v>6195</v>
      </c>
      <c r="C254" s="636" t="s">
        <v>2214</v>
      </c>
      <c r="D254" s="953">
        <v>696.32</v>
      </c>
    </row>
    <row r="255" spans="1:4">
      <c r="A255" s="884">
        <v>247</v>
      </c>
      <c r="B255" s="636">
        <v>6200</v>
      </c>
      <c r="C255" s="636" t="s">
        <v>2215</v>
      </c>
      <c r="D255" s="953">
        <v>2637.65</v>
      </c>
    </row>
    <row r="256" spans="1:4">
      <c r="A256" s="884">
        <v>248</v>
      </c>
      <c r="B256" s="636">
        <v>6205</v>
      </c>
      <c r="C256" s="636" t="s">
        <v>2216</v>
      </c>
      <c r="D256" s="953">
        <v>57.199999999999996</v>
      </c>
    </row>
    <row r="257" spans="1:4">
      <c r="A257" s="884">
        <v>249</v>
      </c>
      <c r="B257" s="636">
        <v>6207</v>
      </c>
      <c r="C257" s="636" t="s">
        <v>2217</v>
      </c>
      <c r="D257" s="953">
        <v>183.42999999999998</v>
      </c>
    </row>
    <row r="258" spans="1:4">
      <c r="A258" s="884">
        <v>250</v>
      </c>
      <c r="B258" s="636">
        <v>6215</v>
      </c>
      <c r="C258" s="636" t="s">
        <v>1857</v>
      </c>
      <c r="D258" s="953">
        <v>24772.33</v>
      </c>
    </row>
    <row r="259" spans="1:4">
      <c r="A259" s="884">
        <v>251</v>
      </c>
      <c r="B259" s="636">
        <v>6220</v>
      </c>
      <c r="C259" s="636" t="s">
        <v>1858</v>
      </c>
      <c r="D259" s="953">
        <v>11426.15</v>
      </c>
    </row>
    <row r="260" spans="1:4">
      <c r="A260" s="884">
        <v>252</v>
      </c>
      <c r="B260" s="636">
        <v>6225</v>
      </c>
      <c r="C260" s="636" t="s">
        <v>1859</v>
      </c>
      <c r="D260" s="953">
        <v>709.77</v>
      </c>
    </row>
    <row r="261" spans="1:4">
      <c r="A261" s="884">
        <v>253</v>
      </c>
      <c r="B261" s="636">
        <v>6230</v>
      </c>
      <c r="C261" s="636" t="s">
        <v>1860</v>
      </c>
      <c r="D261" s="953">
        <v>2135.2199999999998</v>
      </c>
    </row>
    <row r="262" spans="1:4">
      <c r="A262" s="884">
        <v>254</v>
      </c>
      <c r="B262" s="636">
        <v>6255</v>
      </c>
      <c r="C262" s="636" t="s">
        <v>2218</v>
      </c>
      <c r="D262" s="953">
        <v>19573.230000000003</v>
      </c>
    </row>
    <row r="263" spans="1:4">
      <c r="A263" s="884">
        <v>255</v>
      </c>
      <c r="B263" s="636">
        <v>6260</v>
      </c>
      <c r="C263" s="636" t="s">
        <v>2219</v>
      </c>
      <c r="D263" s="953">
        <v>9638.18</v>
      </c>
    </row>
    <row r="264" spans="1:4">
      <c r="A264" s="884">
        <v>256</v>
      </c>
      <c r="B264" s="636">
        <v>6265</v>
      </c>
      <c r="C264" s="636" t="s">
        <v>2220</v>
      </c>
      <c r="D264" s="953">
        <v>203.26</v>
      </c>
    </row>
    <row r="265" spans="1:4">
      <c r="A265" s="884">
        <v>257</v>
      </c>
      <c r="B265" s="636">
        <v>6270</v>
      </c>
      <c r="C265" s="636" t="s">
        <v>2221</v>
      </c>
      <c r="D265" s="953">
        <v>8187.69</v>
      </c>
    </row>
    <row r="266" spans="1:4">
      <c r="A266" s="884">
        <v>258</v>
      </c>
      <c r="B266" s="636">
        <v>6285</v>
      </c>
      <c r="C266" s="636" t="s">
        <v>2222</v>
      </c>
      <c r="D266" s="953">
        <v>8071.6799999999985</v>
      </c>
    </row>
    <row r="267" spans="1:4">
      <c r="A267" s="884">
        <v>259</v>
      </c>
      <c r="B267" s="636">
        <v>6290</v>
      </c>
      <c r="C267" s="636" t="s">
        <v>2223</v>
      </c>
      <c r="D267" s="953">
        <v>9888.02</v>
      </c>
    </row>
    <row r="268" spans="1:4">
      <c r="A268" s="884">
        <v>260</v>
      </c>
      <c r="B268" s="636">
        <v>6295</v>
      </c>
      <c r="C268" s="636" t="s">
        <v>2224</v>
      </c>
      <c r="D268" s="953">
        <v>10643.11</v>
      </c>
    </row>
    <row r="269" spans="1:4">
      <c r="A269" s="884">
        <v>261</v>
      </c>
      <c r="B269" s="636">
        <v>6300</v>
      </c>
      <c r="C269" s="636" t="s">
        <v>2225</v>
      </c>
      <c r="D269" s="953">
        <v>90.1</v>
      </c>
    </row>
    <row r="270" spans="1:4">
      <c r="A270" s="884">
        <v>262</v>
      </c>
      <c r="B270" s="636">
        <v>6310</v>
      </c>
      <c r="C270" s="636" t="s">
        <v>2226</v>
      </c>
      <c r="D270" s="953">
        <v>26047.65</v>
      </c>
    </row>
    <row r="271" spans="1:4">
      <c r="A271" s="884">
        <v>263</v>
      </c>
      <c r="B271" s="636">
        <v>6320</v>
      </c>
      <c r="C271" s="636" t="s">
        <v>2227</v>
      </c>
      <c r="D271" s="953">
        <v>1752.5500000000002</v>
      </c>
    </row>
    <row r="272" spans="1:4">
      <c r="A272" s="884">
        <v>264</v>
      </c>
      <c r="B272" s="636">
        <v>6325</v>
      </c>
      <c r="C272" s="636" t="s">
        <v>2228</v>
      </c>
      <c r="D272" s="953">
        <v>1500</v>
      </c>
    </row>
    <row r="273" spans="1:4">
      <c r="A273" s="884">
        <v>265</v>
      </c>
      <c r="B273" s="636">
        <v>6335</v>
      </c>
      <c r="C273" s="636" t="s">
        <v>2229</v>
      </c>
      <c r="D273" s="953">
        <v>7721.1200000000008</v>
      </c>
    </row>
    <row r="274" spans="1:4">
      <c r="A274" s="884">
        <v>266</v>
      </c>
      <c r="B274" s="636">
        <v>6345</v>
      </c>
      <c r="C274" s="636" t="s">
        <v>2230</v>
      </c>
      <c r="D274" s="953">
        <v>3710.18</v>
      </c>
    </row>
    <row r="275" spans="1:4">
      <c r="A275" s="884">
        <v>267</v>
      </c>
      <c r="B275" s="636">
        <v>6355</v>
      </c>
      <c r="C275" s="636" t="s">
        <v>2231</v>
      </c>
      <c r="D275" s="953">
        <v>19977.39</v>
      </c>
    </row>
    <row r="276" spans="1:4">
      <c r="A276" s="884">
        <v>268</v>
      </c>
      <c r="B276" s="636">
        <v>6360</v>
      </c>
      <c r="C276" s="636" t="s">
        <v>2232</v>
      </c>
      <c r="D276" s="953">
        <v>187.89</v>
      </c>
    </row>
    <row r="277" spans="1:4">
      <c r="A277" s="884">
        <v>269</v>
      </c>
      <c r="B277" s="636">
        <v>6370</v>
      </c>
      <c r="C277" s="636" t="s">
        <v>2233</v>
      </c>
      <c r="D277" s="953">
        <v>7200</v>
      </c>
    </row>
    <row r="278" spans="1:4">
      <c r="A278" s="884">
        <v>270</v>
      </c>
      <c r="B278" s="636">
        <v>6385</v>
      </c>
      <c r="C278" s="636" t="s">
        <v>2234</v>
      </c>
      <c r="D278" s="953">
        <v>2595.16</v>
      </c>
    </row>
    <row r="279" spans="1:4">
      <c r="A279" s="884">
        <v>271</v>
      </c>
      <c r="B279" s="636">
        <v>6390</v>
      </c>
      <c r="C279" s="636" t="s">
        <v>2235</v>
      </c>
      <c r="D279" s="953">
        <v>2067.4500000000003</v>
      </c>
    </row>
    <row r="280" spans="1:4">
      <c r="A280" s="884">
        <v>272</v>
      </c>
      <c r="B280" s="636">
        <v>6400</v>
      </c>
      <c r="C280" s="636" t="s">
        <v>2236</v>
      </c>
      <c r="D280" s="953">
        <v>0</v>
      </c>
    </row>
    <row r="281" spans="1:4">
      <c r="A281" s="884">
        <v>273</v>
      </c>
      <c r="B281" s="636">
        <v>6445</v>
      </c>
      <c r="C281" s="636" t="s">
        <v>2237</v>
      </c>
      <c r="D281" s="953">
        <v>3287.8799999999987</v>
      </c>
    </row>
    <row r="282" spans="1:4">
      <c r="A282" s="884">
        <v>274</v>
      </c>
      <c r="B282" s="636">
        <v>6455</v>
      </c>
      <c r="C282" s="636" t="s">
        <v>2238</v>
      </c>
      <c r="D282" s="953">
        <v>2384.2599999999998</v>
      </c>
    </row>
    <row r="283" spans="1:4">
      <c r="A283" s="884">
        <v>275</v>
      </c>
      <c r="B283" s="636">
        <v>6460</v>
      </c>
      <c r="C283" s="636" t="s">
        <v>2239</v>
      </c>
      <c r="D283" s="953">
        <v>9330.5399999999991</v>
      </c>
    </row>
    <row r="284" spans="1:4">
      <c r="A284" s="884">
        <v>276</v>
      </c>
      <c r="B284" s="636">
        <v>6465</v>
      </c>
      <c r="C284" s="636" t="s">
        <v>2240</v>
      </c>
      <c r="D284" s="953">
        <v>2.31</v>
      </c>
    </row>
    <row r="285" spans="1:4">
      <c r="A285" s="884">
        <v>277</v>
      </c>
      <c r="B285" s="636">
        <v>6470</v>
      </c>
      <c r="C285" s="636" t="s">
        <v>2241</v>
      </c>
      <c r="D285" s="953">
        <v>2592</v>
      </c>
    </row>
    <row r="286" spans="1:4">
      <c r="A286" s="884">
        <v>278</v>
      </c>
      <c r="B286" s="636">
        <v>6485</v>
      </c>
      <c r="C286" s="636" t="s">
        <v>2242</v>
      </c>
      <c r="D286" s="953">
        <v>9528.4299999999985</v>
      </c>
    </row>
    <row r="287" spans="1:4">
      <c r="A287" s="884">
        <v>279</v>
      </c>
      <c r="B287" s="636">
        <v>6495</v>
      </c>
      <c r="C287" s="636" t="s">
        <v>2243</v>
      </c>
      <c r="D287" s="953">
        <v>142.32000000000002</v>
      </c>
    </row>
    <row r="288" spans="1:4">
      <c r="A288" s="884">
        <v>280</v>
      </c>
      <c r="B288" s="636">
        <v>6505</v>
      </c>
      <c r="C288" s="636" t="s">
        <v>2244</v>
      </c>
      <c r="D288" s="953">
        <v>167.81000000000003</v>
      </c>
    </row>
    <row r="289" spans="1:4">
      <c r="A289" s="884">
        <v>281</v>
      </c>
      <c r="B289" s="636">
        <v>6510</v>
      </c>
      <c r="C289" s="636" t="s">
        <v>2245</v>
      </c>
      <c r="D289" s="953">
        <v>13849.8</v>
      </c>
    </row>
    <row r="290" spans="1:4">
      <c r="A290" s="884">
        <v>282</v>
      </c>
      <c r="B290" s="636">
        <v>6515</v>
      </c>
      <c r="C290" s="636" t="s">
        <v>2246</v>
      </c>
      <c r="D290" s="953">
        <v>146.28</v>
      </c>
    </row>
    <row r="291" spans="1:4">
      <c r="A291" s="884">
        <v>283</v>
      </c>
      <c r="B291" s="636">
        <v>6520</v>
      </c>
      <c r="C291" s="636" t="s">
        <v>2247</v>
      </c>
      <c r="D291" s="953">
        <v>12764.800000000001</v>
      </c>
    </row>
    <row r="292" spans="1:4">
      <c r="A292" s="884">
        <v>284</v>
      </c>
      <c r="B292" s="636">
        <v>6525</v>
      </c>
      <c r="C292" s="636" t="s">
        <v>2248</v>
      </c>
      <c r="D292" s="953">
        <v>10566.990000000002</v>
      </c>
    </row>
    <row r="293" spans="1:4">
      <c r="A293" s="884">
        <v>285</v>
      </c>
      <c r="B293" s="636">
        <v>6530</v>
      </c>
      <c r="C293" s="636" t="s">
        <v>2249</v>
      </c>
      <c r="D293" s="953">
        <v>67759.309999999983</v>
      </c>
    </row>
    <row r="294" spans="1:4">
      <c r="A294" s="884">
        <v>286</v>
      </c>
      <c r="B294" s="636">
        <v>6535</v>
      </c>
      <c r="C294" s="636" t="s">
        <v>2250</v>
      </c>
      <c r="D294" s="953">
        <v>17099.259999999998</v>
      </c>
    </row>
    <row r="295" spans="1:4">
      <c r="A295" s="884">
        <v>287</v>
      </c>
      <c r="B295" s="636">
        <v>6540</v>
      </c>
      <c r="C295" s="636" t="s">
        <v>2251</v>
      </c>
      <c r="D295" s="953">
        <v>14678.11</v>
      </c>
    </row>
    <row r="296" spans="1:4">
      <c r="A296" s="884">
        <v>288</v>
      </c>
      <c r="B296" s="636">
        <v>6545</v>
      </c>
      <c r="C296" s="636" t="s">
        <v>2252</v>
      </c>
      <c r="D296" s="953">
        <v>11743.849999999997</v>
      </c>
    </row>
    <row r="297" spans="1:4">
      <c r="A297" s="884">
        <v>289</v>
      </c>
      <c r="B297" s="636">
        <v>6550</v>
      </c>
      <c r="C297" s="636" t="s">
        <v>2253</v>
      </c>
      <c r="D297" s="953">
        <v>8125.0700000000015</v>
      </c>
    </row>
    <row r="298" spans="1:4">
      <c r="A298" s="884">
        <v>290</v>
      </c>
      <c r="B298" s="636">
        <v>6580</v>
      </c>
      <c r="C298" s="636" t="s">
        <v>2254</v>
      </c>
      <c r="D298" s="953">
        <v>3390.2699999999991</v>
      </c>
    </row>
    <row r="299" spans="1:4">
      <c r="A299" s="884">
        <v>291</v>
      </c>
      <c r="B299" s="636">
        <v>6585</v>
      </c>
      <c r="C299" s="636" t="s">
        <v>2255</v>
      </c>
      <c r="D299" s="953">
        <v>2353.0800000000008</v>
      </c>
    </row>
    <row r="300" spans="1:4">
      <c r="A300" s="884">
        <v>292</v>
      </c>
      <c r="B300" s="636">
        <v>6595</v>
      </c>
      <c r="C300" s="636" t="s">
        <v>2256</v>
      </c>
      <c r="D300" s="953">
        <v>5308.010000000002</v>
      </c>
    </row>
    <row r="301" spans="1:4">
      <c r="A301" s="884">
        <v>293</v>
      </c>
      <c r="B301" s="636">
        <v>6600</v>
      </c>
      <c r="C301" s="636" t="s">
        <v>2257</v>
      </c>
      <c r="D301" s="953">
        <v>1482.0300000000002</v>
      </c>
    </row>
    <row r="302" spans="1:4">
      <c r="A302" s="884">
        <v>294</v>
      </c>
      <c r="B302" s="636">
        <v>6605</v>
      </c>
      <c r="C302" s="636" t="s">
        <v>2258</v>
      </c>
      <c r="D302" s="953">
        <v>257.04000000000008</v>
      </c>
    </row>
    <row r="303" spans="1:4">
      <c r="A303" s="884">
        <v>295</v>
      </c>
      <c r="B303" s="636">
        <v>6610</v>
      </c>
      <c r="C303" s="636" t="s">
        <v>2259</v>
      </c>
      <c r="D303" s="953">
        <v>2596.5899999999997</v>
      </c>
    </row>
    <row r="304" spans="1:4">
      <c r="A304" s="884">
        <v>296</v>
      </c>
      <c r="B304" s="636">
        <v>6620</v>
      </c>
      <c r="C304" s="636" t="s">
        <v>2260</v>
      </c>
      <c r="D304" s="953">
        <v>1399.5600000000004</v>
      </c>
    </row>
    <row r="305" spans="1:4">
      <c r="A305" s="884">
        <v>297</v>
      </c>
      <c r="B305" s="636">
        <v>6675</v>
      </c>
      <c r="C305" s="636" t="s">
        <v>2261</v>
      </c>
      <c r="D305" s="953">
        <v>0</v>
      </c>
    </row>
    <row r="306" spans="1:4">
      <c r="A306" s="884">
        <v>298</v>
      </c>
      <c r="B306" s="636">
        <v>6905</v>
      </c>
      <c r="C306" s="636" t="s">
        <v>2262</v>
      </c>
      <c r="D306" s="953">
        <v>32420.880000000005</v>
      </c>
    </row>
    <row r="307" spans="1:4">
      <c r="A307" s="884">
        <v>299</v>
      </c>
      <c r="B307" s="636">
        <v>6920</v>
      </c>
      <c r="C307" s="636" t="s">
        <v>2263</v>
      </c>
      <c r="D307" s="953">
        <v>102346.62</v>
      </c>
    </row>
    <row r="308" spans="1:4">
      <c r="A308" s="884">
        <v>300</v>
      </c>
      <c r="B308" s="636">
        <v>6960</v>
      </c>
      <c r="C308" s="636" t="s">
        <v>2264</v>
      </c>
      <c r="D308" s="953">
        <v>-3660.48</v>
      </c>
    </row>
    <row r="309" spans="1:4">
      <c r="A309" s="884">
        <v>301</v>
      </c>
      <c r="B309" s="636">
        <v>7080</v>
      </c>
      <c r="C309" s="636" t="s">
        <v>2265</v>
      </c>
      <c r="D309" s="953">
        <v>-1662.8399999999995</v>
      </c>
    </row>
    <row r="310" spans="1:4">
      <c r="A310" s="884">
        <v>302</v>
      </c>
      <c r="B310" s="636">
        <v>7160</v>
      </c>
      <c r="C310" s="636" t="s">
        <v>2266</v>
      </c>
      <c r="D310" s="953">
        <v>-2087.2799999999997</v>
      </c>
    </row>
    <row r="311" spans="1:4">
      <c r="A311" s="884">
        <v>303</v>
      </c>
      <c r="B311" s="636">
        <v>7165</v>
      </c>
      <c r="C311" s="636" t="s">
        <v>2267</v>
      </c>
      <c r="D311" s="953">
        <v>-877.6600000000002</v>
      </c>
    </row>
    <row r="312" spans="1:4">
      <c r="A312" s="884">
        <v>304</v>
      </c>
      <c r="B312" s="636">
        <v>7510</v>
      </c>
      <c r="C312" s="636" t="s">
        <v>2268</v>
      </c>
      <c r="D312" s="953">
        <v>49829.779999999992</v>
      </c>
    </row>
    <row r="313" spans="1:4">
      <c r="A313" s="884">
        <v>305</v>
      </c>
      <c r="B313" s="636">
        <v>7515</v>
      </c>
      <c r="C313" s="636" t="s">
        <v>2269</v>
      </c>
      <c r="D313" s="953">
        <v>1429.0700000000002</v>
      </c>
    </row>
    <row r="314" spans="1:4">
      <c r="A314" s="884">
        <v>306</v>
      </c>
      <c r="B314" s="636">
        <v>7520</v>
      </c>
      <c r="C314" s="636" t="s">
        <v>2270</v>
      </c>
      <c r="D314" s="953">
        <v>4770.37</v>
      </c>
    </row>
    <row r="315" spans="1:4">
      <c r="A315" s="884">
        <v>307</v>
      </c>
      <c r="B315" s="636">
        <v>7535</v>
      </c>
      <c r="C315" s="636" t="s">
        <v>2271</v>
      </c>
      <c r="D315" s="953">
        <v>45.6</v>
      </c>
    </row>
    <row r="316" spans="1:4">
      <c r="A316" s="884">
        <v>308</v>
      </c>
      <c r="B316" s="636">
        <v>7545</v>
      </c>
      <c r="C316" s="636" t="s">
        <v>2272</v>
      </c>
      <c r="D316" s="953">
        <v>15051</v>
      </c>
    </row>
    <row r="317" spans="1:4">
      <c r="A317" s="884">
        <v>309</v>
      </c>
      <c r="B317" s="636">
        <v>7550</v>
      </c>
      <c r="C317" s="636" t="s">
        <v>2273</v>
      </c>
      <c r="D317" s="953">
        <v>5504.85</v>
      </c>
    </row>
    <row r="318" spans="1:4">
      <c r="A318" s="884">
        <v>310</v>
      </c>
      <c r="B318" s="636">
        <v>7555</v>
      </c>
      <c r="C318" s="636" t="s">
        <v>2274</v>
      </c>
      <c r="D318" s="953">
        <v>56189.9</v>
      </c>
    </row>
    <row r="319" spans="1:4">
      <c r="A319" s="884">
        <v>311</v>
      </c>
      <c r="B319" s="636">
        <v>7570</v>
      </c>
      <c r="C319" s="636" t="s">
        <v>2275</v>
      </c>
      <c r="D319" s="953">
        <v>7990.19</v>
      </c>
    </row>
    <row r="320" spans="1:4">
      <c r="A320" s="884">
        <v>312</v>
      </c>
      <c r="B320" s="636">
        <v>7595</v>
      </c>
      <c r="C320" s="636" t="s">
        <v>2276</v>
      </c>
      <c r="D320" s="953">
        <v>99758.42</v>
      </c>
    </row>
    <row r="321" spans="1:4">
      <c r="A321" s="884">
        <v>313</v>
      </c>
      <c r="B321" s="636">
        <v>7600</v>
      </c>
      <c r="C321" s="636" t="s">
        <v>2277</v>
      </c>
      <c r="D321" s="953">
        <v>-217638.81</v>
      </c>
    </row>
    <row r="322" spans="1:4">
      <c r="A322" s="884">
        <v>314</v>
      </c>
      <c r="B322" s="636">
        <v>7605</v>
      </c>
      <c r="C322" s="636" t="s">
        <v>2278</v>
      </c>
      <c r="D322" s="953">
        <v>0</v>
      </c>
    </row>
    <row r="323" spans="1:4">
      <c r="A323" s="884">
        <v>315</v>
      </c>
      <c r="B323" s="636">
        <v>7610</v>
      </c>
      <c r="C323" s="636" t="s">
        <v>2279</v>
      </c>
      <c r="D323" s="953">
        <v>-10239.349999999999</v>
      </c>
    </row>
    <row r="324" spans="1:4">
      <c r="A324" s="884">
        <v>316</v>
      </c>
      <c r="B324" s="636">
        <v>7680</v>
      </c>
      <c r="C324" s="636" t="s">
        <v>2280</v>
      </c>
      <c r="D324" s="953">
        <v>-1800</v>
      </c>
    </row>
    <row r="325" spans="1:4">
      <c r="A325" s="884">
        <v>317</v>
      </c>
      <c r="B325" s="636">
        <v>7710</v>
      </c>
      <c r="C325" s="636" t="s">
        <v>2281</v>
      </c>
      <c r="D325" s="953">
        <v>175550.73999999996</v>
      </c>
    </row>
    <row r="326" spans="1:4">
      <c r="A326" s="884">
        <v>318</v>
      </c>
      <c r="B326" s="636">
        <v>7735</v>
      </c>
      <c r="C326" s="636" t="s">
        <v>2282</v>
      </c>
      <c r="D326" s="953">
        <v>-38.100000000000009</v>
      </c>
    </row>
    <row r="327" spans="1:4">
      <c r="A327" s="884">
        <v>319</v>
      </c>
      <c r="B327" s="636">
        <v>7750</v>
      </c>
      <c r="C327" s="636" t="s">
        <v>2283</v>
      </c>
      <c r="D327" s="953">
        <v>-5026.3200000000006</v>
      </c>
    </row>
    <row r="328" spans="1:4">
      <c r="A328" s="884">
        <v>320</v>
      </c>
      <c r="B328" s="636">
        <v>7765</v>
      </c>
      <c r="C328" s="636" t="s">
        <v>2284</v>
      </c>
      <c r="D328" s="953">
        <v>0</v>
      </c>
    </row>
    <row r="329" spans="1:4">
      <c r="A329" s="884">
        <v>321</v>
      </c>
      <c r="D329" s="953">
        <f>SUM(D9:D328)</f>
        <v>4.8430592869408429E-9</v>
      </c>
    </row>
    <row r="330" spans="1:4">
      <c r="A330" s="884">
        <v>322</v>
      </c>
    </row>
    <row r="331" spans="1:4">
      <c r="A331" s="884">
        <v>323</v>
      </c>
      <c r="C331" s="636" t="s">
        <v>876</v>
      </c>
      <c r="D331" s="953">
        <f>SUM(D9:D151)</f>
        <v>187437.82000000568</v>
      </c>
    </row>
    <row r="332" spans="1:4">
      <c r="A332" s="884">
        <v>324</v>
      </c>
      <c r="C332" s="636" t="s">
        <v>952</v>
      </c>
      <c r="D332" s="953">
        <f>SUM(D152:D328)</f>
        <v>-187437.82000000041</v>
      </c>
    </row>
    <row r="333" spans="1:4">
      <c r="A333" s="884">
        <v>325</v>
      </c>
      <c r="D333" s="953">
        <f>SUM(D331:D332)</f>
        <v>5.2677933126688004E-9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0"/>
  <sheetViews>
    <sheetView workbookViewId="0">
      <pane ySplit="1" topLeftCell="A2" activePane="bottomLeft" state="frozen"/>
      <selection pane="bottomLeft" activeCell="G22" sqref="G22:H22"/>
    </sheetView>
  </sheetViews>
  <sheetFormatPr defaultColWidth="10.875" defaultRowHeight="13.5"/>
  <cols>
    <col min="1" max="1" width="13.375" style="1394" customWidth="1"/>
    <col min="2" max="2" width="33" style="638" bestFit="1" customWidth="1"/>
    <col min="3" max="3" width="5.25" style="638" bestFit="1" customWidth="1"/>
    <col min="4" max="4" width="15.625" style="638" customWidth="1"/>
    <col min="5" max="5" width="10.875" style="638" customWidth="1"/>
    <col min="6" max="6" width="17.125" style="638" bestFit="1" customWidth="1"/>
    <col min="7" max="16384" width="10.875" style="638"/>
  </cols>
  <sheetData>
    <row r="1" spans="1:5" ht="15.75">
      <c r="A1" s="1390" t="s">
        <v>437</v>
      </c>
      <c r="B1" s="1391" t="s">
        <v>150</v>
      </c>
      <c r="C1" s="1392" t="s">
        <v>953</v>
      </c>
      <c r="D1" s="1393" t="s">
        <v>954</v>
      </c>
      <c r="E1" s="1392" t="s">
        <v>2285</v>
      </c>
    </row>
    <row r="2" spans="1:5">
      <c r="A2" s="637">
        <v>1020</v>
      </c>
      <c r="B2" s="638" t="s">
        <v>1100</v>
      </c>
      <c r="C2" s="638" t="s">
        <v>876</v>
      </c>
      <c r="D2" s="457">
        <f>IF(ISERROR(VLOOKUP(A2,'TB Hard Code'!B:D,3,FALSE)),0,VLOOKUP(A2,'TB Hard Code'!B:D,3,FALSE))</f>
        <v>164394.1</v>
      </c>
      <c r="E2" s="638" t="b">
        <f>+ISERROR(MATCH(A2,'Linked TB'!$A$9:$A$738,0))</f>
        <v>0</v>
      </c>
    </row>
    <row r="3" spans="1:5">
      <c r="A3" s="637">
        <v>1025</v>
      </c>
      <c r="B3" s="638" t="s">
        <v>1101</v>
      </c>
      <c r="C3" s="638" t="s">
        <v>876</v>
      </c>
      <c r="D3" s="457">
        <f>IF(ISERROR(VLOOKUP(A3,'TB Hard Code'!B:D,3,FALSE)),0,VLOOKUP(A3,'TB Hard Code'!B:D,3,FALSE))</f>
        <v>0</v>
      </c>
      <c r="E3" s="638" t="b">
        <f>+ISERROR(MATCH(A3,'Linked TB'!$A$9:$A$738,0))</f>
        <v>0</v>
      </c>
    </row>
    <row r="4" spans="1:5">
      <c r="A4" s="637">
        <v>1040</v>
      </c>
      <c r="B4" s="638" t="s">
        <v>1102</v>
      </c>
      <c r="C4" s="638" t="s">
        <v>876</v>
      </c>
      <c r="D4" s="457">
        <f>IF(ISERROR(VLOOKUP(A4,'TB Hard Code'!B:D,3,FALSE)),0,VLOOKUP(A4,'TB Hard Code'!B:D,3,FALSE))</f>
        <v>0</v>
      </c>
      <c r="E4" s="638" t="b">
        <f>+ISERROR(MATCH(A4,'Linked TB'!$A$9:$A$738,0))</f>
        <v>0</v>
      </c>
    </row>
    <row r="5" spans="1:5">
      <c r="A5" s="637">
        <v>1045</v>
      </c>
      <c r="B5" s="638" t="s">
        <v>1103</v>
      </c>
      <c r="C5" s="638" t="s">
        <v>876</v>
      </c>
      <c r="D5" s="457">
        <f>IF(ISERROR(VLOOKUP(A5,'TB Hard Code'!B:D,3,FALSE)),0,VLOOKUP(A5,'TB Hard Code'!B:D,3,FALSE))</f>
        <v>22551.41</v>
      </c>
      <c r="E5" s="638" t="b">
        <f>+ISERROR(MATCH(A5,'Linked TB'!$A$9:$A$738,0))</f>
        <v>0</v>
      </c>
    </row>
    <row r="6" spans="1:5">
      <c r="A6" s="637">
        <v>1050</v>
      </c>
      <c r="B6" s="638" t="s">
        <v>1104</v>
      </c>
      <c r="C6" s="638" t="s">
        <v>876</v>
      </c>
      <c r="D6" s="457">
        <f>IF(ISERROR(VLOOKUP(A6,'TB Hard Code'!B:D,3,FALSE)),0,VLOOKUP(A6,'TB Hard Code'!B:D,3,FALSE))</f>
        <v>119734.05</v>
      </c>
      <c r="E6" s="638" t="b">
        <f>+ISERROR(MATCH(A6,'Linked TB'!$A$9:$A$738,0))</f>
        <v>0</v>
      </c>
    </row>
    <row r="7" spans="1:5">
      <c r="A7" s="637">
        <v>1055</v>
      </c>
      <c r="B7" s="638" t="s">
        <v>1105</v>
      </c>
      <c r="C7" s="638" t="s">
        <v>876</v>
      </c>
      <c r="D7" s="457">
        <f>IF(ISERROR(VLOOKUP(A7,'TB Hard Code'!B:D,3,FALSE)),0,VLOOKUP(A7,'TB Hard Code'!B:D,3,FALSE))</f>
        <v>469034.23</v>
      </c>
      <c r="E7" s="638" t="b">
        <f>+ISERROR(MATCH(A7,'Linked TB'!$A$9:$A$738,0))</f>
        <v>0</v>
      </c>
    </row>
    <row r="8" spans="1:5">
      <c r="A8" s="637">
        <v>1060</v>
      </c>
      <c r="B8" s="638" t="s">
        <v>1106</v>
      </c>
      <c r="C8" s="638" t="s">
        <v>876</v>
      </c>
      <c r="D8" s="457">
        <f>IF(ISERROR(VLOOKUP(A8,'TB Hard Code'!B:D,3,FALSE)),0,VLOOKUP(A8,'TB Hard Code'!B:D,3,FALSE))</f>
        <v>461.5</v>
      </c>
      <c r="E8" s="638" t="b">
        <f>+ISERROR(MATCH(A8,'Linked TB'!$A$9:$A$738,0))</f>
        <v>0</v>
      </c>
    </row>
    <row r="9" spans="1:5">
      <c r="A9" s="637">
        <v>1065</v>
      </c>
      <c r="B9" s="638" t="s">
        <v>1107</v>
      </c>
      <c r="C9" s="638" t="s">
        <v>876</v>
      </c>
      <c r="D9" s="457">
        <f>IF(ISERROR(VLOOKUP(A9,'TB Hard Code'!B:D,3,FALSE)),0,VLOOKUP(A9,'TB Hard Code'!B:D,3,FALSE))</f>
        <v>129602.66</v>
      </c>
      <c r="E9" s="638" t="b">
        <f>+ISERROR(MATCH(A9,'Linked TB'!$A$9:$A$738,0))</f>
        <v>0</v>
      </c>
    </row>
    <row r="10" spans="1:5">
      <c r="A10" s="637">
        <v>1080</v>
      </c>
      <c r="B10" s="638" t="s">
        <v>1108</v>
      </c>
      <c r="C10" s="638" t="s">
        <v>876</v>
      </c>
      <c r="D10" s="457">
        <f>IF(ISERROR(VLOOKUP(A10,'TB Hard Code'!B:D,3,FALSE)),0,VLOOKUP(A10,'TB Hard Code'!B:D,3,FALSE))</f>
        <v>477398.13</v>
      </c>
      <c r="E10" s="638" t="b">
        <f>+ISERROR(MATCH(A10,'Linked TB'!$A$9:$A$738,0))</f>
        <v>0</v>
      </c>
    </row>
    <row r="11" spans="1:5">
      <c r="A11" s="637">
        <v>1090</v>
      </c>
      <c r="B11" s="638" t="s">
        <v>1109</v>
      </c>
      <c r="C11" s="638" t="s">
        <v>876</v>
      </c>
      <c r="D11" s="457">
        <f>IF(ISERROR(VLOOKUP(A11,'TB Hard Code'!B:D,3,FALSE)),0,VLOOKUP(A11,'TB Hard Code'!B:D,3,FALSE))</f>
        <v>9489.7199999999993</v>
      </c>
      <c r="E11" s="638" t="b">
        <f>+ISERROR(MATCH(A11,'Linked TB'!$A$9:$A$738,0))</f>
        <v>0</v>
      </c>
    </row>
    <row r="12" spans="1:5">
      <c r="A12" s="637">
        <v>1100</v>
      </c>
      <c r="B12" s="638" t="s">
        <v>1515</v>
      </c>
      <c r="C12" s="638" t="s">
        <v>876</v>
      </c>
      <c r="D12" s="457">
        <f>IF(ISERROR(VLOOKUP(A12,'TB Hard Code'!B:D,3,FALSE)),0,VLOOKUP(A12,'TB Hard Code'!B:D,3,FALSE))</f>
        <v>9223.01</v>
      </c>
      <c r="E12" s="638" t="b">
        <f>+ISERROR(MATCH(A12,'Linked TB'!$A$9:$A$738,0))</f>
        <v>0</v>
      </c>
    </row>
    <row r="13" spans="1:5">
      <c r="A13" s="637">
        <v>1105</v>
      </c>
      <c r="B13" s="638" t="s">
        <v>1110</v>
      </c>
      <c r="C13" s="638" t="s">
        <v>876</v>
      </c>
      <c r="D13" s="457">
        <f>IF(ISERROR(VLOOKUP(A13,'TB Hard Code'!B:D,3,FALSE)),0,VLOOKUP(A13,'TB Hard Code'!B:D,3,FALSE))</f>
        <v>702166.93</v>
      </c>
      <c r="E13" s="638" t="b">
        <f>+ISERROR(MATCH(A13,'Linked TB'!$A$9:$A$738,0))</f>
        <v>0</v>
      </c>
    </row>
    <row r="14" spans="1:5">
      <c r="A14" s="637">
        <v>1110</v>
      </c>
      <c r="B14" s="638" t="s">
        <v>1111</v>
      </c>
      <c r="C14" s="638" t="s">
        <v>876</v>
      </c>
      <c r="D14" s="457">
        <f>IF(ISERROR(VLOOKUP(A14,'TB Hard Code'!B:D,3,FALSE)),0,VLOOKUP(A14,'TB Hard Code'!B:D,3,FALSE))</f>
        <v>7532.87</v>
      </c>
      <c r="E14" s="638" t="b">
        <f>+ISERROR(MATCH(A14,'Linked TB'!$A$9:$A$738,0))</f>
        <v>0</v>
      </c>
    </row>
    <row r="15" spans="1:5">
      <c r="A15" s="637">
        <v>1115</v>
      </c>
      <c r="B15" s="638" t="s">
        <v>1112</v>
      </c>
      <c r="C15" s="638" t="s">
        <v>876</v>
      </c>
      <c r="D15" s="457">
        <f>IF(ISERROR(VLOOKUP(A15,'TB Hard Code'!B:D,3,FALSE)),0,VLOOKUP(A15,'TB Hard Code'!B:D,3,FALSE))</f>
        <v>1011297.32</v>
      </c>
      <c r="E15" s="638" t="b">
        <f>+ISERROR(MATCH(A15,'Linked TB'!$A$9:$A$738,0))</f>
        <v>0</v>
      </c>
    </row>
    <row r="16" spans="1:5">
      <c r="A16" s="637">
        <v>1120</v>
      </c>
      <c r="B16" s="638" t="s">
        <v>1113</v>
      </c>
      <c r="C16" s="638" t="s">
        <v>876</v>
      </c>
      <c r="D16" s="457">
        <f>IF(ISERROR(VLOOKUP(A16,'TB Hard Code'!B:D,3,FALSE)),0,VLOOKUP(A16,'TB Hard Code'!B:D,3,FALSE))</f>
        <v>529313.81999999995</v>
      </c>
      <c r="E16" s="638" t="b">
        <f>+ISERROR(MATCH(A16,'Linked TB'!$A$9:$A$738,0))</f>
        <v>0</v>
      </c>
    </row>
    <row r="17" spans="1:5">
      <c r="A17" s="637">
        <v>1125</v>
      </c>
      <c r="B17" s="638" t="s">
        <v>1114</v>
      </c>
      <c r="C17" s="638" t="s">
        <v>876</v>
      </c>
      <c r="D17" s="457">
        <f>IF(ISERROR(VLOOKUP(A17,'TB Hard Code'!B:D,3,FALSE)),0,VLOOKUP(A17,'TB Hard Code'!B:D,3,FALSE))</f>
        <v>3390245.07</v>
      </c>
      <c r="E17" s="638" t="b">
        <f>+ISERROR(MATCH(A17,'Linked TB'!$A$9:$A$738,0))</f>
        <v>0</v>
      </c>
    </row>
    <row r="18" spans="1:5">
      <c r="A18" s="637">
        <v>1130</v>
      </c>
      <c r="B18" s="638" t="s">
        <v>1115</v>
      </c>
      <c r="C18" s="638" t="s">
        <v>876</v>
      </c>
      <c r="D18" s="457">
        <f>IF(ISERROR(VLOOKUP(A18,'TB Hard Code'!B:D,3,FALSE)),0,VLOOKUP(A18,'TB Hard Code'!B:D,3,FALSE))</f>
        <v>881265.1</v>
      </c>
      <c r="E18" s="638" t="b">
        <f>+ISERROR(MATCH(A18,'Linked TB'!$A$9:$A$738,0))</f>
        <v>0</v>
      </c>
    </row>
    <row r="19" spans="1:5">
      <c r="A19" s="637">
        <v>1135</v>
      </c>
      <c r="B19" s="638" t="s">
        <v>1116</v>
      </c>
      <c r="C19" s="638" t="s">
        <v>876</v>
      </c>
      <c r="D19" s="457">
        <f>IF(ISERROR(VLOOKUP(A19,'TB Hard Code'!B:D,3,FALSE)),0,VLOOKUP(A19,'TB Hard Code'!B:D,3,FALSE))</f>
        <v>738122.04</v>
      </c>
      <c r="E19" s="638" t="b">
        <f>+ISERROR(MATCH(A19,'Linked TB'!$A$9:$A$738,0))</f>
        <v>0</v>
      </c>
    </row>
    <row r="20" spans="1:5">
      <c r="A20" s="637">
        <v>1140</v>
      </c>
      <c r="B20" s="638" t="s">
        <v>1117</v>
      </c>
      <c r="C20" s="638" t="s">
        <v>876</v>
      </c>
      <c r="D20" s="457">
        <f>IF(ISERROR(VLOOKUP(A20,'TB Hard Code'!B:D,3,FALSE)),0,VLOOKUP(A20,'TB Hard Code'!B:D,3,FALSE))</f>
        <v>600576.56999999995</v>
      </c>
      <c r="E20" s="638" t="b">
        <f>+ISERROR(MATCH(A20,'Linked TB'!$A$9:$A$738,0))</f>
        <v>0</v>
      </c>
    </row>
    <row r="21" spans="1:5">
      <c r="A21" s="637">
        <v>1145</v>
      </c>
      <c r="B21" s="638" t="s">
        <v>1118</v>
      </c>
      <c r="C21" s="638" t="s">
        <v>876</v>
      </c>
      <c r="D21" s="457">
        <f>IF(ISERROR(VLOOKUP(A21,'TB Hard Code'!B:D,3,FALSE)),0,VLOOKUP(A21,'TB Hard Code'!B:D,3,FALSE))</f>
        <v>406626.32</v>
      </c>
      <c r="E21" s="638" t="b">
        <f>+ISERROR(MATCH(A21,'Linked TB'!$A$9:$A$738,0))</f>
        <v>0</v>
      </c>
    </row>
    <row r="22" spans="1:5">
      <c r="A22" s="637">
        <v>1150</v>
      </c>
      <c r="B22" s="638" t="s">
        <v>1119</v>
      </c>
      <c r="C22" s="638" t="s">
        <v>876</v>
      </c>
      <c r="D22" s="457">
        <f>IF(ISERROR(VLOOKUP(A22,'TB Hard Code'!B:D,3,FALSE)),0,VLOOKUP(A22,'TB Hard Code'!B:D,3,FALSE))</f>
        <v>0</v>
      </c>
      <c r="E22" s="638" t="b">
        <f>+ISERROR(MATCH(A22,'Linked TB'!$A$9:$A$738,0))</f>
        <v>0</v>
      </c>
    </row>
    <row r="23" spans="1:5">
      <c r="A23" s="637">
        <v>1170</v>
      </c>
      <c r="B23" s="638" t="s">
        <v>1120</v>
      </c>
      <c r="C23" s="638" t="s">
        <v>876</v>
      </c>
      <c r="D23" s="457">
        <f>IF(ISERROR(VLOOKUP(A23,'TB Hard Code'!B:D,3,FALSE)),0,VLOOKUP(A23,'TB Hard Code'!B:D,3,FALSE))</f>
        <v>0</v>
      </c>
      <c r="E23" s="638" t="b">
        <f>+ISERROR(MATCH(A23,'Linked TB'!$A$9:$A$738,0))</f>
        <v>0</v>
      </c>
    </row>
    <row r="24" spans="1:5">
      <c r="A24" s="637">
        <v>1175</v>
      </c>
      <c r="B24" s="638" t="s">
        <v>1121</v>
      </c>
      <c r="C24" s="638" t="s">
        <v>876</v>
      </c>
      <c r="D24" s="457">
        <f>IF(ISERROR(VLOOKUP(A24,'TB Hard Code'!B:D,3,FALSE)),0,VLOOKUP(A24,'TB Hard Code'!B:D,3,FALSE))</f>
        <v>151271.59</v>
      </c>
      <c r="E24" s="638" t="b">
        <f>+ISERROR(MATCH(A24,'Linked TB'!$A$9:$A$738,0))</f>
        <v>0</v>
      </c>
    </row>
    <row r="25" spans="1:5">
      <c r="A25" s="637">
        <v>1180</v>
      </c>
      <c r="B25" s="638" t="s">
        <v>1122</v>
      </c>
      <c r="C25" s="638" t="s">
        <v>876</v>
      </c>
      <c r="D25" s="457">
        <f>IF(ISERROR(VLOOKUP(A25,'TB Hard Code'!B:D,3,FALSE)),0,VLOOKUP(A25,'TB Hard Code'!B:D,3,FALSE))</f>
        <v>100935.4</v>
      </c>
      <c r="E25" s="638" t="b">
        <f>+ISERROR(MATCH(A25,'Linked TB'!$A$9:$A$738,0))</f>
        <v>0</v>
      </c>
    </row>
    <row r="26" spans="1:5">
      <c r="A26" s="637">
        <v>1190</v>
      </c>
      <c r="B26" s="638" t="s">
        <v>1123</v>
      </c>
      <c r="C26" s="638" t="s">
        <v>876</v>
      </c>
      <c r="D26" s="457">
        <f>IF(ISERROR(VLOOKUP(A26,'TB Hard Code'!B:D,3,FALSE)),0,VLOOKUP(A26,'TB Hard Code'!B:D,3,FALSE))</f>
        <v>269939.90999999997</v>
      </c>
      <c r="E26" s="638" t="b">
        <f>+ISERROR(MATCH(A26,'Linked TB'!$A$9:$A$738,0))</f>
        <v>0</v>
      </c>
    </row>
    <row r="27" spans="1:5">
      <c r="A27" s="637">
        <v>1195</v>
      </c>
      <c r="B27" s="638" t="s">
        <v>1124</v>
      </c>
      <c r="C27" s="638" t="s">
        <v>876</v>
      </c>
      <c r="D27" s="457">
        <f>IF(ISERROR(VLOOKUP(A27,'TB Hard Code'!B:D,3,FALSE)),0,VLOOKUP(A27,'TB Hard Code'!B:D,3,FALSE))</f>
        <v>78263.199999999997</v>
      </c>
      <c r="E27" s="638" t="b">
        <f>+ISERROR(MATCH(A27,'Linked TB'!$A$9:$A$738,0))</f>
        <v>0</v>
      </c>
    </row>
    <row r="28" spans="1:5">
      <c r="A28" s="637">
        <v>1200</v>
      </c>
      <c r="B28" s="638" t="s">
        <v>1149</v>
      </c>
      <c r="C28" s="638" t="s">
        <v>876</v>
      </c>
      <c r="D28" s="457">
        <f>IF(ISERROR(VLOOKUP(A28,'TB Hard Code'!B:D,3,FALSE)),0,VLOOKUP(A28,'TB Hard Code'!B:D,3,FALSE))</f>
        <v>2570.16</v>
      </c>
      <c r="E28" s="638" t="b">
        <f>+ISERROR(MATCH(A28,'Linked TB'!$A$9:$A$738,0))</f>
        <v>0</v>
      </c>
    </row>
    <row r="29" spans="1:5">
      <c r="A29" s="637">
        <v>1205</v>
      </c>
      <c r="B29" s="638" t="s">
        <v>1125</v>
      </c>
      <c r="C29" s="638" t="s">
        <v>876</v>
      </c>
      <c r="D29" s="457">
        <f>IF(ISERROR(VLOOKUP(A29,'TB Hard Code'!B:D,3,FALSE)),0,VLOOKUP(A29,'TB Hard Code'!B:D,3,FALSE))</f>
        <v>54791.5</v>
      </c>
      <c r="E29" s="638" t="b">
        <f>+ISERROR(MATCH(A29,'Linked TB'!$A$9:$A$738,0))</f>
        <v>0</v>
      </c>
    </row>
    <row r="30" spans="1:5">
      <c r="A30" s="637">
        <v>1210</v>
      </c>
      <c r="B30" s="638" t="s">
        <v>1126</v>
      </c>
      <c r="C30" s="638" t="s">
        <v>876</v>
      </c>
      <c r="D30" s="457">
        <f>IF(ISERROR(VLOOKUP(A30,'TB Hard Code'!B:D,3,FALSE)),0,VLOOKUP(A30,'TB Hard Code'!B:D,3,FALSE))</f>
        <v>0</v>
      </c>
      <c r="E30" s="638" t="b">
        <f>+ISERROR(MATCH(A30,'Linked TB'!$A$9:$A$738,0))</f>
        <v>0</v>
      </c>
    </row>
    <row r="31" spans="1:5">
      <c r="A31" s="637">
        <v>1215</v>
      </c>
      <c r="B31" s="638" t="s">
        <v>1127</v>
      </c>
      <c r="C31" s="638" t="s">
        <v>876</v>
      </c>
      <c r="D31" s="457">
        <f>IF(ISERROR(VLOOKUP(A31,'TB Hard Code'!B:D,3,FALSE)),0,VLOOKUP(A31,'TB Hard Code'!B:D,3,FALSE))</f>
        <v>69976</v>
      </c>
      <c r="E31" s="638" t="b">
        <f>+ISERROR(MATCH(A31,'Linked TB'!$A$9:$A$738,0))</f>
        <v>0</v>
      </c>
    </row>
    <row r="32" spans="1:5">
      <c r="A32" s="637">
        <v>1220</v>
      </c>
      <c r="B32" s="638" t="s">
        <v>1128</v>
      </c>
      <c r="C32" s="638" t="s">
        <v>876</v>
      </c>
      <c r="D32" s="457">
        <f>IF(ISERROR(VLOOKUP(A32,'TB Hard Code'!B:D,3,FALSE)),0,VLOOKUP(A32,'TB Hard Code'!B:D,3,FALSE))</f>
        <v>0</v>
      </c>
      <c r="E32" s="638" t="b">
        <f>+ISERROR(MATCH(A32,'Linked TB'!$A$9:$A$738,0))</f>
        <v>0</v>
      </c>
    </row>
    <row r="33" spans="1:5">
      <c r="A33" s="637">
        <v>1245</v>
      </c>
      <c r="B33" s="638" t="s">
        <v>1100</v>
      </c>
      <c r="C33" s="638" t="s">
        <v>876</v>
      </c>
      <c r="D33" s="457">
        <f>IF(ISERROR(VLOOKUP(A33,'TB Hard Code'!B:D,3,FALSE)),0,VLOOKUP(A33,'TB Hard Code'!B:D,3,FALSE))</f>
        <v>0</v>
      </c>
      <c r="E33" s="638" t="b">
        <f>+ISERROR(MATCH(A33,'Linked TB'!$A$9:$A$738,0))</f>
        <v>0</v>
      </c>
    </row>
    <row r="34" spans="1:5">
      <c r="A34" s="637">
        <v>1250</v>
      </c>
      <c r="B34" s="638" t="s">
        <v>1129</v>
      </c>
      <c r="C34" s="638" t="s">
        <v>876</v>
      </c>
      <c r="D34" s="457">
        <f>IF(ISERROR(VLOOKUP(A34,'TB Hard Code'!B:D,3,FALSE)),0,VLOOKUP(A34,'TB Hard Code'!B:D,3,FALSE))</f>
        <v>0</v>
      </c>
      <c r="E34" s="638" t="b">
        <f>+ISERROR(MATCH(A34,'Linked TB'!$A$9:$A$738,0))</f>
        <v>0</v>
      </c>
    </row>
    <row r="35" spans="1:5">
      <c r="A35" s="637">
        <v>1285</v>
      </c>
      <c r="B35" s="638" t="s">
        <v>1103</v>
      </c>
      <c r="C35" s="638" t="s">
        <v>876</v>
      </c>
      <c r="D35" s="457">
        <f>IF(ISERROR(VLOOKUP(A35,'TB Hard Code'!B:D,3,FALSE)),0,VLOOKUP(A35,'TB Hard Code'!B:D,3,FALSE))</f>
        <v>0</v>
      </c>
      <c r="E35" s="638" t="b">
        <f>+ISERROR(MATCH(A35,'Linked TB'!$A$9:$A$738,0))</f>
        <v>0</v>
      </c>
    </row>
    <row r="36" spans="1:5">
      <c r="A36" s="637">
        <v>1290</v>
      </c>
      <c r="B36" s="638" t="s">
        <v>1130</v>
      </c>
      <c r="C36" s="638" t="s">
        <v>876</v>
      </c>
      <c r="D36" s="457">
        <f>IF(ISERROR(VLOOKUP(A36,'TB Hard Code'!B:D,3,FALSE)),0,VLOOKUP(A36,'TB Hard Code'!B:D,3,FALSE))</f>
        <v>0</v>
      </c>
      <c r="E36" s="638" t="b">
        <f>+ISERROR(MATCH(A36,'Linked TB'!$A$9:$A$738,0))</f>
        <v>0</v>
      </c>
    </row>
    <row r="37" spans="1:5">
      <c r="A37" s="637">
        <v>1295</v>
      </c>
      <c r="B37" s="638" t="s">
        <v>1131</v>
      </c>
      <c r="C37" s="638" t="s">
        <v>876</v>
      </c>
      <c r="D37" s="457">
        <f>IF(ISERROR(VLOOKUP(A37,'TB Hard Code'!B:D,3,FALSE)),0,VLOOKUP(A37,'TB Hard Code'!B:D,3,FALSE))</f>
        <v>0</v>
      </c>
      <c r="E37" s="638" t="b">
        <f>+ISERROR(MATCH(A37,'Linked TB'!$A$9:$A$738,0))</f>
        <v>0</v>
      </c>
    </row>
    <row r="38" spans="1:5">
      <c r="A38" s="637">
        <v>1305</v>
      </c>
      <c r="B38" s="638" t="s">
        <v>1132</v>
      </c>
      <c r="C38" s="638" t="s">
        <v>876</v>
      </c>
      <c r="D38" s="457">
        <f>IF(ISERROR(VLOOKUP(A38,'TB Hard Code'!B:D,3,FALSE)),0,VLOOKUP(A38,'TB Hard Code'!B:D,3,FALSE))</f>
        <v>0</v>
      </c>
      <c r="E38" s="638" t="b">
        <f>+ISERROR(MATCH(A38,'Linked TB'!$A$9:$A$738,0))</f>
        <v>0</v>
      </c>
    </row>
    <row r="39" spans="1:5">
      <c r="A39" s="637">
        <v>1315</v>
      </c>
      <c r="B39" s="638" t="s">
        <v>1133</v>
      </c>
      <c r="C39" s="638" t="s">
        <v>876</v>
      </c>
      <c r="D39" s="457">
        <f>IF(ISERROR(VLOOKUP(A39,'TB Hard Code'!B:D,3,FALSE)),0,VLOOKUP(A39,'TB Hard Code'!B:D,3,FALSE))</f>
        <v>0</v>
      </c>
      <c r="E39" s="638" t="b">
        <f>+ISERROR(MATCH(A39,'Linked TB'!$A$9:$A$738,0))</f>
        <v>0</v>
      </c>
    </row>
    <row r="40" spans="1:5">
      <c r="A40" s="637">
        <v>1330</v>
      </c>
      <c r="B40" s="638" t="s">
        <v>1134</v>
      </c>
      <c r="C40" s="638" t="s">
        <v>876</v>
      </c>
      <c r="D40" s="457">
        <f>IF(ISERROR(VLOOKUP(A40,'TB Hard Code'!B:D,3,FALSE)),0,VLOOKUP(A40,'TB Hard Code'!B:D,3,FALSE))</f>
        <v>0</v>
      </c>
      <c r="E40" s="638" t="b">
        <f>+ISERROR(MATCH(A40,'Linked TB'!$A$9:$A$738,0))</f>
        <v>0</v>
      </c>
    </row>
    <row r="41" spans="1:5">
      <c r="A41" s="637">
        <v>1345</v>
      </c>
      <c r="B41" s="638" t="s">
        <v>1135</v>
      </c>
      <c r="C41" s="638" t="s">
        <v>876</v>
      </c>
      <c r="D41" s="457">
        <f>IF(ISERROR(VLOOKUP(A41,'TB Hard Code'!B:D,3,FALSE)),0,VLOOKUP(A41,'TB Hard Code'!B:D,3,FALSE))</f>
        <v>0</v>
      </c>
      <c r="E41" s="638" t="b">
        <f>+ISERROR(MATCH(A41,'Linked TB'!$A$9:$A$738,0))</f>
        <v>0</v>
      </c>
    </row>
    <row r="42" spans="1:5">
      <c r="A42" s="637">
        <v>1350</v>
      </c>
      <c r="B42" s="638" t="s">
        <v>1136</v>
      </c>
      <c r="C42" s="638" t="s">
        <v>876</v>
      </c>
      <c r="D42" s="457">
        <f>IF(ISERROR(VLOOKUP(A42,'TB Hard Code'!B:D,3,FALSE)),0,VLOOKUP(A42,'TB Hard Code'!B:D,3,FALSE))</f>
        <v>0</v>
      </c>
      <c r="E42" s="638" t="b">
        <f>+ISERROR(MATCH(A42,'Linked TB'!$A$9:$A$738,0))</f>
        <v>0</v>
      </c>
    </row>
    <row r="43" spans="1:5">
      <c r="A43" s="637">
        <v>1360</v>
      </c>
      <c r="B43" s="638" t="s">
        <v>1137</v>
      </c>
      <c r="C43" s="638" t="s">
        <v>876</v>
      </c>
      <c r="D43" s="457">
        <f>IF(ISERROR(VLOOKUP(A43,'TB Hard Code'!B:D,3,FALSE)),0,VLOOKUP(A43,'TB Hard Code'!B:D,3,FALSE))</f>
        <v>0</v>
      </c>
      <c r="E43" s="638" t="b">
        <f>+ISERROR(MATCH(A43,'Linked TB'!$A$9:$A$738,0))</f>
        <v>0</v>
      </c>
    </row>
    <row r="44" spans="1:5">
      <c r="A44" s="637">
        <v>1365</v>
      </c>
      <c r="B44" s="638" t="s">
        <v>1138</v>
      </c>
      <c r="C44" s="638" t="s">
        <v>876</v>
      </c>
      <c r="D44" s="457">
        <f>IF(ISERROR(VLOOKUP(A44,'TB Hard Code'!B:D,3,FALSE)),0,VLOOKUP(A44,'TB Hard Code'!B:D,3,FALSE))</f>
        <v>0</v>
      </c>
      <c r="E44" s="638" t="b">
        <f>+ISERROR(MATCH(A44,'Linked TB'!$A$9:$A$738,0))</f>
        <v>0</v>
      </c>
    </row>
    <row r="45" spans="1:5">
      <c r="A45" s="637">
        <v>1370</v>
      </c>
      <c r="B45" s="638" t="s">
        <v>1139</v>
      </c>
      <c r="C45" s="638" t="s">
        <v>876</v>
      </c>
      <c r="D45" s="457">
        <f>IF(ISERROR(VLOOKUP(A45,'TB Hard Code'!B:D,3,FALSE)),0,VLOOKUP(A45,'TB Hard Code'!B:D,3,FALSE))</f>
        <v>0</v>
      </c>
      <c r="E45" s="638" t="b">
        <f>+ISERROR(MATCH(A45,'Linked TB'!$A$9:$A$738,0))</f>
        <v>0</v>
      </c>
    </row>
    <row r="46" spans="1:5">
      <c r="A46" s="637">
        <v>1380</v>
      </c>
      <c r="B46" s="638" t="s">
        <v>1140</v>
      </c>
      <c r="C46" s="638" t="s">
        <v>876</v>
      </c>
      <c r="D46" s="457">
        <f>IF(ISERROR(VLOOKUP(A46,'TB Hard Code'!B:D,3,FALSE)),0,VLOOKUP(A46,'TB Hard Code'!B:D,3,FALSE))</f>
        <v>0</v>
      </c>
      <c r="E46" s="638" t="b">
        <f>+ISERROR(MATCH(A46,'Linked TB'!$A$9:$A$738,0))</f>
        <v>0</v>
      </c>
    </row>
    <row r="47" spans="1:5">
      <c r="A47" s="637">
        <v>1385</v>
      </c>
      <c r="B47" s="638" t="s">
        <v>1141</v>
      </c>
      <c r="C47" s="638" t="s">
        <v>876</v>
      </c>
      <c r="D47" s="457">
        <f>IF(ISERROR(VLOOKUP(A47,'TB Hard Code'!B:D,3,FALSE)),0,VLOOKUP(A47,'TB Hard Code'!B:D,3,FALSE))</f>
        <v>0</v>
      </c>
      <c r="E47" s="638" t="b">
        <f>+ISERROR(MATCH(A47,'Linked TB'!$A$9:$A$738,0))</f>
        <v>0</v>
      </c>
    </row>
    <row r="48" spans="1:5">
      <c r="A48" s="637">
        <v>1395</v>
      </c>
      <c r="B48" s="638" t="s">
        <v>1142</v>
      </c>
      <c r="C48" s="638" t="s">
        <v>876</v>
      </c>
      <c r="D48" s="457">
        <f>IF(ISERROR(VLOOKUP(A48,'TB Hard Code'!B:D,3,FALSE)),0,VLOOKUP(A48,'TB Hard Code'!B:D,3,FALSE))</f>
        <v>0</v>
      </c>
      <c r="E48" s="638" t="b">
        <f>+ISERROR(MATCH(A48,'Linked TB'!$A$9:$A$738,0))</f>
        <v>0</v>
      </c>
    </row>
    <row r="49" spans="1:5">
      <c r="A49" s="637">
        <v>1400</v>
      </c>
      <c r="B49" s="638" t="s">
        <v>1143</v>
      </c>
      <c r="C49" s="638" t="s">
        <v>876</v>
      </c>
      <c r="D49" s="457">
        <f>IF(ISERROR(VLOOKUP(A49,'TB Hard Code'!B:D,3,FALSE)),0,VLOOKUP(A49,'TB Hard Code'!B:D,3,FALSE))</f>
        <v>0</v>
      </c>
      <c r="E49" s="638" t="b">
        <f>+ISERROR(MATCH(A49,'Linked TB'!$A$9:$A$738,0))</f>
        <v>0</v>
      </c>
    </row>
    <row r="50" spans="1:5">
      <c r="A50" s="637">
        <v>1410</v>
      </c>
      <c r="B50" s="638" t="s">
        <v>1144</v>
      </c>
      <c r="C50" s="638" t="s">
        <v>876</v>
      </c>
      <c r="D50" s="457">
        <f>IF(ISERROR(VLOOKUP(A50,'TB Hard Code'!B:D,3,FALSE)),0,VLOOKUP(A50,'TB Hard Code'!B:D,3,FALSE))</f>
        <v>0</v>
      </c>
      <c r="E50" s="638" t="b">
        <f>+ISERROR(MATCH(A50,'Linked TB'!$A$9:$A$738,0))</f>
        <v>0</v>
      </c>
    </row>
    <row r="51" spans="1:5">
      <c r="A51" s="637">
        <v>1430</v>
      </c>
      <c r="B51" s="638" t="s">
        <v>1145</v>
      </c>
      <c r="C51" s="638" t="s">
        <v>876</v>
      </c>
      <c r="D51" s="457">
        <f>IF(ISERROR(VLOOKUP(A51,'TB Hard Code'!B:D,3,FALSE)),0,VLOOKUP(A51,'TB Hard Code'!B:D,3,FALSE))</f>
        <v>0</v>
      </c>
      <c r="E51" s="638" t="b">
        <f>+ISERROR(MATCH(A51,'Linked TB'!$A$9:$A$738,0))</f>
        <v>0</v>
      </c>
    </row>
    <row r="52" spans="1:5">
      <c r="A52" s="637">
        <v>1435</v>
      </c>
      <c r="B52" s="638" t="s">
        <v>1146</v>
      </c>
      <c r="C52" s="638" t="s">
        <v>876</v>
      </c>
      <c r="D52" s="457">
        <f>IF(ISERROR(VLOOKUP(A52,'TB Hard Code'!B:D,3,FALSE)),0,VLOOKUP(A52,'TB Hard Code'!B:D,3,FALSE))</f>
        <v>0</v>
      </c>
      <c r="E52" s="638" t="b">
        <f>+ISERROR(MATCH(A52,'Linked TB'!$A$9:$A$738,0))</f>
        <v>0</v>
      </c>
    </row>
    <row r="53" spans="1:5">
      <c r="A53" s="637">
        <v>1465</v>
      </c>
      <c r="B53" s="638" t="s">
        <v>1147</v>
      </c>
      <c r="C53" s="638" t="s">
        <v>876</v>
      </c>
      <c r="D53" s="457">
        <f>IF(ISERROR(VLOOKUP(A53,'TB Hard Code'!B:D,3,FALSE)),0,VLOOKUP(A53,'TB Hard Code'!B:D,3,FALSE))</f>
        <v>0</v>
      </c>
      <c r="E53" s="638" t="b">
        <f>+ISERROR(MATCH(A53,'Linked TB'!$A$9:$A$738,0))</f>
        <v>0</v>
      </c>
    </row>
    <row r="54" spans="1:5">
      <c r="A54" s="637">
        <v>1470</v>
      </c>
      <c r="B54" s="638" t="s">
        <v>1123</v>
      </c>
      <c r="C54" s="638" t="s">
        <v>876</v>
      </c>
      <c r="D54" s="457">
        <f>IF(ISERROR(VLOOKUP(A54,'TB Hard Code'!B:D,3,FALSE)),0,VLOOKUP(A54,'TB Hard Code'!B:D,3,FALSE))</f>
        <v>0</v>
      </c>
      <c r="E54" s="638" t="b">
        <f>+ISERROR(MATCH(A54,'Linked TB'!$A$9:$A$738,0))</f>
        <v>0</v>
      </c>
    </row>
    <row r="55" spans="1:5">
      <c r="A55" s="637">
        <v>1475</v>
      </c>
      <c r="B55" s="638" t="s">
        <v>1148</v>
      </c>
      <c r="C55" s="638" t="s">
        <v>876</v>
      </c>
      <c r="D55" s="457">
        <f>IF(ISERROR(VLOOKUP(A55,'TB Hard Code'!B:D,3,FALSE)),0,VLOOKUP(A55,'TB Hard Code'!B:D,3,FALSE))</f>
        <v>0</v>
      </c>
      <c r="E55" s="638" t="b">
        <f>+ISERROR(MATCH(A55,'Linked TB'!$A$9:$A$738,0))</f>
        <v>0</v>
      </c>
    </row>
    <row r="56" spans="1:5">
      <c r="A56" s="637">
        <v>1480</v>
      </c>
      <c r="B56" s="638" t="s">
        <v>1149</v>
      </c>
      <c r="C56" s="638" t="s">
        <v>876</v>
      </c>
      <c r="D56" s="457">
        <f>IF(ISERROR(VLOOKUP(A56,'TB Hard Code'!B:D,3,FALSE)),0,VLOOKUP(A56,'TB Hard Code'!B:D,3,FALSE))</f>
        <v>0</v>
      </c>
      <c r="E56" s="638" t="b">
        <f>+ISERROR(MATCH(A56,'Linked TB'!$A$9:$A$738,0))</f>
        <v>0</v>
      </c>
    </row>
    <row r="57" spans="1:5">
      <c r="A57" s="637">
        <v>1485</v>
      </c>
      <c r="B57" s="638" t="s">
        <v>1125</v>
      </c>
      <c r="C57" s="638" t="s">
        <v>876</v>
      </c>
      <c r="D57" s="457">
        <f>IF(ISERROR(VLOOKUP(A57,'TB Hard Code'!B:D,3,FALSE)),0,VLOOKUP(A57,'TB Hard Code'!B:D,3,FALSE))</f>
        <v>0</v>
      </c>
      <c r="E57" s="638" t="b">
        <f>+ISERROR(MATCH(A57,'Linked TB'!$A$9:$A$738,0))</f>
        <v>0</v>
      </c>
    </row>
    <row r="58" spans="1:5">
      <c r="A58" s="637">
        <v>1490</v>
      </c>
      <c r="B58" s="638" t="s">
        <v>1150</v>
      </c>
      <c r="C58" s="638" t="s">
        <v>876</v>
      </c>
      <c r="D58" s="457">
        <f>IF(ISERROR(VLOOKUP(A58,'TB Hard Code'!B:D,3,FALSE)),0,VLOOKUP(A58,'TB Hard Code'!B:D,3,FALSE))</f>
        <v>0</v>
      </c>
      <c r="E58" s="638" t="b">
        <f>+ISERROR(MATCH(A58,'Linked TB'!$A$9:$A$738,0))</f>
        <v>0</v>
      </c>
    </row>
    <row r="59" spans="1:5">
      <c r="A59" s="637">
        <v>1535</v>
      </c>
      <c r="B59" s="638" t="s">
        <v>1151</v>
      </c>
      <c r="C59" s="638" t="s">
        <v>876</v>
      </c>
      <c r="D59" s="457">
        <f>IF(ISERROR(VLOOKUP(A59,'TB Hard Code'!B:D,3,FALSE)),0,VLOOKUP(A59,'TB Hard Code'!B:D,3,FALSE))</f>
        <v>0</v>
      </c>
      <c r="E59" s="638" t="b">
        <f>+ISERROR(MATCH(A59,'Linked TB'!$A$9:$A$738,0))</f>
        <v>0</v>
      </c>
    </row>
    <row r="60" spans="1:5">
      <c r="A60" s="637">
        <v>1540</v>
      </c>
      <c r="B60" s="638" t="s">
        <v>1152</v>
      </c>
      <c r="C60" s="638" t="s">
        <v>876</v>
      </c>
      <c r="D60" s="457">
        <f>IF(ISERROR(VLOOKUP(A60,'TB Hard Code'!B:D,3,FALSE)),0,VLOOKUP(A60,'TB Hard Code'!B:D,3,FALSE))</f>
        <v>0</v>
      </c>
      <c r="E60" s="638" t="b">
        <f>+ISERROR(MATCH(A60,'Linked TB'!$A$9:$A$738,0))</f>
        <v>0</v>
      </c>
    </row>
    <row r="61" spans="1:5">
      <c r="A61" s="637">
        <v>1555</v>
      </c>
      <c r="B61" s="638" t="s">
        <v>1153</v>
      </c>
      <c r="C61" s="638" t="s">
        <v>876</v>
      </c>
      <c r="D61" s="457">
        <f>IF(ISERROR(VLOOKUP(A61,'TB Hard Code'!B:D,3,FALSE)),0,VLOOKUP(A61,'TB Hard Code'!B:D,3,FALSE))</f>
        <v>594204.38</v>
      </c>
      <c r="E61" s="638" t="b">
        <f>+ISERROR(MATCH(A61,'Linked TB'!$A$9:$A$738,0))</f>
        <v>0</v>
      </c>
    </row>
    <row r="62" spans="1:5">
      <c r="A62" s="637">
        <v>1580</v>
      </c>
      <c r="B62" s="638" t="s">
        <v>1154</v>
      </c>
      <c r="C62" s="638" t="s">
        <v>876</v>
      </c>
      <c r="D62" s="457">
        <f>IF(ISERROR(VLOOKUP(A62,'TB Hard Code'!B:D,3,FALSE)),0,VLOOKUP(A62,'TB Hard Code'!B:D,3,FALSE))</f>
        <v>28678.82</v>
      </c>
      <c r="E62" s="638" t="b">
        <f>+ISERROR(MATCH(A62,'Linked TB'!$A$9:$A$738,0))</f>
        <v>0</v>
      </c>
    </row>
    <row r="63" spans="1:5">
      <c r="A63" s="637">
        <v>1585</v>
      </c>
      <c r="B63" s="638" t="s">
        <v>1155</v>
      </c>
      <c r="C63" s="638" t="s">
        <v>876</v>
      </c>
      <c r="D63" s="457">
        <f>IF(ISERROR(VLOOKUP(A63,'TB Hard Code'!B:D,3,FALSE)),0,VLOOKUP(A63,'TB Hard Code'!B:D,3,FALSE))</f>
        <v>134842.59</v>
      </c>
      <c r="E63" s="638" t="b">
        <f>+ISERROR(MATCH(A63,'Linked TB'!$A$9:$A$738,0))</f>
        <v>0</v>
      </c>
    </row>
    <row r="64" spans="1:5">
      <c r="A64" s="637">
        <v>1590</v>
      </c>
      <c r="B64" s="638" t="s">
        <v>1156</v>
      </c>
      <c r="C64" s="638" t="s">
        <v>876</v>
      </c>
      <c r="D64" s="457">
        <f>IF(ISERROR(VLOOKUP(A64,'TB Hard Code'!B:D,3,FALSE)),0,VLOOKUP(A64,'TB Hard Code'!B:D,3,FALSE))</f>
        <v>656946.85</v>
      </c>
      <c r="E64" s="638" t="b">
        <f>+ISERROR(MATCH(A64,'Linked TB'!$A$9:$A$738,0))</f>
        <v>0</v>
      </c>
    </row>
    <row r="65" spans="1:5">
      <c r="A65" s="637">
        <v>1595</v>
      </c>
      <c r="B65" s="638" t="s">
        <v>1157</v>
      </c>
      <c r="C65" s="638" t="s">
        <v>876</v>
      </c>
      <c r="D65" s="457">
        <f>IF(ISERROR(VLOOKUP(A65,'TB Hard Code'!B:D,3,FALSE)),0,VLOOKUP(A65,'TB Hard Code'!B:D,3,FALSE))</f>
        <v>18079.080000000002</v>
      </c>
      <c r="E65" s="638" t="b">
        <f>+ISERROR(MATCH(A65,'Linked TB'!$A$9:$A$738,0))</f>
        <v>0</v>
      </c>
    </row>
    <row r="66" spans="1:5">
      <c r="A66" s="637">
        <v>1665</v>
      </c>
      <c r="B66" s="638" t="s">
        <v>1516</v>
      </c>
      <c r="C66" s="638" t="s">
        <v>876</v>
      </c>
      <c r="D66" s="457">
        <f>IF(ISERROR(VLOOKUP(A66,'TB Hard Code'!B:D,3,FALSE)),0,VLOOKUP(A66,'TB Hard Code'!B:D,3,FALSE))</f>
        <v>185448.02000000002</v>
      </c>
      <c r="E66" s="638" t="b">
        <f>+ISERROR(MATCH(A66,'Linked TB'!$A$9:$A$738,0))</f>
        <v>0</v>
      </c>
    </row>
    <row r="67" spans="1:5">
      <c r="A67" s="637">
        <v>1666</v>
      </c>
      <c r="B67" s="638" t="s">
        <v>1517</v>
      </c>
      <c r="C67" s="638" t="s">
        <v>876</v>
      </c>
      <c r="D67" s="457">
        <f>IF(ISERROR(VLOOKUP(A67,'TB Hard Code'!B:D,3,FALSE)),0,VLOOKUP(A67,'TB Hard Code'!B:D,3,FALSE))</f>
        <v>19603.849999999995</v>
      </c>
      <c r="E67" s="638" t="b">
        <f>+ISERROR(MATCH(A67,'Linked TB'!$A$9:$A$738,0))</f>
        <v>0</v>
      </c>
    </row>
    <row r="68" spans="1:5">
      <c r="A68" s="637">
        <v>1667</v>
      </c>
      <c r="B68" s="638" t="s">
        <v>1518</v>
      </c>
      <c r="C68" s="638" t="s">
        <v>876</v>
      </c>
      <c r="D68" s="457">
        <f>IF(ISERROR(VLOOKUP(A68,'TB Hard Code'!B:D,3,FALSE)),0,VLOOKUP(A68,'TB Hard Code'!B:D,3,FALSE))</f>
        <v>19773.05</v>
      </c>
      <c r="E68" s="638" t="b">
        <f>+ISERROR(MATCH(A68,'Linked TB'!$A$9:$A$738,0))</f>
        <v>0</v>
      </c>
    </row>
    <row r="69" spans="1:5">
      <c r="A69" s="637">
        <v>1668</v>
      </c>
      <c r="B69" s="638" t="s">
        <v>1519</v>
      </c>
      <c r="C69" s="638" t="s">
        <v>876</v>
      </c>
      <c r="D69" s="457">
        <f>IF(ISERROR(VLOOKUP(A69,'TB Hard Code'!B:D,3,FALSE)),0,VLOOKUP(A69,'TB Hard Code'!B:D,3,FALSE))</f>
        <v>269671.96999999997</v>
      </c>
      <c r="E69" s="638" t="b">
        <f>+ISERROR(MATCH(A69,'Linked TB'!$A$9:$A$738,0))</f>
        <v>0</v>
      </c>
    </row>
    <row r="70" spans="1:5">
      <c r="A70" s="637">
        <v>1669</v>
      </c>
      <c r="B70" s="638" t="s">
        <v>1520</v>
      </c>
      <c r="C70" s="638" t="s">
        <v>876</v>
      </c>
      <c r="D70" s="457">
        <f>IF(ISERROR(VLOOKUP(A70,'TB Hard Code'!B:D,3,FALSE)),0,VLOOKUP(A70,'TB Hard Code'!B:D,3,FALSE))</f>
        <v>204363.16999999998</v>
      </c>
      <c r="E70" s="638" t="b">
        <f>+ISERROR(MATCH(A70,'Linked TB'!$A$9:$A$738,0))</f>
        <v>0</v>
      </c>
    </row>
    <row r="71" spans="1:5">
      <c r="A71" s="637">
        <v>1670</v>
      </c>
      <c r="B71" s="638" t="s">
        <v>1521</v>
      </c>
      <c r="C71" s="638" t="s">
        <v>876</v>
      </c>
      <c r="D71" s="457">
        <f>IF(ISERROR(VLOOKUP(A71,'TB Hard Code'!B:D,3,FALSE)),0,VLOOKUP(A71,'TB Hard Code'!B:D,3,FALSE))</f>
        <v>143275.58000000002</v>
      </c>
      <c r="E71" s="638" t="b">
        <f>+ISERROR(MATCH(A71,'Linked TB'!$A$9:$A$738,0))</f>
        <v>0</v>
      </c>
    </row>
    <row r="72" spans="1:5">
      <c r="A72" s="637">
        <v>1672</v>
      </c>
      <c r="B72" s="638" t="s">
        <v>1522</v>
      </c>
      <c r="C72" s="638" t="s">
        <v>876</v>
      </c>
      <c r="D72" s="457">
        <f>IF(ISERROR(VLOOKUP(A72,'TB Hard Code'!B:D,3,FALSE)),0,VLOOKUP(A72,'TB Hard Code'!B:D,3,FALSE))</f>
        <v>193298.13</v>
      </c>
      <c r="E72" s="638" t="b">
        <f>+ISERROR(MATCH(A72,'Linked TB'!$A$9:$A$738,0))</f>
        <v>0</v>
      </c>
    </row>
    <row r="73" spans="1:5">
      <c r="A73" s="637">
        <v>1673</v>
      </c>
      <c r="B73" s="638" t="s">
        <v>1523</v>
      </c>
      <c r="C73" s="638" t="s">
        <v>876</v>
      </c>
      <c r="D73" s="457">
        <f>IF(ISERROR(VLOOKUP(A73,'TB Hard Code'!B:D,3,FALSE)),0,VLOOKUP(A73,'TB Hard Code'!B:D,3,FALSE))</f>
        <v>1410</v>
      </c>
      <c r="E73" s="638" t="b">
        <f>+ISERROR(MATCH(A73,'Linked TB'!$A$9:$A$738,0))</f>
        <v>0</v>
      </c>
    </row>
    <row r="74" spans="1:5">
      <c r="A74" s="637">
        <v>1683</v>
      </c>
      <c r="B74" s="638" t="s">
        <v>1524</v>
      </c>
      <c r="C74" s="638" t="s">
        <v>876</v>
      </c>
      <c r="D74" s="457">
        <f>IF(ISERROR(VLOOKUP(A74,'TB Hard Code'!B:D,3,FALSE)),0,VLOOKUP(A74,'TB Hard Code'!B:D,3,FALSE))</f>
        <v>331861.62</v>
      </c>
      <c r="E74" s="638" t="b">
        <f>+ISERROR(MATCH(A74,'Linked TB'!$A$9:$A$738,0))</f>
        <v>0</v>
      </c>
    </row>
    <row r="75" spans="1:5">
      <c r="A75" s="637">
        <v>1699</v>
      </c>
      <c r="B75" s="638" t="s">
        <v>1525</v>
      </c>
      <c r="C75" s="638" t="s">
        <v>876</v>
      </c>
      <c r="D75" s="457">
        <f>IF(ISERROR(VLOOKUP(A75,'TB Hard Code'!B:D,3,FALSE)),0,VLOOKUP(A75,'TB Hard Code'!B:D,3,FALSE))</f>
        <v>-1368705.3900000001</v>
      </c>
      <c r="E75" s="638" t="b">
        <f>+ISERROR(MATCH(A75,'Linked TB'!$A$9:$A$738,0))</f>
        <v>0</v>
      </c>
    </row>
    <row r="76" spans="1:5">
      <c r="A76" s="637">
        <v>1739</v>
      </c>
      <c r="B76" s="638" t="s">
        <v>1158</v>
      </c>
      <c r="C76" s="638" t="s">
        <v>876</v>
      </c>
      <c r="D76" s="457">
        <f>IF(ISERROR(VLOOKUP(A76,'TB Hard Code'!B:D,3,FALSE)),0,VLOOKUP(A76,'TB Hard Code'!B:D,3,FALSE))</f>
        <v>0</v>
      </c>
      <c r="E76" s="638" t="b">
        <f>+ISERROR(MATCH(A76,'Linked TB'!$A$9:$A$738,0))</f>
        <v>0</v>
      </c>
    </row>
    <row r="77" spans="1:5">
      <c r="A77" s="637">
        <v>1769</v>
      </c>
      <c r="B77" s="638" t="s">
        <v>1159</v>
      </c>
      <c r="C77" s="638" t="s">
        <v>876</v>
      </c>
      <c r="D77" s="457">
        <f>IF(ISERROR(VLOOKUP(A77,'TB Hard Code'!B:D,3,FALSE)),0,VLOOKUP(A77,'TB Hard Code'!B:D,3,FALSE))</f>
        <v>0</v>
      </c>
      <c r="E77" s="638" t="b">
        <f>+ISERROR(MATCH(A77,'Linked TB'!$A$9:$A$738,0))</f>
        <v>0</v>
      </c>
    </row>
    <row r="78" spans="1:5">
      <c r="A78" s="637">
        <v>1775</v>
      </c>
      <c r="B78" s="638" t="s">
        <v>1516</v>
      </c>
      <c r="C78" s="638" t="s">
        <v>876</v>
      </c>
      <c r="D78" s="457">
        <f>IF(ISERROR(VLOOKUP(A78,'TB Hard Code'!B:D,3,FALSE)),0,VLOOKUP(A78,'TB Hard Code'!B:D,3,FALSE))</f>
        <v>6015.74</v>
      </c>
      <c r="E78" s="638" t="b">
        <f>+ISERROR(MATCH(A78,'Linked TB'!$A$9:$A$738,0))</f>
        <v>0</v>
      </c>
    </row>
    <row r="79" spans="1:5">
      <c r="A79" s="637">
        <v>1782</v>
      </c>
      <c r="B79" s="638" t="s">
        <v>1526</v>
      </c>
      <c r="C79" s="638" t="s">
        <v>876</v>
      </c>
      <c r="D79" s="457">
        <f>IF(ISERROR(VLOOKUP(A79,'TB Hard Code'!B:D,3,FALSE)),0,VLOOKUP(A79,'TB Hard Code'!B:D,3,FALSE))</f>
        <v>95125.58</v>
      </c>
      <c r="E79" s="638" t="b">
        <f>+ISERROR(MATCH(A79,'Linked TB'!$A$9:$A$738,0))</f>
        <v>0</v>
      </c>
    </row>
    <row r="80" spans="1:5">
      <c r="A80" s="637">
        <v>1799</v>
      </c>
      <c r="B80" s="638" t="s">
        <v>1160</v>
      </c>
      <c r="C80" s="638" t="s">
        <v>876</v>
      </c>
      <c r="D80" s="457">
        <f>IF(ISERROR(VLOOKUP(A80,'TB Hard Code'!B:D,3,FALSE)),0,VLOOKUP(A80,'TB Hard Code'!B:D,3,FALSE))</f>
        <v>-101141.32</v>
      </c>
      <c r="E80" s="638" t="b">
        <f>+ISERROR(MATCH(A80,'Linked TB'!$A$9:$A$738,0))</f>
        <v>0</v>
      </c>
    </row>
    <row r="81" spans="1:5">
      <c r="A81" s="637">
        <v>1835</v>
      </c>
      <c r="B81" s="638" t="s">
        <v>1161</v>
      </c>
      <c r="C81" s="638" t="s">
        <v>876</v>
      </c>
      <c r="D81" s="457">
        <f>IF(ISERROR(VLOOKUP(A81,'TB Hard Code'!B:D,3,FALSE)),0,VLOOKUP(A81,'TB Hard Code'!B:D,3,FALSE))</f>
        <v>-13138.16</v>
      </c>
      <c r="E81" s="638" t="b">
        <f>+ISERROR(MATCH(A81,'Linked TB'!$A$9:$A$738,0))</f>
        <v>0</v>
      </c>
    </row>
    <row r="82" spans="1:5">
      <c r="A82" s="637">
        <v>1840</v>
      </c>
      <c r="B82" s="638" t="s">
        <v>1162</v>
      </c>
      <c r="C82" s="638" t="s">
        <v>876</v>
      </c>
      <c r="D82" s="457">
        <f>IF(ISERROR(VLOOKUP(A82,'TB Hard Code'!B:D,3,FALSE)),0,VLOOKUP(A82,'TB Hard Code'!B:D,3,FALSE))</f>
        <v>0</v>
      </c>
      <c r="E82" s="638" t="b">
        <f>+ISERROR(MATCH(A82,'Linked TB'!$A$9:$A$738,0))</f>
        <v>0</v>
      </c>
    </row>
    <row r="83" spans="1:5">
      <c r="A83" s="637">
        <v>1845</v>
      </c>
      <c r="B83" s="638" t="s">
        <v>1163</v>
      </c>
      <c r="C83" s="638" t="s">
        <v>876</v>
      </c>
      <c r="D83" s="457">
        <f>IF(ISERROR(VLOOKUP(A83,'TB Hard Code'!B:D,3,FALSE)),0,VLOOKUP(A83,'TB Hard Code'!B:D,3,FALSE))</f>
        <v>-34186.11</v>
      </c>
      <c r="E83" s="638" t="b">
        <f>+ISERROR(MATCH(A83,'Linked TB'!$A$9:$A$738,0))</f>
        <v>0</v>
      </c>
    </row>
    <row r="84" spans="1:5">
      <c r="A84" s="637">
        <v>1850</v>
      </c>
      <c r="B84" s="638" t="s">
        <v>1164</v>
      </c>
      <c r="C84" s="638" t="s">
        <v>876</v>
      </c>
      <c r="D84" s="457">
        <f>IF(ISERROR(VLOOKUP(A84,'TB Hard Code'!B:D,3,FALSE)),0,VLOOKUP(A84,'TB Hard Code'!B:D,3,FALSE))</f>
        <v>-193220.73</v>
      </c>
      <c r="E84" s="638" t="b">
        <f>+ISERROR(MATCH(A84,'Linked TB'!$A$9:$A$738,0))</f>
        <v>0</v>
      </c>
    </row>
    <row r="85" spans="1:5">
      <c r="A85" s="637">
        <v>1855</v>
      </c>
      <c r="B85" s="638" t="s">
        <v>1165</v>
      </c>
      <c r="C85" s="638" t="s">
        <v>876</v>
      </c>
      <c r="D85" s="457">
        <f>IF(ISERROR(VLOOKUP(A85,'TB Hard Code'!B:D,3,FALSE)),0,VLOOKUP(A85,'TB Hard Code'!B:D,3,FALSE))</f>
        <v>-2.31</v>
      </c>
      <c r="E85" s="638" t="b">
        <f>+ISERROR(MATCH(A85,'Linked TB'!$A$9:$A$738,0))</f>
        <v>0</v>
      </c>
    </row>
    <row r="86" spans="1:5">
      <c r="A86" s="637">
        <v>1860</v>
      </c>
      <c r="B86" s="638" t="s">
        <v>1166</v>
      </c>
      <c r="C86" s="638" t="s">
        <v>876</v>
      </c>
      <c r="D86" s="457">
        <f>IF(ISERROR(VLOOKUP(A86,'TB Hard Code'!B:D,3,FALSE)),0,VLOOKUP(A86,'TB Hard Code'!B:D,3,FALSE))</f>
        <v>-19660.47</v>
      </c>
      <c r="E86" s="638" t="b">
        <f>+ISERROR(MATCH(A86,'Linked TB'!$A$9:$A$738,0))</f>
        <v>0</v>
      </c>
    </row>
    <row r="87" spans="1:5">
      <c r="A87" s="637">
        <v>1875</v>
      </c>
      <c r="B87" s="638" t="s">
        <v>1167</v>
      </c>
      <c r="C87" s="638" t="s">
        <v>876</v>
      </c>
      <c r="D87" s="457">
        <f>IF(ISERROR(VLOOKUP(A87,'TB Hard Code'!B:D,3,FALSE)),0,VLOOKUP(A87,'TB Hard Code'!B:D,3,FALSE))</f>
        <v>-113744.17</v>
      </c>
      <c r="E87" s="638" t="b">
        <f>+ISERROR(MATCH(A87,'Linked TB'!$A$9:$A$738,0))</f>
        <v>0</v>
      </c>
    </row>
    <row r="88" spans="1:5">
      <c r="A88" s="637">
        <v>1885</v>
      </c>
      <c r="B88" s="638" t="s">
        <v>1168</v>
      </c>
      <c r="C88" s="638" t="s">
        <v>876</v>
      </c>
      <c r="D88" s="457">
        <f>IF(ISERROR(VLOOKUP(A88,'TB Hard Code'!B:D,3,FALSE)),0,VLOOKUP(A88,'TB Hard Code'!B:D,3,FALSE))</f>
        <v>-890.45</v>
      </c>
      <c r="E88" s="638" t="b">
        <f>+ISERROR(MATCH(A88,'Linked TB'!$A$9:$A$738,0))</f>
        <v>0</v>
      </c>
    </row>
    <row r="89" spans="1:5">
      <c r="A89" s="637">
        <v>1895</v>
      </c>
      <c r="B89" s="638" t="s">
        <v>1169</v>
      </c>
      <c r="C89" s="638" t="s">
        <v>876</v>
      </c>
      <c r="D89" s="457">
        <f>IF(ISERROR(VLOOKUP(A89,'TB Hard Code'!B:D,3,FALSE)),0,VLOOKUP(A89,'TB Hard Code'!B:D,3,FALSE))</f>
        <v>-570.29</v>
      </c>
      <c r="E89" s="638" t="b">
        <f>+ISERROR(MATCH(A89,'Linked TB'!$A$9:$A$738,0))</f>
        <v>0</v>
      </c>
    </row>
    <row r="90" spans="1:5">
      <c r="A90" s="637">
        <v>1900</v>
      </c>
      <c r="B90" s="638" t="s">
        <v>1169</v>
      </c>
      <c r="C90" s="638" t="s">
        <v>876</v>
      </c>
      <c r="D90" s="457">
        <f>IF(ISERROR(VLOOKUP(A90,'TB Hard Code'!B:D,3,FALSE)),0,VLOOKUP(A90,'TB Hard Code'!B:D,3,FALSE))</f>
        <v>-138177.82999999999</v>
      </c>
      <c r="E90" s="638" t="b">
        <f>+ISERROR(MATCH(A90,'Linked TB'!$A$9:$A$738,0))</f>
        <v>0</v>
      </c>
    </row>
    <row r="91" spans="1:5">
      <c r="A91" s="637">
        <v>1905</v>
      </c>
      <c r="B91" s="638" t="s">
        <v>1169</v>
      </c>
      <c r="C91" s="638" t="s">
        <v>876</v>
      </c>
      <c r="D91" s="457">
        <f>IF(ISERROR(VLOOKUP(A91,'TB Hard Code'!B:D,3,FALSE)),0,VLOOKUP(A91,'TB Hard Code'!B:D,3,FALSE))</f>
        <v>-215.4</v>
      </c>
      <c r="E91" s="638" t="b">
        <f>+ISERROR(MATCH(A91,'Linked TB'!$A$9:$A$738,0))</f>
        <v>0</v>
      </c>
    </row>
    <row r="92" spans="1:5">
      <c r="A92" s="637">
        <v>1910</v>
      </c>
      <c r="B92" s="638" t="s">
        <v>1170</v>
      </c>
      <c r="C92" s="638" t="s">
        <v>876</v>
      </c>
      <c r="D92" s="457">
        <f>IF(ISERROR(VLOOKUP(A92,'TB Hard Code'!B:D,3,FALSE)),0,VLOOKUP(A92,'TB Hard Code'!B:D,3,FALSE))</f>
        <v>-238141.08</v>
      </c>
      <c r="E92" s="638" t="b">
        <f>+ISERROR(MATCH(A92,'Linked TB'!$A$9:$A$738,0))</f>
        <v>0</v>
      </c>
    </row>
    <row r="93" spans="1:5">
      <c r="A93" s="637">
        <v>1915</v>
      </c>
      <c r="B93" s="638" t="s">
        <v>1171</v>
      </c>
      <c r="C93" s="638" t="s">
        <v>876</v>
      </c>
      <c r="D93" s="457">
        <f>IF(ISERROR(VLOOKUP(A93,'TB Hard Code'!B:D,3,FALSE)),0,VLOOKUP(A93,'TB Hard Code'!B:D,3,FALSE))</f>
        <v>-278778.78999999998</v>
      </c>
      <c r="E93" s="638" t="b">
        <f>+ISERROR(MATCH(A93,'Linked TB'!$A$9:$A$738,0))</f>
        <v>0</v>
      </c>
    </row>
    <row r="94" spans="1:5">
      <c r="A94" s="637">
        <v>1920</v>
      </c>
      <c r="B94" s="638" t="s">
        <v>1172</v>
      </c>
      <c r="C94" s="638" t="s">
        <v>876</v>
      </c>
      <c r="D94" s="457">
        <f>IF(ISERROR(VLOOKUP(A94,'TB Hard Code'!B:D,3,FALSE)),0,VLOOKUP(A94,'TB Hard Code'!B:D,3,FALSE))</f>
        <v>-1094451.8500000001</v>
      </c>
      <c r="E94" s="638" t="b">
        <f>+ISERROR(MATCH(A94,'Linked TB'!$A$9:$A$738,0))</f>
        <v>0</v>
      </c>
    </row>
    <row r="95" spans="1:5">
      <c r="A95" s="637">
        <v>1925</v>
      </c>
      <c r="B95" s="638" t="s">
        <v>1173</v>
      </c>
      <c r="C95" s="638" t="s">
        <v>876</v>
      </c>
      <c r="D95" s="457">
        <f>IF(ISERROR(VLOOKUP(A95,'TB Hard Code'!B:D,3,FALSE)),0,VLOOKUP(A95,'TB Hard Code'!B:D,3,FALSE))</f>
        <v>-635589.55000000005</v>
      </c>
      <c r="E95" s="638" t="b">
        <f>+ISERROR(MATCH(A95,'Linked TB'!$A$9:$A$738,0))</f>
        <v>0</v>
      </c>
    </row>
    <row r="96" spans="1:5">
      <c r="A96" s="637">
        <v>1930</v>
      </c>
      <c r="B96" s="638" t="s">
        <v>1174</v>
      </c>
      <c r="C96" s="638" t="s">
        <v>876</v>
      </c>
      <c r="D96" s="457">
        <f>IF(ISERROR(VLOOKUP(A96,'TB Hard Code'!B:D,3,FALSE)),0,VLOOKUP(A96,'TB Hard Code'!B:D,3,FALSE))</f>
        <v>-463287.66</v>
      </c>
      <c r="E96" s="638" t="b">
        <f>+ISERROR(MATCH(A96,'Linked TB'!$A$9:$A$738,0))</f>
        <v>0</v>
      </c>
    </row>
    <row r="97" spans="1:5">
      <c r="A97" s="637">
        <v>1935</v>
      </c>
      <c r="B97" s="638" t="s">
        <v>1175</v>
      </c>
      <c r="C97" s="638" t="s">
        <v>876</v>
      </c>
      <c r="D97" s="457">
        <f>IF(ISERROR(VLOOKUP(A97,'TB Hard Code'!B:D,3,FALSE)),0,VLOOKUP(A97,'TB Hard Code'!B:D,3,FALSE))</f>
        <v>-217855.58</v>
      </c>
      <c r="E97" s="638" t="b">
        <f>+ISERROR(MATCH(A97,'Linked TB'!$A$9:$A$738,0))</f>
        <v>0</v>
      </c>
    </row>
    <row r="98" spans="1:5">
      <c r="A98" s="637">
        <v>1940</v>
      </c>
      <c r="B98" s="638" t="s">
        <v>1176</v>
      </c>
      <c r="C98" s="638" t="s">
        <v>876</v>
      </c>
      <c r="D98" s="457">
        <f>IF(ISERROR(VLOOKUP(A98,'TB Hard Code'!B:D,3,FALSE)),0,VLOOKUP(A98,'TB Hard Code'!B:D,3,FALSE))</f>
        <v>-83866.38</v>
      </c>
      <c r="E98" s="638" t="b">
        <f>+ISERROR(MATCH(A98,'Linked TB'!$A$9:$A$738,0))</f>
        <v>0</v>
      </c>
    </row>
    <row r="99" spans="1:5">
      <c r="A99" s="637">
        <v>1945</v>
      </c>
      <c r="B99" s="638" t="s">
        <v>1177</v>
      </c>
      <c r="C99" s="638" t="s">
        <v>876</v>
      </c>
      <c r="D99" s="457">
        <f>IF(ISERROR(VLOOKUP(A99,'TB Hard Code'!B:D,3,FALSE)),0,VLOOKUP(A99,'TB Hard Code'!B:D,3,FALSE))</f>
        <v>0</v>
      </c>
      <c r="E99" s="638" t="b">
        <f>+ISERROR(MATCH(A99,'Linked TB'!$A$9:$A$738,0))</f>
        <v>0</v>
      </c>
    </row>
    <row r="100" spans="1:5">
      <c r="A100" s="637">
        <v>1965</v>
      </c>
      <c r="B100" s="638" t="s">
        <v>1178</v>
      </c>
      <c r="C100" s="638" t="s">
        <v>876</v>
      </c>
      <c r="D100" s="457">
        <f>IF(ISERROR(VLOOKUP(A100,'TB Hard Code'!B:D,3,FALSE)),0,VLOOKUP(A100,'TB Hard Code'!B:D,3,FALSE))</f>
        <v>0</v>
      </c>
      <c r="E100" s="638" t="b">
        <f>+ISERROR(MATCH(A100,'Linked TB'!$A$9:$A$738,0))</f>
        <v>0</v>
      </c>
    </row>
    <row r="101" spans="1:5">
      <c r="A101" s="637">
        <v>1970</v>
      </c>
      <c r="B101" s="638" t="s">
        <v>1179</v>
      </c>
      <c r="C101" s="638" t="s">
        <v>876</v>
      </c>
      <c r="D101" s="457">
        <f>IF(ISERROR(VLOOKUP(A101,'TB Hard Code'!B:D,3,FALSE)),0,VLOOKUP(A101,'TB Hard Code'!B:D,3,FALSE))</f>
        <v>-61998.86</v>
      </c>
      <c r="E101" s="638" t="b">
        <f>+ISERROR(MATCH(A101,'Linked TB'!$A$9:$A$738,0))</f>
        <v>0</v>
      </c>
    </row>
    <row r="102" spans="1:5">
      <c r="A102" s="637">
        <v>1975</v>
      </c>
      <c r="B102" s="638" t="s">
        <v>1180</v>
      </c>
      <c r="C102" s="638" t="s">
        <v>876</v>
      </c>
      <c r="D102" s="457">
        <f>IF(ISERROR(VLOOKUP(A102,'TB Hard Code'!B:D,3,FALSE)),0,VLOOKUP(A102,'TB Hard Code'!B:D,3,FALSE))</f>
        <v>-90560.35</v>
      </c>
      <c r="E102" s="638" t="b">
        <f>+ISERROR(MATCH(A102,'Linked TB'!$A$9:$A$738,0))</f>
        <v>0</v>
      </c>
    </row>
    <row r="103" spans="1:5">
      <c r="A103" s="637">
        <v>1985</v>
      </c>
      <c r="B103" s="638" t="s">
        <v>1181</v>
      </c>
      <c r="C103" s="638" t="s">
        <v>876</v>
      </c>
      <c r="D103" s="457">
        <f>IF(ISERROR(VLOOKUP(A103,'TB Hard Code'!B:D,3,FALSE)),0,VLOOKUP(A103,'TB Hard Code'!B:D,3,FALSE))</f>
        <v>-139794.07999999999</v>
      </c>
      <c r="E103" s="638" t="b">
        <f>+ISERROR(MATCH(A103,'Linked TB'!$A$9:$A$738,0))</f>
        <v>0</v>
      </c>
    </row>
    <row r="104" spans="1:5">
      <c r="A104" s="637">
        <v>1990</v>
      </c>
      <c r="B104" s="638" t="s">
        <v>1182</v>
      </c>
      <c r="C104" s="638" t="s">
        <v>876</v>
      </c>
      <c r="D104" s="457">
        <f>IF(ISERROR(VLOOKUP(A104,'TB Hard Code'!B:D,3,FALSE)),0,VLOOKUP(A104,'TB Hard Code'!B:D,3,FALSE))</f>
        <v>-29359.08</v>
      </c>
      <c r="E104" s="638" t="b">
        <f>+ISERROR(MATCH(A104,'Linked TB'!$A$9:$A$738,0))</f>
        <v>0</v>
      </c>
    </row>
    <row r="105" spans="1:5">
      <c r="A105" s="637">
        <v>1995</v>
      </c>
      <c r="B105" s="638" t="s">
        <v>1503</v>
      </c>
      <c r="C105" s="638" t="s">
        <v>876</v>
      </c>
      <c r="D105" s="457">
        <f>IF(ISERROR(VLOOKUP(A105,'TB Hard Code'!B:D,3,FALSE)),0,VLOOKUP(A105,'TB Hard Code'!B:D,3,FALSE))</f>
        <v>-856.8</v>
      </c>
      <c r="E105" s="638" t="b">
        <f>+ISERROR(MATCH(A105,'Linked TB'!$A$9:$A$738,0))</f>
        <v>0</v>
      </c>
    </row>
    <row r="106" spans="1:5">
      <c r="A106" s="637">
        <v>2000</v>
      </c>
      <c r="B106" s="638" t="s">
        <v>1183</v>
      </c>
      <c r="C106" s="638" t="s">
        <v>876</v>
      </c>
      <c r="D106" s="457">
        <f>IF(ISERROR(VLOOKUP(A106,'TB Hard Code'!B:D,3,FALSE)),0,VLOOKUP(A106,'TB Hard Code'!B:D,3,FALSE))</f>
        <v>-46047.19</v>
      </c>
      <c r="E106" s="638" t="b">
        <f>+ISERROR(MATCH(A106,'Linked TB'!$A$9:$A$738,0))</f>
        <v>0</v>
      </c>
    </row>
    <row r="107" spans="1:5">
      <c r="A107" s="637">
        <v>2005</v>
      </c>
      <c r="B107" s="638" t="s">
        <v>1184</v>
      </c>
      <c r="C107" s="638" t="s">
        <v>876</v>
      </c>
      <c r="D107" s="457">
        <f>IF(ISERROR(VLOOKUP(A107,'TB Hard Code'!B:D,3,FALSE)),0,VLOOKUP(A107,'TB Hard Code'!B:D,3,FALSE))</f>
        <v>0</v>
      </c>
      <c r="E107" s="638" t="b">
        <f>+ISERROR(MATCH(A107,'Linked TB'!$A$9:$A$738,0))</f>
        <v>0</v>
      </c>
    </row>
    <row r="108" spans="1:5">
      <c r="A108" s="637">
        <v>2010</v>
      </c>
      <c r="B108" s="638" t="s">
        <v>1185</v>
      </c>
      <c r="C108" s="638" t="s">
        <v>876</v>
      </c>
      <c r="D108" s="457">
        <f>IF(ISERROR(VLOOKUP(A108,'TB Hard Code'!B:D,3,FALSE)),0,VLOOKUP(A108,'TB Hard Code'!B:D,3,FALSE))</f>
        <v>-15392.5</v>
      </c>
      <c r="E108" s="638" t="b">
        <f>+ISERROR(MATCH(A108,'Linked TB'!$A$9:$A$738,0))</f>
        <v>0</v>
      </c>
    </row>
    <row r="109" spans="1:5">
      <c r="A109" s="637">
        <v>2030</v>
      </c>
      <c r="B109" s="638" t="s">
        <v>1161</v>
      </c>
      <c r="C109" s="638" t="s">
        <v>876</v>
      </c>
      <c r="D109" s="457">
        <f>IF(ISERROR(VLOOKUP(A109,'TB Hard Code'!B:D,3,FALSE)),0,VLOOKUP(A109,'TB Hard Code'!B:D,3,FALSE))</f>
        <v>0</v>
      </c>
      <c r="E109" s="638" t="b">
        <f>+ISERROR(MATCH(A109,'Linked TB'!$A$9:$A$738,0))</f>
        <v>0</v>
      </c>
    </row>
    <row r="110" spans="1:5">
      <c r="A110" s="637">
        <v>2040</v>
      </c>
      <c r="B110" s="638" t="s">
        <v>1186</v>
      </c>
      <c r="C110" s="638" t="s">
        <v>876</v>
      </c>
      <c r="D110" s="457">
        <f>IF(ISERROR(VLOOKUP(A110,'TB Hard Code'!B:D,3,FALSE)),0,VLOOKUP(A110,'TB Hard Code'!B:D,3,FALSE))</f>
        <v>0</v>
      </c>
      <c r="E110" s="638" t="b">
        <f>+ISERROR(MATCH(A110,'Linked TB'!$A$9:$A$738,0))</f>
        <v>0</v>
      </c>
    </row>
    <row r="111" spans="1:5">
      <c r="A111" s="637">
        <v>2050</v>
      </c>
      <c r="B111" s="638" t="s">
        <v>1187</v>
      </c>
      <c r="C111" s="638" t="s">
        <v>876</v>
      </c>
      <c r="D111" s="457">
        <f>IF(ISERROR(VLOOKUP(A111,'TB Hard Code'!B:D,3,FALSE)),0,VLOOKUP(A111,'TB Hard Code'!B:D,3,FALSE))</f>
        <v>0</v>
      </c>
      <c r="E111" s="638" t="b">
        <f>+ISERROR(MATCH(A111,'Linked TB'!$A$9:$A$738,0))</f>
        <v>0</v>
      </c>
    </row>
    <row r="112" spans="1:5">
      <c r="A112" s="637">
        <v>2055</v>
      </c>
      <c r="B112" s="638" t="s">
        <v>1188</v>
      </c>
      <c r="C112" s="638" t="s">
        <v>876</v>
      </c>
      <c r="D112" s="457">
        <f>IF(ISERROR(VLOOKUP(A112,'TB Hard Code'!B:D,3,FALSE)),0,VLOOKUP(A112,'TB Hard Code'!B:D,3,FALSE))</f>
        <v>0</v>
      </c>
      <c r="E112" s="638" t="b">
        <f>+ISERROR(MATCH(A112,'Linked TB'!$A$9:$A$738,0))</f>
        <v>0</v>
      </c>
    </row>
    <row r="113" spans="1:5">
      <c r="A113" s="637">
        <v>2065</v>
      </c>
      <c r="B113" s="638" t="s">
        <v>1189</v>
      </c>
      <c r="C113" s="638" t="s">
        <v>876</v>
      </c>
      <c r="D113" s="457">
        <f>IF(ISERROR(VLOOKUP(A113,'TB Hard Code'!B:D,3,FALSE)),0,VLOOKUP(A113,'TB Hard Code'!B:D,3,FALSE))</f>
        <v>0</v>
      </c>
      <c r="E113" s="638" t="b">
        <f>+ISERROR(MATCH(A113,'Linked TB'!$A$9:$A$738,0))</f>
        <v>0</v>
      </c>
    </row>
    <row r="114" spans="1:5">
      <c r="A114" s="637">
        <v>2075</v>
      </c>
      <c r="B114" s="638" t="s">
        <v>1190</v>
      </c>
      <c r="C114" s="638" t="s">
        <v>876</v>
      </c>
      <c r="D114" s="457">
        <f>IF(ISERROR(VLOOKUP(A114,'TB Hard Code'!B:D,3,FALSE)),0,VLOOKUP(A114,'TB Hard Code'!B:D,3,FALSE))</f>
        <v>0</v>
      </c>
      <c r="E114" s="638" t="b">
        <f>+ISERROR(MATCH(A114,'Linked TB'!$A$9:$A$738,0))</f>
        <v>0</v>
      </c>
    </row>
    <row r="115" spans="1:5">
      <c r="A115" s="637">
        <v>2090</v>
      </c>
      <c r="B115" s="638" t="s">
        <v>1191</v>
      </c>
      <c r="C115" s="638" t="s">
        <v>876</v>
      </c>
      <c r="D115" s="457">
        <f>IF(ISERROR(VLOOKUP(A115,'TB Hard Code'!B:D,3,FALSE)),0,VLOOKUP(A115,'TB Hard Code'!B:D,3,FALSE))</f>
        <v>0</v>
      </c>
      <c r="E115" s="638" t="b">
        <f>+ISERROR(MATCH(A115,'Linked TB'!$A$9:$A$738,0))</f>
        <v>0</v>
      </c>
    </row>
    <row r="116" spans="1:5">
      <c r="A116" s="637">
        <v>2105</v>
      </c>
      <c r="B116" s="638" t="s">
        <v>1192</v>
      </c>
      <c r="C116" s="638" t="s">
        <v>876</v>
      </c>
      <c r="D116" s="457">
        <f>IF(ISERROR(VLOOKUP(A116,'TB Hard Code'!B:D,3,FALSE)),0,VLOOKUP(A116,'TB Hard Code'!B:D,3,FALSE))</f>
        <v>0</v>
      </c>
      <c r="E116" s="638" t="b">
        <f>+ISERROR(MATCH(A116,'Linked TB'!$A$9:$A$738,0))</f>
        <v>0</v>
      </c>
    </row>
    <row r="117" spans="1:5">
      <c r="A117" s="637">
        <v>2110</v>
      </c>
      <c r="B117" s="638" t="s">
        <v>1193</v>
      </c>
      <c r="C117" s="638" t="s">
        <v>876</v>
      </c>
      <c r="D117" s="457">
        <f>IF(ISERROR(VLOOKUP(A117,'TB Hard Code'!B:D,3,FALSE)),0,VLOOKUP(A117,'TB Hard Code'!B:D,3,FALSE))</f>
        <v>0</v>
      </c>
      <c r="E117" s="638" t="b">
        <f>+ISERROR(MATCH(A117,'Linked TB'!$A$9:$A$738,0))</f>
        <v>0</v>
      </c>
    </row>
    <row r="118" spans="1:5">
      <c r="A118" s="637">
        <v>2120</v>
      </c>
      <c r="B118" s="638" t="s">
        <v>1194</v>
      </c>
      <c r="C118" s="638" t="s">
        <v>876</v>
      </c>
      <c r="D118" s="457">
        <f>IF(ISERROR(VLOOKUP(A118,'TB Hard Code'!B:D,3,FALSE)),0,VLOOKUP(A118,'TB Hard Code'!B:D,3,FALSE))</f>
        <v>0</v>
      </c>
      <c r="E118" s="638" t="b">
        <f>+ISERROR(MATCH(A118,'Linked TB'!$A$9:$A$738,0))</f>
        <v>0</v>
      </c>
    </row>
    <row r="119" spans="1:5">
      <c r="A119" s="637">
        <v>2125</v>
      </c>
      <c r="B119" s="638" t="s">
        <v>1195</v>
      </c>
      <c r="C119" s="638" t="s">
        <v>876</v>
      </c>
      <c r="D119" s="457">
        <f>IF(ISERROR(VLOOKUP(A119,'TB Hard Code'!B:D,3,FALSE)),0,VLOOKUP(A119,'TB Hard Code'!B:D,3,FALSE))</f>
        <v>0</v>
      </c>
      <c r="E119" s="638" t="b">
        <f>+ISERROR(MATCH(A119,'Linked TB'!$A$9:$A$738,0))</f>
        <v>0</v>
      </c>
    </row>
    <row r="120" spans="1:5">
      <c r="A120" s="637">
        <v>2130</v>
      </c>
      <c r="B120" s="638" t="s">
        <v>1196</v>
      </c>
      <c r="C120" s="638" t="s">
        <v>876</v>
      </c>
      <c r="D120" s="457">
        <f>IF(ISERROR(VLOOKUP(A120,'TB Hard Code'!B:D,3,FALSE)),0,VLOOKUP(A120,'TB Hard Code'!B:D,3,FALSE))</f>
        <v>0</v>
      </c>
      <c r="E120" s="638" t="b">
        <f>+ISERROR(MATCH(A120,'Linked TB'!$A$9:$A$738,0))</f>
        <v>0</v>
      </c>
    </row>
    <row r="121" spans="1:5">
      <c r="A121" s="637">
        <v>2140</v>
      </c>
      <c r="B121" s="638" t="s">
        <v>1197</v>
      </c>
      <c r="C121" s="638" t="s">
        <v>876</v>
      </c>
      <c r="D121" s="457">
        <f>IF(ISERROR(VLOOKUP(A121,'TB Hard Code'!B:D,3,FALSE)),0,VLOOKUP(A121,'TB Hard Code'!B:D,3,FALSE))</f>
        <v>0</v>
      </c>
      <c r="E121" s="638" t="b">
        <f>+ISERROR(MATCH(A121,'Linked TB'!$A$9:$A$738,0))</f>
        <v>0</v>
      </c>
    </row>
    <row r="122" spans="1:5">
      <c r="A122" s="637">
        <v>2145</v>
      </c>
      <c r="B122" s="638" t="s">
        <v>1198</v>
      </c>
      <c r="C122" s="638" t="s">
        <v>876</v>
      </c>
      <c r="D122" s="457">
        <f>IF(ISERROR(VLOOKUP(A122,'TB Hard Code'!B:D,3,FALSE)),0,VLOOKUP(A122,'TB Hard Code'!B:D,3,FALSE))</f>
        <v>0</v>
      </c>
      <c r="E122" s="638" t="b">
        <f>+ISERROR(MATCH(A122,'Linked TB'!$A$9:$A$738,0))</f>
        <v>0</v>
      </c>
    </row>
    <row r="123" spans="1:5">
      <c r="A123" s="637">
        <v>2155</v>
      </c>
      <c r="B123" s="638" t="s">
        <v>1199</v>
      </c>
      <c r="C123" s="638" t="s">
        <v>876</v>
      </c>
      <c r="D123" s="457">
        <f>IF(ISERROR(VLOOKUP(A123,'TB Hard Code'!B:D,3,FALSE)),0,VLOOKUP(A123,'TB Hard Code'!B:D,3,FALSE))</f>
        <v>0</v>
      </c>
      <c r="E123" s="638" t="b">
        <f>+ISERROR(MATCH(A123,'Linked TB'!$A$9:$A$738,0))</f>
        <v>0</v>
      </c>
    </row>
    <row r="124" spans="1:5">
      <c r="A124" s="637">
        <v>2160</v>
      </c>
      <c r="B124" s="638" t="s">
        <v>1200</v>
      </c>
      <c r="C124" s="638" t="s">
        <v>876</v>
      </c>
      <c r="D124" s="457">
        <f>IF(ISERROR(VLOOKUP(A124,'TB Hard Code'!B:D,3,FALSE)),0,VLOOKUP(A124,'TB Hard Code'!B:D,3,FALSE))</f>
        <v>0</v>
      </c>
      <c r="E124" s="638" t="b">
        <f>+ISERROR(MATCH(A124,'Linked TB'!$A$9:$A$738,0))</f>
        <v>0</v>
      </c>
    </row>
    <row r="125" spans="1:5">
      <c r="A125" s="637">
        <v>2170</v>
      </c>
      <c r="B125" s="638" t="s">
        <v>1201</v>
      </c>
      <c r="C125" s="638" t="s">
        <v>876</v>
      </c>
      <c r="D125" s="457">
        <f>IF(ISERROR(VLOOKUP(A125,'TB Hard Code'!B:D,3,FALSE)),0,VLOOKUP(A125,'TB Hard Code'!B:D,3,FALSE))</f>
        <v>0</v>
      </c>
      <c r="E125" s="638" t="b">
        <f>+ISERROR(MATCH(A125,'Linked TB'!$A$9:$A$738,0))</f>
        <v>0</v>
      </c>
    </row>
    <row r="126" spans="1:5">
      <c r="A126" s="637">
        <v>2180</v>
      </c>
      <c r="B126" s="638" t="s">
        <v>1202</v>
      </c>
      <c r="C126" s="638" t="s">
        <v>876</v>
      </c>
      <c r="D126" s="457">
        <f>IF(ISERROR(VLOOKUP(A126,'TB Hard Code'!B:D,3,FALSE)),0,VLOOKUP(A126,'TB Hard Code'!B:D,3,FALSE))</f>
        <v>0</v>
      </c>
      <c r="E126" s="638" t="b">
        <f>+ISERROR(MATCH(A126,'Linked TB'!$A$9:$A$738,0))</f>
        <v>0</v>
      </c>
    </row>
    <row r="127" spans="1:5">
      <c r="A127" s="637">
        <v>2195</v>
      </c>
      <c r="B127" s="638" t="s">
        <v>1203</v>
      </c>
      <c r="C127" s="638" t="s">
        <v>876</v>
      </c>
      <c r="D127" s="457">
        <f>IF(ISERROR(VLOOKUP(A127,'TB Hard Code'!B:D,3,FALSE)),0,VLOOKUP(A127,'TB Hard Code'!B:D,3,FALSE))</f>
        <v>0</v>
      </c>
      <c r="E127" s="638" t="b">
        <f>+ISERROR(MATCH(A127,'Linked TB'!$A$9:$A$738,0))</f>
        <v>0</v>
      </c>
    </row>
    <row r="128" spans="1:5">
      <c r="A128" s="637">
        <v>2225</v>
      </c>
      <c r="B128" s="638" t="s">
        <v>1204</v>
      </c>
      <c r="C128" s="638" t="s">
        <v>876</v>
      </c>
      <c r="D128" s="457">
        <f>IF(ISERROR(VLOOKUP(A128,'TB Hard Code'!B:D,3,FALSE)),0,VLOOKUP(A128,'TB Hard Code'!B:D,3,FALSE))</f>
        <v>0</v>
      </c>
      <c r="E128" s="638" t="b">
        <f>+ISERROR(MATCH(A128,'Linked TB'!$A$9:$A$738,0))</f>
        <v>0</v>
      </c>
    </row>
    <row r="129" spans="1:5">
      <c r="A129" s="637">
        <v>2230</v>
      </c>
      <c r="B129" s="638" t="s">
        <v>1181</v>
      </c>
      <c r="C129" s="638" t="s">
        <v>876</v>
      </c>
      <c r="D129" s="457">
        <f>IF(ISERROR(VLOOKUP(A129,'TB Hard Code'!B:D,3,FALSE)),0,VLOOKUP(A129,'TB Hard Code'!B:D,3,FALSE))</f>
        <v>0</v>
      </c>
      <c r="E129" s="638" t="b">
        <f>+ISERROR(MATCH(A129,'Linked TB'!$A$9:$A$738,0))</f>
        <v>0</v>
      </c>
    </row>
    <row r="130" spans="1:5">
      <c r="A130" s="637">
        <v>2235</v>
      </c>
      <c r="B130" s="638" t="s">
        <v>1205</v>
      </c>
      <c r="C130" s="638" t="s">
        <v>876</v>
      </c>
      <c r="D130" s="457">
        <f>IF(ISERROR(VLOOKUP(A130,'TB Hard Code'!B:D,3,FALSE)),0,VLOOKUP(A130,'TB Hard Code'!B:D,3,FALSE))</f>
        <v>0</v>
      </c>
      <c r="E130" s="638" t="b">
        <f>+ISERROR(MATCH(A130,'Linked TB'!$A$9:$A$738,0))</f>
        <v>0</v>
      </c>
    </row>
    <row r="131" spans="1:5">
      <c r="A131" s="637">
        <v>2240</v>
      </c>
      <c r="B131" s="638" t="s">
        <v>1206</v>
      </c>
      <c r="C131" s="638" t="s">
        <v>876</v>
      </c>
      <c r="D131" s="457">
        <f>IF(ISERROR(VLOOKUP(A131,'TB Hard Code'!B:D,3,FALSE)),0,VLOOKUP(A131,'TB Hard Code'!B:D,3,FALSE))</f>
        <v>0</v>
      </c>
      <c r="E131" s="638" t="b">
        <f>+ISERROR(MATCH(A131,'Linked TB'!$A$9:$A$738,0))</f>
        <v>0</v>
      </c>
    </row>
    <row r="132" spans="1:5">
      <c r="A132" s="637">
        <v>2245</v>
      </c>
      <c r="B132" s="638" t="s">
        <v>1183</v>
      </c>
      <c r="C132" s="638" t="s">
        <v>876</v>
      </c>
      <c r="D132" s="457">
        <f>IF(ISERROR(VLOOKUP(A132,'TB Hard Code'!B:D,3,FALSE)),0,VLOOKUP(A132,'TB Hard Code'!B:D,3,FALSE))</f>
        <v>0</v>
      </c>
      <c r="E132" s="638" t="b">
        <f>+ISERROR(MATCH(A132,'Linked TB'!$A$9:$A$738,0))</f>
        <v>0</v>
      </c>
    </row>
    <row r="133" spans="1:5">
      <c r="A133" s="637">
        <v>2250</v>
      </c>
      <c r="B133" s="638" t="s">
        <v>1207</v>
      </c>
      <c r="C133" s="638" t="s">
        <v>876</v>
      </c>
      <c r="D133" s="457">
        <f>IF(ISERROR(VLOOKUP(A133,'TB Hard Code'!B:D,3,FALSE)),0,VLOOKUP(A133,'TB Hard Code'!B:D,3,FALSE))</f>
        <v>0</v>
      </c>
      <c r="E133" s="638" t="b">
        <f>+ISERROR(MATCH(A133,'Linked TB'!$A$9:$A$738,0))</f>
        <v>0</v>
      </c>
    </row>
    <row r="134" spans="1:5">
      <c r="A134" s="637">
        <v>2280</v>
      </c>
      <c r="B134" s="638" t="s">
        <v>1208</v>
      </c>
      <c r="C134" s="638" t="s">
        <v>876</v>
      </c>
      <c r="D134" s="457">
        <f>IF(ISERROR(VLOOKUP(A134,'TB Hard Code'!B:D,3,FALSE)),0,VLOOKUP(A134,'TB Hard Code'!B:D,3,FALSE))</f>
        <v>0</v>
      </c>
      <c r="E134" s="638" t="b">
        <f>+ISERROR(MATCH(A134,'Linked TB'!$A$9:$A$738,0))</f>
        <v>0</v>
      </c>
    </row>
    <row r="135" spans="1:5">
      <c r="A135" s="637">
        <v>2285</v>
      </c>
      <c r="B135" s="638" t="s">
        <v>1209</v>
      </c>
      <c r="C135" s="638" t="s">
        <v>876</v>
      </c>
      <c r="D135" s="457">
        <f>IF(ISERROR(VLOOKUP(A135,'TB Hard Code'!B:D,3,FALSE)),0,VLOOKUP(A135,'TB Hard Code'!B:D,3,FALSE))</f>
        <v>0</v>
      </c>
      <c r="E135" s="638" t="b">
        <f>+ISERROR(MATCH(A135,'Linked TB'!$A$9:$A$738,0))</f>
        <v>0</v>
      </c>
    </row>
    <row r="136" spans="1:5">
      <c r="A136" s="637">
        <v>2300</v>
      </c>
      <c r="B136" s="638" t="s">
        <v>1210</v>
      </c>
      <c r="C136" s="638" t="s">
        <v>876</v>
      </c>
      <c r="D136" s="457">
        <f>IF(ISERROR(VLOOKUP(A136,'TB Hard Code'!B:D,3,FALSE)),0,VLOOKUP(A136,'TB Hard Code'!B:D,3,FALSE))</f>
        <v>-550225.31999999995</v>
      </c>
      <c r="E136" s="638" t="b">
        <f>+ISERROR(MATCH(A136,'Linked TB'!$A$9:$A$738,0))</f>
        <v>0</v>
      </c>
    </row>
    <row r="137" spans="1:5">
      <c r="A137" s="637">
        <v>2320</v>
      </c>
      <c r="B137" s="638" t="s">
        <v>1211</v>
      </c>
      <c r="C137" s="638" t="s">
        <v>876</v>
      </c>
      <c r="D137" s="457">
        <f>IF(ISERROR(VLOOKUP(A137,'TB Hard Code'!B:D,3,FALSE)),0,VLOOKUP(A137,'TB Hard Code'!B:D,3,FALSE))</f>
        <v>-28652.78</v>
      </c>
      <c r="E137" s="638" t="b">
        <f>+ISERROR(MATCH(A137,'Linked TB'!$A$9:$A$738,0))</f>
        <v>0</v>
      </c>
    </row>
    <row r="138" spans="1:5">
      <c r="A138" s="637">
        <v>2325</v>
      </c>
      <c r="B138" s="638" t="s">
        <v>1212</v>
      </c>
      <c r="C138" s="638" t="s">
        <v>876</v>
      </c>
      <c r="D138" s="457">
        <f>IF(ISERROR(VLOOKUP(A138,'TB Hard Code'!B:D,3,FALSE)),0,VLOOKUP(A138,'TB Hard Code'!B:D,3,FALSE))</f>
        <v>-100975.81</v>
      </c>
      <c r="E138" s="638" t="b">
        <f>+ISERROR(MATCH(A138,'Linked TB'!$A$9:$A$738,0))</f>
        <v>0</v>
      </c>
    </row>
    <row r="139" spans="1:5">
      <c r="A139" s="637">
        <v>2330</v>
      </c>
      <c r="B139" s="638" t="s">
        <v>1213</v>
      </c>
      <c r="C139" s="638" t="s">
        <v>876</v>
      </c>
      <c r="D139" s="457">
        <f>IF(ISERROR(VLOOKUP(A139,'TB Hard Code'!B:D,3,FALSE)),0,VLOOKUP(A139,'TB Hard Code'!B:D,3,FALSE))</f>
        <v>-573458.36</v>
      </c>
      <c r="E139" s="638" t="b">
        <f>+ISERROR(MATCH(A139,'Linked TB'!$A$9:$A$738,0))</f>
        <v>0</v>
      </c>
    </row>
    <row r="140" spans="1:5">
      <c r="A140" s="637">
        <v>2335</v>
      </c>
      <c r="B140" s="638" t="s">
        <v>1214</v>
      </c>
      <c r="C140" s="638" t="s">
        <v>876</v>
      </c>
      <c r="D140" s="457">
        <f>IF(ISERROR(VLOOKUP(A140,'TB Hard Code'!B:D,3,FALSE)),0,VLOOKUP(A140,'TB Hard Code'!B:D,3,FALSE))</f>
        <v>-18079.080000000002</v>
      </c>
      <c r="E140" s="638" t="b">
        <f>+ISERROR(MATCH(A140,'Linked TB'!$A$9:$A$738,0))</f>
        <v>0</v>
      </c>
    </row>
    <row r="141" spans="1:5">
      <c r="A141" s="637">
        <v>2400</v>
      </c>
      <c r="B141" s="638" t="s">
        <v>1215</v>
      </c>
      <c r="C141" s="638" t="s">
        <v>876</v>
      </c>
      <c r="D141" s="457">
        <f>IF(ISERROR(VLOOKUP(A141,'TB Hard Code'!B:D,3,FALSE)),0,VLOOKUP(A141,'TB Hard Code'!B:D,3,FALSE))</f>
        <v>-183024.56</v>
      </c>
      <c r="E141" s="638" t="b">
        <f>+ISERROR(MATCH(A141,'Linked TB'!$A$9:$A$738,0))</f>
        <v>0</v>
      </c>
    </row>
    <row r="142" spans="1:5">
      <c r="A142" s="637">
        <v>2420</v>
      </c>
      <c r="B142" s="638" t="s">
        <v>1216</v>
      </c>
      <c r="C142" s="638" t="s">
        <v>876</v>
      </c>
      <c r="D142" s="457">
        <f>IF(ISERROR(VLOOKUP(A142,'TB Hard Code'!B:D,3,FALSE)),0,VLOOKUP(A142,'TB Hard Code'!B:D,3,FALSE))</f>
        <v>45756.02</v>
      </c>
      <c r="E142" s="638" t="b">
        <f>+ISERROR(MATCH(A142,'Linked TB'!$A$9:$A$738,0))</f>
        <v>0</v>
      </c>
    </row>
    <row r="143" spans="1:5">
      <c r="A143" s="637">
        <v>2640</v>
      </c>
      <c r="B143" s="638" t="s">
        <v>1217</v>
      </c>
      <c r="C143" s="638" t="s">
        <v>876</v>
      </c>
      <c r="D143" s="457">
        <f>IF(ISERROR(VLOOKUP(A143,'TB Hard Code'!B:D,3,FALSE)),0,VLOOKUP(A143,'TB Hard Code'!B:D,3,FALSE))</f>
        <v>104802.78</v>
      </c>
      <c r="E143" s="638" t="b">
        <f>+ISERROR(MATCH(A143,'Linked TB'!$A$9:$A$738,0))</f>
        <v>0</v>
      </c>
    </row>
    <row r="144" spans="1:5">
      <c r="A144" s="637">
        <v>2665</v>
      </c>
      <c r="B144" s="638" t="s">
        <v>1218</v>
      </c>
      <c r="C144" s="638" t="s">
        <v>876</v>
      </c>
      <c r="D144" s="457">
        <f>IF(ISERROR(VLOOKUP(A144,'TB Hard Code'!B:D,3,FALSE)),0,VLOOKUP(A144,'TB Hard Code'!B:D,3,FALSE))</f>
        <v>0</v>
      </c>
      <c r="E144" s="638" t="b">
        <f>+ISERROR(MATCH(A144,'Linked TB'!$A$9:$A$738,0))</f>
        <v>0</v>
      </c>
    </row>
    <row r="145" spans="1:5">
      <c r="A145" s="637">
        <v>2675</v>
      </c>
      <c r="B145" s="638" t="s">
        <v>1219</v>
      </c>
      <c r="C145" s="638" t="s">
        <v>876</v>
      </c>
      <c r="D145" s="457">
        <f>IF(ISERROR(VLOOKUP(A145,'TB Hard Code'!B:D,3,FALSE)),0,VLOOKUP(A145,'TB Hard Code'!B:D,3,FALSE))</f>
        <v>352588.52</v>
      </c>
      <c r="E145" s="638" t="b">
        <f>+ISERROR(MATCH(A145,'Linked TB'!$A$9:$A$738,0))</f>
        <v>0</v>
      </c>
    </row>
    <row r="146" spans="1:5">
      <c r="A146" s="637">
        <v>2680</v>
      </c>
      <c r="B146" s="638" t="s">
        <v>1220</v>
      </c>
      <c r="C146" s="638" t="s">
        <v>876</v>
      </c>
      <c r="D146" s="457">
        <f>IF(ISERROR(VLOOKUP(A146,'TB Hard Code'!B:D,3,FALSE)),0,VLOOKUP(A146,'TB Hard Code'!B:D,3,FALSE))</f>
        <v>117250</v>
      </c>
      <c r="E146" s="638" t="b">
        <f>+ISERROR(MATCH(A146,'Linked TB'!$A$9:$A$738,0))</f>
        <v>0</v>
      </c>
    </row>
    <row r="147" spans="1:5">
      <c r="A147" s="637">
        <v>2685</v>
      </c>
      <c r="B147" s="638" t="s">
        <v>1221</v>
      </c>
      <c r="C147" s="638" t="s">
        <v>876</v>
      </c>
      <c r="D147" s="457">
        <f>IF(ISERROR(VLOOKUP(A147,'TB Hard Code'!B:D,3,FALSE)),0,VLOOKUP(A147,'TB Hard Code'!B:D,3,FALSE))</f>
        <v>31.67</v>
      </c>
      <c r="E147" s="638" t="b">
        <f>+ISERROR(MATCH(A147,'Linked TB'!$A$9:$A$738,0))</f>
        <v>0</v>
      </c>
    </row>
    <row r="148" spans="1:5">
      <c r="A148" s="637">
        <v>2690</v>
      </c>
      <c r="B148" s="638" t="s">
        <v>1222</v>
      </c>
      <c r="C148" s="638" t="s">
        <v>876</v>
      </c>
      <c r="D148" s="457">
        <f>IF(ISERROR(VLOOKUP(A148,'TB Hard Code'!B:D,3,FALSE)),0,VLOOKUP(A148,'TB Hard Code'!B:D,3,FALSE))</f>
        <v>-44421.84</v>
      </c>
      <c r="E148" s="638" t="b">
        <f>+ISERROR(MATCH(A148,'Linked TB'!$A$9:$A$738,0))</f>
        <v>0</v>
      </c>
    </row>
    <row r="149" spans="1:5">
      <c r="A149" s="637">
        <v>2700</v>
      </c>
      <c r="B149" s="638" t="s">
        <v>1223</v>
      </c>
      <c r="C149" s="638" t="s">
        <v>876</v>
      </c>
      <c r="D149" s="457">
        <f>IF(ISERROR(VLOOKUP(A149,'TB Hard Code'!B:D,3,FALSE)),0,VLOOKUP(A149,'TB Hard Code'!B:D,3,FALSE))</f>
        <v>10500</v>
      </c>
      <c r="E149" s="638" t="b">
        <f>+ISERROR(MATCH(A149,'Linked TB'!$A$9:$A$738,0))</f>
        <v>0</v>
      </c>
    </row>
    <row r="150" spans="1:5">
      <c r="A150" s="637">
        <v>2710</v>
      </c>
      <c r="B150" s="638" t="s">
        <v>1224</v>
      </c>
      <c r="C150" s="638" t="s">
        <v>876</v>
      </c>
      <c r="D150" s="457">
        <f>IF(ISERROR(VLOOKUP(A150,'TB Hard Code'!B:D,3,FALSE)),0,VLOOKUP(A150,'TB Hard Code'!B:D,3,FALSE))</f>
        <v>289626.74</v>
      </c>
      <c r="E150" s="638" t="b">
        <f>+ISERROR(MATCH(A150,'Linked TB'!$A$9:$A$738,0))</f>
        <v>0</v>
      </c>
    </row>
    <row r="151" spans="1:5">
      <c r="A151" s="637">
        <v>2755</v>
      </c>
      <c r="B151" s="638" t="s">
        <v>1225</v>
      </c>
      <c r="C151" s="638" t="s">
        <v>876</v>
      </c>
      <c r="D151" s="457">
        <f>IF(ISERROR(VLOOKUP(A151,'TB Hard Code'!B:D,3,FALSE)),0,VLOOKUP(A151,'TB Hard Code'!B:D,3,FALSE))</f>
        <v>7700</v>
      </c>
      <c r="E151" s="638" t="b">
        <f>+ISERROR(MATCH(A151,'Linked TB'!$A$9:$A$738,0))</f>
        <v>0</v>
      </c>
    </row>
    <row r="152" spans="1:5">
      <c r="A152" s="637">
        <v>2775</v>
      </c>
      <c r="B152" s="638" t="s">
        <v>1226</v>
      </c>
      <c r="C152" s="638" t="s">
        <v>876</v>
      </c>
      <c r="D152" s="457">
        <f>IF(ISERROR(VLOOKUP(A152,'TB Hard Code'!B:D,3,FALSE)),0,VLOOKUP(A152,'TB Hard Code'!B:D,3,FALSE))</f>
        <v>6100</v>
      </c>
      <c r="E152" s="638" t="b">
        <f>+ISERROR(MATCH(A152,'Linked TB'!$A$9:$A$738,0))</f>
        <v>0</v>
      </c>
    </row>
    <row r="153" spans="1:5">
      <c r="A153" s="637">
        <v>2795</v>
      </c>
      <c r="B153" s="638" t="s">
        <v>1227</v>
      </c>
      <c r="C153" s="638" t="s">
        <v>876</v>
      </c>
      <c r="D153" s="457">
        <f>IF(ISERROR(VLOOKUP(A153,'TB Hard Code'!B:D,3,FALSE)),0,VLOOKUP(A153,'TB Hard Code'!B:D,3,FALSE))</f>
        <v>0</v>
      </c>
      <c r="E153" s="638" t="b">
        <f>+ISERROR(MATCH(A153,'Linked TB'!$A$9:$A$738,0))</f>
        <v>0</v>
      </c>
    </row>
    <row r="154" spans="1:5">
      <c r="A154" s="637">
        <v>2856</v>
      </c>
      <c r="B154" s="638" t="s">
        <v>1505</v>
      </c>
      <c r="C154" s="638" t="s">
        <v>876</v>
      </c>
      <c r="D154" s="457">
        <f>IF(ISERROR(VLOOKUP(A154,'TB Hard Code'!B:D,3,FALSE)),0,VLOOKUP(A154,'TB Hard Code'!B:D,3,FALSE))</f>
        <v>0</v>
      </c>
      <c r="E154" s="638" t="b">
        <f>+ISERROR(MATCH(A154,'Linked TB'!$A$9:$A$738,0))</f>
        <v>0</v>
      </c>
    </row>
    <row r="155" spans="1:5">
      <c r="A155" s="637">
        <v>2906</v>
      </c>
      <c r="B155" s="638" t="s">
        <v>1504</v>
      </c>
      <c r="C155" s="638" t="s">
        <v>876</v>
      </c>
      <c r="D155" s="457">
        <f>IF(ISERROR(VLOOKUP(A155,'TB Hard Code'!B:D,3,FALSE)),0,VLOOKUP(A155,'TB Hard Code'!B:D,3,FALSE))</f>
        <v>220258.43</v>
      </c>
      <c r="E155" s="638" t="b">
        <f>+ISERROR(MATCH(A155,'Linked TB'!$A$9:$A$738,0))</f>
        <v>0</v>
      </c>
    </row>
    <row r="156" spans="1:5">
      <c r="A156" s="637">
        <v>2907</v>
      </c>
      <c r="B156" s="638" t="s">
        <v>1506</v>
      </c>
      <c r="C156" s="638" t="s">
        <v>876</v>
      </c>
      <c r="D156" s="457">
        <f>IF(ISERROR(VLOOKUP(A156,'TB Hard Code'!B:D,3,FALSE)),0,VLOOKUP(A156,'TB Hard Code'!B:D,3,FALSE))</f>
        <v>214873.78000000003</v>
      </c>
      <c r="E156" s="638" t="b">
        <f>+ISERROR(MATCH(A156,'Linked TB'!$A$9:$A$738,0))</f>
        <v>0</v>
      </c>
    </row>
    <row r="157" spans="1:5">
      <c r="A157" s="637">
        <v>2908</v>
      </c>
      <c r="B157" s="638" t="s">
        <v>1507</v>
      </c>
      <c r="C157" s="638" t="s">
        <v>876</v>
      </c>
      <c r="D157" s="457">
        <f>IF(ISERROR(VLOOKUP(A157,'TB Hard Code'!B:D,3,FALSE)),0,VLOOKUP(A157,'TB Hard Code'!B:D,3,FALSE))</f>
        <v>4689.7299999999996</v>
      </c>
      <c r="E157" s="638" t="b">
        <f>+ISERROR(MATCH(A157,'Linked TB'!$A$9:$A$738,0))</f>
        <v>0</v>
      </c>
    </row>
    <row r="158" spans="1:5">
      <c r="A158" s="637">
        <v>2909</v>
      </c>
      <c r="B158" s="638" t="s">
        <v>1508</v>
      </c>
      <c r="C158" s="638" t="s">
        <v>876</v>
      </c>
      <c r="D158" s="457">
        <f>IF(ISERROR(VLOOKUP(A158,'TB Hard Code'!B:D,3,FALSE)),0,VLOOKUP(A158,'TB Hard Code'!B:D,3,FALSE))</f>
        <v>10204.459999999999</v>
      </c>
      <c r="E158" s="638" t="b">
        <f>+ISERROR(MATCH(A158,'Linked TB'!$A$9:$A$738,0))</f>
        <v>0</v>
      </c>
    </row>
    <row r="159" spans="1:5">
      <c r="A159" s="637">
        <v>2910</v>
      </c>
      <c r="B159" s="638" t="s">
        <v>1509</v>
      </c>
      <c r="C159" s="638" t="s">
        <v>876</v>
      </c>
      <c r="D159" s="457">
        <f>IF(ISERROR(VLOOKUP(A159,'TB Hard Code'!B:D,3,FALSE)),0,VLOOKUP(A159,'TB Hard Code'!B:D,3,FALSE))</f>
        <v>95257.98000000001</v>
      </c>
      <c r="E159" s="638" t="b">
        <f>+ISERROR(MATCH(A159,'Linked TB'!$A$9:$A$738,0))</f>
        <v>0</v>
      </c>
    </row>
    <row r="160" spans="1:5">
      <c r="A160" s="637">
        <v>2914</v>
      </c>
      <c r="B160" s="638" t="s">
        <v>1228</v>
      </c>
      <c r="C160" s="638" t="s">
        <v>876</v>
      </c>
      <c r="D160" s="457">
        <f>IF(ISERROR(VLOOKUP(A160,'TB Hard Code'!B:D,3,FALSE)),0,VLOOKUP(A160,'TB Hard Code'!B:D,3,FALSE))</f>
        <v>-545284.38</v>
      </c>
      <c r="E160" s="638" t="b">
        <f>+ISERROR(MATCH(A160,'Linked TB'!$A$9:$A$738,0))</f>
        <v>0</v>
      </c>
    </row>
    <row r="161" spans="1:5">
      <c r="A161" s="637">
        <v>2920</v>
      </c>
      <c r="B161" s="638" t="s">
        <v>1229</v>
      </c>
      <c r="C161" s="638" t="s">
        <v>876</v>
      </c>
      <c r="D161" s="457">
        <f>IF(ISERROR(VLOOKUP(A161,'TB Hard Code'!B:D,3,FALSE)),0,VLOOKUP(A161,'TB Hard Code'!B:D,3,FALSE))</f>
        <v>545699.6</v>
      </c>
      <c r="E161" s="638" t="b">
        <f>+ISERROR(MATCH(A161,'Linked TB'!$A$9:$A$738,0))</f>
        <v>0</v>
      </c>
    </row>
    <row r="162" spans="1:5">
      <c r="A162" s="637">
        <v>2930</v>
      </c>
      <c r="B162" s="638" t="s">
        <v>1230</v>
      </c>
      <c r="C162" s="638" t="s">
        <v>876</v>
      </c>
      <c r="D162" s="457">
        <f>IF(ISERROR(VLOOKUP(A162,'TB Hard Code'!B:D,3,FALSE)),0,VLOOKUP(A162,'TB Hard Code'!B:D,3,FALSE))</f>
        <v>-375724.06</v>
      </c>
      <c r="E162" s="638" t="b">
        <f>+ISERROR(MATCH(A162,'Linked TB'!$A$9:$A$738,0))</f>
        <v>0</v>
      </c>
    </row>
    <row r="163" spans="1:5">
      <c r="A163" s="637">
        <v>2960</v>
      </c>
      <c r="B163" s="638" t="s">
        <v>1231</v>
      </c>
      <c r="C163" s="638" t="s">
        <v>876</v>
      </c>
      <c r="D163" s="457">
        <f>IF(ISERROR(VLOOKUP(A163,'TB Hard Code'!B:D,3,FALSE)),0,VLOOKUP(A163,'TB Hard Code'!B:D,3,FALSE))</f>
        <v>135710.32</v>
      </c>
      <c r="E163" s="638" t="b">
        <f>+ISERROR(MATCH(A163,'Linked TB'!$A$9:$A$738,0))</f>
        <v>0</v>
      </c>
    </row>
    <row r="164" spans="1:5">
      <c r="A164" s="637">
        <v>2965</v>
      </c>
      <c r="B164" s="638" t="s">
        <v>1232</v>
      </c>
      <c r="C164" s="638" t="s">
        <v>876</v>
      </c>
      <c r="D164" s="457">
        <f>IF(ISERROR(VLOOKUP(A164,'TB Hard Code'!B:D,3,FALSE)),0,VLOOKUP(A164,'TB Hard Code'!B:D,3,FALSE))</f>
        <v>0</v>
      </c>
      <c r="E164" s="638" t="b">
        <f>+ISERROR(MATCH(A164,'Linked TB'!$A$9:$A$738,0))</f>
        <v>0</v>
      </c>
    </row>
    <row r="165" spans="1:5">
      <c r="A165" s="637">
        <v>2980</v>
      </c>
      <c r="B165" s="638" t="s">
        <v>1233</v>
      </c>
      <c r="C165" s="638" t="s">
        <v>876</v>
      </c>
      <c r="D165" s="457">
        <f>IF(ISERROR(VLOOKUP(A165,'TB Hard Code'!B:D,3,FALSE)),0,VLOOKUP(A165,'TB Hard Code'!B:D,3,FALSE))</f>
        <v>0</v>
      </c>
      <c r="E165" s="638" t="b">
        <f>+ISERROR(MATCH(A165,'Linked TB'!$A$9:$A$738,0))</f>
        <v>0</v>
      </c>
    </row>
    <row r="166" spans="1:5">
      <c r="A166" s="637">
        <v>3005</v>
      </c>
      <c r="B166" s="638" t="s">
        <v>1234</v>
      </c>
      <c r="C166" s="638" t="s">
        <v>876</v>
      </c>
      <c r="D166" s="457">
        <f>IF(ISERROR(VLOOKUP(A166,'TB Hard Code'!B:D,3,FALSE)),0,VLOOKUP(A166,'TB Hard Code'!B:D,3,FALSE))</f>
        <v>2455</v>
      </c>
      <c r="E166" s="638" t="b">
        <f>+ISERROR(MATCH(A166,'Linked TB'!$A$9:$A$738,0))</f>
        <v>0</v>
      </c>
    </row>
    <row r="167" spans="1:5">
      <c r="A167" s="637">
        <v>3025</v>
      </c>
      <c r="B167" s="638" t="s">
        <v>1235</v>
      </c>
      <c r="C167" s="638" t="s">
        <v>876</v>
      </c>
      <c r="D167" s="457">
        <f>IF(ISERROR(VLOOKUP(A167,'TB Hard Code'!B:D,3,FALSE)),0,VLOOKUP(A167,'TB Hard Code'!B:D,3,FALSE))</f>
        <v>0</v>
      </c>
      <c r="E167" s="638" t="b">
        <f>+ISERROR(MATCH(A167,'Linked TB'!$A$9:$A$738,0))</f>
        <v>0</v>
      </c>
    </row>
    <row r="168" spans="1:5">
      <c r="A168" s="637">
        <v>3040</v>
      </c>
      <c r="B168" s="638" t="s">
        <v>1236</v>
      </c>
      <c r="C168" s="638" t="s">
        <v>876</v>
      </c>
      <c r="D168" s="457">
        <f>IF(ISERROR(VLOOKUP(A168,'TB Hard Code'!B:D,3,FALSE)),0,VLOOKUP(A168,'TB Hard Code'!B:D,3,FALSE))</f>
        <v>0</v>
      </c>
      <c r="E168" s="638" t="b">
        <f>+ISERROR(MATCH(A168,'Linked TB'!$A$9:$A$738,0))</f>
        <v>0</v>
      </c>
    </row>
    <row r="169" spans="1:5">
      <c r="A169" s="637">
        <v>3110</v>
      </c>
      <c r="B169" s="638" t="s">
        <v>1237</v>
      </c>
      <c r="C169" s="638" t="s">
        <v>876</v>
      </c>
      <c r="D169" s="457">
        <f>IF(ISERROR(VLOOKUP(A169,'TB Hard Code'!B:D,3,FALSE)),0,VLOOKUP(A169,'TB Hard Code'!B:D,3,FALSE))</f>
        <v>-82841.52</v>
      </c>
      <c r="E169" s="638" t="b">
        <f>+ISERROR(MATCH(A169,'Linked TB'!$A$9:$A$738,0))</f>
        <v>0</v>
      </c>
    </row>
    <row r="170" spans="1:5">
      <c r="A170" s="637">
        <v>3120</v>
      </c>
      <c r="B170" s="638" t="s">
        <v>1238</v>
      </c>
      <c r="C170" s="638" t="s">
        <v>876</v>
      </c>
      <c r="D170" s="457">
        <f>IF(ISERROR(VLOOKUP(A170,'TB Hard Code'!B:D,3,FALSE)),0,VLOOKUP(A170,'TB Hard Code'!B:D,3,FALSE))</f>
        <v>0</v>
      </c>
      <c r="E170" s="638" t="b">
        <f>+ISERROR(MATCH(A170,'Linked TB'!$A$9:$A$738,0))</f>
        <v>0</v>
      </c>
    </row>
    <row r="171" spans="1:5">
      <c r="A171" s="637">
        <v>3135</v>
      </c>
      <c r="B171" s="638" t="s">
        <v>1239</v>
      </c>
      <c r="C171" s="638" t="s">
        <v>876</v>
      </c>
      <c r="D171" s="457">
        <f>IF(ISERROR(VLOOKUP(A171,'TB Hard Code'!B:D,3,FALSE)),0,VLOOKUP(A171,'TB Hard Code'!B:D,3,FALSE))</f>
        <v>0</v>
      </c>
      <c r="E171" s="638" t="b">
        <f>+ISERROR(MATCH(A171,'Linked TB'!$A$9:$A$738,0))</f>
        <v>0</v>
      </c>
    </row>
    <row r="172" spans="1:5">
      <c r="A172" s="637">
        <v>3160</v>
      </c>
      <c r="B172" s="638" t="s">
        <v>1240</v>
      </c>
      <c r="C172" s="638" t="s">
        <v>876</v>
      </c>
      <c r="D172" s="457">
        <f>IF(ISERROR(VLOOKUP(A172,'TB Hard Code'!B:D,3,FALSE)),0,VLOOKUP(A172,'TB Hard Code'!B:D,3,FALSE))</f>
        <v>-682.69</v>
      </c>
      <c r="E172" s="638" t="b">
        <f>+ISERROR(MATCH(A172,'Linked TB'!$A$9:$A$738,0))</f>
        <v>0</v>
      </c>
    </row>
    <row r="173" spans="1:5">
      <c r="A173" s="637">
        <v>3180</v>
      </c>
      <c r="B173" s="638" t="s">
        <v>1241</v>
      </c>
      <c r="C173" s="638" t="s">
        <v>876</v>
      </c>
      <c r="D173" s="457">
        <f>IF(ISERROR(VLOOKUP(A173,'TB Hard Code'!B:D,3,FALSE)),0,VLOOKUP(A173,'TB Hard Code'!B:D,3,FALSE))</f>
        <v>0</v>
      </c>
      <c r="E173" s="638" t="b">
        <f>+ISERROR(MATCH(A173,'Linked TB'!$A$9:$A$738,0))</f>
        <v>0</v>
      </c>
    </row>
    <row r="174" spans="1:5">
      <c r="A174" s="637">
        <v>3195</v>
      </c>
      <c r="B174" s="638" t="s">
        <v>1242</v>
      </c>
      <c r="C174" s="638" t="s">
        <v>876</v>
      </c>
      <c r="D174" s="457">
        <f>IF(ISERROR(VLOOKUP(A174,'TB Hard Code'!B:D,3,FALSE)),0,VLOOKUP(A174,'TB Hard Code'!B:D,3,FALSE))</f>
        <v>0</v>
      </c>
      <c r="E174" s="638" t="b">
        <f>+ISERROR(MATCH(A174,'Linked TB'!$A$9:$A$738,0))</f>
        <v>0</v>
      </c>
    </row>
    <row r="175" spans="1:5">
      <c r="A175" s="637">
        <v>3225</v>
      </c>
      <c r="B175" s="638" t="s">
        <v>1243</v>
      </c>
      <c r="C175" s="638" t="s">
        <v>876</v>
      </c>
      <c r="D175" s="457">
        <f>IF(ISERROR(VLOOKUP(A175,'TB Hard Code'!B:D,3,FALSE)),0,VLOOKUP(A175,'TB Hard Code'!B:D,3,FALSE))</f>
        <v>-75637.36</v>
      </c>
      <c r="E175" s="638" t="b">
        <f>+ISERROR(MATCH(A175,'Linked TB'!$A$9:$A$738,0))</f>
        <v>0</v>
      </c>
    </row>
    <row r="176" spans="1:5" s="1405" customFormat="1">
      <c r="A176" s="1404">
        <v>3235</v>
      </c>
      <c r="B176" s="1405" t="s">
        <v>2286</v>
      </c>
      <c r="C176" s="1405" t="s">
        <v>876</v>
      </c>
      <c r="D176" s="1406">
        <f>IF(ISERROR(VLOOKUP(A176,'TB Hard Code'!B:D,3,FALSE)),0,VLOOKUP(A176,'TB Hard Code'!B:D,3,FALSE))</f>
        <v>2261.61</v>
      </c>
      <c r="E176" s="1405" t="b">
        <f>+ISERROR(MATCH(A176,'Linked TB'!$A$9:$A$738,0))</f>
        <v>0</v>
      </c>
    </row>
    <row r="177" spans="1:5">
      <c r="A177" s="637">
        <v>3350</v>
      </c>
      <c r="B177" s="638" t="s">
        <v>1510</v>
      </c>
      <c r="C177" s="638" t="s">
        <v>876</v>
      </c>
      <c r="D177" s="457">
        <f>IF(ISERROR(VLOOKUP(A177,'TB Hard Code'!B:D,3,FALSE)),0,VLOOKUP(A177,'TB Hard Code'!B:D,3,FALSE))</f>
        <v>-83141</v>
      </c>
      <c r="E177" s="638" t="b">
        <f>+ISERROR(MATCH(A177,'Linked TB'!$A$9:$A$738,0))</f>
        <v>0</v>
      </c>
    </row>
    <row r="178" spans="1:5">
      <c r="A178" s="637">
        <v>3430</v>
      </c>
      <c r="B178" s="638" t="s">
        <v>1244</v>
      </c>
      <c r="C178" s="638" t="s">
        <v>876</v>
      </c>
      <c r="D178" s="457">
        <f>IF(ISERROR(VLOOKUP(A178,'TB Hard Code'!B:D,3,FALSE)),0,VLOOKUP(A178,'TB Hard Code'!B:D,3,FALSE))</f>
        <v>-104168.69</v>
      </c>
      <c r="E178" s="638" t="b">
        <f>+ISERROR(MATCH(A178,'Linked TB'!$A$9:$A$738,0))</f>
        <v>0</v>
      </c>
    </row>
    <row r="179" spans="1:5">
      <c r="A179" s="637">
        <v>3435</v>
      </c>
      <c r="B179" s="638" t="s">
        <v>1245</v>
      </c>
      <c r="C179" s="638" t="s">
        <v>876</v>
      </c>
      <c r="D179" s="457">
        <f>IF(ISERROR(VLOOKUP(A179,'TB Hard Code'!B:D,3,FALSE)),0,VLOOKUP(A179,'TB Hard Code'!B:D,3,FALSE))</f>
        <v>-51712.25</v>
      </c>
      <c r="E179" s="638" t="b">
        <f>+ISERROR(MATCH(A179,'Linked TB'!$A$9:$A$738,0))</f>
        <v>0</v>
      </c>
    </row>
    <row r="180" spans="1:5">
      <c r="A180" s="637">
        <v>3455</v>
      </c>
      <c r="B180" s="638" t="s">
        <v>1246</v>
      </c>
      <c r="C180" s="638" t="s">
        <v>876</v>
      </c>
      <c r="D180" s="457">
        <f>IF(ISERROR(VLOOKUP(A180,'TB Hard Code'!B:D,3,FALSE)),0,VLOOKUP(A180,'TB Hard Code'!B:D,3,FALSE))</f>
        <v>0</v>
      </c>
      <c r="E180" s="638" t="b">
        <f>+ISERROR(MATCH(A180,'Linked TB'!$A$9:$A$738,0))</f>
        <v>0</v>
      </c>
    </row>
    <row r="181" spans="1:5">
      <c r="A181" s="637">
        <v>3500</v>
      </c>
      <c r="B181" s="638" t="s">
        <v>1247</v>
      </c>
      <c r="C181" s="638" t="s">
        <v>876</v>
      </c>
      <c r="D181" s="457">
        <f>IF(ISERROR(VLOOKUP(A181,'TB Hard Code'!B:D,3,FALSE)),0,VLOOKUP(A181,'TB Hard Code'!B:D,3,FALSE))</f>
        <v>0</v>
      </c>
      <c r="E181" s="638" t="b">
        <f>+ISERROR(MATCH(A181,'Linked TB'!$A$9:$A$738,0))</f>
        <v>0</v>
      </c>
    </row>
    <row r="182" spans="1:5">
      <c r="A182" s="637">
        <v>3520</v>
      </c>
      <c r="B182" s="638" t="s">
        <v>1248</v>
      </c>
      <c r="C182" s="638" t="s">
        <v>876</v>
      </c>
      <c r="D182" s="457">
        <f>IF(ISERROR(VLOOKUP(A182,'TB Hard Code'!B:D,3,FALSE)),0,VLOOKUP(A182,'TB Hard Code'!B:D,3,FALSE))</f>
        <v>0</v>
      </c>
      <c r="E182" s="638" t="b">
        <f>+ISERROR(MATCH(A182,'Linked TB'!$A$9:$A$738,0))</f>
        <v>0</v>
      </c>
    </row>
    <row r="183" spans="1:5">
      <c r="A183" s="637">
        <v>3550</v>
      </c>
      <c r="B183" s="638" t="s">
        <v>1249</v>
      </c>
      <c r="C183" s="638" t="s">
        <v>876</v>
      </c>
      <c r="D183" s="457">
        <f>IF(ISERROR(VLOOKUP(A183,'TB Hard Code'!B:D,3,FALSE)),0,VLOOKUP(A183,'TB Hard Code'!B:D,3,FALSE))</f>
        <v>0</v>
      </c>
      <c r="E183" s="638" t="b">
        <f>+ISERROR(MATCH(A183,'Linked TB'!$A$9:$A$738,0))</f>
        <v>0</v>
      </c>
    </row>
    <row r="184" spans="1:5">
      <c r="A184" s="637">
        <v>3555</v>
      </c>
      <c r="B184" s="638" t="s">
        <v>1250</v>
      </c>
      <c r="C184" s="638" t="s">
        <v>876</v>
      </c>
      <c r="D184" s="457">
        <f>IF(ISERROR(VLOOKUP(A184,'TB Hard Code'!B:D,3,FALSE)),0,VLOOKUP(A184,'TB Hard Code'!B:D,3,FALSE))</f>
        <v>0</v>
      </c>
      <c r="E184" s="638" t="b">
        <f>+ISERROR(MATCH(A184,'Linked TB'!$A$9:$A$738,0))</f>
        <v>0</v>
      </c>
    </row>
    <row r="185" spans="1:5" s="1405" customFormat="1">
      <c r="A185" s="1404">
        <v>3895</v>
      </c>
      <c r="B185" s="1405" t="s">
        <v>2287</v>
      </c>
      <c r="C185" s="1405" t="s">
        <v>876</v>
      </c>
      <c r="D185" s="1406">
        <f>IF(ISERROR(VLOOKUP(A185,'TB Hard Code'!B:D,3,FALSE)),0,VLOOKUP(A185,'TB Hard Code'!B:D,3,FALSE))</f>
        <v>2909.97</v>
      </c>
      <c r="E185" s="1405" t="b">
        <f>+ISERROR(MATCH(A185,'Linked TB'!$A$9:$A$738,0))</f>
        <v>0</v>
      </c>
    </row>
    <row r="186" spans="1:5">
      <c r="A186" s="637">
        <v>3975</v>
      </c>
      <c r="B186" s="638" t="s">
        <v>1251</v>
      </c>
      <c r="C186" s="638" t="s">
        <v>876</v>
      </c>
      <c r="D186" s="457">
        <f>IF(ISERROR(VLOOKUP(A186,'TB Hard Code'!B:D,3,FALSE)),0,VLOOKUP(A186,'TB Hard Code'!B:D,3,FALSE))</f>
        <v>44777.58</v>
      </c>
      <c r="E186" s="638" t="b">
        <f>+ISERROR(MATCH(A186,'Linked TB'!$A$9:$A$738,0))</f>
        <v>0</v>
      </c>
    </row>
    <row r="187" spans="1:5">
      <c r="A187" s="637">
        <v>3980</v>
      </c>
      <c r="B187" s="638" t="s">
        <v>1252</v>
      </c>
      <c r="C187" s="638" t="s">
        <v>876</v>
      </c>
      <c r="D187" s="457">
        <f>IF(ISERROR(VLOOKUP(A187,'TB Hard Code'!B:D,3,FALSE)),0,VLOOKUP(A187,'TB Hard Code'!B:D,3,FALSE))</f>
        <v>2680.44</v>
      </c>
      <c r="E187" s="638" t="b">
        <f>+ISERROR(MATCH(A187,'Linked TB'!$A$9:$A$738,0))</f>
        <v>0</v>
      </c>
    </row>
    <row r="188" spans="1:5">
      <c r="A188" s="637">
        <v>4005</v>
      </c>
      <c r="B188" s="638" t="s">
        <v>1253</v>
      </c>
      <c r="C188" s="638" t="s">
        <v>876</v>
      </c>
      <c r="D188" s="457">
        <f>IF(ISERROR(VLOOKUP(A188,'TB Hard Code'!B:D,3,FALSE)),0,VLOOKUP(A188,'TB Hard Code'!B:D,3,FALSE))</f>
        <v>0</v>
      </c>
      <c r="E188" s="638" t="b">
        <f>+ISERROR(MATCH(A188,'Linked TB'!$A$9:$A$738,0))</f>
        <v>0</v>
      </c>
    </row>
    <row r="189" spans="1:5">
      <c r="A189" s="637">
        <v>4050</v>
      </c>
      <c r="B189" s="638" t="s">
        <v>1254</v>
      </c>
      <c r="C189" s="638" t="s">
        <v>876</v>
      </c>
      <c r="D189" s="457">
        <f>IF(ISERROR(VLOOKUP(A189,'TB Hard Code'!B:D,3,FALSE)),0,VLOOKUP(A189,'TB Hard Code'!B:D,3,FALSE))</f>
        <v>0</v>
      </c>
      <c r="E189" s="638" t="b">
        <f>+ISERROR(MATCH(A189,'Linked TB'!$A$9:$A$738,0))</f>
        <v>0</v>
      </c>
    </row>
    <row r="190" spans="1:5">
      <c r="A190" s="637">
        <v>4070</v>
      </c>
      <c r="B190" s="638" t="s">
        <v>1255</v>
      </c>
      <c r="C190" s="638" t="s">
        <v>876</v>
      </c>
      <c r="D190" s="457">
        <f>IF(ISERROR(VLOOKUP(A190,'TB Hard Code'!B:D,3,FALSE)),0,VLOOKUP(A190,'TB Hard Code'!B:D,3,FALSE))</f>
        <v>0</v>
      </c>
      <c r="E190" s="638" t="b">
        <f>+ISERROR(MATCH(A190,'Linked TB'!$A$9:$A$738,0))</f>
        <v>0</v>
      </c>
    </row>
    <row r="191" spans="1:5">
      <c r="A191" s="637">
        <v>4100</v>
      </c>
      <c r="B191" s="638" t="s">
        <v>1256</v>
      </c>
      <c r="C191" s="638" t="s">
        <v>876</v>
      </c>
      <c r="D191" s="457">
        <f>IF(ISERROR(VLOOKUP(A191,'TB Hard Code'!B:D,3,FALSE)),0,VLOOKUP(A191,'TB Hard Code'!B:D,3,FALSE))</f>
        <v>0</v>
      </c>
      <c r="E191" s="638" t="b">
        <f>+ISERROR(MATCH(A191,'Linked TB'!$A$9:$A$738,0))</f>
        <v>0</v>
      </c>
    </row>
    <row r="192" spans="1:5">
      <c r="A192" s="637">
        <v>4105</v>
      </c>
      <c r="B192" s="638" t="s">
        <v>1257</v>
      </c>
      <c r="C192" s="638" t="s">
        <v>876</v>
      </c>
      <c r="D192" s="457">
        <f>IF(ISERROR(VLOOKUP(A192,'TB Hard Code'!B:D,3,FALSE)),0,VLOOKUP(A192,'TB Hard Code'!B:D,3,FALSE))</f>
        <v>0</v>
      </c>
      <c r="E192" s="638" t="b">
        <f>+ISERROR(MATCH(A192,'Linked TB'!$A$9:$A$738,0))</f>
        <v>0</v>
      </c>
    </row>
    <row r="193" spans="1:5">
      <c r="A193" s="637">
        <v>4265</v>
      </c>
      <c r="B193" s="638" t="s">
        <v>1258</v>
      </c>
      <c r="C193" s="638" t="s">
        <v>876</v>
      </c>
      <c r="D193" s="457">
        <f>IF(ISERROR(VLOOKUP(A193,'TB Hard Code'!B:D,3,FALSE)),0,VLOOKUP(A193,'TB Hard Code'!B:D,3,FALSE))</f>
        <v>0</v>
      </c>
      <c r="E193" s="638" t="b">
        <f>+ISERROR(MATCH(A193,'Linked TB'!$A$9:$A$738,0))</f>
        <v>0</v>
      </c>
    </row>
    <row r="194" spans="1:5">
      <c r="A194" s="637">
        <v>4371</v>
      </c>
      <c r="B194" s="638" t="s">
        <v>1259</v>
      </c>
      <c r="C194" s="638" t="s">
        <v>876</v>
      </c>
      <c r="D194" s="457">
        <f>IF(ISERROR(VLOOKUP(A194,'TB Hard Code'!B:D,3,FALSE)),0,VLOOKUP(A194,'TB Hard Code'!B:D,3,FALSE))</f>
        <v>66.400000000000006</v>
      </c>
      <c r="E194" s="638" t="b">
        <f>+ISERROR(MATCH(A194,'Linked TB'!$A$9:$A$738,0))</f>
        <v>0</v>
      </c>
    </row>
    <row r="195" spans="1:5">
      <c r="A195" s="637">
        <v>4375</v>
      </c>
      <c r="B195" s="638" t="s">
        <v>1260</v>
      </c>
      <c r="C195" s="638" t="s">
        <v>876</v>
      </c>
      <c r="D195" s="457">
        <f>IF(ISERROR(VLOOKUP(A195,'TB Hard Code'!B:D,3,FALSE)),0,VLOOKUP(A195,'TB Hard Code'!B:D,3,FALSE))</f>
        <v>-45812.29</v>
      </c>
      <c r="E195" s="638" t="b">
        <f>+ISERROR(MATCH(A195,'Linked TB'!$A$9:$A$738,0))</f>
        <v>0</v>
      </c>
    </row>
    <row r="196" spans="1:5">
      <c r="A196" s="637">
        <v>4377</v>
      </c>
      <c r="B196" s="638" t="s">
        <v>1261</v>
      </c>
      <c r="C196" s="638" t="s">
        <v>876</v>
      </c>
      <c r="D196" s="457">
        <f>IF(ISERROR(VLOOKUP(A196,'TB Hard Code'!B:D,3,FALSE)),0,VLOOKUP(A196,'TB Hard Code'!B:D,3,FALSE))</f>
        <v>-23972.05</v>
      </c>
      <c r="E196" s="638" t="b">
        <f>+ISERROR(MATCH(A196,'Linked TB'!$A$9:$A$738,0))</f>
        <v>0</v>
      </c>
    </row>
    <row r="197" spans="1:5">
      <c r="A197" s="637">
        <v>4383</v>
      </c>
      <c r="B197" s="638" t="s">
        <v>1262</v>
      </c>
      <c r="C197" s="638" t="s">
        <v>876</v>
      </c>
      <c r="D197" s="457">
        <f>IF(ISERROR(VLOOKUP(A197,'TB Hard Code'!B:D,3,FALSE)),0,VLOOKUP(A197,'TB Hard Code'!B:D,3,FALSE))</f>
        <v>-41173</v>
      </c>
      <c r="E197" s="638" t="b">
        <f>+ISERROR(MATCH(A197,'Linked TB'!$A$9:$A$738,0))</f>
        <v>0</v>
      </c>
    </row>
    <row r="198" spans="1:5">
      <c r="A198" s="637">
        <v>4385</v>
      </c>
      <c r="B198" s="638" t="s">
        <v>1263</v>
      </c>
      <c r="C198" s="638" t="s">
        <v>876</v>
      </c>
      <c r="D198" s="457">
        <f>IF(ISERROR(VLOOKUP(A198,'TB Hard Code'!B:D,3,FALSE)),0,VLOOKUP(A198,'TB Hard Code'!B:D,3,FALSE))</f>
        <v>10476</v>
      </c>
      <c r="E198" s="638" t="b">
        <f>+ISERROR(MATCH(A198,'Linked TB'!$A$9:$A$738,0))</f>
        <v>0</v>
      </c>
    </row>
    <row r="199" spans="1:5">
      <c r="A199" s="637">
        <v>4387</v>
      </c>
      <c r="B199" s="638" t="s">
        <v>1264</v>
      </c>
      <c r="C199" s="638" t="s">
        <v>876</v>
      </c>
      <c r="D199" s="457">
        <f>IF(ISERROR(VLOOKUP(A199,'TB Hard Code'!B:D,3,FALSE)),0,VLOOKUP(A199,'TB Hard Code'!B:D,3,FALSE))</f>
        <v>-714575.55</v>
      </c>
      <c r="E199" s="638" t="b">
        <f>+ISERROR(MATCH(A199,'Linked TB'!$A$9:$A$738,0))</f>
        <v>0</v>
      </c>
    </row>
    <row r="200" spans="1:5" s="1405" customFormat="1">
      <c r="A200" s="1404">
        <v>4389</v>
      </c>
      <c r="B200" s="1405" t="s">
        <v>2288</v>
      </c>
      <c r="C200" s="1405" t="s">
        <v>876</v>
      </c>
      <c r="D200" s="1406">
        <f>IF(ISERROR(VLOOKUP(A200,'TB Hard Code'!B:D,3,FALSE)),0,VLOOKUP(A200,'TB Hard Code'!B:D,3,FALSE))</f>
        <v>57069.03</v>
      </c>
      <c r="E200" s="1405" t="b">
        <f>+ISERROR(MATCH(A200,'Linked TB'!$A$9:$A$738,0))</f>
        <v>0</v>
      </c>
    </row>
    <row r="201" spans="1:5" s="1405" customFormat="1">
      <c r="A201" s="1404">
        <v>4417</v>
      </c>
      <c r="B201" s="1405" t="s">
        <v>2289</v>
      </c>
      <c r="C201" s="1405" t="s">
        <v>876</v>
      </c>
      <c r="D201" s="1406">
        <f>IF(ISERROR(VLOOKUP(A201,'TB Hard Code'!B:D,3,FALSE)),0,VLOOKUP(A201,'TB Hard Code'!B:D,3,FALSE))</f>
        <v>-15.62</v>
      </c>
      <c r="E201" s="1405" t="b">
        <f>+ISERROR(MATCH(A201,'Linked TB'!$A$9:$A$738,0))</f>
        <v>0</v>
      </c>
    </row>
    <row r="202" spans="1:5">
      <c r="A202" s="637">
        <v>4421</v>
      </c>
      <c r="B202" s="638" t="s">
        <v>1265</v>
      </c>
      <c r="C202" s="638" t="s">
        <v>876</v>
      </c>
      <c r="D202" s="457">
        <f>IF(ISERROR(VLOOKUP(A202,'TB Hard Code'!B:D,3,FALSE)),0,VLOOKUP(A202,'TB Hard Code'!B:D,3,FALSE))</f>
        <v>13.6</v>
      </c>
      <c r="E202" s="638" t="b">
        <f>+ISERROR(MATCH(A202,'Linked TB'!$A$9:$A$738,0))</f>
        <v>0</v>
      </c>
    </row>
    <row r="203" spans="1:5">
      <c r="A203" s="637">
        <v>4425</v>
      </c>
      <c r="B203" s="638" t="s">
        <v>1266</v>
      </c>
      <c r="C203" s="638" t="s">
        <v>876</v>
      </c>
      <c r="D203" s="457">
        <f>IF(ISERROR(VLOOKUP(A203,'TB Hard Code'!B:D,3,FALSE)),0,VLOOKUP(A203,'TB Hard Code'!B:D,3,FALSE))</f>
        <v>-10534.27</v>
      </c>
      <c r="E203" s="638" t="b">
        <f>+ISERROR(MATCH(A203,'Linked TB'!$A$9:$A$738,0))</f>
        <v>0</v>
      </c>
    </row>
    <row r="204" spans="1:5">
      <c r="A204" s="637">
        <v>4427</v>
      </c>
      <c r="B204" s="638" t="s">
        <v>1267</v>
      </c>
      <c r="C204" s="638" t="s">
        <v>876</v>
      </c>
      <c r="D204" s="457">
        <f>IF(ISERROR(VLOOKUP(A204,'TB Hard Code'!B:D,3,FALSE)),0,VLOOKUP(A204,'TB Hard Code'!B:D,3,FALSE))</f>
        <v>-4552.38</v>
      </c>
      <c r="E204" s="638" t="b">
        <f>+ISERROR(MATCH(A204,'Linked TB'!$A$9:$A$738,0))</f>
        <v>0</v>
      </c>
    </row>
    <row r="205" spans="1:5">
      <c r="A205" s="637">
        <v>4433</v>
      </c>
      <c r="B205" s="638" t="s">
        <v>1268</v>
      </c>
      <c r="C205" s="638" t="s">
        <v>876</v>
      </c>
      <c r="D205" s="457">
        <f>IF(ISERROR(VLOOKUP(A205,'TB Hard Code'!B:D,3,FALSE)),0,VLOOKUP(A205,'TB Hard Code'!B:D,3,FALSE))</f>
        <v>-4551</v>
      </c>
      <c r="E205" s="638" t="b">
        <f>+ISERROR(MATCH(A205,'Linked TB'!$A$9:$A$738,0))</f>
        <v>0</v>
      </c>
    </row>
    <row r="206" spans="1:5">
      <c r="A206" s="637">
        <v>4435</v>
      </c>
      <c r="B206" s="638" t="s">
        <v>1269</v>
      </c>
      <c r="C206" s="638" t="s">
        <v>876</v>
      </c>
      <c r="D206" s="457">
        <f>IF(ISERROR(VLOOKUP(A206,'TB Hard Code'!B:D,3,FALSE)),0,VLOOKUP(A206,'TB Hard Code'!B:D,3,FALSE))</f>
        <v>2350</v>
      </c>
      <c r="E206" s="638" t="b">
        <f>+ISERROR(MATCH(A206,'Linked TB'!$A$9:$A$738,0))</f>
        <v>0</v>
      </c>
    </row>
    <row r="207" spans="1:5">
      <c r="A207" s="637">
        <v>4437</v>
      </c>
      <c r="B207" s="638" t="s">
        <v>1270</v>
      </c>
      <c r="C207" s="638" t="s">
        <v>876</v>
      </c>
      <c r="D207" s="457">
        <f>IF(ISERROR(VLOOKUP(A207,'TB Hard Code'!B:D,3,FALSE)),0,VLOOKUP(A207,'TB Hard Code'!B:D,3,FALSE))</f>
        <v>-67689.13</v>
      </c>
      <c r="E207" s="638" t="b">
        <f>+ISERROR(MATCH(A207,'Linked TB'!$A$9:$A$738,0))</f>
        <v>0</v>
      </c>
    </row>
    <row r="208" spans="1:5" s="1405" customFormat="1">
      <c r="A208" s="1404">
        <v>4439</v>
      </c>
      <c r="B208" s="1405" t="s">
        <v>2290</v>
      </c>
      <c r="C208" s="1405" t="s">
        <v>876</v>
      </c>
      <c r="D208" s="1406">
        <f>IF(ISERROR(VLOOKUP(A208,'TB Hard Code'!B:D,3,FALSE)),0,VLOOKUP(A208,'TB Hard Code'!B:D,3,FALSE))</f>
        <v>6728</v>
      </c>
      <c r="E208" s="1405" t="b">
        <f>+ISERROR(MATCH(A208,'Linked TB'!$A$9:$A$738,0))</f>
        <v>0</v>
      </c>
    </row>
    <row r="209" spans="1:5">
      <c r="A209" s="637">
        <v>4515</v>
      </c>
      <c r="B209" s="638" t="s">
        <v>1271</v>
      </c>
      <c r="C209" s="638" t="s">
        <v>876</v>
      </c>
      <c r="D209" s="457">
        <f>IF(ISERROR(VLOOKUP(A209,'TB Hard Code'!B:D,3,FALSE)),0,VLOOKUP(A209,'TB Hard Code'!B:D,3,FALSE))</f>
        <v>-57031.519999999997</v>
      </c>
      <c r="E209" s="638" t="b">
        <f>+ISERROR(MATCH(A209,'Linked TB'!$A$9:$A$738,0))</f>
        <v>0</v>
      </c>
    </row>
    <row r="210" spans="1:5">
      <c r="A210" s="637">
        <v>4520</v>
      </c>
      <c r="B210" s="638" t="s">
        <v>1272</v>
      </c>
      <c r="C210" s="638" t="s">
        <v>876</v>
      </c>
      <c r="D210" s="457">
        <f>IF(ISERROR(VLOOKUP(A210,'TB Hard Code'!B:D,3,FALSE)),0,VLOOKUP(A210,'TB Hard Code'!B:D,3,FALSE))</f>
        <v>0</v>
      </c>
      <c r="E210" s="638" t="b">
        <f>+ISERROR(MATCH(A210,'Linked TB'!$A$9:$A$738,0))</f>
        <v>0</v>
      </c>
    </row>
    <row r="211" spans="1:5">
      <c r="A211" s="637">
        <v>4525</v>
      </c>
      <c r="B211" s="638" t="s">
        <v>1273</v>
      </c>
      <c r="C211" s="638" t="s">
        <v>876</v>
      </c>
      <c r="D211" s="457">
        <f>IF(ISERROR(VLOOKUP(A211,'TB Hard Code'!B:D,3,FALSE)),0,VLOOKUP(A211,'TB Hard Code'!B:D,3,FALSE))</f>
        <v>-285978.87</v>
      </c>
      <c r="E211" s="638" t="b">
        <f>+ISERROR(MATCH(A211,'Linked TB'!$A$9:$A$738,0))</f>
        <v>0</v>
      </c>
    </row>
    <row r="212" spans="1:5">
      <c r="A212" s="637">
        <v>4527</v>
      </c>
      <c r="B212" s="638" t="s">
        <v>1274</v>
      </c>
      <c r="C212" s="638" t="s">
        <v>876</v>
      </c>
      <c r="D212" s="457">
        <f>IF(ISERROR(VLOOKUP(A212,'TB Hard Code'!B:D,3,FALSE)),0,VLOOKUP(A212,'TB Hard Code'!B:D,3,FALSE))</f>
        <v>-6511.75</v>
      </c>
      <c r="E212" s="638" t="b">
        <f>+ISERROR(MATCH(A212,'Linked TB'!$A$9:$A$738,0))</f>
        <v>0</v>
      </c>
    </row>
    <row r="213" spans="1:5">
      <c r="A213" s="637">
        <v>4535</v>
      </c>
      <c r="B213" s="638" t="s">
        <v>1275</v>
      </c>
      <c r="C213" s="638" t="s">
        <v>876</v>
      </c>
      <c r="D213" s="457">
        <f>IF(ISERROR(VLOOKUP(A213,'TB Hard Code'!B:D,3,FALSE)),0,VLOOKUP(A213,'TB Hard Code'!B:D,3,FALSE))</f>
        <v>-1667632.54</v>
      </c>
      <c r="E213" s="638" t="b">
        <f>+ISERROR(MATCH(A213,'Linked TB'!$A$9:$A$738,0))</f>
        <v>0</v>
      </c>
    </row>
    <row r="214" spans="1:5">
      <c r="A214" s="637">
        <v>4545</v>
      </c>
      <c r="B214" s="638" t="s">
        <v>1276</v>
      </c>
      <c r="C214" s="638" t="s">
        <v>876</v>
      </c>
      <c r="D214" s="457">
        <f>IF(ISERROR(VLOOKUP(A214,'TB Hard Code'!B:D,3,FALSE)),0,VLOOKUP(A214,'TB Hard Code'!B:D,3,FALSE))</f>
        <v>-4544.87</v>
      </c>
      <c r="E214" s="638" t="b">
        <f>+ISERROR(MATCH(A214,'Linked TB'!$A$9:$A$738,0))</f>
        <v>0</v>
      </c>
    </row>
    <row r="215" spans="1:5">
      <c r="A215" s="637">
        <v>4555</v>
      </c>
      <c r="B215" s="638" t="s">
        <v>1277</v>
      </c>
      <c r="C215" s="638" t="s">
        <v>876</v>
      </c>
      <c r="D215" s="457">
        <f>IF(ISERROR(VLOOKUP(A215,'TB Hard Code'!B:D,3,FALSE)),0,VLOOKUP(A215,'TB Hard Code'!B:D,3,FALSE))</f>
        <v>0</v>
      </c>
      <c r="E215" s="638" t="b">
        <f>+ISERROR(MATCH(A215,'Linked TB'!$A$9:$A$738,0))</f>
        <v>0</v>
      </c>
    </row>
    <row r="216" spans="1:5">
      <c r="A216" s="637">
        <v>4565</v>
      </c>
      <c r="B216" s="638" t="s">
        <v>1278</v>
      </c>
      <c r="C216" s="638" t="s">
        <v>876</v>
      </c>
      <c r="D216" s="457">
        <f>IF(ISERROR(VLOOKUP(A216,'TB Hard Code'!B:D,3,FALSE)),0,VLOOKUP(A216,'TB Hard Code'!B:D,3,FALSE))</f>
        <v>457635.31</v>
      </c>
      <c r="E216" s="638" t="b">
        <f>+ISERROR(MATCH(A216,'Linked TB'!$A$9:$A$738,0))</f>
        <v>0</v>
      </c>
    </row>
    <row r="217" spans="1:5">
      <c r="A217" s="637">
        <v>4595</v>
      </c>
      <c r="B217" s="638" t="s">
        <v>1279</v>
      </c>
      <c r="C217" s="638" t="s">
        <v>876</v>
      </c>
      <c r="D217" s="457">
        <f>IF(ISERROR(VLOOKUP(A217,'TB Hard Code'!B:D,3,FALSE)),0,VLOOKUP(A217,'TB Hard Code'!B:D,3,FALSE))</f>
        <v>-35468.68</v>
      </c>
      <c r="E217" s="638" t="b">
        <f>+ISERROR(MATCH(A217,'Linked TB'!$A$9:$A$738,0))</f>
        <v>0</v>
      </c>
    </row>
    <row r="218" spans="1:5">
      <c r="A218" s="637">
        <v>4612</v>
      </c>
      <c r="B218" s="638" t="s">
        <v>1280</v>
      </c>
      <c r="C218" s="638" t="s">
        <v>876</v>
      </c>
      <c r="D218" s="457">
        <f>IF(ISERROR(VLOOKUP(A218,'TB Hard Code'!B:D,3,FALSE)),0,VLOOKUP(A218,'TB Hard Code'!B:D,3,FALSE))</f>
        <v>-27377.13</v>
      </c>
      <c r="E218" s="638" t="b">
        <f>+ISERROR(MATCH(A218,'Linked TB'!$A$9:$A$738,0))</f>
        <v>0</v>
      </c>
    </row>
    <row r="219" spans="1:5">
      <c r="A219" s="637">
        <v>4614</v>
      </c>
      <c r="B219" s="638" t="s">
        <v>1281</v>
      </c>
      <c r="C219" s="638" t="s">
        <v>876</v>
      </c>
      <c r="D219" s="457">
        <f>IF(ISERROR(VLOOKUP(A219,'TB Hard Code'!B:D,3,FALSE)),0,VLOOKUP(A219,'TB Hard Code'!B:D,3,FALSE))</f>
        <v>0</v>
      </c>
      <c r="E219" s="638" t="b">
        <f>+ISERROR(MATCH(A219,'Linked TB'!$A$9:$A$738,0))</f>
        <v>0</v>
      </c>
    </row>
    <row r="220" spans="1:5">
      <c r="A220" s="637">
        <v>4618</v>
      </c>
      <c r="B220" s="638" t="s">
        <v>1511</v>
      </c>
      <c r="C220" s="638" t="s">
        <v>876</v>
      </c>
      <c r="D220" s="457">
        <f>IF(ISERROR(VLOOKUP(A220,'TB Hard Code'!B:D,3,FALSE)),0,VLOOKUP(A220,'TB Hard Code'!B:D,3,FALSE))</f>
        <v>-881.24</v>
      </c>
      <c r="E220" s="638" t="b">
        <f>+ISERROR(MATCH(A220,'Linked TB'!$A$9:$A$738,0))</f>
        <v>0</v>
      </c>
    </row>
    <row r="221" spans="1:5">
      <c r="A221" s="637">
        <v>4628</v>
      </c>
      <c r="B221" s="638" t="s">
        <v>1282</v>
      </c>
      <c r="C221" s="638" t="s">
        <v>876</v>
      </c>
      <c r="D221" s="457">
        <f>IF(ISERROR(VLOOKUP(A221,'TB Hard Code'!B:D,3,FALSE)),0,VLOOKUP(A221,'TB Hard Code'!B:D,3,FALSE))</f>
        <v>-1971.61</v>
      </c>
      <c r="E221" s="638" t="b">
        <f>+ISERROR(MATCH(A221,'Linked TB'!$A$9:$A$738,0))</f>
        <v>0</v>
      </c>
    </row>
    <row r="222" spans="1:5">
      <c r="A222" s="637">
        <v>4630</v>
      </c>
      <c r="B222" s="638" t="s">
        <v>1512</v>
      </c>
      <c r="C222" s="638" t="s">
        <v>876</v>
      </c>
      <c r="D222" s="457">
        <f>IF(ISERROR(VLOOKUP(A222,'TB Hard Code'!B:D,3,FALSE)),0,VLOOKUP(A222,'TB Hard Code'!B:D,3,FALSE))</f>
        <v>-4835.25</v>
      </c>
      <c r="E222" s="638" t="b">
        <f>+ISERROR(MATCH(A222,'Linked TB'!$A$9:$A$738,0))</f>
        <v>0</v>
      </c>
    </row>
    <row r="223" spans="1:5">
      <c r="A223" s="637">
        <v>4634</v>
      </c>
      <c r="B223" s="638" t="s">
        <v>1283</v>
      </c>
      <c r="C223" s="638" t="s">
        <v>876</v>
      </c>
      <c r="D223" s="457">
        <f>IF(ISERROR(VLOOKUP(A223,'TB Hard Code'!B:D,3,FALSE)),0,VLOOKUP(A223,'TB Hard Code'!B:D,3,FALSE))</f>
        <v>-10520.61</v>
      </c>
      <c r="E223" s="638" t="b">
        <f>+ISERROR(MATCH(A223,'Linked TB'!$A$9:$A$738,0))</f>
        <v>0</v>
      </c>
    </row>
    <row r="224" spans="1:5">
      <c r="A224" s="637">
        <v>4635</v>
      </c>
      <c r="B224" s="638" t="s">
        <v>1284</v>
      </c>
      <c r="C224" s="638" t="s">
        <v>876</v>
      </c>
      <c r="D224" s="457">
        <f>IF(ISERROR(VLOOKUP(A224,'TB Hard Code'!B:D,3,FALSE)),0,VLOOKUP(A224,'TB Hard Code'!B:D,3,FALSE))</f>
        <v>-54.17</v>
      </c>
      <c r="E224" s="638" t="b">
        <f>+ISERROR(MATCH(A224,'Linked TB'!$A$9:$A$738,0))</f>
        <v>0</v>
      </c>
    </row>
    <row r="225" spans="1:6">
      <c r="A225" s="637">
        <v>4636</v>
      </c>
      <c r="B225" s="638" t="s">
        <v>1285</v>
      </c>
      <c r="C225" s="638" t="s">
        <v>876</v>
      </c>
      <c r="D225" s="457">
        <f>IF(ISERROR(VLOOKUP(A225,'TB Hard Code'!B:D,3,FALSE)),0,VLOOKUP(A225,'TB Hard Code'!B:D,3,FALSE))</f>
        <v>-4694.75</v>
      </c>
      <c r="E225" s="638" t="b">
        <f>+ISERROR(MATCH(A225,'Linked TB'!$A$9:$A$738,0))</f>
        <v>0</v>
      </c>
    </row>
    <row r="226" spans="1:6">
      <c r="A226" s="637">
        <v>4637</v>
      </c>
      <c r="B226" s="638" t="s">
        <v>1286</v>
      </c>
      <c r="C226" s="638" t="s">
        <v>876</v>
      </c>
      <c r="D226" s="457">
        <f>IF(ISERROR(VLOOKUP(A226,'TB Hard Code'!B:D,3,FALSE)),0,VLOOKUP(A226,'TB Hard Code'!B:D,3,FALSE))</f>
        <v>1296.49</v>
      </c>
      <c r="E226" s="638" t="b">
        <f>+ISERROR(MATCH(A226,'Linked TB'!$A$9:$A$738,0))</f>
        <v>0</v>
      </c>
    </row>
    <row r="227" spans="1:6">
      <c r="A227" s="637">
        <v>4638</v>
      </c>
      <c r="B227" s="638" t="s">
        <v>1287</v>
      </c>
      <c r="C227" s="638" t="s">
        <v>876</v>
      </c>
      <c r="D227" s="457">
        <f>IF(ISERROR(VLOOKUP(A227,'TB Hard Code'!B:D,3,FALSE)),0,VLOOKUP(A227,'TB Hard Code'!B:D,3,FALSE))</f>
        <v>-16886.2</v>
      </c>
      <c r="E227" s="638" t="b">
        <f>+ISERROR(MATCH(A227,'Linked TB'!$A$9:$A$738,0))</f>
        <v>0</v>
      </c>
    </row>
    <row r="228" spans="1:6">
      <c r="A228" s="637">
        <v>4639</v>
      </c>
      <c r="B228" s="638" t="s">
        <v>1288</v>
      </c>
      <c r="C228" s="638" t="s">
        <v>876</v>
      </c>
      <c r="D228" s="457">
        <f>IF(ISERROR(VLOOKUP(A228,'TB Hard Code'!B:D,3,FALSE)),0,VLOOKUP(A228,'TB Hard Code'!B:D,3,FALSE))</f>
        <v>-261.29000000000002</v>
      </c>
      <c r="E228" s="638" t="b">
        <f>+ISERROR(MATCH(A228,'Linked TB'!$A$9:$A$738,0))</f>
        <v>0</v>
      </c>
    </row>
    <row r="229" spans="1:6">
      <c r="A229" s="637">
        <v>4659</v>
      </c>
      <c r="B229" s="638" t="s">
        <v>1513</v>
      </c>
      <c r="C229" s="638" t="s">
        <v>876</v>
      </c>
      <c r="D229" s="457">
        <f>IF(ISERROR(VLOOKUP(A229,'TB Hard Code'!B:D,3,FALSE)),0,VLOOKUP(A229,'TB Hard Code'!B:D,3,FALSE))</f>
        <v>78303</v>
      </c>
      <c r="E229" s="638" t="b">
        <f>+ISERROR(MATCH(A229,'Linked TB'!$A$9:$A$738,0))</f>
        <v>0</v>
      </c>
    </row>
    <row r="230" spans="1:6">
      <c r="A230" s="637">
        <v>4661</v>
      </c>
      <c r="B230" s="638" t="s">
        <v>1099</v>
      </c>
      <c r="C230" s="638" t="s">
        <v>876</v>
      </c>
      <c r="D230" s="457">
        <f>IF(ISERROR(VLOOKUP(A230,'TB Hard Code'!B:D,3,FALSE)),0,VLOOKUP(A230,'TB Hard Code'!B:D,3,FALSE))</f>
        <v>13521.94</v>
      </c>
      <c r="E230" s="638" t="b">
        <f>+ISERROR(MATCH(A230,'Linked TB'!$A$9:$A$738,0))</f>
        <v>0</v>
      </c>
    </row>
    <row r="231" spans="1:6">
      <c r="A231" s="637">
        <v>4685</v>
      </c>
      <c r="B231" s="638" t="s">
        <v>1289</v>
      </c>
      <c r="C231" s="638" t="s">
        <v>876</v>
      </c>
      <c r="D231" s="457">
        <f>IF(ISERROR(VLOOKUP(A231,'TB Hard Code'!B:D,3,FALSE)),0,VLOOKUP(A231,'TB Hard Code'!B:D,3,FALSE))</f>
        <v>-901.23</v>
      </c>
      <c r="E231" s="638" t="b">
        <f>+ISERROR(MATCH(A231,'Linked TB'!$A$9:$A$738,0))</f>
        <v>0</v>
      </c>
    </row>
    <row r="232" spans="1:6">
      <c r="A232" s="637">
        <v>4760</v>
      </c>
      <c r="B232" s="638" t="s">
        <v>1290</v>
      </c>
      <c r="C232" s="638" t="s">
        <v>876</v>
      </c>
      <c r="D232" s="457">
        <f>IF(ISERROR(VLOOKUP(A232,'TB Hard Code'!B:D,3,FALSE)),0,VLOOKUP(A232,'TB Hard Code'!B:D,3,FALSE))</f>
        <v>-1000</v>
      </c>
      <c r="E232" s="638" t="b">
        <f>+ISERROR(MATCH(A232,'Linked TB'!$A$9:$A$738,0))</f>
        <v>0</v>
      </c>
    </row>
    <row r="233" spans="1:6">
      <c r="A233" s="637">
        <v>4780</v>
      </c>
      <c r="B233" s="638" t="s">
        <v>1291</v>
      </c>
      <c r="C233" s="638" t="s">
        <v>876</v>
      </c>
      <c r="D233" s="457">
        <f>IF(ISERROR(VLOOKUP(A233,'TB Hard Code'!B:D,3,FALSE)),0,VLOOKUP(A233,'TB Hard Code'!B:D,3,FALSE))</f>
        <v>-2834076</v>
      </c>
      <c r="E233" s="638" t="b">
        <f>+ISERROR(MATCH(A233,'Linked TB'!$A$9:$A$738,0))</f>
        <v>0</v>
      </c>
    </row>
    <row r="234" spans="1:6">
      <c r="A234" s="637">
        <v>4785</v>
      </c>
      <c r="B234" s="638" t="s">
        <v>1292</v>
      </c>
      <c r="C234" s="638" t="s">
        <v>876</v>
      </c>
      <c r="D234" s="457">
        <f>IF(ISERROR(VLOOKUP(A234,'TB Hard Code'!B:D,3,FALSE)),0,VLOOKUP(A234,'TB Hard Code'!B:D,3,FALSE))</f>
        <v>-2233362.2599999998</v>
      </c>
      <c r="E234" s="638" t="b">
        <f>+ISERROR(MATCH(A234,'Linked TB'!$A$9:$A$738,0))</f>
        <v>0</v>
      </c>
    </row>
    <row r="235" spans="1:6">
      <c r="A235" s="637">
        <v>4998</v>
      </c>
      <c r="B235" s="638" t="s">
        <v>1293</v>
      </c>
      <c r="C235" s="638" t="s">
        <v>876</v>
      </c>
      <c r="D235" s="457">
        <f>IF(ISERROR(VLOOKUP(A235,'TB Hard Code'!B:D,3,FALSE)),0,VLOOKUP(A235,'TB Hard Code'!B:D,3,FALSE))</f>
        <v>206373.68</v>
      </c>
      <c r="E235" s="638" t="b">
        <f>+ISERROR(MATCH(A235,'Linked TB'!$A$9:$A$738,0))</f>
        <v>0</v>
      </c>
      <c r="F235" s="1053"/>
    </row>
    <row r="236" spans="1:6" s="1405" customFormat="1">
      <c r="A236" s="1404">
        <v>4999</v>
      </c>
      <c r="B236" s="1405" t="s">
        <v>2291</v>
      </c>
      <c r="C236" s="1405" t="s">
        <v>876</v>
      </c>
      <c r="D236" s="1406">
        <f>IF(ISERROR(VLOOKUP(A236,'TB Hard Code'!B:D,3,FALSE)),0,VLOOKUP(A236,'TB Hard Code'!B:D,3,FALSE))</f>
        <v>142616.04000000141</v>
      </c>
      <c r="E236" s="1405" t="b">
        <f>+ISERROR(MATCH(A236,'Linked TB'!$A$9:$A$738,0))</f>
        <v>0</v>
      </c>
      <c r="F236" s="1407"/>
    </row>
    <row r="237" spans="1:6">
      <c r="A237" s="637">
        <v>5025</v>
      </c>
      <c r="B237" s="638" t="s">
        <v>1294</v>
      </c>
      <c r="C237" s="638" t="s">
        <v>952</v>
      </c>
      <c r="D237" s="457">
        <f>IF(ISERROR(VLOOKUP(A237,'TB Hard Code'!B:D,3,FALSE)),0,VLOOKUP(A237,'TB Hard Code'!B:D,3,FALSE))</f>
        <v>-1384496.290000001</v>
      </c>
      <c r="E237" s="638" t="b">
        <f>+ISERROR(MATCH(A237,'Linked TB'!$A$9:$A$738,0))</f>
        <v>0</v>
      </c>
      <c r="F237" s="1054"/>
    </row>
    <row r="238" spans="1:6">
      <c r="A238" s="637">
        <v>5030</v>
      </c>
      <c r="B238" s="638" t="s">
        <v>1295</v>
      </c>
      <c r="C238" s="638" t="s">
        <v>952</v>
      </c>
      <c r="D238" s="457">
        <f>IF(ISERROR(VLOOKUP(A238,'TB Hard Code'!B:D,3,FALSE)),0,VLOOKUP(A238,'TB Hard Code'!B:D,3,FALSE))</f>
        <v>4653</v>
      </c>
      <c r="E238" s="638" t="b">
        <f>+ISERROR(MATCH(A238,'Linked TB'!$A$9:$A$738,0))</f>
        <v>0</v>
      </c>
    </row>
    <row r="239" spans="1:6">
      <c r="A239" s="637">
        <v>5035</v>
      </c>
      <c r="B239" s="638" t="s">
        <v>1296</v>
      </c>
      <c r="C239" s="638" t="s">
        <v>952</v>
      </c>
      <c r="D239" s="457">
        <f>IF(ISERROR(VLOOKUP(A239,'TB Hard Code'!B:D,3,FALSE)),0,VLOOKUP(A239,'TB Hard Code'!B:D,3,FALSE))</f>
        <v>-399746.66999999993</v>
      </c>
      <c r="E239" s="638" t="b">
        <f>+ISERROR(MATCH(A239,'Linked TB'!$A$9:$A$738,0))</f>
        <v>0</v>
      </c>
    </row>
    <row r="240" spans="1:6">
      <c r="A240" s="637">
        <v>5040</v>
      </c>
      <c r="B240" s="638" t="s">
        <v>1297</v>
      </c>
      <c r="C240" s="638" t="s">
        <v>952</v>
      </c>
      <c r="D240" s="457">
        <f>IF(ISERROR(VLOOKUP(A240,'TB Hard Code'!B:D,3,FALSE)),0,VLOOKUP(A240,'TB Hard Code'!B:D,3,FALSE))</f>
        <v>-156255.01999999996</v>
      </c>
      <c r="E240" s="638" t="b">
        <f>+ISERROR(MATCH(A240,'Linked TB'!$A$9:$A$738,0))</f>
        <v>0</v>
      </c>
    </row>
    <row r="241" spans="1:5">
      <c r="A241" s="637">
        <v>5045</v>
      </c>
      <c r="B241" s="638" t="s">
        <v>1298</v>
      </c>
      <c r="C241" s="638" t="s">
        <v>952</v>
      </c>
      <c r="D241" s="457">
        <f>IF(ISERROR(VLOOKUP(A241,'TB Hard Code'!B:D,3,FALSE)),0,VLOOKUP(A241,'TB Hard Code'!B:D,3,FALSE))</f>
        <v>-125305.62999999998</v>
      </c>
      <c r="E241" s="638" t="b">
        <f>+ISERROR(MATCH(A241,'Linked TB'!$A$9:$A$738,0))</f>
        <v>0</v>
      </c>
    </row>
    <row r="242" spans="1:5">
      <c r="A242" s="637">
        <v>5050</v>
      </c>
      <c r="B242" s="638" t="s">
        <v>1299</v>
      </c>
      <c r="C242" s="638" t="s">
        <v>952</v>
      </c>
      <c r="D242" s="457">
        <f>IF(ISERROR(VLOOKUP(A242,'TB Hard Code'!B:D,3,FALSE)),0,VLOOKUP(A242,'TB Hard Code'!B:D,3,FALSE))</f>
        <v>-11539.069999999998</v>
      </c>
      <c r="E242" s="638" t="b">
        <f>+ISERROR(MATCH(A242,'Linked TB'!$A$9:$A$738,0))</f>
        <v>0</v>
      </c>
    </row>
    <row r="243" spans="1:5" s="1405" customFormat="1">
      <c r="A243" s="1404">
        <v>5052</v>
      </c>
      <c r="B243" s="1405" t="s">
        <v>2292</v>
      </c>
      <c r="C243" s="1405" t="s">
        <v>952</v>
      </c>
      <c r="D243" s="1406">
        <f>IF(ISERROR(VLOOKUP(A243,'TB Hard Code'!B:D,3,FALSE)),0,VLOOKUP(A243,'TB Hard Code'!B:D,3,FALSE))</f>
        <v>17.5</v>
      </c>
      <c r="E243" s="1405" t="b">
        <f>+ISERROR(MATCH(A243,'Linked TB'!$A$9:$A$738,0))</f>
        <v>0</v>
      </c>
    </row>
    <row r="244" spans="1:5">
      <c r="A244" s="637">
        <v>5060</v>
      </c>
      <c r="B244" s="638" t="s">
        <v>1300</v>
      </c>
      <c r="C244" s="638" t="s">
        <v>952</v>
      </c>
      <c r="D244" s="457">
        <f>IF(ISERROR(VLOOKUP(A244,'TB Hard Code'!B:D,3,FALSE)),0,VLOOKUP(A244,'TB Hard Code'!B:D,3,FALSE))</f>
        <v>-35092.80999999999</v>
      </c>
      <c r="E244" s="638" t="b">
        <f>+ISERROR(MATCH(A244,'Linked TB'!$A$9:$A$738,0))</f>
        <v>0</v>
      </c>
    </row>
    <row r="245" spans="1:5">
      <c r="A245" s="637">
        <v>5100</v>
      </c>
      <c r="B245" s="638" t="s">
        <v>1301</v>
      </c>
      <c r="C245" s="638" t="s">
        <v>952</v>
      </c>
      <c r="D245" s="457">
        <f>IF(ISERROR(VLOOKUP(A245,'TB Hard Code'!B:D,3,FALSE)),0,VLOOKUP(A245,'TB Hard Code'!B:D,3,FALSE))</f>
        <v>0</v>
      </c>
      <c r="E245" s="638" t="b">
        <f>+ISERROR(MATCH(A245,'Linked TB'!$A$9:$A$738,0))</f>
        <v>0</v>
      </c>
    </row>
    <row r="246" spans="1:5">
      <c r="A246" s="637">
        <v>5105</v>
      </c>
      <c r="B246" s="638" t="s">
        <v>1302</v>
      </c>
      <c r="C246" s="638" t="s">
        <v>952</v>
      </c>
      <c r="D246" s="457">
        <f>IF(ISERROR(VLOOKUP(A246,'TB Hard Code'!B:D,3,FALSE)),0,VLOOKUP(A246,'TB Hard Code'!B:D,3,FALSE))</f>
        <v>0</v>
      </c>
      <c r="E246" s="638" t="b">
        <f>+ISERROR(MATCH(A246,'Linked TB'!$A$9:$A$738,0))</f>
        <v>0</v>
      </c>
    </row>
    <row r="247" spans="1:5" s="1405" customFormat="1">
      <c r="A247" s="1404">
        <v>5140</v>
      </c>
      <c r="B247" s="1405" t="s">
        <v>1301</v>
      </c>
      <c r="C247" s="1405" t="s">
        <v>952</v>
      </c>
      <c r="D247" s="1406">
        <f>IF(ISERROR(VLOOKUP(A247,'TB Hard Code'!B:D,3,FALSE)),0,VLOOKUP(A247,'TB Hard Code'!B:D,3,FALSE))</f>
        <v>0</v>
      </c>
      <c r="E247" s="1405" t="b">
        <f>+ISERROR(MATCH(A247,'Linked TB'!$A$9:$A$738,0))</f>
        <v>0</v>
      </c>
    </row>
    <row r="248" spans="1:5" s="1405" customFormat="1">
      <c r="A248" s="1404">
        <v>5155</v>
      </c>
      <c r="B248" s="1405" t="s">
        <v>2293</v>
      </c>
      <c r="C248" s="1405" t="s">
        <v>952</v>
      </c>
      <c r="D248" s="1406">
        <f>IF(ISERROR(VLOOKUP(A248,'TB Hard Code'!B:D,3,FALSE)),0,VLOOKUP(A248,'TB Hard Code'!B:D,3,FALSE))</f>
        <v>0</v>
      </c>
      <c r="E248" s="1405" t="b">
        <f>+ISERROR(MATCH(A248,'Linked TB'!$A$9:$A$738,0))</f>
        <v>0</v>
      </c>
    </row>
    <row r="249" spans="1:5" s="1405" customFormat="1">
      <c r="A249" s="1404">
        <v>5255</v>
      </c>
      <c r="B249" s="1405" t="s">
        <v>2294</v>
      </c>
      <c r="C249" s="1405" t="s">
        <v>952</v>
      </c>
      <c r="D249" s="1406">
        <f>IF(ISERROR(VLOOKUP(A249,'TB Hard Code'!B:D,3,FALSE)),0,VLOOKUP(A249,'TB Hard Code'!B:D,3,FALSE))</f>
        <v>0</v>
      </c>
      <c r="E249" s="1405" t="b">
        <f>+ISERROR(MATCH(A249,'Linked TB'!$A$9:$A$738,0))</f>
        <v>0</v>
      </c>
    </row>
    <row r="250" spans="1:5">
      <c r="A250" s="637">
        <v>5265</v>
      </c>
      <c r="B250" s="638" t="s">
        <v>1303</v>
      </c>
      <c r="C250" s="638" t="s">
        <v>952</v>
      </c>
      <c r="D250" s="457">
        <f>IF(ISERROR(VLOOKUP(A250,'TB Hard Code'!B:D,3,FALSE)),0,VLOOKUP(A250,'TB Hard Code'!B:D,3,FALSE))</f>
        <v>0</v>
      </c>
      <c r="E250" s="638" t="b">
        <f>+ISERROR(MATCH(A250,'Linked TB'!$A$9:$A$738,0))</f>
        <v>0</v>
      </c>
    </row>
    <row r="251" spans="1:5">
      <c r="A251" s="637">
        <v>5270</v>
      </c>
      <c r="B251" s="638" t="s">
        <v>1304</v>
      </c>
      <c r="C251" s="638" t="s">
        <v>952</v>
      </c>
      <c r="D251" s="457">
        <f>IF(ISERROR(VLOOKUP(A251,'TB Hard Code'!B:D,3,FALSE)),0,VLOOKUP(A251,'TB Hard Code'!B:D,3,FALSE))</f>
        <v>-606.32999999999993</v>
      </c>
      <c r="E251" s="638" t="b">
        <f>+ISERROR(MATCH(A251,'Linked TB'!$A$9:$A$738,0))</f>
        <v>0</v>
      </c>
    </row>
    <row r="252" spans="1:5">
      <c r="A252" s="637">
        <v>5285</v>
      </c>
      <c r="B252" s="638" t="s">
        <v>1305</v>
      </c>
      <c r="C252" s="638" t="s">
        <v>952</v>
      </c>
      <c r="D252" s="457">
        <f>IF(ISERROR(VLOOKUP(A252,'TB Hard Code'!B:D,3,FALSE)),0,VLOOKUP(A252,'TB Hard Code'!B:D,3,FALSE))</f>
        <v>-65092.25</v>
      </c>
      <c r="E252" s="638" t="b">
        <f>+ISERROR(MATCH(A252,'Linked TB'!$A$9:$A$738,0))</f>
        <v>0</v>
      </c>
    </row>
    <row r="253" spans="1:5">
      <c r="A253" s="637">
        <v>5390</v>
      </c>
      <c r="B253" s="638" t="s">
        <v>1306</v>
      </c>
      <c r="C253" s="638" t="s">
        <v>952</v>
      </c>
      <c r="D253" s="457">
        <f>IF(ISERROR(VLOOKUP(A253,'TB Hard Code'!B:D,3,FALSE)),0,VLOOKUP(A253,'TB Hard Code'!B:D,3,FALSE))</f>
        <v>-6.3965899244067259E-10</v>
      </c>
      <c r="E253" s="638" t="b">
        <f>+ISERROR(MATCH(A253,'Linked TB'!$A$9:$A$738,0))</f>
        <v>0</v>
      </c>
    </row>
    <row r="254" spans="1:5">
      <c r="A254" s="637">
        <v>5405</v>
      </c>
      <c r="B254" s="638" t="s">
        <v>1307</v>
      </c>
      <c r="C254" s="638" t="s">
        <v>952</v>
      </c>
      <c r="D254" s="457">
        <f>IF(ISERROR(VLOOKUP(A254,'TB Hard Code'!B:D,3,FALSE)),0,VLOOKUP(A254,'TB Hard Code'!B:D,3,FALSE))</f>
        <v>-154344.02000000002</v>
      </c>
      <c r="E254" s="638" t="b">
        <f>+ISERROR(MATCH(A254,'Linked TB'!$A$9:$A$738,0))</f>
        <v>0</v>
      </c>
    </row>
    <row r="255" spans="1:5">
      <c r="A255" s="637">
        <v>5435</v>
      </c>
      <c r="B255" s="638" t="s">
        <v>763</v>
      </c>
      <c r="C255" s="638" t="s">
        <v>952</v>
      </c>
      <c r="D255" s="457">
        <f>IF(ISERROR(VLOOKUP(A255,'TB Hard Code'!B:D,3,FALSE)),0,VLOOKUP(A255,'TB Hard Code'!B:D,3,FALSE))</f>
        <v>123204</v>
      </c>
      <c r="E255" s="638" t="b">
        <f>+ISERROR(MATCH(A255,'Linked TB'!$A$9:$A$738,0))</f>
        <v>0</v>
      </c>
    </row>
    <row r="256" spans="1:5">
      <c r="A256" s="637">
        <v>5460</v>
      </c>
      <c r="B256" s="638" t="s">
        <v>767</v>
      </c>
      <c r="C256" s="638" t="s">
        <v>952</v>
      </c>
      <c r="D256" s="457">
        <f>IF(ISERROR(VLOOKUP(A256,'TB Hard Code'!B:D,3,FALSE)),0,VLOOKUP(A256,'TB Hard Code'!B:D,3,FALSE))</f>
        <v>0</v>
      </c>
      <c r="E256" s="638" t="b">
        <f>+ISERROR(MATCH(A256,'Linked TB'!$A$9:$A$738,0))</f>
        <v>0</v>
      </c>
    </row>
    <row r="257" spans="1:5">
      <c r="A257" s="637">
        <v>5465</v>
      </c>
      <c r="B257" s="638" t="s">
        <v>768</v>
      </c>
      <c r="C257" s="638" t="s">
        <v>952</v>
      </c>
      <c r="D257" s="457">
        <f>IF(ISERROR(VLOOKUP(A257,'TB Hard Code'!B:D,3,FALSE)),0,VLOOKUP(A257,'TB Hard Code'!B:D,3,FALSE))</f>
        <v>79380.929999999993</v>
      </c>
      <c r="E257" s="638" t="b">
        <f>+ISERROR(MATCH(A257,'Linked TB'!$A$9:$A$738,0))</f>
        <v>0</v>
      </c>
    </row>
    <row r="258" spans="1:5">
      <c r="A258" s="637">
        <v>5470</v>
      </c>
      <c r="B258" s="638" t="s">
        <v>772</v>
      </c>
      <c r="C258" s="638" t="s">
        <v>952</v>
      </c>
      <c r="D258" s="457">
        <f>IF(ISERROR(VLOOKUP(A258,'TB Hard Code'!B:D,3,FALSE)),0,VLOOKUP(A258,'TB Hard Code'!B:D,3,FALSE))</f>
        <v>10391.820000000002</v>
      </c>
      <c r="E258" s="638" t="b">
        <f>+ISERROR(MATCH(A258,'Linked TB'!$A$9:$A$738,0))</f>
        <v>0</v>
      </c>
    </row>
    <row r="259" spans="1:5">
      <c r="A259" s="637">
        <v>5480</v>
      </c>
      <c r="B259" s="638" t="s">
        <v>777</v>
      </c>
      <c r="C259" s="638" t="s">
        <v>952</v>
      </c>
      <c r="D259" s="457">
        <f>IF(ISERROR(VLOOKUP(A259,'TB Hard Code'!B:D,3,FALSE)),0,VLOOKUP(A259,'TB Hard Code'!B:D,3,FALSE))</f>
        <v>34161.089999999997</v>
      </c>
      <c r="E259" s="638" t="b">
        <f>+ISERROR(MATCH(A259,'Linked TB'!$A$9:$A$738,0))</f>
        <v>0</v>
      </c>
    </row>
    <row r="260" spans="1:5">
      <c r="A260" s="637">
        <v>5490</v>
      </c>
      <c r="B260" s="638" t="s">
        <v>779</v>
      </c>
      <c r="C260" s="638" t="s">
        <v>952</v>
      </c>
      <c r="D260" s="457">
        <f>IF(ISERROR(VLOOKUP(A260,'TB Hard Code'!B:D,3,FALSE)),0,VLOOKUP(A260,'TB Hard Code'!B:D,3,FALSE))</f>
        <v>98503.170000000027</v>
      </c>
      <c r="E260" s="638" t="b">
        <f>+ISERROR(MATCH(A260,'Linked TB'!$A$9:$A$738,0))</f>
        <v>0</v>
      </c>
    </row>
    <row r="261" spans="1:5">
      <c r="A261" s="637">
        <v>5495</v>
      </c>
      <c r="B261" s="638" t="s">
        <v>780</v>
      </c>
      <c r="C261" s="638" t="s">
        <v>952</v>
      </c>
      <c r="D261" s="457">
        <f>IF(ISERROR(VLOOKUP(A261,'TB Hard Code'!B:D,3,FALSE)),0,VLOOKUP(A261,'TB Hard Code'!B:D,3,FALSE))</f>
        <v>0</v>
      </c>
      <c r="E261" s="638" t="b">
        <f>+ISERROR(MATCH(A261,'Linked TB'!$A$9:$A$738,0))</f>
        <v>0</v>
      </c>
    </row>
    <row r="262" spans="1:5">
      <c r="A262" s="637">
        <v>5505</v>
      </c>
      <c r="B262" s="638" t="s">
        <v>781</v>
      </c>
      <c r="C262" s="638" t="s">
        <v>952</v>
      </c>
      <c r="D262" s="457">
        <f>IF(ISERROR(VLOOKUP(A262,'TB Hard Code'!B:D,3,FALSE)),0,VLOOKUP(A262,'TB Hard Code'!B:D,3,FALSE))</f>
        <v>549.06000000000006</v>
      </c>
      <c r="E262" s="638" t="b">
        <f>+ISERROR(MATCH(A262,'Linked TB'!$A$9:$A$738,0))</f>
        <v>0</v>
      </c>
    </row>
    <row r="263" spans="1:5">
      <c r="A263" s="637">
        <v>5510</v>
      </c>
      <c r="B263" s="638" t="s">
        <v>782</v>
      </c>
      <c r="C263" s="638" t="s">
        <v>952</v>
      </c>
      <c r="D263" s="457">
        <f>IF(ISERROR(VLOOKUP(A263,'TB Hard Code'!B:D,3,FALSE)),0,VLOOKUP(A263,'TB Hard Code'!B:D,3,FALSE))</f>
        <v>35127.69999999999</v>
      </c>
      <c r="E263" s="638" t="b">
        <f>+ISERROR(MATCH(A263,'Linked TB'!$A$9:$A$738,0))</f>
        <v>0</v>
      </c>
    </row>
    <row r="264" spans="1:5">
      <c r="A264" s="637">
        <v>5515</v>
      </c>
      <c r="B264" s="638" t="s">
        <v>783</v>
      </c>
      <c r="C264" s="638" t="s">
        <v>952</v>
      </c>
      <c r="D264" s="457">
        <f>IF(ISERROR(VLOOKUP(A264,'TB Hard Code'!B:D,3,FALSE)),0,VLOOKUP(A264,'TB Hard Code'!B:D,3,FALSE))</f>
        <v>6151.85</v>
      </c>
      <c r="E264" s="638" t="b">
        <f>+ISERROR(MATCH(A264,'Linked TB'!$A$9:$A$738,0))</f>
        <v>0</v>
      </c>
    </row>
    <row r="265" spans="1:5">
      <c r="A265" s="637">
        <v>5525</v>
      </c>
      <c r="B265" s="638" t="s">
        <v>784</v>
      </c>
      <c r="C265" s="638" t="s">
        <v>952</v>
      </c>
      <c r="D265" s="457">
        <f>IF(ISERROR(VLOOKUP(A265,'TB Hard Code'!B:D,3,FALSE)),0,VLOOKUP(A265,'TB Hard Code'!B:D,3,FALSE))</f>
        <v>718.45</v>
      </c>
      <c r="E265" s="638" t="b">
        <f>+ISERROR(MATCH(A265,'Linked TB'!$A$9:$A$738,0))</f>
        <v>0</v>
      </c>
    </row>
    <row r="266" spans="1:5">
      <c r="A266" s="637">
        <v>5530</v>
      </c>
      <c r="B266" s="638" t="s">
        <v>785</v>
      </c>
      <c r="C266" s="638" t="s">
        <v>952</v>
      </c>
      <c r="D266" s="457">
        <f>IF(ISERROR(VLOOKUP(A266,'TB Hard Code'!B:D,3,FALSE)),0,VLOOKUP(A266,'TB Hard Code'!B:D,3,FALSE))</f>
        <v>0</v>
      </c>
      <c r="E266" s="638" t="b">
        <f>+ISERROR(MATCH(A266,'Linked TB'!$A$9:$A$738,0))</f>
        <v>0</v>
      </c>
    </row>
    <row r="267" spans="1:5">
      <c r="A267" s="637">
        <v>5535</v>
      </c>
      <c r="B267" s="638" t="s">
        <v>786</v>
      </c>
      <c r="C267" s="638" t="s">
        <v>952</v>
      </c>
      <c r="D267" s="457">
        <f>IF(ISERROR(VLOOKUP(A267,'TB Hard Code'!B:D,3,FALSE)),0,VLOOKUP(A267,'TB Hard Code'!B:D,3,FALSE))</f>
        <v>1291.5700000000002</v>
      </c>
      <c r="E267" s="638" t="b">
        <f>+ISERROR(MATCH(A267,'Linked TB'!$A$9:$A$738,0))</f>
        <v>0</v>
      </c>
    </row>
    <row r="268" spans="1:5">
      <c r="A268" s="637">
        <v>5540</v>
      </c>
      <c r="B268" s="638" t="s">
        <v>787</v>
      </c>
      <c r="C268" s="638" t="s">
        <v>952</v>
      </c>
      <c r="D268" s="457">
        <f>IF(ISERROR(VLOOKUP(A268,'TB Hard Code'!B:D,3,FALSE)),0,VLOOKUP(A268,'TB Hard Code'!B:D,3,FALSE))</f>
        <v>20179.309999999998</v>
      </c>
      <c r="E268" s="638" t="b">
        <f>+ISERROR(MATCH(A268,'Linked TB'!$A$9:$A$738,0))</f>
        <v>0</v>
      </c>
    </row>
    <row r="269" spans="1:5">
      <c r="A269" s="637">
        <v>5545</v>
      </c>
      <c r="B269" s="638" t="s">
        <v>788</v>
      </c>
      <c r="C269" s="638" t="s">
        <v>952</v>
      </c>
      <c r="D269" s="457">
        <f>IF(ISERROR(VLOOKUP(A269,'TB Hard Code'!B:D,3,FALSE)),0,VLOOKUP(A269,'TB Hard Code'!B:D,3,FALSE))</f>
        <v>1377.8100000000002</v>
      </c>
      <c r="E269" s="638" t="b">
        <f>+ISERROR(MATCH(A269,'Linked TB'!$A$9:$A$738,0))</f>
        <v>0</v>
      </c>
    </row>
    <row r="270" spans="1:5">
      <c r="A270" s="637">
        <v>5625</v>
      </c>
      <c r="B270" s="638" t="s">
        <v>1308</v>
      </c>
      <c r="C270" s="638" t="s">
        <v>952</v>
      </c>
      <c r="D270" s="457">
        <f>IF(ISERROR(VLOOKUP(A270,'TB Hard Code'!B:D,3,FALSE)),0,VLOOKUP(A270,'TB Hard Code'!B:D,3,FALSE))</f>
        <v>25102.400000000001</v>
      </c>
      <c r="E270" s="638" t="b">
        <f>+ISERROR(MATCH(A270,'Linked TB'!$A$9:$A$738,0))</f>
        <v>0</v>
      </c>
    </row>
    <row r="271" spans="1:5">
      <c r="A271" s="637">
        <v>5630</v>
      </c>
      <c r="B271" s="638" t="s">
        <v>1309</v>
      </c>
      <c r="C271" s="638" t="s">
        <v>952</v>
      </c>
      <c r="D271" s="457">
        <f>IF(ISERROR(VLOOKUP(A271,'TB Hard Code'!B:D,3,FALSE)),0,VLOOKUP(A271,'TB Hard Code'!B:D,3,FALSE))</f>
        <v>17374.949999999997</v>
      </c>
      <c r="E271" s="638" t="b">
        <f>+ISERROR(MATCH(A271,'Linked TB'!$A$9:$A$738,0))</f>
        <v>0</v>
      </c>
    </row>
    <row r="272" spans="1:5">
      <c r="A272" s="637">
        <v>5635</v>
      </c>
      <c r="B272" s="638" t="s">
        <v>791</v>
      </c>
      <c r="C272" s="638" t="s">
        <v>952</v>
      </c>
      <c r="D272" s="457">
        <f>IF(ISERROR(VLOOKUP(A272,'TB Hard Code'!B:D,3,FALSE)),0,VLOOKUP(A272,'TB Hard Code'!B:D,3,FALSE))</f>
        <v>3395.4300000000003</v>
      </c>
      <c r="E272" s="638" t="b">
        <f>+ISERROR(MATCH(A272,'Linked TB'!$A$9:$A$738,0))</f>
        <v>0</v>
      </c>
    </row>
    <row r="273" spans="1:5">
      <c r="A273" s="637">
        <v>5645</v>
      </c>
      <c r="B273" s="638" t="s">
        <v>392</v>
      </c>
      <c r="C273" s="638" t="s">
        <v>952</v>
      </c>
      <c r="D273" s="457">
        <f>IF(ISERROR(VLOOKUP(A273,'TB Hard Code'!B:D,3,FALSE)),0,VLOOKUP(A273,'TB Hard Code'!B:D,3,FALSE))</f>
        <v>-26986.519999999997</v>
      </c>
      <c r="E273" s="638" t="b">
        <f>+ISERROR(MATCH(A273,'Linked TB'!$A$9:$A$738,0))</f>
        <v>0</v>
      </c>
    </row>
    <row r="274" spans="1:5">
      <c r="A274" s="637">
        <v>5650</v>
      </c>
      <c r="B274" s="638" t="s">
        <v>393</v>
      </c>
      <c r="C274" s="638" t="s">
        <v>952</v>
      </c>
      <c r="D274" s="457">
        <f>IF(ISERROR(VLOOKUP(A274,'TB Hard Code'!B:D,3,FALSE)),0,VLOOKUP(A274,'TB Hard Code'!B:D,3,FALSE))</f>
        <v>1902.1899999999998</v>
      </c>
      <c r="E274" s="638" t="b">
        <f>+ISERROR(MATCH(A274,'Linked TB'!$A$9:$A$738,0))</f>
        <v>0</v>
      </c>
    </row>
    <row r="275" spans="1:5">
      <c r="A275" s="637">
        <v>5655</v>
      </c>
      <c r="B275" s="638" t="s">
        <v>394</v>
      </c>
      <c r="C275" s="638" t="s">
        <v>952</v>
      </c>
      <c r="D275" s="457">
        <f>IF(ISERROR(VLOOKUP(A275,'TB Hard Code'!B:D,3,FALSE)),0,VLOOKUP(A275,'TB Hard Code'!B:D,3,FALSE))</f>
        <v>124526.97</v>
      </c>
      <c r="E275" s="638" t="b">
        <f>+ISERROR(MATCH(A275,'Linked TB'!$A$9:$A$738,0))</f>
        <v>0</v>
      </c>
    </row>
    <row r="276" spans="1:5">
      <c r="A276" s="637">
        <v>5660</v>
      </c>
      <c r="B276" s="638" t="s">
        <v>395</v>
      </c>
      <c r="C276" s="638" t="s">
        <v>952</v>
      </c>
      <c r="D276" s="457">
        <f>IF(ISERROR(VLOOKUP(A276,'TB Hard Code'!B:D,3,FALSE)),0,VLOOKUP(A276,'TB Hard Code'!B:D,3,FALSE))</f>
        <v>913.20999999999992</v>
      </c>
      <c r="E276" s="638" t="b">
        <f>+ISERROR(MATCH(A276,'Linked TB'!$A$9:$A$738,0))</f>
        <v>0</v>
      </c>
    </row>
    <row r="277" spans="1:5">
      <c r="A277" s="637">
        <v>5665</v>
      </c>
      <c r="B277" s="638" t="s">
        <v>1310</v>
      </c>
      <c r="C277" s="638" t="s">
        <v>952</v>
      </c>
      <c r="D277" s="457">
        <f>IF(ISERROR(VLOOKUP(A277,'TB Hard Code'!B:D,3,FALSE)),0,VLOOKUP(A277,'TB Hard Code'!B:D,3,FALSE))</f>
        <v>9215.9599999999991</v>
      </c>
      <c r="E277" s="638" t="b">
        <f>+ISERROR(MATCH(A277,'Linked TB'!$A$9:$A$738,0))</f>
        <v>0</v>
      </c>
    </row>
    <row r="278" spans="1:5">
      <c r="A278" s="637">
        <v>5670</v>
      </c>
      <c r="B278" s="638" t="s">
        <v>397</v>
      </c>
      <c r="C278" s="638" t="s">
        <v>952</v>
      </c>
      <c r="D278" s="457">
        <f>IF(ISERROR(VLOOKUP(A278,'TB Hard Code'!B:D,3,FALSE)),0,VLOOKUP(A278,'TB Hard Code'!B:D,3,FALSE))</f>
        <v>4287.6499999999996</v>
      </c>
      <c r="E278" s="638" t="b">
        <f>+ISERROR(MATCH(A278,'Linked TB'!$A$9:$A$738,0))</f>
        <v>0</v>
      </c>
    </row>
    <row r="279" spans="1:5">
      <c r="A279" s="637">
        <v>5675</v>
      </c>
      <c r="B279" s="638" t="s">
        <v>899</v>
      </c>
      <c r="C279" s="638" t="s">
        <v>952</v>
      </c>
      <c r="D279" s="457">
        <f>IF(ISERROR(VLOOKUP(A279,'TB Hard Code'!B:D,3,FALSE)),0,VLOOKUP(A279,'TB Hard Code'!B:D,3,FALSE))</f>
        <v>-923.2600000000001</v>
      </c>
      <c r="E279" s="638" t="b">
        <f>+ISERROR(MATCH(A279,'Linked TB'!$A$9:$A$738,0))</f>
        <v>0</v>
      </c>
    </row>
    <row r="280" spans="1:5">
      <c r="A280" s="637">
        <v>5680</v>
      </c>
      <c r="B280" s="638" t="s">
        <v>900</v>
      </c>
      <c r="C280" s="638" t="s">
        <v>952</v>
      </c>
      <c r="D280" s="457">
        <f>IF(ISERROR(VLOOKUP(A280,'TB Hard Code'!B:D,3,FALSE)),0,VLOOKUP(A280,'TB Hard Code'!B:D,3,FALSE))</f>
        <v>-468.30999999999995</v>
      </c>
      <c r="E280" s="638" t="b">
        <f>+ISERROR(MATCH(A280,'Linked TB'!$A$9:$A$738,0))</f>
        <v>0</v>
      </c>
    </row>
    <row r="281" spans="1:5">
      <c r="A281" s="637">
        <v>5690</v>
      </c>
      <c r="B281" s="638" t="s">
        <v>902</v>
      </c>
      <c r="C281" s="638" t="s">
        <v>952</v>
      </c>
      <c r="D281" s="457">
        <f>IF(ISERROR(VLOOKUP(A281,'TB Hard Code'!B:D,3,FALSE)),0,VLOOKUP(A281,'TB Hard Code'!B:D,3,FALSE))</f>
        <v>1.1100000000000001</v>
      </c>
      <c r="E281" s="638" t="b">
        <f>+ISERROR(MATCH(A281,'Linked TB'!$A$9:$A$738,0))</f>
        <v>0</v>
      </c>
    </row>
    <row r="282" spans="1:5" s="1405" customFormat="1">
      <c r="A282" s="1404">
        <v>5705</v>
      </c>
      <c r="B282" s="1405" t="s">
        <v>904</v>
      </c>
      <c r="C282" s="1405" t="s">
        <v>952</v>
      </c>
      <c r="D282" s="1406">
        <f>IF(ISERROR(VLOOKUP(A282,'TB Hard Code'!B:D,3,FALSE)),0,VLOOKUP(A282,'TB Hard Code'!B:D,3,FALSE))</f>
        <v>60192.729999999996</v>
      </c>
      <c r="E282" s="1405" t="b">
        <f>+ISERROR(MATCH(A282,'Linked TB'!$A$9:$A$738,0))</f>
        <v>0</v>
      </c>
    </row>
    <row r="283" spans="1:5">
      <c r="A283" s="637">
        <v>5715</v>
      </c>
      <c r="B283" s="638" t="s">
        <v>906</v>
      </c>
      <c r="C283" s="638" t="s">
        <v>952</v>
      </c>
      <c r="D283" s="457">
        <f>IF(ISERROR(VLOOKUP(A283,'TB Hard Code'!B:D,3,FALSE)),0,VLOOKUP(A283,'TB Hard Code'!B:D,3,FALSE))</f>
        <v>8899.9</v>
      </c>
      <c r="E283" s="638" t="b">
        <f>+ISERROR(MATCH(A283,'Linked TB'!$A$9:$A$738,0))</f>
        <v>0</v>
      </c>
    </row>
    <row r="284" spans="1:5">
      <c r="A284" s="637">
        <v>5735</v>
      </c>
      <c r="B284" s="638" t="s">
        <v>907</v>
      </c>
      <c r="C284" s="638" t="s">
        <v>952</v>
      </c>
      <c r="D284" s="457">
        <f>IF(ISERROR(VLOOKUP(A284,'TB Hard Code'!B:D,3,FALSE)),0,VLOOKUP(A284,'TB Hard Code'!B:D,3,FALSE))</f>
        <v>20253.769999999997</v>
      </c>
      <c r="E284" s="638" t="b">
        <f>+ISERROR(MATCH(A284,'Linked TB'!$A$9:$A$738,0))</f>
        <v>0</v>
      </c>
    </row>
    <row r="285" spans="1:5">
      <c r="A285" s="637">
        <v>5740</v>
      </c>
      <c r="B285" s="638" t="s">
        <v>908</v>
      </c>
      <c r="C285" s="638" t="s">
        <v>952</v>
      </c>
      <c r="D285" s="457">
        <f>IF(ISERROR(VLOOKUP(A285,'TB Hard Code'!B:D,3,FALSE)),0,VLOOKUP(A285,'TB Hard Code'!B:D,3,FALSE))</f>
        <v>0.59000000000000008</v>
      </c>
      <c r="E285" s="638" t="b">
        <f>+ISERROR(MATCH(A285,'Linked TB'!$A$9:$A$738,0))</f>
        <v>0</v>
      </c>
    </row>
    <row r="286" spans="1:5">
      <c r="A286" s="637">
        <v>5745</v>
      </c>
      <c r="B286" s="638" t="s">
        <v>909</v>
      </c>
      <c r="C286" s="638" t="s">
        <v>952</v>
      </c>
      <c r="D286" s="457">
        <f>IF(ISERROR(VLOOKUP(A286,'TB Hard Code'!B:D,3,FALSE)),0,VLOOKUP(A286,'TB Hard Code'!B:D,3,FALSE))</f>
        <v>-0.14000000000000057</v>
      </c>
      <c r="E286" s="638" t="b">
        <f>+ISERROR(MATCH(A286,'Linked TB'!$A$9:$A$738,0))</f>
        <v>0</v>
      </c>
    </row>
    <row r="287" spans="1:5">
      <c r="A287" s="637">
        <v>5750</v>
      </c>
      <c r="B287" s="638" t="s">
        <v>910</v>
      </c>
      <c r="C287" s="638" t="s">
        <v>952</v>
      </c>
      <c r="D287" s="457">
        <f>IF(ISERROR(VLOOKUP(A287,'TB Hard Code'!B:D,3,FALSE)),0,VLOOKUP(A287,'TB Hard Code'!B:D,3,FALSE))</f>
        <v>3003.9700000000003</v>
      </c>
      <c r="E287" s="638" t="b">
        <f>+ISERROR(MATCH(A287,'Linked TB'!$A$9:$A$738,0))</f>
        <v>0</v>
      </c>
    </row>
    <row r="288" spans="1:5">
      <c r="A288" s="637">
        <v>5755</v>
      </c>
      <c r="B288" s="638" t="s">
        <v>911</v>
      </c>
      <c r="C288" s="638" t="s">
        <v>952</v>
      </c>
      <c r="D288" s="457">
        <f>IF(ISERROR(VLOOKUP(A288,'TB Hard Code'!B:D,3,FALSE)),0,VLOOKUP(A288,'TB Hard Code'!B:D,3,FALSE))</f>
        <v>0</v>
      </c>
      <c r="E288" s="638" t="b">
        <f>+ISERROR(MATCH(A288,'Linked TB'!$A$9:$A$738,0))</f>
        <v>0</v>
      </c>
    </row>
    <row r="289" spans="1:5">
      <c r="A289" s="637">
        <v>5785</v>
      </c>
      <c r="B289" s="638" t="s">
        <v>913</v>
      </c>
      <c r="C289" s="638" t="s">
        <v>952</v>
      </c>
      <c r="D289" s="457">
        <f>IF(ISERROR(VLOOKUP(A289,'TB Hard Code'!B:D,3,FALSE)),0,VLOOKUP(A289,'TB Hard Code'!B:D,3,FALSE))</f>
        <v>1001.8499999999999</v>
      </c>
      <c r="E289" s="638" t="b">
        <f>+ISERROR(MATCH(A289,'Linked TB'!$A$9:$A$738,0))</f>
        <v>0</v>
      </c>
    </row>
    <row r="290" spans="1:5">
      <c r="A290" s="637">
        <v>5790</v>
      </c>
      <c r="B290" s="638" t="s">
        <v>914</v>
      </c>
      <c r="C290" s="638" t="s">
        <v>952</v>
      </c>
      <c r="D290" s="457">
        <f>IF(ISERROR(VLOOKUP(A290,'TB Hard Code'!B:D,3,FALSE)),0,VLOOKUP(A290,'TB Hard Code'!B:D,3,FALSE))</f>
        <v>2826.62</v>
      </c>
      <c r="E290" s="638" t="b">
        <f>+ISERROR(MATCH(A290,'Linked TB'!$A$9:$A$738,0))</f>
        <v>0</v>
      </c>
    </row>
    <row r="291" spans="1:5">
      <c r="A291" s="637">
        <v>5795</v>
      </c>
      <c r="B291" s="638" t="s">
        <v>915</v>
      </c>
      <c r="C291" s="638" t="s">
        <v>952</v>
      </c>
      <c r="D291" s="457">
        <f>IF(ISERROR(VLOOKUP(A291,'TB Hard Code'!B:D,3,FALSE)),0,VLOOKUP(A291,'TB Hard Code'!B:D,3,FALSE))</f>
        <v>27.49</v>
      </c>
      <c r="E291" s="638" t="b">
        <f>+ISERROR(MATCH(A291,'Linked TB'!$A$9:$A$738,0))</f>
        <v>0</v>
      </c>
    </row>
    <row r="292" spans="1:5">
      <c r="A292" s="637">
        <v>5800</v>
      </c>
      <c r="B292" s="638" t="s">
        <v>916</v>
      </c>
      <c r="C292" s="638" t="s">
        <v>952</v>
      </c>
      <c r="D292" s="457">
        <f>IF(ISERROR(VLOOKUP(A292,'TB Hard Code'!B:D,3,FALSE)),0,VLOOKUP(A292,'TB Hard Code'!B:D,3,FALSE))</f>
        <v>0</v>
      </c>
      <c r="E292" s="638" t="b">
        <f>+ISERROR(MATCH(A292,'Linked TB'!$A$9:$A$738,0))</f>
        <v>0</v>
      </c>
    </row>
    <row r="293" spans="1:5">
      <c r="A293" s="637">
        <v>5805</v>
      </c>
      <c r="B293" s="638" t="s">
        <v>917</v>
      </c>
      <c r="C293" s="638" t="s">
        <v>952</v>
      </c>
      <c r="D293" s="457">
        <f>IF(ISERROR(VLOOKUP(A293,'TB Hard Code'!B:D,3,FALSE)),0,VLOOKUP(A293,'TB Hard Code'!B:D,3,FALSE))</f>
        <v>324.63</v>
      </c>
      <c r="E293" s="638" t="b">
        <f>+ISERROR(MATCH(A293,'Linked TB'!$A$9:$A$738,0))</f>
        <v>0</v>
      </c>
    </row>
    <row r="294" spans="1:5">
      <c r="A294" s="637">
        <v>5810</v>
      </c>
      <c r="B294" s="638" t="s">
        <v>918</v>
      </c>
      <c r="C294" s="638" t="s">
        <v>952</v>
      </c>
      <c r="D294" s="457">
        <f>IF(ISERROR(VLOOKUP(A294,'TB Hard Code'!B:D,3,FALSE)),0,VLOOKUP(A294,'TB Hard Code'!B:D,3,FALSE))</f>
        <v>5560.51</v>
      </c>
      <c r="E294" s="638" t="b">
        <f>+ISERROR(MATCH(A294,'Linked TB'!$A$9:$A$738,0))</f>
        <v>0</v>
      </c>
    </row>
    <row r="295" spans="1:5">
      <c r="A295" s="637">
        <v>5815</v>
      </c>
      <c r="B295" s="638" t="s">
        <v>919</v>
      </c>
      <c r="C295" s="638" t="s">
        <v>952</v>
      </c>
      <c r="D295" s="457">
        <f>IF(ISERROR(VLOOKUP(A295,'TB Hard Code'!B:D,3,FALSE)),0,VLOOKUP(A295,'TB Hard Code'!B:D,3,FALSE))</f>
        <v>2.7099999999998863</v>
      </c>
      <c r="E295" s="638" t="b">
        <f>+ISERROR(MATCH(A295,'Linked TB'!$A$9:$A$738,0))</f>
        <v>0</v>
      </c>
    </row>
    <row r="296" spans="1:5">
      <c r="A296" s="637">
        <v>5820</v>
      </c>
      <c r="B296" s="638" t="s">
        <v>920</v>
      </c>
      <c r="C296" s="638" t="s">
        <v>952</v>
      </c>
      <c r="D296" s="457">
        <f>IF(ISERROR(VLOOKUP(A296,'TB Hard Code'!B:D,3,FALSE)),0,VLOOKUP(A296,'TB Hard Code'!B:D,3,FALSE))</f>
        <v>913.08999999999992</v>
      </c>
      <c r="E296" s="638" t="b">
        <f>+ISERROR(MATCH(A296,'Linked TB'!$A$9:$A$738,0))</f>
        <v>0</v>
      </c>
    </row>
    <row r="297" spans="1:5">
      <c r="A297" s="637">
        <v>5825</v>
      </c>
      <c r="B297" s="638" t="s">
        <v>921</v>
      </c>
      <c r="C297" s="638" t="s">
        <v>952</v>
      </c>
      <c r="D297" s="457">
        <f>IF(ISERROR(VLOOKUP(A297,'TB Hard Code'!B:D,3,FALSE)),0,VLOOKUP(A297,'TB Hard Code'!B:D,3,FALSE))</f>
        <v>310.44999999999993</v>
      </c>
      <c r="E297" s="638" t="b">
        <f>+ISERROR(MATCH(A297,'Linked TB'!$A$9:$A$738,0))</f>
        <v>0</v>
      </c>
    </row>
    <row r="298" spans="1:5">
      <c r="A298" s="637">
        <v>5855</v>
      </c>
      <c r="B298" s="638" t="s">
        <v>922</v>
      </c>
      <c r="C298" s="638" t="s">
        <v>952</v>
      </c>
      <c r="D298" s="457">
        <f>IF(ISERROR(VLOOKUP(A298,'TB Hard Code'!B:D,3,FALSE)),0,VLOOKUP(A298,'TB Hard Code'!B:D,3,FALSE))</f>
        <v>646.5</v>
      </c>
      <c r="E298" s="638" t="b">
        <f>+ISERROR(MATCH(A298,'Linked TB'!$A$9:$A$738,0))</f>
        <v>0</v>
      </c>
    </row>
    <row r="299" spans="1:5">
      <c r="A299" s="637">
        <v>5860</v>
      </c>
      <c r="B299" s="638" t="s">
        <v>923</v>
      </c>
      <c r="C299" s="638" t="s">
        <v>952</v>
      </c>
      <c r="D299" s="457">
        <f>IF(ISERROR(VLOOKUP(A299,'TB Hard Code'!B:D,3,FALSE)),0,VLOOKUP(A299,'TB Hard Code'!B:D,3,FALSE))</f>
        <v>1071.3200000000002</v>
      </c>
      <c r="E299" s="638" t="b">
        <f>+ISERROR(MATCH(A299,'Linked TB'!$A$9:$A$738,0))</f>
        <v>0</v>
      </c>
    </row>
    <row r="300" spans="1:5">
      <c r="A300" s="637">
        <v>5865</v>
      </c>
      <c r="B300" s="638" t="s">
        <v>924</v>
      </c>
      <c r="C300" s="638" t="s">
        <v>952</v>
      </c>
      <c r="D300" s="457">
        <f>IF(ISERROR(VLOOKUP(A300,'TB Hard Code'!B:D,3,FALSE)),0,VLOOKUP(A300,'TB Hard Code'!B:D,3,FALSE))</f>
        <v>1155.4299999999998</v>
      </c>
      <c r="E300" s="638" t="b">
        <f>+ISERROR(MATCH(A300,'Linked TB'!$A$9:$A$738,0))</f>
        <v>0</v>
      </c>
    </row>
    <row r="301" spans="1:5">
      <c r="A301" s="637">
        <v>5870</v>
      </c>
      <c r="B301" s="638" t="s">
        <v>925</v>
      </c>
      <c r="C301" s="638" t="s">
        <v>952</v>
      </c>
      <c r="D301" s="457">
        <f>IF(ISERROR(VLOOKUP(A301,'TB Hard Code'!B:D,3,FALSE)),0,VLOOKUP(A301,'TB Hard Code'!B:D,3,FALSE))</f>
        <v>407.09</v>
      </c>
      <c r="E301" s="638" t="b">
        <f>+ISERROR(MATCH(A301,'Linked TB'!$A$9:$A$738,0))</f>
        <v>0</v>
      </c>
    </row>
    <row r="302" spans="1:5">
      <c r="A302" s="637">
        <v>5875</v>
      </c>
      <c r="B302" s="638" t="s">
        <v>926</v>
      </c>
      <c r="C302" s="638" t="s">
        <v>952</v>
      </c>
      <c r="D302" s="457">
        <f>IF(ISERROR(VLOOKUP(A302,'TB Hard Code'!B:D,3,FALSE)),0,VLOOKUP(A302,'TB Hard Code'!B:D,3,FALSE))</f>
        <v>306.73</v>
      </c>
      <c r="E302" s="638" t="b">
        <f>+ISERROR(MATCH(A302,'Linked TB'!$A$9:$A$738,0))</f>
        <v>0</v>
      </c>
    </row>
    <row r="303" spans="1:5">
      <c r="A303" s="637">
        <v>5880</v>
      </c>
      <c r="B303" s="638" t="s">
        <v>927</v>
      </c>
      <c r="C303" s="638" t="s">
        <v>952</v>
      </c>
      <c r="D303" s="457">
        <f>IF(ISERROR(VLOOKUP(A303,'TB Hard Code'!B:D,3,FALSE)),0,VLOOKUP(A303,'TB Hard Code'!B:D,3,FALSE))</f>
        <v>1070.0699999999997</v>
      </c>
      <c r="E303" s="638" t="b">
        <f>+ISERROR(MATCH(A303,'Linked TB'!$A$9:$A$738,0))</f>
        <v>0</v>
      </c>
    </row>
    <row r="304" spans="1:5">
      <c r="A304" s="637">
        <v>5885</v>
      </c>
      <c r="B304" s="638" t="s">
        <v>928</v>
      </c>
      <c r="C304" s="638" t="s">
        <v>952</v>
      </c>
      <c r="D304" s="457">
        <f>IF(ISERROR(VLOOKUP(A304,'TB Hard Code'!B:D,3,FALSE)),0,VLOOKUP(A304,'TB Hard Code'!B:D,3,FALSE))</f>
        <v>232.04000000000002</v>
      </c>
      <c r="E304" s="638" t="b">
        <f>+ISERROR(MATCH(A304,'Linked TB'!$A$9:$A$738,0))</f>
        <v>0</v>
      </c>
    </row>
    <row r="305" spans="1:5">
      <c r="A305" s="637">
        <v>5890</v>
      </c>
      <c r="B305" s="638" t="s">
        <v>929</v>
      </c>
      <c r="C305" s="638" t="s">
        <v>952</v>
      </c>
      <c r="D305" s="457">
        <f>IF(ISERROR(VLOOKUP(A305,'TB Hard Code'!B:D,3,FALSE)),0,VLOOKUP(A305,'TB Hard Code'!B:D,3,FALSE))</f>
        <v>7.42</v>
      </c>
      <c r="E305" s="638" t="b">
        <f>+ISERROR(MATCH(A305,'Linked TB'!$A$9:$A$738,0))</f>
        <v>0</v>
      </c>
    </row>
    <row r="306" spans="1:5">
      <c r="A306" s="637">
        <v>5895</v>
      </c>
      <c r="B306" s="638" t="s">
        <v>930</v>
      </c>
      <c r="C306" s="638" t="s">
        <v>952</v>
      </c>
      <c r="D306" s="457">
        <f>IF(ISERROR(VLOOKUP(A306,'TB Hard Code'!B:D,3,FALSE)),0,VLOOKUP(A306,'TB Hard Code'!B:D,3,FALSE))</f>
        <v>5252.3500000000022</v>
      </c>
      <c r="E306" s="638" t="b">
        <f>+ISERROR(MATCH(A306,'Linked TB'!$A$9:$A$738,0))</f>
        <v>0</v>
      </c>
    </row>
    <row r="307" spans="1:5">
      <c r="A307" s="637">
        <v>5900</v>
      </c>
      <c r="B307" s="638" t="s">
        <v>931</v>
      </c>
      <c r="C307" s="638" t="s">
        <v>952</v>
      </c>
      <c r="D307" s="457">
        <f>IF(ISERROR(VLOOKUP(A307,'TB Hard Code'!B:D,3,FALSE)),0,VLOOKUP(A307,'TB Hard Code'!B:D,3,FALSE))</f>
        <v>1024.8499999999999</v>
      </c>
      <c r="E307" s="638" t="b">
        <f>+ISERROR(MATCH(A307,'Linked TB'!$A$9:$A$738,0))</f>
        <v>0</v>
      </c>
    </row>
    <row r="308" spans="1:5">
      <c r="A308" s="637">
        <v>5930</v>
      </c>
      <c r="B308" s="638" t="s">
        <v>932</v>
      </c>
      <c r="C308" s="638" t="s">
        <v>952</v>
      </c>
      <c r="D308" s="457">
        <f>IF(ISERROR(VLOOKUP(A308,'TB Hard Code'!B:D,3,FALSE)),0,VLOOKUP(A308,'TB Hard Code'!B:D,3,FALSE))</f>
        <v>1456.05</v>
      </c>
      <c r="E308" s="638" t="b">
        <f>+ISERROR(MATCH(A308,'Linked TB'!$A$9:$A$738,0))</f>
        <v>0</v>
      </c>
    </row>
    <row r="309" spans="1:5">
      <c r="A309" s="637">
        <v>5935</v>
      </c>
      <c r="B309" s="638" t="s">
        <v>933</v>
      </c>
      <c r="C309" s="638" t="s">
        <v>952</v>
      </c>
      <c r="D309" s="457">
        <f>IF(ISERROR(VLOOKUP(A309,'TB Hard Code'!B:D,3,FALSE)),0,VLOOKUP(A309,'TB Hard Code'!B:D,3,FALSE))</f>
        <v>892.45</v>
      </c>
      <c r="E309" s="638" t="b">
        <f>+ISERROR(MATCH(A309,'Linked TB'!$A$9:$A$738,0))</f>
        <v>0</v>
      </c>
    </row>
    <row r="310" spans="1:5">
      <c r="A310" s="637">
        <v>5940</v>
      </c>
      <c r="B310" s="638" t="s">
        <v>934</v>
      </c>
      <c r="C310" s="638" t="s">
        <v>952</v>
      </c>
      <c r="D310" s="457">
        <f>IF(ISERROR(VLOOKUP(A310,'TB Hard Code'!B:D,3,FALSE)),0,VLOOKUP(A310,'TB Hard Code'!B:D,3,FALSE))</f>
        <v>1054.5499999999997</v>
      </c>
      <c r="E310" s="638" t="b">
        <f>+ISERROR(MATCH(A310,'Linked TB'!$A$9:$A$738,0))</f>
        <v>0</v>
      </c>
    </row>
    <row r="311" spans="1:5">
      <c r="A311" s="637">
        <v>5945</v>
      </c>
      <c r="B311" s="638" t="s">
        <v>935</v>
      </c>
      <c r="C311" s="638" t="s">
        <v>952</v>
      </c>
      <c r="D311" s="457">
        <f>IF(ISERROR(VLOOKUP(A311,'TB Hard Code'!B:D,3,FALSE)),0,VLOOKUP(A311,'TB Hard Code'!B:D,3,FALSE))</f>
        <v>33287.329999999994</v>
      </c>
      <c r="E311" s="638" t="b">
        <f>+ISERROR(MATCH(A311,'Linked TB'!$A$9:$A$738,0))</f>
        <v>0</v>
      </c>
    </row>
    <row r="312" spans="1:5">
      <c r="A312" s="637">
        <v>5950</v>
      </c>
      <c r="B312" s="638" t="s">
        <v>936</v>
      </c>
      <c r="C312" s="638" t="s">
        <v>952</v>
      </c>
      <c r="D312" s="457">
        <f>IF(ISERROR(VLOOKUP(A312,'TB Hard Code'!B:D,3,FALSE)),0,VLOOKUP(A312,'TB Hard Code'!B:D,3,FALSE))</f>
        <v>1088.8899999999999</v>
      </c>
      <c r="E312" s="638" t="b">
        <f>+ISERROR(MATCH(A312,'Linked TB'!$A$9:$A$738,0))</f>
        <v>0</v>
      </c>
    </row>
    <row r="313" spans="1:5">
      <c r="A313" s="637">
        <v>5955</v>
      </c>
      <c r="B313" s="638" t="s">
        <v>937</v>
      </c>
      <c r="C313" s="638" t="s">
        <v>952</v>
      </c>
      <c r="D313" s="457">
        <f>IF(ISERROR(VLOOKUP(A313,'TB Hard Code'!B:D,3,FALSE)),0,VLOOKUP(A313,'TB Hard Code'!B:D,3,FALSE))</f>
        <v>7343.2800000000007</v>
      </c>
      <c r="E313" s="638" t="b">
        <f>+ISERROR(MATCH(A313,'Linked TB'!$A$9:$A$738,0))</f>
        <v>0</v>
      </c>
    </row>
    <row r="314" spans="1:5">
      <c r="A314" s="637">
        <v>5960</v>
      </c>
      <c r="B314" s="638" t="s">
        <v>938</v>
      </c>
      <c r="C314" s="638" t="s">
        <v>952</v>
      </c>
      <c r="D314" s="457">
        <f>IF(ISERROR(VLOOKUP(A314,'TB Hard Code'!B:D,3,FALSE)),0,VLOOKUP(A314,'TB Hard Code'!B:D,3,FALSE))</f>
        <v>2305.1999999999994</v>
      </c>
      <c r="E314" s="638" t="b">
        <f>+ISERROR(MATCH(A314,'Linked TB'!$A$9:$A$738,0))</f>
        <v>0</v>
      </c>
    </row>
    <row r="315" spans="1:5">
      <c r="A315" s="637">
        <v>5965</v>
      </c>
      <c r="B315" s="638" t="s">
        <v>939</v>
      </c>
      <c r="C315" s="638" t="s">
        <v>952</v>
      </c>
      <c r="D315" s="457">
        <f>IF(ISERROR(VLOOKUP(A315,'TB Hard Code'!B:D,3,FALSE)),0,VLOOKUP(A315,'TB Hard Code'!B:D,3,FALSE))</f>
        <v>1365.25</v>
      </c>
      <c r="E315" s="638" t="b">
        <f>+ISERROR(MATCH(A315,'Linked TB'!$A$9:$A$738,0))</f>
        <v>0</v>
      </c>
    </row>
    <row r="316" spans="1:5">
      <c r="A316" s="637">
        <v>5970</v>
      </c>
      <c r="B316" s="638" t="s">
        <v>940</v>
      </c>
      <c r="C316" s="638" t="s">
        <v>952</v>
      </c>
      <c r="D316" s="457">
        <f>IF(ISERROR(VLOOKUP(A316,'TB Hard Code'!B:D,3,FALSE)),0,VLOOKUP(A316,'TB Hard Code'!B:D,3,FALSE))</f>
        <v>3097.9700000000003</v>
      </c>
      <c r="E316" s="638" t="b">
        <f>+ISERROR(MATCH(A316,'Linked TB'!$A$9:$A$738,0))</f>
        <v>0</v>
      </c>
    </row>
    <row r="317" spans="1:5">
      <c r="A317" s="637">
        <v>5975</v>
      </c>
      <c r="B317" s="638" t="s">
        <v>242</v>
      </c>
      <c r="C317" s="638" t="s">
        <v>952</v>
      </c>
      <c r="D317" s="457">
        <f>IF(ISERROR(VLOOKUP(A317,'TB Hard Code'!B:D,3,FALSE)),0,VLOOKUP(A317,'TB Hard Code'!B:D,3,FALSE))</f>
        <v>456.63</v>
      </c>
      <c r="E317" s="638" t="b">
        <f>+ISERROR(MATCH(A317,'Linked TB'!$A$9:$A$738,0))</f>
        <v>0</v>
      </c>
    </row>
    <row r="318" spans="1:5">
      <c r="A318" s="637">
        <v>5980</v>
      </c>
      <c r="B318" s="638" t="s">
        <v>243</v>
      </c>
      <c r="C318" s="638" t="s">
        <v>952</v>
      </c>
      <c r="D318" s="457">
        <f>IF(ISERROR(VLOOKUP(A318,'TB Hard Code'!B:D,3,FALSE)),0,VLOOKUP(A318,'TB Hard Code'!B:D,3,FALSE))</f>
        <v>4.33</v>
      </c>
      <c r="E318" s="638" t="b">
        <f>+ISERROR(MATCH(A318,'Linked TB'!$A$9:$A$738,0))</f>
        <v>0</v>
      </c>
    </row>
    <row r="319" spans="1:5">
      <c r="A319" s="637">
        <v>5985</v>
      </c>
      <c r="B319" s="638" t="s">
        <v>244</v>
      </c>
      <c r="C319" s="638" t="s">
        <v>952</v>
      </c>
      <c r="D319" s="457">
        <f>IF(ISERROR(VLOOKUP(A319,'TB Hard Code'!B:D,3,FALSE)),0,VLOOKUP(A319,'TB Hard Code'!B:D,3,FALSE))</f>
        <v>0</v>
      </c>
      <c r="E319" s="638" t="b">
        <f>+ISERROR(MATCH(A319,'Linked TB'!$A$9:$A$738,0))</f>
        <v>0</v>
      </c>
    </row>
    <row r="320" spans="1:5">
      <c r="A320" s="637">
        <v>6010</v>
      </c>
      <c r="B320" s="638" t="s">
        <v>246</v>
      </c>
      <c r="C320" s="638" t="s">
        <v>952</v>
      </c>
      <c r="D320" s="457">
        <f>IF(ISERROR(VLOOKUP(A320,'TB Hard Code'!B:D,3,FALSE)),0,VLOOKUP(A320,'TB Hard Code'!B:D,3,FALSE))</f>
        <v>9427.02</v>
      </c>
      <c r="E320" s="638" t="b">
        <f>+ISERROR(MATCH(A320,'Linked TB'!$A$9:$A$738,0))</f>
        <v>0</v>
      </c>
    </row>
    <row r="321" spans="1:5">
      <c r="A321" s="637">
        <v>6015</v>
      </c>
      <c r="B321" s="638" t="s">
        <v>247</v>
      </c>
      <c r="C321" s="638" t="s">
        <v>952</v>
      </c>
      <c r="D321" s="457">
        <f>IF(ISERROR(VLOOKUP(A321,'TB Hard Code'!B:D,3,FALSE)),0,VLOOKUP(A321,'TB Hard Code'!B:D,3,FALSE))</f>
        <v>60.110000000000014</v>
      </c>
      <c r="E321" s="638" t="b">
        <f>+ISERROR(MATCH(A321,'Linked TB'!$A$9:$A$738,0))</f>
        <v>0</v>
      </c>
    </row>
    <row r="322" spans="1:5">
      <c r="A322" s="637">
        <v>6020</v>
      </c>
      <c r="B322" s="638" t="s">
        <v>248</v>
      </c>
      <c r="C322" s="638" t="s">
        <v>952</v>
      </c>
      <c r="D322" s="457">
        <f>IF(ISERROR(VLOOKUP(A322,'TB Hard Code'!B:D,3,FALSE)),0,VLOOKUP(A322,'TB Hard Code'!B:D,3,FALSE))</f>
        <v>0</v>
      </c>
      <c r="E322" s="638" t="b">
        <f>+ISERROR(MATCH(A322,'Linked TB'!$A$9:$A$738,0))</f>
        <v>0</v>
      </c>
    </row>
    <row r="323" spans="1:5">
      <c r="A323" s="637">
        <v>6025</v>
      </c>
      <c r="B323" s="638" t="s">
        <v>249</v>
      </c>
      <c r="C323" s="638" t="s">
        <v>952</v>
      </c>
      <c r="D323" s="457">
        <f>IF(ISERROR(VLOOKUP(A323,'TB Hard Code'!B:D,3,FALSE)),0,VLOOKUP(A323,'TB Hard Code'!B:D,3,FALSE))</f>
        <v>12783.08</v>
      </c>
      <c r="E323" s="638" t="b">
        <f>+ISERROR(MATCH(A323,'Linked TB'!$A$9:$A$738,0))</f>
        <v>0</v>
      </c>
    </row>
    <row r="324" spans="1:5">
      <c r="A324" s="637">
        <v>6035</v>
      </c>
      <c r="B324" s="638" t="s">
        <v>251</v>
      </c>
      <c r="C324" s="638" t="s">
        <v>952</v>
      </c>
      <c r="D324" s="457">
        <f>IF(ISERROR(VLOOKUP(A324,'TB Hard Code'!B:D,3,FALSE)),0,VLOOKUP(A324,'TB Hard Code'!B:D,3,FALSE))</f>
        <v>2645.3</v>
      </c>
      <c r="E324" s="638" t="b">
        <f>+ISERROR(MATCH(A324,'Linked TB'!$A$9:$A$738,0))</f>
        <v>0</v>
      </c>
    </row>
    <row r="325" spans="1:5">
      <c r="A325" s="637">
        <v>6040</v>
      </c>
      <c r="B325" s="638" t="s">
        <v>252</v>
      </c>
      <c r="C325" s="638" t="s">
        <v>952</v>
      </c>
      <c r="D325" s="457">
        <f>IF(ISERROR(VLOOKUP(A325,'TB Hard Code'!B:D,3,FALSE)),0,VLOOKUP(A325,'TB Hard Code'!B:D,3,FALSE))</f>
        <v>28799.350000000002</v>
      </c>
      <c r="E325" s="638" t="b">
        <f>+ISERROR(MATCH(A325,'Linked TB'!$A$9:$A$738,0))</f>
        <v>0</v>
      </c>
    </row>
    <row r="326" spans="1:5">
      <c r="A326" s="637">
        <v>6045</v>
      </c>
      <c r="B326" s="638" t="s">
        <v>253</v>
      </c>
      <c r="C326" s="638" t="s">
        <v>952</v>
      </c>
      <c r="D326" s="457">
        <f>IF(ISERROR(VLOOKUP(A326,'TB Hard Code'!B:D,3,FALSE)),0,VLOOKUP(A326,'TB Hard Code'!B:D,3,FALSE))</f>
        <v>348.26</v>
      </c>
      <c r="E326" s="638" t="b">
        <f>+ISERROR(MATCH(A326,'Linked TB'!$A$9:$A$738,0))</f>
        <v>0</v>
      </c>
    </row>
    <row r="327" spans="1:5">
      <c r="A327" s="637">
        <v>6050</v>
      </c>
      <c r="B327" s="638" t="s">
        <v>254</v>
      </c>
      <c r="C327" s="638" t="s">
        <v>952</v>
      </c>
      <c r="D327" s="457">
        <f>IF(ISERROR(VLOOKUP(A327,'TB Hard Code'!B:D,3,FALSE)),0,VLOOKUP(A327,'TB Hard Code'!B:D,3,FALSE))</f>
        <v>11932.849999999999</v>
      </c>
      <c r="E327" s="638" t="b">
        <f>+ISERROR(MATCH(A327,'Linked TB'!$A$9:$A$738,0))</f>
        <v>0</v>
      </c>
    </row>
    <row r="328" spans="1:5">
      <c r="A328" s="637">
        <v>6065</v>
      </c>
      <c r="B328" s="638" t="s">
        <v>255</v>
      </c>
      <c r="C328" s="638" t="s">
        <v>952</v>
      </c>
      <c r="D328" s="457">
        <f>IF(ISERROR(VLOOKUP(A328,'TB Hard Code'!B:D,3,FALSE)),0,VLOOKUP(A328,'TB Hard Code'!B:D,3,FALSE))</f>
        <v>89438.599999999991</v>
      </c>
      <c r="E328" s="638" t="b">
        <f>+ISERROR(MATCH(A328,'Linked TB'!$A$9:$A$738,0))</f>
        <v>0</v>
      </c>
    </row>
    <row r="329" spans="1:5">
      <c r="A329" s="637">
        <v>6070</v>
      </c>
      <c r="B329" s="638" t="s">
        <v>256</v>
      </c>
      <c r="C329" s="638" t="s">
        <v>952</v>
      </c>
      <c r="D329" s="457">
        <f>IF(ISERROR(VLOOKUP(A329,'TB Hard Code'!B:D,3,FALSE)),0,VLOOKUP(A329,'TB Hard Code'!B:D,3,FALSE))</f>
        <v>1799.9999999999998</v>
      </c>
      <c r="E329" s="638" t="b">
        <f>+ISERROR(MATCH(A329,'Linked TB'!$A$9:$A$738,0))</f>
        <v>0</v>
      </c>
    </row>
    <row r="330" spans="1:5" s="1405" customFormat="1">
      <c r="A330" s="1404">
        <v>6080</v>
      </c>
      <c r="B330" s="1405" t="s">
        <v>2295</v>
      </c>
      <c r="C330" s="1405" t="s">
        <v>952</v>
      </c>
      <c r="D330" s="1406">
        <f>IF(ISERROR(VLOOKUP(A330,'TB Hard Code'!B:D,3,FALSE)),0,VLOOKUP(A330,'TB Hard Code'!B:D,3,FALSE))</f>
        <v>23077.62</v>
      </c>
      <c r="E330" s="1405" t="b">
        <f>+ISERROR(MATCH(A330,'Linked TB'!$A$9:$A$738,0))</f>
        <v>0</v>
      </c>
    </row>
    <row r="331" spans="1:5">
      <c r="A331" s="637">
        <v>6090</v>
      </c>
      <c r="B331" s="638" t="s">
        <v>258</v>
      </c>
      <c r="C331" s="638" t="s">
        <v>952</v>
      </c>
      <c r="D331" s="457">
        <f>IF(ISERROR(VLOOKUP(A331,'TB Hard Code'!B:D,3,FALSE)),0,VLOOKUP(A331,'TB Hard Code'!B:D,3,FALSE))</f>
        <v>8209.66</v>
      </c>
      <c r="E331" s="638" t="b">
        <f>+ISERROR(MATCH(A331,'Linked TB'!$A$9:$A$738,0))</f>
        <v>0</v>
      </c>
    </row>
    <row r="332" spans="1:5">
      <c r="A332" s="637">
        <v>6110</v>
      </c>
      <c r="B332" s="638" t="s">
        <v>605</v>
      </c>
      <c r="C332" s="638" t="s">
        <v>952</v>
      </c>
      <c r="D332" s="457">
        <f>IF(ISERROR(VLOOKUP(A332,'TB Hard Code'!B:D,3,FALSE)),0,VLOOKUP(A332,'TB Hard Code'!B:D,3,FALSE))</f>
        <v>28277.84</v>
      </c>
      <c r="E332" s="638" t="b">
        <f>+ISERROR(MATCH(A332,'Linked TB'!$A$9:$A$738,0))</f>
        <v>0</v>
      </c>
    </row>
    <row r="333" spans="1:5">
      <c r="A333" s="637">
        <v>6115</v>
      </c>
      <c r="B333" s="638" t="s">
        <v>606</v>
      </c>
      <c r="C333" s="638" t="s">
        <v>952</v>
      </c>
      <c r="D333" s="457">
        <f>IF(ISERROR(VLOOKUP(A333,'TB Hard Code'!B:D,3,FALSE)),0,VLOOKUP(A333,'TB Hard Code'!B:D,3,FALSE))</f>
        <v>4468.05</v>
      </c>
      <c r="E333" s="638" t="b">
        <f>+ISERROR(MATCH(A333,'Linked TB'!$A$9:$A$738,0))</f>
        <v>0</v>
      </c>
    </row>
    <row r="334" spans="1:5">
      <c r="A334" s="637">
        <v>6120</v>
      </c>
      <c r="B334" s="638" t="s">
        <v>607</v>
      </c>
      <c r="C334" s="638" t="s">
        <v>952</v>
      </c>
      <c r="D334" s="457">
        <f>IF(ISERROR(VLOOKUP(A334,'TB Hard Code'!B:D,3,FALSE)),0,VLOOKUP(A334,'TB Hard Code'!B:D,3,FALSE))</f>
        <v>18459.129999999997</v>
      </c>
      <c r="E334" s="638" t="b">
        <f>+ISERROR(MATCH(A334,'Linked TB'!$A$9:$A$738,0))</f>
        <v>0</v>
      </c>
    </row>
    <row r="335" spans="1:5">
      <c r="A335" s="637">
        <v>6125</v>
      </c>
      <c r="B335" s="638" t="s">
        <v>608</v>
      </c>
      <c r="C335" s="638" t="s">
        <v>952</v>
      </c>
      <c r="D335" s="457">
        <f>IF(ISERROR(VLOOKUP(A335,'TB Hard Code'!B:D,3,FALSE)),0,VLOOKUP(A335,'TB Hard Code'!B:D,3,FALSE))</f>
        <v>4225.5199999999995</v>
      </c>
      <c r="E335" s="638" t="b">
        <f>+ISERROR(MATCH(A335,'Linked TB'!$A$9:$A$738,0))</f>
        <v>0</v>
      </c>
    </row>
    <row r="336" spans="1:5">
      <c r="A336" s="637">
        <v>6130</v>
      </c>
      <c r="B336" s="638" t="s">
        <v>609</v>
      </c>
      <c r="C336" s="638" t="s">
        <v>952</v>
      </c>
      <c r="D336" s="457">
        <f>IF(ISERROR(VLOOKUP(A336,'TB Hard Code'!B:D,3,FALSE)),0,VLOOKUP(A336,'TB Hard Code'!B:D,3,FALSE))</f>
        <v>9798.2900000000009</v>
      </c>
      <c r="E336" s="638" t="b">
        <f>+ISERROR(MATCH(A336,'Linked TB'!$A$9:$A$738,0))</f>
        <v>0</v>
      </c>
    </row>
    <row r="337" spans="1:5">
      <c r="A337" s="637">
        <v>6135</v>
      </c>
      <c r="B337" s="638" t="s">
        <v>610</v>
      </c>
      <c r="C337" s="638" t="s">
        <v>952</v>
      </c>
      <c r="D337" s="457">
        <f>IF(ISERROR(VLOOKUP(A337,'TB Hard Code'!B:D,3,FALSE)),0,VLOOKUP(A337,'TB Hard Code'!B:D,3,FALSE))</f>
        <v>65862.959999999992</v>
      </c>
      <c r="E337" s="638" t="b">
        <f>+ISERROR(MATCH(A337,'Linked TB'!$A$9:$A$738,0))</f>
        <v>0</v>
      </c>
    </row>
    <row r="338" spans="1:5">
      <c r="A338" s="637">
        <v>6140</v>
      </c>
      <c r="B338" s="638" t="s">
        <v>611</v>
      </c>
      <c r="C338" s="638" t="s">
        <v>952</v>
      </c>
      <c r="D338" s="457">
        <f>IF(ISERROR(VLOOKUP(A338,'TB Hard Code'!B:D,3,FALSE)),0,VLOOKUP(A338,'TB Hard Code'!B:D,3,FALSE))</f>
        <v>9369.7899999999991</v>
      </c>
      <c r="E338" s="638" t="b">
        <f>+ISERROR(MATCH(A338,'Linked TB'!$A$9:$A$738,0))</f>
        <v>0</v>
      </c>
    </row>
    <row r="339" spans="1:5">
      <c r="A339" s="637">
        <v>6145</v>
      </c>
      <c r="B339" s="638" t="s">
        <v>612</v>
      </c>
      <c r="C339" s="638" t="s">
        <v>952</v>
      </c>
      <c r="D339" s="457">
        <f>IF(ISERROR(VLOOKUP(A339,'TB Hard Code'!B:D,3,FALSE)),0,VLOOKUP(A339,'TB Hard Code'!B:D,3,FALSE))</f>
        <v>27578.94</v>
      </c>
      <c r="E339" s="638" t="b">
        <f>+ISERROR(MATCH(A339,'Linked TB'!$A$9:$A$738,0))</f>
        <v>0</v>
      </c>
    </row>
    <row r="340" spans="1:5">
      <c r="A340" s="637">
        <v>6146</v>
      </c>
      <c r="B340" s="638" t="s">
        <v>1311</v>
      </c>
      <c r="C340" s="638" t="s">
        <v>952</v>
      </c>
      <c r="D340" s="457">
        <f>IF(ISERROR(VLOOKUP(A340,'TB Hard Code'!B:D,3,FALSE)),0,VLOOKUP(A340,'TB Hard Code'!B:D,3,FALSE))</f>
        <v>11893.780000000002</v>
      </c>
      <c r="E340" s="638" t="b">
        <f>+ISERROR(MATCH(A340,'Linked TB'!$A$9:$A$738,0))</f>
        <v>0</v>
      </c>
    </row>
    <row r="341" spans="1:5">
      <c r="A341" s="637">
        <v>6147</v>
      </c>
      <c r="B341" s="638" t="s">
        <v>1312</v>
      </c>
      <c r="C341" s="638" t="s">
        <v>952</v>
      </c>
      <c r="D341" s="457">
        <f>IF(ISERROR(VLOOKUP(A341,'TB Hard Code'!B:D,3,FALSE)),0,VLOOKUP(A341,'TB Hard Code'!B:D,3,FALSE))</f>
        <v>0</v>
      </c>
      <c r="E341" s="638" t="b">
        <f>+ISERROR(MATCH(A341,'Linked TB'!$A$9:$A$738,0))</f>
        <v>0</v>
      </c>
    </row>
    <row r="342" spans="1:5">
      <c r="A342" s="637">
        <v>6150</v>
      </c>
      <c r="B342" s="638" t="s">
        <v>613</v>
      </c>
      <c r="C342" s="638" t="s">
        <v>952</v>
      </c>
      <c r="D342" s="457">
        <f>IF(ISERROR(VLOOKUP(A342,'TB Hard Code'!B:D,3,FALSE)),0,VLOOKUP(A342,'TB Hard Code'!B:D,3,FALSE))</f>
        <v>444959.46000000049</v>
      </c>
      <c r="E342" s="638" t="b">
        <f>+ISERROR(MATCH(A342,'Linked TB'!$A$9:$A$738,0))</f>
        <v>0</v>
      </c>
    </row>
    <row r="343" spans="1:5">
      <c r="A343" s="637">
        <v>6155</v>
      </c>
      <c r="B343" s="638" t="s">
        <v>614</v>
      </c>
      <c r="C343" s="638" t="s">
        <v>952</v>
      </c>
      <c r="D343" s="457">
        <f>IF(ISERROR(VLOOKUP(A343,'TB Hard Code'!B:D,3,FALSE)),0,VLOOKUP(A343,'TB Hard Code'!B:D,3,FALSE))</f>
        <v>44883.149999999987</v>
      </c>
      <c r="E343" s="638" t="b">
        <f>+ISERROR(MATCH(A343,'Linked TB'!$A$9:$A$738,0))</f>
        <v>0</v>
      </c>
    </row>
    <row r="344" spans="1:5" s="1405" customFormat="1">
      <c r="A344" s="1404">
        <v>6160</v>
      </c>
      <c r="B344" s="1405" t="s">
        <v>2296</v>
      </c>
      <c r="C344" s="1405" t="s">
        <v>952</v>
      </c>
      <c r="D344" s="1406">
        <f>IF(ISERROR(VLOOKUP(A344,'TB Hard Code'!B:D,3,FALSE)),0,VLOOKUP(A344,'TB Hard Code'!B:D,3,FALSE))</f>
        <v>6776.66</v>
      </c>
      <c r="E344" s="1405" t="b">
        <f>+ISERROR(MATCH(A344,'Linked TB'!$A$9:$A$738,0))</f>
        <v>0</v>
      </c>
    </row>
    <row r="345" spans="1:5">
      <c r="A345" s="637">
        <v>6165</v>
      </c>
      <c r="B345" s="638" t="s">
        <v>616</v>
      </c>
      <c r="C345" s="638" t="s">
        <v>952</v>
      </c>
      <c r="D345" s="457">
        <f>IF(ISERROR(VLOOKUP(A345,'TB Hard Code'!B:D,3,FALSE)),0,VLOOKUP(A345,'TB Hard Code'!B:D,3,FALSE))</f>
        <v>-159697.67000000077</v>
      </c>
      <c r="E345" s="638" t="b">
        <f>+ISERROR(MATCH(A345,'Linked TB'!$A$9:$A$738,0))</f>
        <v>0</v>
      </c>
    </row>
    <row r="346" spans="1:5">
      <c r="A346" s="637">
        <v>6185</v>
      </c>
      <c r="B346" s="638" t="s">
        <v>618</v>
      </c>
      <c r="C346" s="638" t="s">
        <v>952</v>
      </c>
      <c r="D346" s="457">
        <f>IF(ISERROR(VLOOKUP(A346,'TB Hard Code'!B:D,3,FALSE)),0,VLOOKUP(A346,'TB Hard Code'!B:D,3,FALSE))</f>
        <v>5531.87</v>
      </c>
      <c r="E346" s="638" t="b">
        <f>+ISERROR(MATCH(A346,'Linked TB'!$A$9:$A$738,0))</f>
        <v>0</v>
      </c>
    </row>
    <row r="347" spans="1:5">
      <c r="A347" s="637">
        <v>6190</v>
      </c>
      <c r="B347" s="638" t="s">
        <v>619</v>
      </c>
      <c r="C347" s="638" t="s">
        <v>952</v>
      </c>
      <c r="D347" s="457">
        <f>IF(ISERROR(VLOOKUP(A347,'TB Hard Code'!B:D,3,FALSE)),0,VLOOKUP(A347,'TB Hard Code'!B:D,3,FALSE))</f>
        <v>2752.8</v>
      </c>
      <c r="E347" s="638" t="b">
        <f>+ISERROR(MATCH(A347,'Linked TB'!$A$9:$A$738,0))</f>
        <v>0</v>
      </c>
    </row>
    <row r="348" spans="1:5">
      <c r="A348" s="637">
        <v>6195</v>
      </c>
      <c r="B348" s="638" t="s">
        <v>620</v>
      </c>
      <c r="C348" s="638" t="s">
        <v>952</v>
      </c>
      <c r="D348" s="457">
        <f>IF(ISERROR(VLOOKUP(A348,'TB Hard Code'!B:D,3,FALSE)),0,VLOOKUP(A348,'TB Hard Code'!B:D,3,FALSE))</f>
        <v>696.32</v>
      </c>
      <c r="E348" s="638" t="b">
        <f>+ISERROR(MATCH(A348,'Linked TB'!$A$9:$A$738,0))</f>
        <v>0</v>
      </c>
    </row>
    <row r="349" spans="1:5">
      <c r="A349" s="637">
        <v>6200</v>
      </c>
      <c r="B349" s="638" t="s">
        <v>621</v>
      </c>
      <c r="C349" s="638" t="s">
        <v>952</v>
      </c>
      <c r="D349" s="457">
        <f>IF(ISERROR(VLOOKUP(A349,'TB Hard Code'!B:D,3,FALSE)),0,VLOOKUP(A349,'TB Hard Code'!B:D,3,FALSE))</f>
        <v>2637.65</v>
      </c>
      <c r="E349" s="638" t="b">
        <f>+ISERROR(MATCH(A349,'Linked TB'!$A$9:$A$738,0))</f>
        <v>0</v>
      </c>
    </row>
    <row r="350" spans="1:5">
      <c r="A350" s="637">
        <v>6205</v>
      </c>
      <c r="B350" s="638" t="s">
        <v>622</v>
      </c>
      <c r="C350" s="638" t="s">
        <v>952</v>
      </c>
      <c r="D350" s="457">
        <f>IF(ISERROR(VLOOKUP(A350,'TB Hard Code'!B:D,3,FALSE)),0,VLOOKUP(A350,'TB Hard Code'!B:D,3,FALSE))</f>
        <v>57.199999999999996</v>
      </c>
      <c r="E350" s="638" t="b">
        <f>+ISERROR(MATCH(A350,'Linked TB'!$A$9:$A$738,0))</f>
        <v>0</v>
      </c>
    </row>
    <row r="351" spans="1:5">
      <c r="A351" s="637">
        <v>6207</v>
      </c>
      <c r="B351" s="638" t="s">
        <v>623</v>
      </c>
      <c r="C351" s="638" t="s">
        <v>952</v>
      </c>
      <c r="D351" s="457">
        <f>IF(ISERROR(VLOOKUP(A351,'TB Hard Code'!B:D,3,FALSE)),0,VLOOKUP(A351,'TB Hard Code'!B:D,3,FALSE))</f>
        <v>183.42999999999998</v>
      </c>
      <c r="E351" s="638" t="b">
        <f>+ISERROR(MATCH(A351,'Linked TB'!$A$9:$A$738,0))</f>
        <v>0</v>
      </c>
    </row>
    <row r="352" spans="1:5">
      <c r="A352" s="637">
        <v>6215</v>
      </c>
      <c r="B352" s="638" t="s">
        <v>624</v>
      </c>
      <c r="C352" s="638" t="s">
        <v>952</v>
      </c>
      <c r="D352" s="457">
        <f>IF(ISERROR(VLOOKUP(A352,'TB Hard Code'!B:D,3,FALSE)),0,VLOOKUP(A352,'TB Hard Code'!B:D,3,FALSE))</f>
        <v>24772.33</v>
      </c>
      <c r="E352" s="638" t="b">
        <f>+ISERROR(MATCH(A352,'Linked TB'!$A$9:$A$738,0))</f>
        <v>0</v>
      </c>
    </row>
    <row r="353" spans="1:5">
      <c r="A353" s="637">
        <v>6220</v>
      </c>
      <c r="B353" s="638" t="s">
        <v>625</v>
      </c>
      <c r="C353" s="638" t="s">
        <v>952</v>
      </c>
      <c r="D353" s="457">
        <f>IF(ISERROR(VLOOKUP(A353,'TB Hard Code'!B:D,3,FALSE)),0,VLOOKUP(A353,'TB Hard Code'!B:D,3,FALSE))</f>
        <v>11426.15</v>
      </c>
      <c r="E353" s="638" t="b">
        <f>+ISERROR(MATCH(A353,'Linked TB'!$A$9:$A$738,0))</f>
        <v>0</v>
      </c>
    </row>
    <row r="354" spans="1:5">
      <c r="A354" s="637">
        <v>6225</v>
      </c>
      <c r="B354" s="638" t="s">
        <v>626</v>
      </c>
      <c r="C354" s="638" t="s">
        <v>952</v>
      </c>
      <c r="D354" s="457">
        <f>IF(ISERROR(VLOOKUP(A354,'TB Hard Code'!B:D,3,FALSE)),0,VLOOKUP(A354,'TB Hard Code'!B:D,3,FALSE))</f>
        <v>709.77</v>
      </c>
      <c r="E354" s="638" t="b">
        <f>+ISERROR(MATCH(A354,'Linked TB'!$A$9:$A$738,0))</f>
        <v>0</v>
      </c>
    </row>
    <row r="355" spans="1:5">
      <c r="A355" s="637">
        <v>6230</v>
      </c>
      <c r="B355" s="638" t="s">
        <v>627</v>
      </c>
      <c r="C355" s="638" t="s">
        <v>952</v>
      </c>
      <c r="D355" s="457">
        <f>IF(ISERROR(VLOOKUP(A355,'TB Hard Code'!B:D,3,FALSE)),0,VLOOKUP(A355,'TB Hard Code'!B:D,3,FALSE))</f>
        <v>2135.2199999999998</v>
      </c>
      <c r="E355" s="638" t="b">
        <f>+ISERROR(MATCH(A355,'Linked TB'!$A$9:$A$738,0))</f>
        <v>0</v>
      </c>
    </row>
    <row r="356" spans="1:5">
      <c r="A356" s="637">
        <v>6255</v>
      </c>
      <c r="B356" s="638" t="s">
        <v>628</v>
      </c>
      <c r="C356" s="638" t="s">
        <v>952</v>
      </c>
      <c r="D356" s="457">
        <f>IF(ISERROR(VLOOKUP(A356,'TB Hard Code'!B:D,3,FALSE)),0,VLOOKUP(A356,'TB Hard Code'!B:D,3,FALSE))</f>
        <v>19573.230000000003</v>
      </c>
      <c r="E356" s="638" t="b">
        <f>+ISERROR(MATCH(A356,'Linked TB'!$A$9:$A$738,0))</f>
        <v>0</v>
      </c>
    </row>
    <row r="357" spans="1:5">
      <c r="A357" s="637">
        <v>6260</v>
      </c>
      <c r="B357" s="638" t="s">
        <v>629</v>
      </c>
      <c r="C357" s="638" t="s">
        <v>952</v>
      </c>
      <c r="D357" s="457">
        <f>IF(ISERROR(VLOOKUP(A357,'TB Hard Code'!B:D,3,FALSE)),0,VLOOKUP(A357,'TB Hard Code'!B:D,3,FALSE))</f>
        <v>9638.18</v>
      </c>
      <c r="E357" s="638" t="b">
        <f>+ISERROR(MATCH(A357,'Linked TB'!$A$9:$A$738,0))</f>
        <v>0</v>
      </c>
    </row>
    <row r="358" spans="1:5">
      <c r="A358" s="637">
        <v>6265</v>
      </c>
      <c r="B358" s="638" t="s">
        <v>259</v>
      </c>
      <c r="C358" s="638" t="s">
        <v>952</v>
      </c>
      <c r="D358" s="457">
        <f>IF(ISERROR(VLOOKUP(A358,'TB Hard Code'!B:D,3,FALSE)),0,VLOOKUP(A358,'TB Hard Code'!B:D,3,FALSE))</f>
        <v>203.26</v>
      </c>
      <c r="E358" s="638" t="b">
        <f>+ISERROR(MATCH(A358,'Linked TB'!$A$9:$A$738,0))</f>
        <v>0</v>
      </c>
    </row>
    <row r="359" spans="1:5">
      <c r="A359" s="637">
        <v>6270</v>
      </c>
      <c r="B359" s="638" t="s">
        <v>260</v>
      </c>
      <c r="C359" s="638" t="s">
        <v>952</v>
      </c>
      <c r="D359" s="457">
        <f>IF(ISERROR(VLOOKUP(A359,'TB Hard Code'!B:D,3,FALSE)),0,VLOOKUP(A359,'TB Hard Code'!B:D,3,FALSE))</f>
        <v>8187.69</v>
      </c>
      <c r="E359" s="638" t="b">
        <f>+ISERROR(MATCH(A359,'Linked TB'!$A$9:$A$738,0))</f>
        <v>0</v>
      </c>
    </row>
    <row r="360" spans="1:5">
      <c r="A360" s="637">
        <v>6285</v>
      </c>
      <c r="B360" s="638" t="s">
        <v>261</v>
      </c>
      <c r="C360" s="638" t="s">
        <v>952</v>
      </c>
      <c r="D360" s="457">
        <f>IF(ISERROR(VLOOKUP(A360,'TB Hard Code'!B:D,3,FALSE)),0,VLOOKUP(A360,'TB Hard Code'!B:D,3,FALSE))</f>
        <v>8071.6799999999985</v>
      </c>
      <c r="E360" s="638" t="b">
        <f>+ISERROR(MATCH(A360,'Linked TB'!$A$9:$A$738,0))</f>
        <v>0</v>
      </c>
    </row>
    <row r="361" spans="1:5">
      <c r="A361" s="637">
        <v>6290</v>
      </c>
      <c r="B361" s="638" t="s">
        <v>262</v>
      </c>
      <c r="C361" s="638" t="s">
        <v>952</v>
      </c>
      <c r="D361" s="457">
        <f>IF(ISERROR(VLOOKUP(A361,'TB Hard Code'!B:D,3,FALSE)),0,VLOOKUP(A361,'TB Hard Code'!B:D,3,FALSE))</f>
        <v>9888.02</v>
      </c>
      <c r="E361" s="638" t="b">
        <f>+ISERROR(MATCH(A361,'Linked TB'!$A$9:$A$738,0))</f>
        <v>0</v>
      </c>
    </row>
    <row r="362" spans="1:5">
      <c r="A362" s="637">
        <v>6295</v>
      </c>
      <c r="B362" s="638" t="s">
        <v>263</v>
      </c>
      <c r="C362" s="638" t="s">
        <v>952</v>
      </c>
      <c r="D362" s="457">
        <f>IF(ISERROR(VLOOKUP(A362,'TB Hard Code'!B:D,3,FALSE)),0,VLOOKUP(A362,'TB Hard Code'!B:D,3,FALSE))</f>
        <v>10643.11</v>
      </c>
      <c r="E362" s="638" t="b">
        <f>+ISERROR(MATCH(A362,'Linked TB'!$A$9:$A$738,0))</f>
        <v>0</v>
      </c>
    </row>
    <row r="363" spans="1:5">
      <c r="A363" s="637">
        <v>6300</v>
      </c>
      <c r="B363" s="638" t="s">
        <v>264</v>
      </c>
      <c r="C363" s="638" t="s">
        <v>952</v>
      </c>
      <c r="D363" s="457">
        <f>IF(ISERROR(VLOOKUP(A363,'TB Hard Code'!B:D,3,FALSE)),0,VLOOKUP(A363,'TB Hard Code'!B:D,3,FALSE))</f>
        <v>90.1</v>
      </c>
      <c r="E363" s="638" t="b">
        <f>+ISERROR(MATCH(A363,'Linked TB'!$A$9:$A$738,0))</f>
        <v>0</v>
      </c>
    </row>
    <row r="364" spans="1:5">
      <c r="A364" s="637">
        <v>6310</v>
      </c>
      <c r="B364" s="638" t="s">
        <v>266</v>
      </c>
      <c r="C364" s="638" t="s">
        <v>952</v>
      </c>
      <c r="D364" s="457">
        <f>IF(ISERROR(VLOOKUP(A364,'TB Hard Code'!B:D,3,FALSE)),0,VLOOKUP(A364,'TB Hard Code'!B:D,3,FALSE))</f>
        <v>26047.65</v>
      </c>
      <c r="E364" s="638" t="b">
        <f>+ISERROR(MATCH(A364,'Linked TB'!$A$9:$A$738,0))</f>
        <v>0</v>
      </c>
    </row>
    <row r="365" spans="1:5">
      <c r="A365" s="637">
        <v>6320</v>
      </c>
      <c r="B365" s="638" t="s">
        <v>267</v>
      </c>
      <c r="C365" s="638" t="s">
        <v>952</v>
      </c>
      <c r="D365" s="457">
        <f>IF(ISERROR(VLOOKUP(A365,'TB Hard Code'!B:D,3,FALSE)),0,VLOOKUP(A365,'TB Hard Code'!B:D,3,FALSE))</f>
        <v>1752.5500000000002</v>
      </c>
      <c r="E365" s="638" t="b">
        <f>+ISERROR(MATCH(A365,'Linked TB'!$A$9:$A$738,0))</f>
        <v>0</v>
      </c>
    </row>
    <row r="366" spans="1:5">
      <c r="A366" s="637">
        <v>6325</v>
      </c>
      <c r="B366" s="638" t="s">
        <v>268</v>
      </c>
      <c r="C366" s="638" t="s">
        <v>952</v>
      </c>
      <c r="D366" s="457">
        <f>IF(ISERROR(VLOOKUP(A366,'TB Hard Code'!B:D,3,FALSE)),0,VLOOKUP(A366,'TB Hard Code'!B:D,3,FALSE))</f>
        <v>1500</v>
      </c>
      <c r="E366" s="638" t="b">
        <f>+ISERROR(MATCH(A366,'Linked TB'!$A$9:$A$738,0))</f>
        <v>0</v>
      </c>
    </row>
    <row r="367" spans="1:5">
      <c r="A367" s="637">
        <v>6330</v>
      </c>
      <c r="B367" s="638" t="s">
        <v>269</v>
      </c>
      <c r="C367" s="638" t="s">
        <v>952</v>
      </c>
      <c r="D367" s="457">
        <f>IF(ISERROR(VLOOKUP(A367,'TB Hard Code'!B:D,3,FALSE)),0,VLOOKUP(A367,'TB Hard Code'!B:D,3,FALSE))</f>
        <v>0</v>
      </c>
      <c r="E367" s="638" t="b">
        <f>+ISERROR(MATCH(A367,'Linked TB'!$A$9:$A$738,0))</f>
        <v>0</v>
      </c>
    </row>
    <row r="368" spans="1:5">
      <c r="A368" s="637">
        <v>6335</v>
      </c>
      <c r="B368" s="638" t="s">
        <v>270</v>
      </c>
      <c r="C368" s="638" t="s">
        <v>952</v>
      </c>
      <c r="D368" s="457">
        <f>IF(ISERROR(VLOOKUP(A368,'TB Hard Code'!B:D,3,FALSE)),0,VLOOKUP(A368,'TB Hard Code'!B:D,3,FALSE))</f>
        <v>7721.1200000000008</v>
      </c>
      <c r="E368" s="638" t="b">
        <f>+ISERROR(MATCH(A368,'Linked TB'!$A$9:$A$738,0))</f>
        <v>0</v>
      </c>
    </row>
    <row r="369" spans="1:5">
      <c r="A369" s="637">
        <v>6340</v>
      </c>
      <c r="B369" s="638" t="s">
        <v>271</v>
      </c>
      <c r="C369" s="638" t="s">
        <v>952</v>
      </c>
      <c r="D369" s="457">
        <f>IF(ISERROR(VLOOKUP(A369,'TB Hard Code'!B:D,3,FALSE)),0,VLOOKUP(A369,'TB Hard Code'!B:D,3,FALSE))</f>
        <v>0</v>
      </c>
      <c r="E369" s="638" t="b">
        <f>+ISERROR(MATCH(A369,'Linked TB'!$A$9:$A$738,0))</f>
        <v>0</v>
      </c>
    </row>
    <row r="370" spans="1:5">
      <c r="A370" s="637">
        <v>6345</v>
      </c>
      <c r="B370" s="638" t="s">
        <v>272</v>
      </c>
      <c r="C370" s="638" t="s">
        <v>952</v>
      </c>
      <c r="D370" s="457">
        <f>IF(ISERROR(VLOOKUP(A370,'TB Hard Code'!B:D,3,FALSE)),0,VLOOKUP(A370,'TB Hard Code'!B:D,3,FALSE))</f>
        <v>3710.18</v>
      </c>
      <c r="E370" s="638" t="b">
        <f>+ISERROR(MATCH(A370,'Linked TB'!$A$9:$A$738,0))</f>
        <v>0</v>
      </c>
    </row>
    <row r="371" spans="1:5">
      <c r="A371" s="637">
        <v>6355</v>
      </c>
      <c r="B371" s="638" t="s">
        <v>273</v>
      </c>
      <c r="C371" s="638" t="s">
        <v>952</v>
      </c>
      <c r="D371" s="457">
        <f>IF(ISERROR(VLOOKUP(A371,'TB Hard Code'!B:D,3,FALSE)),0,VLOOKUP(A371,'TB Hard Code'!B:D,3,FALSE))</f>
        <v>19977.39</v>
      </c>
      <c r="E371" s="638" t="b">
        <f>+ISERROR(MATCH(A371,'Linked TB'!$A$9:$A$738,0))</f>
        <v>0</v>
      </c>
    </row>
    <row r="372" spans="1:5">
      <c r="A372" s="637">
        <v>6360</v>
      </c>
      <c r="B372" s="638" t="s">
        <v>274</v>
      </c>
      <c r="C372" s="638" t="s">
        <v>952</v>
      </c>
      <c r="D372" s="457">
        <f>IF(ISERROR(VLOOKUP(A372,'TB Hard Code'!B:D,3,FALSE)),0,VLOOKUP(A372,'TB Hard Code'!B:D,3,FALSE))</f>
        <v>187.89</v>
      </c>
      <c r="E372" s="638" t="b">
        <f>+ISERROR(MATCH(A372,'Linked TB'!$A$9:$A$738,0))</f>
        <v>0</v>
      </c>
    </row>
    <row r="373" spans="1:5">
      <c r="A373" s="637">
        <v>6370</v>
      </c>
      <c r="B373" s="638" t="s">
        <v>276</v>
      </c>
      <c r="C373" s="638" t="s">
        <v>952</v>
      </c>
      <c r="D373" s="457">
        <f>IF(ISERROR(VLOOKUP(A373,'TB Hard Code'!B:D,3,FALSE)),0,VLOOKUP(A373,'TB Hard Code'!B:D,3,FALSE))</f>
        <v>7200</v>
      </c>
      <c r="E373" s="638" t="b">
        <f>+ISERROR(MATCH(A373,'Linked TB'!$A$9:$A$738,0))</f>
        <v>0</v>
      </c>
    </row>
    <row r="374" spans="1:5">
      <c r="A374" s="637">
        <v>6380</v>
      </c>
      <c r="B374" s="638" t="s">
        <v>29</v>
      </c>
      <c r="C374" s="638" t="s">
        <v>952</v>
      </c>
      <c r="D374" s="457">
        <f>IF(ISERROR(VLOOKUP(A374,'TB Hard Code'!B:D,3,FALSE)),0,VLOOKUP(A374,'TB Hard Code'!B:D,3,FALSE))</f>
        <v>0</v>
      </c>
      <c r="E374" s="638" t="b">
        <f>+ISERROR(MATCH(A374,'Linked TB'!$A$9:$A$738,0))</f>
        <v>0</v>
      </c>
    </row>
    <row r="375" spans="1:5">
      <c r="A375" s="637">
        <v>6385</v>
      </c>
      <c r="B375" s="638" t="s">
        <v>30</v>
      </c>
      <c r="C375" s="638" t="s">
        <v>952</v>
      </c>
      <c r="D375" s="457">
        <f>IF(ISERROR(VLOOKUP(A375,'TB Hard Code'!B:D,3,FALSE)),0,VLOOKUP(A375,'TB Hard Code'!B:D,3,FALSE))</f>
        <v>2595.16</v>
      </c>
      <c r="E375" s="638" t="b">
        <f>+ISERROR(MATCH(A375,'Linked TB'!$A$9:$A$738,0))</f>
        <v>0</v>
      </c>
    </row>
    <row r="376" spans="1:5">
      <c r="A376" s="637">
        <v>6390</v>
      </c>
      <c r="B376" s="638" t="s">
        <v>1313</v>
      </c>
      <c r="C376" s="638" t="s">
        <v>952</v>
      </c>
      <c r="D376" s="457">
        <f>IF(ISERROR(VLOOKUP(A376,'TB Hard Code'!B:D,3,FALSE)),0,VLOOKUP(A376,'TB Hard Code'!B:D,3,FALSE))</f>
        <v>2067.4500000000003</v>
      </c>
      <c r="E376" s="638" t="b">
        <f>+ISERROR(MATCH(A376,'Linked TB'!$A$9:$A$738,0))</f>
        <v>0</v>
      </c>
    </row>
    <row r="377" spans="1:5">
      <c r="A377" s="637">
        <v>6400</v>
      </c>
      <c r="B377" s="638" t="s">
        <v>32</v>
      </c>
      <c r="C377" s="638" t="s">
        <v>952</v>
      </c>
      <c r="D377" s="457">
        <f>IF(ISERROR(VLOOKUP(A377,'TB Hard Code'!B:D,3,FALSE)),0,VLOOKUP(A377,'TB Hard Code'!B:D,3,FALSE))</f>
        <v>0</v>
      </c>
      <c r="E377" s="638" t="b">
        <f>+ISERROR(MATCH(A377,'Linked TB'!$A$9:$A$738,0))</f>
        <v>0</v>
      </c>
    </row>
    <row r="378" spans="1:5">
      <c r="A378" s="637">
        <v>6410</v>
      </c>
      <c r="B378" s="638" t="s">
        <v>33</v>
      </c>
      <c r="C378" s="638" t="s">
        <v>952</v>
      </c>
      <c r="D378" s="457">
        <f>IF(ISERROR(VLOOKUP(A378,'TB Hard Code'!B:D,3,FALSE)),0,VLOOKUP(A378,'TB Hard Code'!B:D,3,FALSE))</f>
        <v>0</v>
      </c>
      <c r="E378" s="638" t="b">
        <f>+ISERROR(MATCH(A378,'Linked TB'!$A$9:$A$738,0))</f>
        <v>0</v>
      </c>
    </row>
    <row r="379" spans="1:5">
      <c r="A379" s="637">
        <v>6445</v>
      </c>
      <c r="B379" s="638" t="s">
        <v>34</v>
      </c>
      <c r="C379" s="638" t="s">
        <v>952</v>
      </c>
      <c r="D379" s="457">
        <f>IF(ISERROR(VLOOKUP(A379,'TB Hard Code'!B:D,3,FALSE)),0,VLOOKUP(A379,'TB Hard Code'!B:D,3,FALSE))</f>
        <v>3287.8799999999987</v>
      </c>
      <c r="E379" s="638" t="b">
        <f>+ISERROR(MATCH(A379,'Linked TB'!$A$9:$A$738,0))</f>
        <v>0</v>
      </c>
    </row>
    <row r="380" spans="1:5">
      <c r="A380" s="637">
        <v>6455</v>
      </c>
      <c r="B380" s="638" t="s">
        <v>36</v>
      </c>
      <c r="C380" s="638" t="s">
        <v>952</v>
      </c>
      <c r="D380" s="457">
        <f>IF(ISERROR(VLOOKUP(A380,'TB Hard Code'!B:D,3,FALSE)),0,VLOOKUP(A380,'TB Hard Code'!B:D,3,FALSE))</f>
        <v>2384.2599999999998</v>
      </c>
      <c r="E380" s="638" t="b">
        <f>+ISERROR(MATCH(A380,'Linked TB'!$A$9:$A$738,0))</f>
        <v>0</v>
      </c>
    </row>
    <row r="381" spans="1:5">
      <c r="A381" s="637">
        <v>6460</v>
      </c>
      <c r="B381" s="638" t="s">
        <v>37</v>
      </c>
      <c r="C381" s="638" t="s">
        <v>952</v>
      </c>
      <c r="D381" s="457">
        <f>IF(ISERROR(VLOOKUP(A381,'TB Hard Code'!B:D,3,FALSE)),0,VLOOKUP(A381,'TB Hard Code'!B:D,3,FALSE))</f>
        <v>9330.5399999999991</v>
      </c>
      <c r="E381" s="638" t="b">
        <f>+ISERROR(MATCH(A381,'Linked TB'!$A$9:$A$738,0))</f>
        <v>0</v>
      </c>
    </row>
    <row r="382" spans="1:5">
      <c r="A382" s="637">
        <v>6465</v>
      </c>
      <c r="B382" s="638" t="s">
        <v>38</v>
      </c>
      <c r="C382" s="638" t="s">
        <v>952</v>
      </c>
      <c r="D382" s="457">
        <f>IF(ISERROR(VLOOKUP(A382,'TB Hard Code'!B:D,3,FALSE)),0,VLOOKUP(A382,'TB Hard Code'!B:D,3,FALSE))</f>
        <v>2.31</v>
      </c>
      <c r="E382" s="638" t="b">
        <f>+ISERROR(MATCH(A382,'Linked TB'!$A$9:$A$738,0))</f>
        <v>0</v>
      </c>
    </row>
    <row r="383" spans="1:5">
      <c r="A383" s="637">
        <v>6470</v>
      </c>
      <c r="B383" s="638" t="s">
        <v>39</v>
      </c>
      <c r="C383" s="638" t="s">
        <v>952</v>
      </c>
      <c r="D383" s="457">
        <f>IF(ISERROR(VLOOKUP(A383,'TB Hard Code'!B:D,3,FALSE)),0,VLOOKUP(A383,'TB Hard Code'!B:D,3,FALSE))</f>
        <v>2592</v>
      </c>
      <c r="E383" s="638" t="b">
        <f>+ISERROR(MATCH(A383,'Linked TB'!$A$9:$A$738,0))</f>
        <v>0</v>
      </c>
    </row>
    <row r="384" spans="1:5">
      <c r="A384" s="637">
        <v>6485</v>
      </c>
      <c r="B384" s="638" t="s">
        <v>42</v>
      </c>
      <c r="C384" s="638" t="s">
        <v>952</v>
      </c>
      <c r="D384" s="457">
        <f>IF(ISERROR(VLOOKUP(A384,'TB Hard Code'!B:D,3,FALSE)),0,VLOOKUP(A384,'TB Hard Code'!B:D,3,FALSE))</f>
        <v>9528.4299999999985</v>
      </c>
      <c r="E384" s="638" t="b">
        <f>+ISERROR(MATCH(A384,'Linked TB'!$A$9:$A$738,0))</f>
        <v>0</v>
      </c>
    </row>
    <row r="385" spans="1:5">
      <c r="A385" s="637">
        <v>6495</v>
      </c>
      <c r="B385" s="638" t="s">
        <v>44</v>
      </c>
      <c r="C385" s="638" t="s">
        <v>952</v>
      </c>
      <c r="D385" s="457">
        <f>IF(ISERROR(VLOOKUP(A385,'TB Hard Code'!B:D,3,FALSE)),0,VLOOKUP(A385,'TB Hard Code'!B:D,3,FALSE))</f>
        <v>142.32000000000002</v>
      </c>
      <c r="E385" s="638" t="b">
        <f>+ISERROR(MATCH(A385,'Linked TB'!$A$9:$A$738,0))</f>
        <v>0</v>
      </c>
    </row>
    <row r="386" spans="1:5">
      <c r="A386" s="637">
        <v>6505</v>
      </c>
      <c r="B386" s="638" t="s">
        <v>46</v>
      </c>
      <c r="C386" s="638" t="s">
        <v>952</v>
      </c>
      <c r="D386" s="457">
        <f>IF(ISERROR(VLOOKUP(A386,'TB Hard Code'!B:D,3,FALSE)),0,VLOOKUP(A386,'TB Hard Code'!B:D,3,FALSE))</f>
        <v>167.81000000000003</v>
      </c>
      <c r="E386" s="638" t="b">
        <f>+ISERROR(MATCH(A386,'Linked TB'!$A$9:$A$738,0))</f>
        <v>0</v>
      </c>
    </row>
    <row r="387" spans="1:5">
      <c r="A387" s="637">
        <v>6510</v>
      </c>
      <c r="B387" s="638" t="s">
        <v>47</v>
      </c>
      <c r="C387" s="638" t="s">
        <v>952</v>
      </c>
      <c r="D387" s="457">
        <f>IF(ISERROR(VLOOKUP(A387,'TB Hard Code'!B:D,3,FALSE)),0,VLOOKUP(A387,'TB Hard Code'!B:D,3,FALSE))</f>
        <v>13849.8</v>
      </c>
      <c r="E387" s="638" t="b">
        <f>+ISERROR(MATCH(A387,'Linked TB'!$A$9:$A$738,0))</f>
        <v>0</v>
      </c>
    </row>
    <row r="388" spans="1:5">
      <c r="A388" s="637">
        <v>6515</v>
      </c>
      <c r="B388" s="638" t="s">
        <v>48</v>
      </c>
      <c r="C388" s="638" t="s">
        <v>952</v>
      </c>
      <c r="D388" s="457">
        <f>IF(ISERROR(VLOOKUP(A388,'TB Hard Code'!B:D,3,FALSE)),0,VLOOKUP(A388,'TB Hard Code'!B:D,3,FALSE))</f>
        <v>146.28</v>
      </c>
      <c r="E388" s="638" t="b">
        <f>+ISERROR(MATCH(A388,'Linked TB'!$A$9:$A$738,0))</f>
        <v>0</v>
      </c>
    </row>
    <row r="389" spans="1:5">
      <c r="A389" s="637">
        <v>6520</v>
      </c>
      <c r="B389" s="638" t="s">
        <v>49</v>
      </c>
      <c r="C389" s="638" t="s">
        <v>952</v>
      </c>
      <c r="D389" s="457">
        <f>IF(ISERROR(VLOOKUP(A389,'TB Hard Code'!B:D,3,FALSE)),0,VLOOKUP(A389,'TB Hard Code'!B:D,3,FALSE))</f>
        <v>12764.800000000001</v>
      </c>
      <c r="E389" s="638" t="b">
        <f>+ISERROR(MATCH(A389,'Linked TB'!$A$9:$A$738,0))</f>
        <v>0</v>
      </c>
    </row>
    <row r="390" spans="1:5">
      <c r="A390" s="637">
        <v>6525</v>
      </c>
      <c r="B390" s="638" t="s">
        <v>50</v>
      </c>
      <c r="C390" s="638" t="s">
        <v>952</v>
      </c>
      <c r="D390" s="457">
        <f>IF(ISERROR(VLOOKUP(A390,'TB Hard Code'!B:D,3,FALSE)),0,VLOOKUP(A390,'TB Hard Code'!B:D,3,FALSE))</f>
        <v>10566.990000000002</v>
      </c>
      <c r="E390" s="638" t="b">
        <f>+ISERROR(MATCH(A390,'Linked TB'!$A$9:$A$738,0))</f>
        <v>0</v>
      </c>
    </row>
    <row r="391" spans="1:5">
      <c r="A391" s="637">
        <v>6530</v>
      </c>
      <c r="B391" s="638" t="s">
        <v>51</v>
      </c>
      <c r="C391" s="638" t="s">
        <v>952</v>
      </c>
      <c r="D391" s="457">
        <f>IF(ISERROR(VLOOKUP(A391,'TB Hard Code'!B:D,3,FALSE)),0,VLOOKUP(A391,'TB Hard Code'!B:D,3,FALSE))</f>
        <v>67759.309999999983</v>
      </c>
      <c r="E391" s="638" t="b">
        <f>+ISERROR(MATCH(A391,'Linked TB'!$A$9:$A$738,0))</f>
        <v>0</v>
      </c>
    </row>
    <row r="392" spans="1:5">
      <c r="A392" s="637">
        <v>6535</v>
      </c>
      <c r="B392" s="638" t="s">
        <v>52</v>
      </c>
      <c r="C392" s="638" t="s">
        <v>952</v>
      </c>
      <c r="D392" s="457">
        <f>IF(ISERROR(VLOOKUP(A392,'TB Hard Code'!B:D,3,FALSE)),0,VLOOKUP(A392,'TB Hard Code'!B:D,3,FALSE))</f>
        <v>17099.259999999998</v>
      </c>
      <c r="E392" s="638" t="b">
        <f>+ISERROR(MATCH(A392,'Linked TB'!$A$9:$A$738,0))</f>
        <v>0</v>
      </c>
    </row>
    <row r="393" spans="1:5">
      <c r="A393" s="637">
        <v>6540</v>
      </c>
      <c r="B393" s="638" t="s">
        <v>53</v>
      </c>
      <c r="C393" s="638" t="s">
        <v>952</v>
      </c>
      <c r="D393" s="457">
        <f>IF(ISERROR(VLOOKUP(A393,'TB Hard Code'!B:D,3,FALSE)),0,VLOOKUP(A393,'TB Hard Code'!B:D,3,FALSE))</f>
        <v>14678.11</v>
      </c>
      <c r="E393" s="638" t="b">
        <f>+ISERROR(MATCH(A393,'Linked TB'!$A$9:$A$738,0))</f>
        <v>0</v>
      </c>
    </row>
    <row r="394" spans="1:5">
      <c r="A394" s="637">
        <v>6545</v>
      </c>
      <c r="B394" s="638" t="s">
        <v>54</v>
      </c>
      <c r="C394" s="638" t="s">
        <v>952</v>
      </c>
      <c r="D394" s="457">
        <f>IF(ISERROR(VLOOKUP(A394,'TB Hard Code'!B:D,3,FALSE)),0,VLOOKUP(A394,'TB Hard Code'!B:D,3,FALSE))</f>
        <v>11743.849999999997</v>
      </c>
      <c r="E394" s="638" t="b">
        <f>+ISERROR(MATCH(A394,'Linked TB'!$A$9:$A$738,0))</f>
        <v>0</v>
      </c>
    </row>
    <row r="395" spans="1:5">
      <c r="A395" s="637">
        <v>6550</v>
      </c>
      <c r="B395" s="638" t="s">
        <v>541</v>
      </c>
      <c r="C395" s="638" t="s">
        <v>952</v>
      </c>
      <c r="D395" s="457">
        <f>IF(ISERROR(VLOOKUP(A395,'TB Hard Code'!B:D,3,FALSE)),0,VLOOKUP(A395,'TB Hard Code'!B:D,3,FALSE))</f>
        <v>8125.0700000000015</v>
      </c>
      <c r="E395" s="638" t="b">
        <f>+ISERROR(MATCH(A395,'Linked TB'!$A$9:$A$738,0))</f>
        <v>0</v>
      </c>
    </row>
    <row r="396" spans="1:5">
      <c r="A396" s="637">
        <v>6555</v>
      </c>
      <c r="B396" s="638" t="s">
        <v>542</v>
      </c>
      <c r="C396" s="638" t="s">
        <v>952</v>
      </c>
      <c r="D396" s="457">
        <f>IF(ISERROR(VLOOKUP(A396,'TB Hard Code'!B:D,3,FALSE)),0,VLOOKUP(A396,'TB Hard Code'!B:D,3,FALSE))</f>
        <v>0</v>
      </c>
      <c r="E396" s="638" t="b">
        <f>+ISERROR(MATCH(A396,'Linked TB'!$A$9:$A$738,0))</f>
        <v>0</v>
      </c>
    </row>
    <row r="397" spans="1:5">
      <c r="A397" s="637">
        <v>6575</v>
      </c>
      <c r="B397" s="638" t="s">
        <v>546</v>
      </c>
      <c r="C397" s="638" t="s">
        <v>952</v>
      </c>
      <c r="D397" s="457">
        <f>IF(ISERROR(VLOOKUP(A397,'TB Hard Code'!B:D,3,FALSE)),0,VLOOKUP(A397,'TB Hard Code'!B:D,3,FALSE))</f>
        <v>0</v>
      </c>
      <c r="E397" s="638" t="b">
        <f>+ISERROR(MATCH(A397,'Linked TB'!$A$9:$A$738,0))</f>
        <v>0</v>
      </c>
    </row>
    <row r="398" spans="1:5">
      <c r="A398" s="637">
        <v>6580</v>
      </c>
      <c r="B398" s="638" t="s">
        <v>547</v>
      </c>
      <c r="C398" s="638" t="s">
        <v>952</v>
      </c>
      <c r="D398" s="457">
        <f>IF(ISERROR(VLOOKUP(A398,'TB Hard Code'!B:D,3,FALSE)),0,VLOOKUP(A398,'TB Hard Code'!B:D,3,FALSE))</f>
        <v>3390.2699999999991</v>
      </c>
      <c r="E398" s="638" t="b">
        <f>+ISERROR(MATCH(A398,'Linked TB'!$A$9:$A$738,0))</f>
        <v>0</v>
      </c>
    </row>
    <row r="399" spans="1:5">
      <c r="A399" s="637">
        <v>6585</v>
      </c>
      <c r="B399" s="638" t="s">
        <v>548</v>
      </c>
      <c r="C399" s="638" t="s">
        <v>952</v>
      </c>
      <c r="D399" s="457">
        <f>IF(ISERROR(VLOOKUP(A399,'TB Hard Code'!B:D,3,FALSE)),0,VLOOKUP(A399,'TB Hard Code'!B:D,3,FALSE))</f>
        <v>2353.0800000000008</v>
      </c>
      <c r="E399" s="638" t="b">
        <f>+ISERROR(MATCH(A399,'Linked TB'!$A$9:$A$738,0))</f>
        <v>0</v>
      </c>
    </row>
    <row r="400" spans="1:5">
      <c r="A400" s="637">
        <v>6595</v>
      </c>
      <c r="B400" s="638" t="s">
        <v>550</v>
      </c>
      <c r="C400" s="638" t="s">
        <v>952</v>
      </c>
      <c r="D400" s="457">
        <f>IF(ISERROR(VLOOKUP(A400,'TB Hard Code'!B:D,3,FALSE)),0,VLOOKUP(A400,'TB Hard Code'!B:D,3,FALSE))</f>
        <v>5308.010000000002</v>
      </c>
      <c r="E400" s="638" t="b">
        <f>+ISERROR(MATCH(A400,'Linked TB'!$A$9:$A$738,0))</f>
        <v>0</v>
      </c>
    </row>
    <row r="401" spans="1:5">
      <c r="A401" s="637">
        <v>6600</v>
      </c>
      <c r="B401" s="638" t="s">
        <v>551</v>
      </c>
      <c r="C401" s="638" t="s">
        <v>952</v>
      </c>
      <c r="D401" s="457">
        <f>IF(ISERROR(VLOOKUP(A401,'TB Hard Code'!B:D,3,FALSE)),0,VLOOKUP(A401,'TB Hard Code'!B:D,3,FALSE))</f>
        <v>1482.0300000000002</v>
      </c>
      <c r="E401" s="638" t="b">
        <f>+ISERROR(MATCH(A401,'Linked TB'!$A$9:$A$738,0))</f>
        <v>0</v>
      </c>
    </row>
    <row r="402" spans="1:5">
      <c r="A402" s="637">
        <v>6605</v>
      </c>
      <c r="B402" s="638" t="s">
        <v>1514</v>
      </c>
      <c r="C402" s="638" t="s">
        <v>952</v>
      </c>
      <c r="D402" s="457">
        <f>IF(ISERROR(VLOOKUP(A402,'TB Hard Code'!B:D,3,FALSE)),0,VLOOKUP(A402,'TB Hard Code'!B:D,3,FALSE))</f>
        <v>257.04000000000008</v>
      </c>
      <c r="E402" s="638" t="b">
        <f>+ISERROR(MATCH(A402,'Linked TB'!$A$9:$A$738,0))</f>
        <v>0</v>
      </c>
    </row>
    <row r="403" spans="1:5">
      <c r="A403" s="637">
        <v>6610</v>
      </c>
      <c r="B403" s="638" t="s">
        <v>553</v>
      </c>
      <c r="C403" s="638" t="s">
        <v>952</v>
      </c>
      <c r="D403" s="457">
        <f>IF(ISERROR(VLOOKUP(A403,'TB Hard Code'!B:D,3,FALSE)),0,VLOOKUP(A403,'TB Hard Code'!B:D,3,FALSE))</f>
        <v>2596.5899999999997</v>
      </c>
      <c r="E403" s="638" t="b">
        <f>+ISERROR(MATCH(A403,'Linked TB'!$A$9:$A$738,0))</f>
        <v>0</v>
      </c>
    </row>
    <row r="404" spans="1:5">
      <c r="A404" s="637">
        <v>6615</v>
      </c>
      <c r="B404" s="638" t="s">
        <v>554</v>
      </c>
      <c r="C404" s="638" t="s">
        <v>952</v>
      </c>
      <c r="D404" s="457">
        <f>IF(ISERROR(VLOOKUP(A404,'TB Hard Code'!B:D,3,FALSE)),0,VLOOKUP(A404,'TB Hard Code'!B:D,3,FALSE))</f>
        <v>0</v>
      </c>
      <c r="E404" s="638" t="b">
        <f>+ISERROR(MATCH(A404,'Linked TB'!$A$9:$A$738,0))</f>
        <v>0</v>
      </c>
    </row>
    <row r="405" spans="1:5">
      <c r="A405" s="637">
        <v>6620</v>
      </c>
      <c r="B405" s="638" t="s">
        <v>555</v>
      </c>
      <c r="C405" s="638" t="s">
        <v>952</v>
      </c>
      <c r="D405" s="457">
        <f>IF(ISERROR(VLOOKUP(A405,'TB Hard Code'!B:D,3,FALSE)),0,VLOOKUP(A405,'TB Hard Code'!B:D,3,FALSE))</f>
        <v>1399.5600000000004</v>
      </c>
      <c r="E405" s="638" t="b">
        <f>+ISERROR(MATCH(A405,'Linked TB'!$A$9:$A$738,0))</f>
        <v>0</v>
      </c>
    </row>
    <row r="406" spans="1:5">
      <c r="A406" s="637">
        <v>6655</v>
      </c>
      <c r="B406" s="638" t="s">
        <v>558</v>
      </c>
      <c r="C406" s="638" t="s">
        <v>952</v>
      </c>
      <c r="D406" s="457">
        <f>IF(ISERROR(VLOOKUP(A406,'TB Hard Code'!B:D,3,FALSE)),0,VLOOKUP(A406,'TB Hard Code'!B:D,3,FALSE))</f>
        <v>0</v>
      </c>
      <c r="E406" s="638" t="b">
        <f>+ISERROR(MATCH(A406,'Linked TB'!$A$9:$A$738,0))</f>
        <v>0</v>
      </c>
    </row>
    <row r="407" spans="1:5">
      <c r="A407" s="637">
        <v>6660</v>
      </c>
      <c r="B407" s="638" t="s">
        <v>559</v>
      </c>
      <c r="C407" s="638" t="s">
        <v>952</v>
      </c>
      <c r="D407" s="457">
        <f>IF(ISERROR(VLOOKUP(A407,'TB Hard Code'!B:D,3,FALSE)),0,VLOOKUP(A407,'TB Hard Code'!B:D,3,FALSE))</f>
        <v>0</v>
      </c>
      <c r="E407" s="638" t="b">
        <f>+ISERROR(MATCH(A407,'Linked TB'!$A$9:$A$738,0))</f>
        <v>0</v>
      </c>
    </row>
    <row r="408" spans="1:5">
      <c r="A408" s="637">
        <v>6670</v>
      </c>
      <c r="B408" s="638" t="s">
        <v>561</v>
      </c>
      <c r="C408" s="638" t="s">
        <v>952</v>
      </c>
      <c r="D408" s="457">
        <f>IF(ISERROR(VLOOKUP(A408,'TB Hard Code'!B:D,3,FALSE)),0,VLOOKUP(A408,'TB Hard Code'!B:D,3,FALSE))</f>
        <v>0</v>
      </c>
      <c r="E408" s="638" t="b">
        <f>+ISERROR(MATCH(A408,'Linked TB'!$A$9:$A$738,0))</f>
        <v>0</v>
      </c>
    </row>
    <row r="409" spans="1:5" s="1405" customFormat="1">
      <c r="A409" s="1404">
        <v>6675</v>
      </c>
      <c r="B409" s="1405" t="s">
        <v>2297</v>
      </c>
      <c r="C409" s="1405" t="s">
        <v>952</v>
      </c>
      <c r="D409" s="1406">
        <f>IF(ISERROR(VLOOKUP(A409,'TB Hard Code'!B:D,3,FALSE)),0,VLOOKUP(A409,'TB Hard Code'!B:D,3,FALSE))</f>
        <v>0</v>
      </c>
      <c r="E409" s="1405" t="b">
        <f>+ISERROR(MATCH(A409,'Linked TB'!$A$9:$A$738,0))</f>
        <v>0</v>
      </c>
    </row>
    <row r="410" spans="1:5">
      <c r="A410" s="637">
        <v>6680</v>
      </c>
      <c r="B410" s="638" t="s">
        <v>563</v>
      </c>
      <c r="C410" s="638" t="s">
        <v>952</v>
      </c>
      <c r="D410" s="457">
        <f>IF(ISERROR(VLOOKUP(A410,'TB Hard Code'!B:D,3,FALSE)),0,VLOOKUP(A410,'TB Hard Code'!B:D,3,FALSE))</f>
        <v>0</v>
      </c>
      <c r="E410" s="638" t="b">
        <f>+ISERROR(MATCH(A410,'Linked TB'!$A$9:$A$738,0))</f>
        <v>0</v>
      </c>
    </row>
    <row r="411" spans="1:5">
      <c r="A411" s="637">
        <v>6695</v>
      </c>
      <c r="B411" s="638" t="s">
        <v>566</v>
      </c>
      <c r="C411" s="638" t="s">
        <v>952</v>
      </c>
      <c r="D411" s="457">
        <f>IF(ISERROR(VLOOKUP(A411,'TB Hard Code'!B:D,3,FALSE)),0,VLOOKUP(A411,'TB Hard Code'!B:D,3,FALSE))</f>
        <v>0</v>
      </c>
      <c r="E411" s="638" t="b">
        <f>+ISERROR(MATCH(A411,'Linked TB'!$A$9:$A$738,0))</f>
        <v>0</v>
      </c>
    </row>
    <row r="412" spans="1:5">
      <c r="A412" s="637">
        <v>6710</v>
      </c>
      <c r="B412" s="638" t="s">
        <v>568</v>
      </c>
      <c r="C412" s="638" t="s">
        <v>952</v>
      </c>
      <c r="D412" s="457">
        <f>IF(ISERROR(VLOOKUP(A412,'TB Hard Code'!B:D,3,FALSE)),0,VLOOKUP(A412,'TB Hard Code'!B:D,3,FALSE))</f>
        <v>0</v>
      </c>
      <c r="E412" s="638" t="b">
        <f>+ISERROR(MATCH(A412,'Linked TB'!$A$9:$A$738,0))</f>
        <v>0</v>
      </c>
    </row>
    <row r="413" spans="1:5">
      <c r="A413" s="637">
        <v>6715</v>
      </c>
      <c r="B413" s="638" t="s">
        <v>569</v>
      </c>
      <c r="C413" s="638" t="s">
        <v>952</v>
      </c>
      <c r="D413" s="457">
        <f>IF(ISERROR(VLOOKUP(A413,'TB Hard Code'!B:D,3,FALSE)),0,VLOOKUP(A413,'TB Hard Code'!B:D,3,FALSE))</f>
        <v>0</v>
      </c>
      <c r="E413" s="638" t="b">
        <f>+ISERROR(MATCH(A413,'Linked TB'!$A$9:$A$738,0))</f>
        <v>0</v>
      </c>
    </row>
    <row r="414" spans="1:5">
      <c r="A414" s="637">
        <v>6725</v>
      </c>
      <c r="B414" s="638" t="s">
        <v>571</v>
      </c>
      <c r="C414" s="638" t="s">
        <v>952</v>
      </c>
      <c r="D414" s="457">
        <f>IF(ISERROR(VLOOKUP(A414,'TB Hard Code'!B:D,3,FALSE)),0,VLOOKUP(A414,'TB Hard Code'!B:D,3,FALSE))</f>
        <v>0</v>
      </c>
      <c r="E414" s="638" t="b">
        <f>+ISERROR(MATCH(A414,'Linked TB'!$A$9:$A$738,0))</f>
        <v>0</v>
      </c>
    </row>
    <row r="415" spans="1:5">
      <c r="A415" s="637">
        <v>6730</v>
      </c>
      <c r="B415" s="638" t="s">
        <v>572</v>
      </c>
      <c r="C415" s="638" t="s">
        <v>952</v>
      </c>
      <c r="D415" s="457">
        <f>IF(ISERROR(VLOOKUP(A415,'TB Hard Code'!B:D,3,FALSE)),0,VLOOKUP(A415,'TB Hard Code'!B:D,3,FALSE))</f>
        <v>0</v>
      </c>
      <c r="E415" s="638" t="b">
        <f>+ISERROR(MATCH(A415,'Linked TB'!$A$9:$A$738,0))</f>
        <v>0</v>
      </c>
    </row>
    <row r="416" spans="1:5">
      <c r="A416" s="637">
        <v>6735</v>
      </c>
      <c r="B416" s="638" t="s">
        <v>573</v>
      </c>
      <c r="C416" s="638" t="s">
        <v>952</v>
      </c>
      <c r="D416" s="457">
        <f>IF(ISERROR(VLOOKUP(A416,'TB Hard Code'!B:D,3,FALSE)),0,VLOOKUP(A416,'TB Hard Code'!B:D,3,FALSE))</f>
        <v>0</v>
      </c>
      <c r="E416" s="638" t="b">
        <f>+ISERROR(MATCH(A416,'Linked TB'!$A$9:$A$738,0))</f>
        <v>0</v>
      </c>
    </row>
    <row r="417" spans="1:5">
      <c r="A417" s="637">
        <v>6745</v>
      </c>
      <c r="B417" s="638" t="s">
        <v>575</v>
      </c>
      <c r="C417" s="638" t="s">
        <v>952</v>
      </c>
      <c r="D417" s="457">
        <f>IF(ISERROR(VLOOKUP(A417,'TB Hard Code'!B:D,3,FALSE)),0,VLOOKUP(A417,'TB Hard Code'!B:D,3,FALSE))</f>
        <v>0</v>
      </c>
      <c r="E417" s="638" t="b">
        <f>+ISERROR(MATCH(A417,'Linked TB'!$A$9:$A$738,0))</f>
        <v>0</v>
      </c>
    </row>
    <row r="418" spans="1:5">
      <c r="A418" s="637">
        <v>6750</v>
      </c>
      <c r="B418" s="638" t="s">
        <v>576</v>
      </c>
      <c r="C418" s="638" t="s">
        <v>952</v>
      </c>
      <c r="D418" s="457">
        <f>IF(ISERROR(VLOOKUP(A418,'TB Hard Code'!B:D,3,FALSE)),0,VLOOKUP(A418,'TB Hard Code'!B:D,3,FALSE))</f>
        <v>0</v>
      </c>
      <c r="E418" s="638" t="b">
        <f>+ISERROR(MATCH(A418,'Linked TB'!$A$9:$A$738,0))</f>
        <v>0</v>
      </c>
    </row>
    <row r="419" spans="1:5">
      <c r="A419" s="637">
        <v>6760</v>
      </c>
      <c r="B419" s="638" t="s">
        <v>578</v>
      </c>
      <c r="C419" s="638" t="s">
        <v>952</v>
      </c>
      <c r="D419" s="457">
        <f>IF(ISERROR(VLOOKUP(A419,'TB Hard Code'!B:D,3,FALSE)),0,VLOOKUP(A419,'TB Hard Code'!B:D,3,FALSE))</f>
        <v>0</v>
      </c>
      <c r="E419" s="638" t="b">
        <f>+ISERROR(MATCH(A419,'Linked TB'!$A$9:$A$738,0))</f>
        <v>0</v>
      </c>
    </row>
    <row r="420" spans="1:5">
      <c r="A420" s="637">
        <v>6765</v>
      </c>
      <c r="B420" s="638" t="s">
        <v>579</v>
      </c>
      <c r="C420" s="638" t="s">
        <v>952</v>
      </c>
      <c r="D420" s="457">
        <f>IF(ISERROR(VLOOKUP(A420,'TB Hard Code'!B:D,3,FALSE)),0,VLOOKUP(A420,'TB Hard Code'!B:D,3,FALSE))</f>
        <v>0</v>
      </c>
      <c r="E420" s="638" t="b">
        <f>+ISERROR(MATCH(A420,'Linked TB'!$A$9:$A$738,0))</f>
        <v>0</v>
      </c>
    </row>
    <row r="421" spans="1:5">
      <c r="A421" s="637">
        <v>6775</v>
      </c>
      <c r="B421" s="638" t="s">
        <v>581</v>
      </c>
      <c r="C421" s="638" t="s">
        <v>952</v>
      </c>
      <c r="D421" s="457">
        <f>IF(ISERROR(VLOOKUP(A421,'TB Hard Code'!B:D,3,FALSE)),0,VLOOKUP(A421,'TB Hard Code'!B:D,3,FALSE))</f>
        <v>0</v>
      </c>
      <c r="E421" s="638" t="b">
        <f>+ISERROR(MATCH(A421,'Linked TB'!$A$9:$A$738,0))</f>
        <v>0</v>
      </c>
    </row>
    <row r="422" spans="1:5">
      <c r="A422" s="637">
        <v>6800</v>
      </c>
      <c r="B422" s="638" t="s">
        <v>815</v>
      </c>
      <c r="C422" s="638" t="s">
        <v>952</v>
      </c>
      <c r="D422" s="457">
        <f>IF(ISERROR(VLOOKUP(A422,'TB Hard Code'!B:D,3,FALSE)),0,VLOOKUP(A422,'TB Hard Code'!B:D,3,FALSE))</f>
        <v>0</v>
      </c>
      <c r="E422" s="638" t="b">
        <f>+ISERROR(MATCH(A422,'Linked TB'!$A$9:$A$738,0))</f>
        <v>0</v>
      </c>
    </row>
    <row r="423" spans="1:5">
      <c r="A423" s="637">
        <v>6830</v>
      </c>
      <c r="B423" s="638" t="s">
        <v>549</v>
      </c>
      <c r="C423" s="638" t="s">
        <v>952</v>
      </c>
      <c r="D423" s="457">
        <f>IF(ISERROR(VLOOKUP(A423,'TB Hard Code'!B:D,3,FALSE)),0,VLOOKUP(A423,'TB Hard Code'!B:D,3,FALSE))</f>
        <v>0</v>
      </c>
      <c r="E423" s="638" t="b">
        <f>+ISERROR(MATCH(A423,'Linked TB'!$A$9:$A$738,0))</f>
        <v>0</v>
      </c>
    </row>
    <row r="424" spans="1:5">
      <c r="A424" s="637">
        <v>6835</v>
      </c>
      <c r="B424" s="638" t="s">
        <v>550</v>
      </c>
      <c r="C424" s="638" t="s">
        <v>952</v>
      </c>
      <c r="D424" s="457">
        <f>IF(ISERROR(VLOOKUP(A424,'TB Hard Code'!B:D,3,FALSE)),0,VLOOKUP(A424,'TB Hard Code'!B:D,3,FALSE))</f>
        <v>0</v>
      </c>
      <c r="E424" s="638" t="b">
        <f>+ISERROR(MATCH(A424,'Linked TB'!$A$9:$A$738,0))</f>
        <v>0</v>
      </c>
    </row>
    <row r="425" spans="1:5">
      <c r="A425" s="637">
        <v>6840</v>
      </c>
      <c r="B425" s="638" t="s">
        <v>818</v>
      </c>
      <c r="C425" s="638" t="s">
        <v>952</v>
      </c>
      <c r="D425" s="457">
        <f>IF(ISERROR(VLOOKUP(A425,'TB Hard Code'!B:D,3,FALSE)),0,VLOOKUP(A425,'TB Hard Code'!B:D,3,FALSE))</f>
        <v>0</v>
      </c>
      <c r="E425" s="638" t="b">
        <f>+ISERROR(MATCH(A425,'Linked TB'!$A$9:$A$738,0))</f>
        <v>0</v>
      </c>
    </row>
    <row r="426" spans="1:5">
      <c r="A426" s="637">
        <v>6845</v>
      </c>
      <c r="B426" s="638" t="s">
        <v>552</v>
      </c>
      <c r="C426" s="638" t="s">
        <v>952</v>
      </c>
      <c r="D426" s="457">
        <f>IF(ISERROR(VLOOKUP(A426,'TB Hard Code'!B:D,3,FALSE)),0,VLOOKUP(A426,'TB Hard Code'!B:D,3,FALSE))</f>
        <v>0</v>
      </c>
      <c r="E426" s="638" t="b">
        <f>+ISERROR(MATCH(A426,'Linked TB'!$A$9:$A$738,0))</f>
        <v>0</v>
      </c>
    </row>
    <row r="427" spans="1:5">
      <c r="A427" s="637">
        <v>6850</v>
      </c>
      <c r="B427" s="638" t="s">
        <v>553</v>
      </c>
      <c r="C427" s="638" t="s">
        <v>952</v>
      </c>
      <c r="D427" s="457">
        <f>IF(ISERROR(VLOOKUP(A427,'TB Hard Code'!B:D,3,FALSE)),0,VLOOKUP(A427,'TB Hard Code'!B:D,3,FALSE))</f>
        <v>0</v>
      </c>
      <c r="E427" s="638" t="b">
        <f>+ISERROR(MATCH(A427,'Linked TB'!$A$9:$A$738,0))</f>
        <v>0</v>
      </c>
    </row>
    <row r="428" spans="1:5">
      <c r="A428" s="637">
        <v>6855</v>
      </c>
      <c r="B428" s="638" t="s">
        <v>819</v>
      </c>
      <c r="C428" s="638" t="s">
        <v>952</v>
      </c>
      <c r="D428" s="457">
        <f>IF(ISERROR(VLOOKUP(A428,'TB Hard Code'!B:D,3,FALSE)),0,VLOOKUP(A428,'TB Hard Code'!B:D,3,FALSE))</f>
        <v>0</v>
      </c>
      <c r="E428" s="638" t="b">
        <f>+ISERROR(MATCH(A428,'Linked TB'!$A$9:$A$738,0))</f>
        <v>0</v>
      </c>
    </row>
    <row r="429" spans="1:5">
      <c r="A429" s="637">
        <v>6885</v>
      </c>
      <c r="B429" s="638" t="s">
        <v>823</v>
      </c>
      <c r="C429" s="638" t="s">
        <v>952</v>
      </c>
      <c r="D429" s="457">
        <f>IF(ISERROR(VLOOKUP(A429,'TB Hard Code'!B:D,3,FALSE)),0,VLOOKUP(A429,'TB Hard Code'!B:D,3,FALSE))</f>
        <v>0</v>
      </c>
      <c r="E429" s="638" t="b">
        <f>+ISERROR(MATCH(A429,'Linked TB'!$A$9:$A$738,0))</f>
        <v>0</v>
      </c>
    </row>
    <row r="430" spans="1:5">
      <c r="A430" s="637">
        <v>6890</v>
      </c>
      <c r="B430" s="638" t="s">
        <v>824</v>
      </c>
      <c r="C430" s="638" t="s">
        <v>952</v>
      </c>
      <c r="D430" s="457">
        <f>IF(ISERROR(VLOOKUP(A430,'TB Hard Code'!B:D,3,FALSE)),0,VLOOKUP(A430,'TB Hard Code'!B:D,3,FALSE))</f>
        <v>0</v>
      </c>
      <c r="E430" s="638" t="b">
        <f>+ISERROR(MATCH(A430,'Linked TB'!$A$9:$A$738,0))</f>
        <v>0</v>
      </c>
    </row>
    <row r="431" spans="1:5">
      <c r="A431" s="637">
        <v>6905</v>
      </c>
      <c r="B431" s="638" t="s">
        <v>825</v>
      </c>
      <c r="C431" s="638" t="s">
        <v>952</v>
      </c>
      <c r="D431" s="457">
        <f>IF(ISERROR(VLOOKUP(A431,'TB Hard Code'!B:D,3,FALSE)),0,VLOOKUP(A431,'TB Hard Code'!B:D,3,FALSE))</f>
        <v>32420.880000000005</v>
      </c>
      <c r="E431" s="638" t="b">
        <f>+ISERROR(MATCH(A431,'Linked TB'!$A$9:$A$738,0))</f>
        <v>0</v>
      </c>
    </row>
    <row r="432" spans="1:5">
      <c r="A432" s="637">
        <v>6920</v>
      </c>
      <c r="B432" s="638" t="s">
        <v>826</v>
      </c>
      <c r="C432" s="638" t="s">
        <v>952</v>
      </c>
      <c r="D432" s="457">
        <f>IF(ISERROR(VLOOKUP(A432,'TB Hard Code'!B:D,3,FALSE)),0,VLOOKUP(A432,'TB Hard Code'!B:D,3,FALSE))</f>
        <v>102346.62</v>
      </c>
      <c r="E432" s="638" t="b">
        <f>+ISERROR(MATCH(A432,'Linked TB'!$A$9:$A$738,0))</f>
        <v>0</v>
      </c>
    </row>
    <row r="433" spans="1:5">
      <c r="A433" s="637">
        <v>6960</v>
      </c>
      <c r="B433" s="638" t="s">
        <v>831</v>
      </c>
      <c r="C433" s="638" t="s">
        <v>952</v>
      </c>
      <c r="D433" s="457">
        <f>IF(ISERROR(VLOOKUP(A433,'TB Hard Code'!B:D,3,FALSE)),0,VLOOKUP(A433,'TB Hard Code'!B:D,3,FALSE))</f>
        <v>-3660.48</v>
      </c>
      <c r="E433" s="638" t="b">
        <f>+ISERROR(MATCH(A433,'Linked TB'!$A$9:$A$738,0))</f>
        <v>0</v>
      </c>
    </row>
    <row r="434" spans="1:5" s="1405" customFormat="1">
      <c r="A434" s="1404">
        <v>7080</v>
      </c>
      <c r="B434" s="1405" t="s">
        <v>852</v>
      </c>
      <c r="C434" s="1405" t="s">
        <v>952</v>
      </c>
      <c r="D434" s="1406">
        <f>IF(ISERROR(VLOOKUP(A434,'TB Hard Code'!B:D,3,FALSE)),0,VLOOKUP(A434,'TB Hard Code'!B:D,3,FALSE))</f>
        <v>-1662.8399999999995</v>
      </c>
      <c r="E434" s="1405" t="b">
        <f>+ISERROR(MATCH(A434,'Linked TB'!$A$9:$A$738,0))</f>
        <v>0</v>
      </c>
    </row>
    <row r="435" spans="1:5">
      <c r="A435" s="637">
        <v>7160</v>
      </c>
      <c r="B435" s="638" t="s">
        <v>96</v>
      </c>
      <c r="C435" s="638" t="s">
        <v>952</v>
      </c>
      <c r="D435" s="457">
        <f>IF(ISERROR(VLOOKUP(A435,'TB Hard Code'!B:D,3,FALSE)),0,VLOOKUP(A435,'TB Hard Code'!B:D,3,FALSE))</f>
        <v>-2087.2799999999997</v>
      </c>
      <c r="E435" s="638" t="b">
        <f>+ISERROR(MATCH(A435,'Linked TB'!$A$9:$A$738,0))</f>
        <v>0</v>
      </c>
    </row>
    <row r="436" spans="1:5">
      <c r="A436" s="637">
        <v>7165</v>
      </c>
      <c r="B436" s="638" t="s">
        <v>97</v>
      </c>
      <c r="C436" s="638" t="s">
        <v>952</v>
      </c>
      <c r="D436" s="457">
        <f>IF(ISERROR(VLOOKUP(A436,'TB Hard Code'!B:D,3,FALSE)),0,VLOOKUP(A436,'TB Hard Code'!B:D,3,FALSE))</f>
        <v>-877.6600000000002</v>
      </c>
      <c r="E436" s="638" t="b">
        <f>+ISERROR(MATCH(A436,'Linked TB'!$A$9:$A$738,0))</f>
        <v>0</v>
      </c>
    </row>
    <row r="437" spans="1:5">
      <c r="A437" s="637">
        <v>7185</v>
      </c>
      <c r="B437" s="638" t="s">
        <v>810</v>
      </c>
      <c r="C437" s="638" t="s">
        <v>952</v>
      </c>
      <c r="D437" s="457">
        <f>IF(ISERROR(VLOOKUP(A437,'TB Hard Code'!B:D,3,FALSE)),0,VLOOKUP(A437,'TB Hard Code'!B:D,3,FALSE))</f>
        <v>0</v>
      </c>
      <c r="E437" s="638" t="b">
        <f>+ISERROR(MATCH(A437,'Linked TB'!$A$9:$A$738,0))</f>
        <v>0</v>
      </c>
    </row>
    <row r="438" spans="1:5">
      <c r="A438" s="637">
        <v>7225</v>
      </c>
      <c r="B438" s="638" t="s">
        <v>814</v>
      </c>
      <c r="C438" s="638" t="s">
        <v>952</v>
      </c>
      <c r="D438" s="457">
        <f>IF(ISERROR(VLOOKUP(A438,'TB Hard Code'!B:D,3,FALSE)),0,VLOOKUP(A438,'TB Hard Code'!B:D,3,FALSE))</f>
        <v>0</v>
      </c>
      <c r="E438" s="638" t="b">
        <f>+ISERROR(MATCH(A438,'Linked TB'!$A$9:$A$738,0))</f>
        <v>0</v>
      </c>
    </row>
    <row r="439" spans="1:5">
      <c r="A439" s="637">
        <v>7245</v>
      </c>
      <c r="B439" s="638" t="s">
        <v>333</v>
      </c>
      <c r="C439" s="638" t="s">
        <v>952</v>
      </c>
      <c r="D439" s="457">
        <f>IF(ISERROR(VLOOKUP(A439,'TB Hard Code'!B:D,3,FALSE)),0,VLOOKUP(A439,'TB Hard Code'!B:D,3,FALSE))</f>
        <v>0</v>
      </c>
      <c r="E439" s="638" t="b">
        <f>+ISERROR(MATCH(A439,'Linked TB'!$A$9:$A$738,0))</f>
        <v>0</v>
      </c>
    </row>
    <row r="440" spans="1:5">
      <c r="A440" s="637">
        <v>7275</v>
      </c>
      <c r="B440" s="638" t="s">
        <v>338</v>
      </c>
      <c r="C440" s="638" t="s">
        <v>952</v>
      </c>
      <c r="D440" s="457">
        <f>IF(ISERROR(VLOOKUP(A440,'TB Hard Code'!B:D,3,FALSE)),0,VLOOKUP(A440,'TB Hard Code'!B:D,3,FALSE))</f>
        <v>0</v>
      </c>
      <c r="E440" s="638" t="b">
        <f>+ISERROR(MATCH(A440,'Linked TB'!$A$9:$A$738,0))</f>
        <v>0</v>
      </c>
    </row>
    <row r="441" spans="1:5">
      <c r="A441" s="637">
        <v>7280</v>
      </c>
      <c r="B441" s="638" t="s">
        <v>1314</v>
      </c>
      <c r="C441" s="638" t="s">
        <v>952</v>
      </c>
      <c r="D441" s="457">
        <f>IF(ISERROR(VLOOKUP(A441,'TB Hard Code'!B:D,3,FALSE)),0,VLOOKUP(A441,'TB Hard Code'!B:D,3,FALSE))</f>
        <v>0</v>
      </c>
      <c r="E441" s="638" t="b">
        <f>+ISERROR(MATCH(A441,'Linked TB'!$A$9:$A$738,0))</f>
        <v>0</v>
      </c>
    </row>
    <row r="442" spans="1:5">
      <c r="A442" s="637">
        <v>7510</v>
      </c>
      <c r="B442" s="638" t="s">
        <v>373</v>
      </c>
      <c r="C442" s="638" t="s">
        <v>952</v>
      </c>
      <c r="D442" s="457">
        <f>IF(ISERROR(VLOOKUP(A442,'TB Hard Code'!B:D,3,FALSE)),0,VLOOKUP(A442,'TB Hard Code'!B:D,3,FALSE))</f>
        <v>49829.779999999992</v>
      </c>
      <c r="E442" s="638" t="b">
        <f>+ISERROR(MATCH(A442,'Linked TB'!$A$9:$A$738,0))</f>
        <v>0</v>
      </c>
    </row>
    <row r="443" spans="1:5">
      <c r="A443" s="637">
        <v>7515</v>
      </c>
      <c r="B443" s="638" t="s">
        <v>374</v>
      </c>
      <c r="C443" s="638" t="s">
        <v>952</v>
      </c>
      <c r="D443" s="457">
        <f>IF(ISERROR(VLOOKUP(A443,'TB Hard Code'!B:D,3,FALSE)),0,VLOOKUP(A443,'TB Hard Code'!B:D,3,FALSE))</f>
        <v>1429.0700000000002</v>
      </c>
      <c r="E443" s="638" t="b">
        <f>+ISERROR(MATCH(A443,'Linked TB'!$A$9:$A$738,0))</f>
        <v>0</v>
      </c>
    </row>
    <row r="444" spans="1:5">
      <c r="A444" s="637">
        <v>7520</v>
      </c>
      <c r="B444" s="638" t="s">
        <v>375</v>
      </c>
      <c r="C444" s="638" t="s">
        <v>952</v>
      </c>
      <c r="D444" s="457">
        <f>IF(ISERROR(VLOOKUP(A444,'TB Hard Code'!B:D,3,FALSE)),0,VLOOKUP(A444,'TB Hard Code'!B:D,3,FALSE))</f>
        <v>4770.37</v>
      </c>
      <c r="E444" s="638" t="b">
        <f>+ISERROR(MATCH(A444,'Linked TB'!$A$9:$A$738,0))</f>
        <v>0</v>
      </c>
    </row>
    <row r="445" spans="1:5">
      <c r="A445" s="637">
        <v>7535</v>
      </c>
      <c r="B445" s="638" t="s">
        <v>376</v>
      </c>
      <c r="C445" s="638" t="s">
        <v>952</v>
      </c>
      <c r="D445" s="457">
        <f>IF(ISERROR(VLOOKUP(A445,'TB Hard Code'!B:D,3,FALSE)),0,VLOOKUP(A445,'TB Hard Code'!B:D,3,FALSE))</f>
        <v>45.6</v>
      </c>
      <c r="E445" s="638" t="b">
        <f>+ISERROR(MATCH(A445,'Linked TB'!$A$9:$A$738,0))</f>
        <v>0</v>
      </c>
    </row>
    <row r="446" spans="1:5">
      <c r="A446" s="637">
        <v>7540</v>
      </c>
      <c r="B446" s="638" t="s">
        <v>377</v>
      </c>
      <c r="C446" s="638" t="s">
        <v>952</v>
      </c>
      <c r="D446" s="457">
        <f>IF(ISERROR(VLOOKUP(A446,'TB Hard Code'!B:D,3,FALSE)),0,VLOOKUP(A446,'TB Hard Code'!B:D,3,FALSE))</f>
        <v>0</v>
      </c>
      <c r="E446" s="638" t="b">
        <f>+ISERROR(MATCH(A446,'Linked TB'!$A$9:$A$738,0))</f>
        <v>0</v>
      </c>
    </row>
    <row r="447" spans="1:5">
      <c r="A447" s="637">
        <v>7545</v>
      </c>
      <c r="B447" s="638" t="s">
        <v>378</v>
      </c>
      <c r="C447" s="638" t="s">
        <v>952</v>
      </c>
      <c r="D447" s="457">
        <f>IF(ISERROR(VLOOKUP(A447,'TB Hard Code'!B:D,3,FALSE)),0,VLOOKUP(A447,'TB Hard Code'!B:D,3,FALSE))</f>
        <v>15051</v>
      </c>
      <c r="E447" s="638" t="b">
        <f>+ISERROR(MATCH(A447,'Linked TB'!$A$9:$A$738,0))</f>
        <v>0</v>
      </c>
    </row>
    <row r="448" spans="1:5">
      <c r="A448" s="637">
        <v>7550</v>
      </c>
      <c r="B448" s="638" t="s">
        <v>379</v>
      </c>
      <c r="C448" s="638" t="s">
        <v>952</v>
      </c>
      <c r="D448" s="457">
        <f>IF(ISERROR(VLOOKUP(A448,'TB Hard Code'!B:D,3,FALSE)),0,VLOOKUP(A448,'TB Hard Code'!B:D,3,FALSE))</f>
        <v>5504.85</v>
      </c>
      <c r="E448" s="638" t="b">
        <f>+ISERROR(MATCH(A448,'Linked TB'!$A$9:$A$738,0))</f>
        <v>0</v>
      </c>
    </row>
    <row r="449" spans="1:5">
      <c r="A449" s="637">
        <v>7555</v>
      </c>
      <c r="B449" s="638" t="s">
        <v>380</v>
      </c>
      <c r="C449" s="638" t="s">
        <v>952</v>
      </c>
      <c r="D449" s="457">
        <f>IF(ISERROR(VLOOKUP(A449,'TB Hard Code'!B:D,3,FALSE)),0,VLOOKUP(A449,'TB Hard Code'!B:D,3,FALSE))</f>
        <v>56189.9</v>
      </c>
      <c r="E449" s="638" t="b">
        <f>+ISERROR(MATCH(A449,'Linked TB'!$A$9:$A$738,0))</f>
        <v>0</v>
      </c>
    </row>
    <row r="450" spans="1:5">
      <c r="A450" s="637">
        <v>7570</v>
      </c>
      <c r="B450" s="638" t="s">
        <v>383</v>
      </c>
      <c r="C450" s="638" t="s">
        <v>952</v>
      </c>
      <c r="D450" s="457">
        <f>IF(ISERROR(VLOOKUP(A450,'TB Hard Code'!B:D,3,FALSE)),0,VLOOKUP(A450,'TB Hard Code'!B:D,3,FALSE))</f>
        <v>7990.19</v>
      </c>
      <c r="E450" s="638" t="b">
        <f>+ISERROR(MATCH(A450,'Linked TB'!$A$9:$A$738,0))</f>
        <v>0</v>
      </c>
    </row>
    <row r="451" spans="1:5">
      <c r="A451" s="637">
        <v>7595</v>
      </c>
      <c r="B451" s="638" t="s">
        <v>386</v>
      </c>
      <c r="C451" s="638" t="s">
        <v>952</v>
      </c>
      <c r="D451" s="457">
        <f>IF(ISERROR(VLOOKUP(A451,'TB Hard Code'!B:D,3,FALSE)),0,VLOOKUP(A451,'TB Hard Code'!B:D,3,FALSE))</f>
        <v>99758.42</v>
      </c>
      <c r="E451" s="638" t="b">
        <f>+ISERROR(MATCH(A451,'Linked TB'!$A$9:$A$738,0))</f>
        <v>0</v>
      </c>
    </row>
    <row r="452" spans="1:5">
      <c r="A452" s="637">
        <v>7600</v>
      </c>
      <c r="B452" s="638" t="s">
        <v>387</v>
      </c>
      <c r="C452" s="638" t="s">
        <v>952</v>
      </c>
      <c r="D452" s="457">
        <f>IF(ISERROR(VLOOKUP(A452,'TB Hard Code'!B:D,3,FALSE)),0,VLOOKUP(A452,'TB Hard Code'!B:D,3,FALSE))</f>
        <v>-217638.81</v>
      </c>
      <c r="E452" s="638" t="b">
        <f>+ISERROR(MATCH(A452,'Linked TB'!$A$9:$A$738,0))</f>
        <v>0</v>
      </c>
    </row>
    <row r="453" spans="1:5">
      <c r="A453" s="637">
        <v>7605</v>
      </c>
      <c r="B453" s="638" t="s">
        <v>388</v>
      </c>
      <c r="C453" s="638" t="s">
        <v>952</v>
      </c>
      <c r="D453" s="457">
        <f>IF(ISERROR(VLOOKUP(A453,'TB Hard Code'!B:D,3,FALSE)),0,VLOOKUP(A453,'TB Hard Code'!B:D,3,FALSE))</f>
        <v>0</v>
      </c>
      <c r="E453" s="638" t="b">
        <f>+ISERROR(MATCH(A453,'Linked TB'!$A$9:$A$738,0))</f>
        <v>0</v>
      </c>
    </row>
    <row r="454" spans="1:5">
      <c r="A454" s="637">
        <v>7610</v>
      </c>
      <c r="B454" s="638" t="s">
        <v>389</v>
      </c>
      <c r="C454" s="638" t="s">
        <v>952</v>
      </c>
      <c r="D454" s="457">
        <f>IF(ISERROR(VLOOKUP(A454,'TB Hard Code'!B:D,3,FALSE)),0,VLOOKUP(A454,'TB Hard Code'!B:D,3,FALSE))</f>
        <v>-10239.349999999999</v>
      </c>
      <c r="E454" s="638" t="b">
        <f>+ISERROR(MATCH(A454,'Linked TB'!$A$9:$A$738,0))</f>
        <v>0</v>
      </c>
    </row>
    <row r="455" spans="1:5">
      <c r="A455" s="637">
        <v>7655</v>
      </c>
      <c r="B455" s="638" t="s">
        <v>473</v>
      </c>
      <c r="C455" s="638" t="s">
        <v>952</v>
      </c>
      <c r="D455" s="457">
        <f>IF(ISERROR(VLOOKUP(A455,'TB Hard Code'!B:D,3,FALSE)),0,VLOOKUP(A455,'TB Hard Code'!B:D,3,FALSE))</f>
        <v>0</v>
      </c>
      <c r="E455" s="638" t="b">
        <f>+ISERROR(MATCH(A455,'Linked TB'!$A$9:$A$738,0))</f>
        <v>0</v>
      </c>
    </row>
    <row r="456" spans="1:5">
      <c r="A456" s="637">
        <v>7660</v>
      </c>
      <c r="B456" s="638" t="s">
        <v>474</v>
      </c>
      <c r="C456" s="638" t="s">
        <v>952</v>
      </c>
      <c r="D456" s="457">
        <f>IF(ISERROR(VLOOKUP(A456,'TB Hard Code'!B:D,3,FALSE)),0,VLOOKUP(A456,'TB Hard Code'!B:D,3,FALSE))</f>
        <v>0</v>
      </c>
      <c r="E456" s="638" t="b">
        <f>+ISERROR(MATCH(A456,'Linked TB'!$A$9:$A$738,0))</f>
        <v>0</v>
      </c>
    </row>
    <row r="457" spans="1:5">
      <c r="A457" s="637">
        <v>7680</v>
      </c>
      <c r="B457" s="638" t="s">
        <v>477</v>
      </c>
      <c r="C457" s="638" t="s">
        <v>952</v>
      </c>
      <c r="D457" s="457">
        <f>IF(ISERROR(VLOOKUP(A457,'TB Hard Code'!B:D,3,FALSE)),0,VLOOKUP(A457,'TB Hard Code'!B:D,3,FALSE))</f>
        <v>-1800</v>
      </c>
      <c r="E457" s="638" t="b">
        <f>+ISERROR(MATCH(A457,'Linked TB'!$A$9:$A$738,0))</f>
        <v>0</v>
      </c>
    </row>
    <row r="458" spans="1:5">
      <c r="A458" s="637">
        <v>7685</v>
      </c>
      <c r="B458" s="638" t="s">
        <v>478</v>
      </c>
      <c r="C458" s="638" t="s">
        <v>952</v>
      </c>
      <c r="D458" s="457">
        <f>IF(ISERROR(VLOOKUP(A458,'TB Hard Code'!B:D,3,FALSE)),0,VLOOKUP(A458,'TB Hard Code'!B:D,3,FALSE))</f>
        <v>0</v>
      </c>
      <c r="E458" s="638" t="b">
        <f>+ISERROR(MATCH(A458,'Linked TB'!$A$9:$A$738,0))</f>
        <v>0</v>
      </c>
    </row>
    <row r="459" spans="1:5">
      <c r="A459" s="637">
        <v>7691</v>
      </c>
      <c r="B459" s="638" t="s">
        <v>480</v>
      </c>
      <c r="C459" s="638" t="s">
        <v>952</v>
      </c>
      <c r="D459" s="457">
        <f>IF(ISERROR(VLOOKUP(A459,'TB Hard Code'!B:D,3,FALSE)),0,VLOOKUP(A459,'TB Hard Code'!B:D,3,FALSE))</f>
        <v>0</v>
      </c>
      <c r="E459" s="638" t="b">
        <f>+ISERROR(MATCH(A459,'Linked TB'!$A$9:$A$738,0))</f>
        <v>0</v>
      </c>
    </row>
    <row r="460" spans="1:5">
      <c r="A460" s="637">
        <v>7710</v>
      </c>
      <c r="B460" s="638" t="s">
        <v>484</v>
      </c>
      <c r="C460" s="638" t="s">
        <v>952</v>
      </c>
      <c r="D460" s="457">
        <f>IF(ISERROR(VLOOKUP(A460,'TB Hard Code'!B:D,3,FALSE)),0,VLOOKUP(A460,'TB Hard Code'!B:D,3,FALSE))</f>
        <v>175550.73999999996</v>
      </c>
      <c r="E460" s="638" t="b">
        <f>+ISERROR(MATCH(A460,'Linked TB'!$A$9:$A$738,0))</f>
        <v>0</v>
      </c>
    </row>
    <row r="461" spans="1:5">
      <c r="A461" s="637">
        <v>7735</v>
      </c>
      <c r="B461" s="638" t="s">
        <v>120</v>
      </c>
      <c r="C461" s="638" t="s">
        <v>952</v>
      </c>
      <c r="D461" s="457">
        <f>IF(ISERROR(VLOOKUP(A461,'TB Hard Code'!B:D,3,FALSE)),0,VLOOKUP(A461,'TB Hard Code'!B:D,3,FALSE))</f>
        <v>-38.100000000000009</v>
      </c>
      <c r="E461" s="638" t="b">
        <f>+ISERROR(MATCH(A461,'Linked TB'!$A$9:$A$738,0))</f>
        <v>0</v>
      </c>
    </row>
    <row r="462" spans="1:5">
      <c r="A462" s="637">
        <v>7750</v>
      </c>
      <c r="B462" s="638" t="s">
        <v>130</v>
      </c>
      <c r="C462" s="638" t="s">
        <v>952</v>
      </c>
      <c r="D462" s="457">
        <f>IF(ISERROR(VLOOKUP(A462,'TB Hard Code'!B:D,3,FALSE)),0,VLOOKUP(A462,'TB Hard Code'!B:D,3,FALSE))</f>
        <v>-5026.3200000000006</v>
      </c>
      <c r="E462" s="638" t="b">
        <f>+ISERROR(MATCH(A462,'Linked TB'!$A$9:$A$738,0))</f>
        <v>0</v>
      </c>
    </row>
    <row r="463" spans="1:5">
      <c r="A463" s="637">
        <v>7765</v>
      </c>
      <c r="B463" s="638" t="s">
        <v>131</v>
      </c>
      <c r="C463" s="638" t="s">
        <v>952</v>
      </c>
      <c r="D463" s="457">
        <f>IF(ISERROR(VLOOKUP(A463,'TB Hard Code'!B:D,3,FALSE)),0,VLOOKUP(A463,'TB Hard Code'!B:D,3,FALSE))</f>
        <v>0</v>
      </c>
      <c r="E463" s="638" t="b">
        <f>+ISERROR(MATCH(A463,'Linked TB'!$A$9:$A$738,0))</f>
        <v>0</v>
      </c>
    </row>
    <row r="464" spans="1:5">
      <c r="A464" s="637">
        <v>7775</v>
      </c>
      <c r="B464" s="638" t="s">
        <v>1527</v>
      </c>
      <c r="C464" s="638" t="s">
        <v>952</v>
      </c>
      <c r="D464" s="457">
        <f>IF(ISERROR(VLOOKUP(A464,'TB Hard Code'!B:D,3,FALSE)),0,VLOOKUP(A464,'TB Hard Code'!B:D,3,FALSE))</f>
        <v>0</v>
      </c>
      <c r="E464" s="638" t="b">
        <f>+ISERROR(MATCH(A464,'Linked TB'!$A$9:$A$738,0))</f>
        <v>0</v>
      </c>
    </row>
    <row r="465" spans="1:4" ht="5.0999999999999996" customHeight="1">
      <c r="C465" s="1395"/>
      <c r="D465" s="457"/>
    </row>
    <row r="466" spans="1:4" ht="15">
      <c r="A466" s="639" t="s">
        <v>955</v>
      </c>
      <c r="B466" s="639"/>
      <c r="C466" s="639"/>
      <c r="D466" s="640">
        <f>SUM(D2:D465)</f>
        <v>4.8430592869408429E-9</v>
      </c>
    </row>
    <row r="467" spans="1:4" ht="15.75" thickBot="1">
      <c r="A467" s="639"/>
      <c r="B467" s="641"/>
      <c r="C467" s="642"/>
      <c r="D467" s="640"/>
    </row>
    <row r="468" spans="1:4" ht="15">
      <c r="A468" s="643" t="s">
        <v>666</v>
      </c>
      <c r="B468" s="644"/>
      <c r="C468" s="645" t="s">
        <v>876</v>
      </c>
      <c r="D468" s="646">
        <f>+SUMIF($C$2:$C$465,C468,$D$2:$D$465)</f>
        <v>187437.82000000568</v>
      </c>
    </row>
    <row r="469" spans="1:4" ht="15">
      <c r="A469" s="647" t="s">
        <v>147</v>
      </c>
      <c r="B469" s="648"/>
      <c r="C469" s="649" t="s">
        <v>952</v>
      </c>
      <c r="D469" s="650">
        <f>+SUMIF($C$2:$C$465,C469,$D$2:$D$465)</f>
        <v>-187437.82000000041</v>
      </c>
    </row>
    <row r="470" spans="1:4" ht="15.75" thickBot="1">
      <c r="A470" s="651" t="s">
        <v>955</v>
      </c>
      <c r="B470" s="652"/>
      <c r="C470" s="652"/>
      <c r="D470" s="653">
        <f>SUM(D468:D469)</f>
        <v>5.2677933126688004E-9</v>
      </c>
    </row>
  </sheetData>
  <autoFilter ref="A1:E464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8"/>
  <sheetViews>
    <sheetView workbookViewId="0">
      <pane xSplit="2" ySplit="5" topLeftCell="C682" activePane="bottomRight" state="frozen"/>
      <selection activeCell="E11" sqref="E11"/>
      <selection pane="topRight" activeCell="E11" sqref="E11"/>
      <selection pane="bottomLeft" activeCell="E11" sqref="E11"/>
      <selection pane="bottomRight" activeCell="E399" sqref="E399"/>
    </sheetView>
  </sheetViews>
  <sheetFormatPr defaultRowHeight="12.75"/>
  <cols>
    <col min="1" max="1" width="9" style="654"/>
    <col min="2" max="2" width="35.75" style="654" bestFit="1" customWidth="1"/>
    <col min="3" max="3" width="14.875" style="679" bestFit="1" customWidth="1"/>
    <col min="4" max="4" width="14.875" style="679" customWidth="1"/>
    <col min="5" max="5" width="15" style="679" bestFit="1" customWidth="1"/>
    <col min="6" max="7" width="14.125" style="679" bestFit="1" customWidth="1"/>
    <col min="8" max="8" width="14.125" style="699" bestFit="1" customWidth="1"/>
    <col min="9" max="9" width="9" style="679"/>
    <col min="10" max="10" width="10.25" style="679" bestFit="1" customWidth="1"/>
    <col min="11" max="16" width="9" style="679"/>
    <col min="17" max="19" width="11.25" style="679" bestFit="1" customWidth="1"/>
    <col min="20" max="16384" width="9" style="679"/>
  </cols>
  <sheetData>
    <row r="1" spans="1:8" s="654" customFormat="1" ht="13.5">
      <c r="A1" s="2124" t="str">
        <f>Company_Name</f>
        <v>WATER SERVICE CORPORATION OF KENTUCKY</v>
      </c>
      <c r="B1" s="2124"/>
      <c r="C1" s="2124"/>
      <c r="H1" s="655"/>
    </row>
    <row r="2" spans="1:8" s="654" customFormat="1" ht="14.25" thickBot="1">
      <c r="A2" s="2125" t="str">
        <f>TestYearEnded</f>
        <v>Test Year Ended 6/30/2015</v>
      </c>
      <c r="B2" s="2125"/>
      <c r="C2" s="2125"/>
      <c r="F2" s="656"/>
      <c r="H2" s="655"/>
    </row>
    <row r="3" spans="1:8" s="654" customFormat="1">
      <c r="C3" s="657" t="s">
        <v>402</v>
      </c>
      <c r="D3" s="658" t="s">
        <v>402</v>
      </c>
      <c r="E3" s="658" t="s">
        <v>402</v>
      </c>
      <c r="F3" s="657"/>
      <c r="G3" s="658"/>
      <c r="H3" s="659"/>
    </row>
    <row r="4" spans="1:8" s="654" customFormat="1">
      <c r="C4" s="660" t="s">
        <v>671</v>
      </c>
      <c r="D4" s="661" t="s">
        <v>92</v>
      </c>
      <c r="E4" s="661" t="s">
        <v>956</v>
      </c>
      <c r="F4" s="660" t="s">
        <v>748</v>
      </c>
      <c r="G4" s="661" t="s">
        <v>748</v>
      </c>
      <c r="H4" s="662" t="s">
        <v>80</v>
      </c>
    </row>
    <row r="5" spans="1:8" s="663" customFormat="1" ht="25.5">
      <c r="A5" s="1055" t="s">
        <v>957</v>
      </c>
      <c r="B5" s="1056" t="s">
        <v>150</v>
      </c>
      <c r="C5" s="1057" t="str">
        <f>'Input Schedule'!G9</f>
        <v>Test Year Ended 6/30/2015</v>
      </c>
      <c r="D5" s="1058" t="str">
        <f>'Input Schedule'!G9</f>
        <v>Test Year Ended 6/30/2015</v>
      </c>
      <c r="E5" s="1058" t="str">
        <f>'Input Schedule'!G9</f>
        <v>Test Year Ended 6/30/2015</v>
      </c>
      <c r="F5" s="1057" t="s">
        <v>671</v>
      </c>
      <c r="G5" s="1058" t="s">
        <v>92</v>
      </c>
      <c r="H5" s="1059" t="s">
        <v>81</v>
      </c>
    </row>
    <row r="6" spans="1:8" s="669" customFormat="1" ht="15">
      <c r="A6" s="664"/>
      <c r="B6" s="665"/>
      <c r="C6" s="666"/>
      <c r="D6" s="667"/>
      <c r="E6" s="667"/>
      <c r="F6" s="666"/>
      <c r="G6" s="667"/>
      <c r="H6" s="668"/>
    </row>
    <row r="7" spans="1:8" s="669" customFormat="1" ht="15">
      <c r="A7" s="2126" t="s">
        <v>958</v>
      </c>
      <c r="B7" s="2126"/>
      <c r="C7" s="670"/>
      <c r="D7" s="671"/>
      <c r="E7" s="671"/>
      <c r="F7" s="670"/>
      <c r="G7" s="671"/>
      <c r="H7" s="672"/>
    </row>
    <row r="8" spans="1:8" s="669" customFormat="1" ht="15">
      <c r="A8" s="1380"/>
      <c r="B8" s="1380"/>
      <c r="C8" s="670"/>
      <c r="D8" s="671"/>
      <c r="E8" s="671"/>
      <c r="F8" s="670"/>
      <c r="G8" s="671"/>
      <c r="H8" s="672"/>
    </row>
    <row r="9" spans="1:8">
      <c r="A9" s="673">
        <v>1020</v>
      </c>
      <c r="B9" s="654" t="str">
        <f>INDEX('TB Clean'!$B$2:$B$464,MATCH('Linked TB'!A9,'TB Clean'!$A$2:$A$464,0))</f>
        <v xml:space="preserve">     ORGANIZATION</v>
      </c>
      <c r="C9" s="674">
        <f>+E9</f>
        <v>164394.1</v>
      </c>
      <c r="D9" s="675">
        <v>0</v>
      </c>
      <c r="E9" s="677">
        <f>INDEX('TB Clean'!$D$2:$D$464,MATCH('Linked TB'!A9,'TB Clean'!$A$2:$A$464,0))</f>
        <v>164394.1</v>
      </c>
      <c r="F9" s="684">
        <f>+IF(UPPER(H9)="ACTUAL",C9,INDEX(ALLOCATION_TABLE,MATCH(UPPER(H9),INDEX(ALLOCATION_TABLE,0,1),0),5)*E9)</f>
        <v>164394.1</v>
      </c>
      <c r="G9" s="677">
        <f t="shared" ref="G9:G38" si="0">+E9-F9</f>
        <v>0</v>
      </c>
      <c r="H9" s="678" t="s">
        <v>427</v>
      </c>
    </row>
    <row r="10" spans="1:8">
      <c r="A10" s="673">
        <v>1025</v>
      </c>
      <c r="B10" s="654" t="str">
        <f>INDEX('TB Clean'!$B$2:$B$464,MATCH('Linked TB'!A10,'TB Clean'!$A$2:$A$464,0))</f>
        <v xml:space="preserve">     FRANCHISES</v>
      </c>
      <c r="C10" s="674">
        <f>+E10</f>
        <v>0</v>
      </c>
      <c r="D10" s="675">
        <v>0</v>
      </c>
      <c r="E10" s="677">
        <f>INDEX('TB Clean'!$D$2:$D$464,MATCH('Linked TB'!A10,'TB Clean'!$A$2:$A$464,0))</f>
        <v>0</v>
      </c>
      <c r="F10" s="684">
        <f>+IF(UPPER(H10)="ACTUAL",C10,INDEX(ALLOCATION_TABLE,MATCH(UPPER(H10),INDEX(ALLOCATION_TABLE,0,1),0),5)*E10)</f>
        <v>0</v>
      </c>
      <c r="G10" s="677">
        <f>+E10-F10</f>
        <v>0</v>
      </c>
      <c r="H10" s="678" t="s">
        <v>427</v>
      </c>
    </row>
    <row r="11" spans="1:8">
      <c r="A11" s="673">
        <v>1040</v>
      </c>
      <c r="B11" s="654" t="str">
        <f>INDEX('TB Clean'!$B$2:$B$464,MATCH('Linked TB'!A11,'TB Clean'!$A$2:$A$464,0))</f>
        <v xml:space="preserve">     LAND &amp; LAND RIGHTS TRANS</v>
      </c>
      <c r="C11" s="674">
        <f>+E11</f>
        <v>0</v>
      </c>
      <c r="D11" s="675">
        <v>0</v>
      </c>
      <c r="E11" s="677">
        <f>INDEX('TB Clean'!$D$2:$D$464,MATCH('Linked TB'!A11,'TB Clean'!$A$2:$A$464,0))</f>
        <v>0</v>
      </c>
      <c r="F11" s="684">
        <f>+IF(UPPER(H11)="ACTUAL",C11,INDEX(ALLOCATION_TABLE,MATCH(UPPER(H11),INDEX(ALLOCATION_TABLE,0,1),0),5)*E11)</f>
        <v>0</v>
      </c>
      <c r="G11" s="677">
        <f>+E11-F11</f>
        <v>0</v>
      </c>
      <c r="H11" s="678" t="s">
        <v>427</v>
      </c>
    </row>
    <row r="12" spans="1:8">
      <c r="A12" s="673">
        <v>1045</v>
      </c>
      <c r="B12" s="654" t="str">
        <f>INDEX('TB Clean'!$B$2:$B$464,MATCH('Linked TB'!A12,'TB Clean'!$A$2:$A$464,0))</f>
        <v xml:space="preserve">     LAND &amp; LAND RIGHTS GEN PL</v>
      </c>
      <c r="C12" s="674">
        <f t="shared" ref="C12:C38" si="1">+E12</f>
        <v>22551.41</v>
      </c>
      <c r="D12" s="675">
        <v>0</v>
      </c>
      <c r="E12" s="677">
        <f>INDEX('TB Clean'!$D$2:$D$464,MATCH('Linked TB'!A12,'TB Clean'!$A$2:$A$464,0))</f>
        <v>22551.41</v>
      </c>
      <c r="F12" s="684">
        <f t="shared" ref="F12:F37" si="2">+IF(UPPER(H12)="ACTUAL",C12,INDEX(ALLOCATION_TABLE,MATCH(UPPER(H12),INDEX(ALLOCATION_TABLE,0,1),0),5)*E12)</f>
        <v>22551.41</v>
      </c>
      <c r="G12" s="677">
        <f t="shared" si="0"/>
        <v>0</v>
      </c>
      <c r="H12" s="678" t="s">
        <v>427</v>
      </c>
    </row>
    <row r="13" spans="1:8">
      <c r="A13" s="673">
        <v>1050</v>
      </c>
      <c r="B13" s="654" t="str">
        <f>INDEX('TB Clean'!$B$2:$B$464,MATCH('Linked TB'!A13,'TB Clean'!$A$2:$A$464,0))</f>
        <v xml:space="preserve">     STRUCT &amp; IMPRV SRC SUPPLY</v>
      </c>
      <c r="C13" s="674">
        <f t="shared" si="1"/>
        <v>119734.05</v>
      </c>
      <c r="D13" s="675">
        <v>0</v>
      </c>
      <c r="E13" s="677">
        <f>INDEX('TB Clean'!$D$2:$D$464,MATCH('Linked TB'!A13,'TB Clean'!$A$2:$A$464,0))</f>
        <v>119734.05</v>
      </c>
      <c r="F13" s="684">
        <f t="shared" si="2"/>
        <v>119734.05</v>
      </c>
      <c r="G13" s="677">
        <f t="shared" si="0"/>
        <v>0</v>
      </c>
      <c r="H13" s="678" t="s">
        <v>427</v>
      </c>
    </row>
    <row r="14" spans="1:8">
      <c r="A14" s="673">
        <v>1055</v>
      </c>
      <c r="B14" s="654" t="str">
        <f>INDEX('TB Clean'!$B$2:$B$464,MATCH('Linked TB'!A14,'TB Clean'!$A$2:$A$464,0))</f>
        <v xml:space="preserve">     STRUCT &amp; IMPRV WTR TRT PL</v>
      </c>
      <c r="C14" s="674">
        <f t="shared" si="1"/>
        <v>469034.23</v>
      </c>
      <c r="D14" s="675">
        <v>0</v>
      </c>
      <c r="E14" s="677">
        <f>INDEX('TB Clean'!$D$2:$D$464,MATCH('Linked TB'!A14,'TB Clean'!$A$2:$A$464,0))</f>
        <v>469034.23</v>
      </c>
      <c r="F14" s="684">
        <f t="shared" si="2"/>
        <v>469034.23</v>
      </c>
      <c r="G14" s="677">
        <f t="shared" si="0"/>
        <v>0</v>
      </c>
      <c r="H14" s="678" t="s">
        <v>427</v>
      </c>
    </row>
    <row r="15" spans="1:8">
      <c r="A15" s="673">
        <v>1060</v>
      </c>
      <c r="B15" s="654" t="str">
        <f>INDEX('TB Clean'!$B$2:$B$464,MATCH('Linked TB'!A15,'TB Clean'!$A$2:$A$464,0))</f>
        <v xml:space="preserve">     STRUCT &amp; IMPRV TRANS DIST</v>
      </c>
      <c r="C15" s="674">
        <f>+E15</f>
        <v>461.5</v>
      </c>
      <c r="D15" s="675">
        <v>0</v>
      </c>
      <c r="E15" s="677">
        <f>INDEX('TB Clean'!$D$2:$D$464,MATCH('Linked TB'!A15,'TB Clean'!$A$2:$A$464,0))</f>
        <v>461.5</v>
      </c>
      <c r="F15" s="684">
        <f>+IF(UPPER(H15)="ACTUAL",C15,INDEX(ALLOCATION_TABLE,MATCH(UPPER(H15),INDEX(ALLOCATION_TABLE,0,1),0),5)*E15)</f>
        <v>461.5</v>
      </c>
      <c r="G15" s="677">
        <f>+E15-F15</f>
        <v>0</v>
      </c>
      <c r="H15" s="678" t="s">
        <v>427</v>
      </c>
    </row>
    <row r="16" spans="1:8">
      <c r="A16" s="673">
        <v>1065</v>
      </c>
      <c r="B16" s="654" t="str">
        <f>INDEX('TB Clean'!$B$2:$B$464,MATCH('Linked TB'!A16,'TB Clean'!$A$2:$A$464,0))</f>
        <v xml:space="preserve">     STRUCT &amp; IMPRV GEN PLT</v>
      </c>
      <c r="C16" s="674">
        <f>+E16</f>
        <v>129602.66</v>
      </c>
      <c r="D16" s="675">
        <v>0</v>
      </c>
      <c r="E16" s="677">
        <f>INDEX('TB Clean'!$D$2:$D$464,MATCH('Linked TB'!A16,'TB Clean'!$A$2:$A$464,0))</f>
        <v>129602.66</v>
      </c>
      <c r="F16" s="684">
        <f>+IF(UPPER(H16)="ACTUAL",C16,INDEX(ALLOCATION_TABLE,MATCH(UPPER(H16),INDEX(ALLOCATION_TABLE,0,1),0),5)*E16)</f>
        <v>129602.66</v>
      </c>
      <c r="G16" s="677">
        <f>+E16-F16</f>
        <v>0</v>
      </c>
      <c r="H16" s="678" t="s">
        <v>427</v>
      </c>
    </row>
    <row r="17" spans="1:8">
      <c r="A17" s="673">
        <v>1080</v>
      </c>
      <c r="B17" s="654" t="str">
        <f>INDEX('TB Clean'!$B$2:$B$464,MATCH('Linked TB'!A17,'TB Clean'!$A$2:$A$464,0))</f>
        <v xml:space="preserve">     WELLS &amp; SPRINGS</v>
      </c>
      <c r="C17" s="674">
        <f t="shared" si="1"/>
        <v>477398.13</v>
      </c>
      <c r="D17" s="675">
        <v>0</v>
      </c>
      <c r="E17" s="677">
        <f>INDEX('TB Clean'!$D$2:$D$464,MATCH('Linked TB'!A17,'TB Clean'!$A$2:$A$464,0))</f>
        <v>477398.13</v>
      </c>
      <c r="F17" s="684">
        <f t="shared" si="2"/>
        <v>477398.13</v>
      </c>
      <c r="G17" s="677">
        <f t="shared" si="0"/>
        <v>0</v>
      </c>
      <c r="H17" s="678" t="s">
        <v>427</v>
      </c>
    </row>
    <row r="18" spans="1:8">
      <c r="A18" s="673">
        <v>1090</v>
      </c>
      <c r="B18" s="654" t="str">
        <f>INDEX('TB Clean'!$B$2:$B$464,MATCH('Linked TB'!A18,'TB Clean'!$A$2:$A$464,0))</f>
        <v xml:space="preserve">     SUPPLY MAINS</v>
      </c>
      <c r="C18" s="674">
        <f>+E18</f>
        <v>9489.7199999999993</v>
      </c>
      <c r="D18" s="675">
        <v>0</v>
      </c>
      <c r="E18" s="677">
        <f>INDEX('TB Clean'!$D$2:$D$464,MATCH('Linked TB'!A18,'TB Clean'!$A$2:$A$464,0))</f>
        <v>9489.7199999999993</v>
      </c>
      <c r="F18" s="684">
        <f>+IF(UPPER(H18)="ACTUAL",C18,INDEX(ALLOCATION_TABLE,MATCH(UPPER(H18),INDEX(ALLOCATION_TABLE,0,1),0),5)*E18)</f>
        <v>9489.7199999999993</v>
      </c>
      <c r="G18" s="677">
        <f>+E18-F18</f>
        <v>0</v>
      </c>
      <c r="H18" s="678" t="s">
        <v>427</v>
      </c>
    </row>
    <row r="19" spans="1:8">
      <c r="A19" s="673">
        <v>1100</v>
      </c>
      <c r="B19" s="654" t="str">
        <f>INDEX('TB Clean'!$B$2:$B$464,MATCH('Linked TB'!A19,'TB Clean'!$A$2:$A$464,0))</f>
        <v xml:space="preserve">     ELECTRIC PUMP EQUIP SRC PUMP</v>
      </c>
      <c r="C19" s="674">
        <f>+E19</f>
        <v>9223.01</v>
      </c>
      <c r="D19" s="675">
        <v>0</v>
      </c>
      <c r="E19" s="677">
        <f>INDEX('TB Clean'!$D$2:$D$464,MATCH('Linked TB'!A19,'TB Clean'!$A$2:$A$464,0))</f>
        <v>9223.01</v>
      </c>
      <c r="F19" s="684">
        <f>+IF(UPPER(H19)="ACTUAL",C19,INDEX(ALLOCATION_TABLE,MATCH(UPPER(H19),INDEX(ALLOCATION_TABLE,0,1),0),5)*E19)</f>
        <v>9223.01</v>
      </c>
      <c r="G19" s="677">
        <f>+E19-F19</f>
        <v>0</v>
      </c>
      <c r="H19" s="678" t="s">
        <v>427</v>
      </c>
    </row>
    <row r="20" spans="1:8">
      <c r="A20" s="673">
        <v>1105</v>
      </c>
      <c r="B20" s="654" t="str">
        <f>INDEX('TB Clean'!$B$2:$B$464,MATCH('Linked TB'!A20,'TB Clean'!$A$2:$A$464,0))</f>
        <v xml:space="preserve">     ELECTRIC PUMP EQUIP WTP</v>
      </c>
      <c r="C20" s="674">
        <f t="shared" si="1"/>
        <v>702166.93</v>
      </c>
      <c r="D20" s="675">
        <v>0</v>
      </c>
      <c r="E20" s="677">
        <f>INDEX('TB Clean'!$D$2:$D$464,MATCH('Linked TB'!A20,'TB Clean'!$A$2:$A$464,0))</f>
        <v>702166.93</v>
      </c>
      <c r="F20" s="684">
        <f t="shared" si="2"/>
        <v>702166.93</v>
      </c>
      <c r="G20" s="677">
        <f t="shared" si="0"/>
        <v>0</v>
      </c>
      <c r="H20" s="678" t="s">
        <v>427</v>
      </c>
    </row>
    <row r="21" spans="1:8">
      <c r="A21" s="673">
        <v>1110</v>
      </c>
      <c r="B21" s="654" t="str">
        <f>INDEX('TB Clean'!$B$2:$B$464,MATCH('Linked TB'!A21,'TB Clean'!$A$2:$A$464,0))</f>
        <v xml:space="preserve">     ELECTRIC PUMP EQUIP TRANS</v>
      </c>
      <c r="C21" s="674">
        <f t="shared" si="1"/>
        <v>7532.87</v>
      </c>
      <c r="D21" s="675">
        <v>0</v>
      </c>
      <c r="E21" s="677">
        <f>INDEX('TB Clean'!$D$2:$D$464,MATCH('Linked TB'!A21,'TB Clean'!$A$2:$A$464,0))</f>
        <v>7532.87</v>
      </c>
      <c r="F21" s="684">
        <f>+IF(UPPER(H21)="ACTUAL",C21,INDEX(ALLOCATION_TABLE,MATCH(UPPER(H21),INDEX(ALLOCATION_TABLE,0,1),0),5)*E21)</f>
        <v>7532.87</v>
      </c>
      <c r="G21" s="677">
        <f t="shared" si="0"/>
        <v>0</v>
      </c>
      <c r="H21" s="678" t="s">
        <v>427</v>
      </c>
    </row>
    <row r="22" spans="1:8">
      <c r="A22" s="673">
        <v>1115</v>
      </c>
      <c r="B22" s="654" t="str">
        <f>INDEX('TB Clean'!$B$2:$B$464,MATCH('Linked TB'!A22,'TB Clean'!$A$2:$A$464,0))</f>
        <v xml:space="preserve">     WATER TREATMENT EQPT</v>
      </c>
      <c r="C22" s="674">
        <f t="shared" si="1"/>
        <v>1011297.32</v>
      </c>
      <c r="D22" s="675">
        <v>0</v>
      </c>
      <c r="E22" s="677">
        <f>INDEX('TB Clean'!$D$2:$D$464,MATCH('Linked TB'!A22,'TB Clean'!$A$2:$A$464,0))</f>
        <v>1011297.32</v>
      </c>
      <c r="F22" s="684">
        <f t="shared" si="2"/>
        <v>1011297.32</v>
      </c>
      <c r="G22" s="677">
        <f t="shared" si="0"/>
        <v>0</v>
      </c>
      <c r="H22" s="678" t="s">
        <v>427</v>
      </c>
    </row>
    <row r="23" spans="1:8">
      <c r="A23" s="673">
        <v>1120</v>
      </c>
      <c r="B23" s="654" t="str">
        <f>INDEX('TB Clean'!$B$2:$B$464,MATCH('Linked TB'!A23,'TB Clean'!$A$2:$A$464,0))</f>
        <v xml:space="preserve">     DIST RESV &amp; STANDPIPES</v>
      </c>
      <c r="C23" s="674">
        <f t="shared" si="1"/>
        <v>529313.81999999995</v>
      </c>
      <c r="D23" s="675">
        <v>0</v>
      </c>
      <c r="E23" s="677">
        <f>INDEX('TB Clean'!$D$2:$D$464,MATCH('Linked TB'!A23,'TB Clean'!$A$2:$A$464,0))</f>
        <v>529313.81999999995</v>
      </c>
      <c r="F23" s="684">
        <f t="shared" si="2"/>
        <v>529313.81999999995</v>
      </c>
      <c r="G23" s="677">
        <f t="shared" si="0"/>
        <v>0</v>
      </c>
      <c r="H23" s="678" t="s">
        <v>427</v>
      </c>
    </row>
    <row r="24" spans="1:8">
      <c r="A24" s="673">
        <v>1125</v>
      </c>
      <c r="B24" s="654" t="str">
        <f>INDEX('TB Clean'!$B$2:$B$464,MATCH('Linked TB'!A24,'TB Clean'!$A$2:$A$464,0))</f>
        <v xml:space="preserve">     TRANS &amp; DISTR MAINS</v>
      </c>
      <c r="C24" s="674">
        <f t="shared" si="1"/>
        <v>3390245.07</v>
      </c>
      <c r="D24" s="675">
        <v>0</v>
      </c>
      <c r="E24" s="677">
        <f>INDEX('TB Clean'!$D$2:$D$464,MATCH('Linked TB'!A24,'TB Clean'!$A$2:$A$464,0))</f>
        <v>3390245.07</v>
      </c>
      <c r="F24" s="684">
        <f t="shared" si="2"/>
        <v>3390245.07</v>
      </c>
      <c r="G24" s="677">
        <f t="shared" si="0"/>
        <v>0</v>
      </c>
      <c r="H24" s="678" t="s">
        <v>427</v>
      </c>
    </row>
    <row r="25" spans="1:8">
      <c r="A25" s="673">
        <v>1130</v>
      </c>
      <c r="B25" s="654" t="str">
        <f>INDEX('TB Clean'!$B$2:$B$464,MATCH('Linked TB'!A25,'TB Clean'!$A$2:$A$464,0))</f>
        <v xml:space="preserve">     SERVICE LINES</v>
      </c>
      <c r="C25" s="674">
        <f t="shared" si="1"/>
        <v>881265.1</v>
      </c>
      <c r="D25" s="675">
        <v>0</v>
      </c>
      <c r="E25" s="677">
        <f>INDEX('TB Clean'!$D$2:$D$464,MATCH('Linked TB'!A25,'TB Clean'!$A$2:$A$464,0))</f>
        <v>881265.1</v>
      </c>
      <c r="F25" s="684">
        <f t="shared" si="2"/>
        <v>881265.1</v>
      </c>
      <c r="G25" s="677">
        <f t="shared" si="0"/>
        <v>0</v>
      </c>
      <c r="H25" s="678" t="s">
        <v>427</v>
      </c>
    </row>
    <row r="26" spans="1:8">
      <c r="A26" s="673">
        <v>1135</v>
      </c>
      <c r="B26" s="654" t="str">
        <f>INDEX('TB Clean'!$B$2:$B$464,MATCH('Linked TB'!A26,'TB Clean'!$A$2:$A$464,0))</f>
        <v xml:space="preserve">     METERS</v>
      </c>
      <c r="C26" s="674">
        <f t="shared" si="1"/>
        <v>738122.04</v>
      </c>
      <c r="D26" s="675">
        <v>0</v>
      </c>
      <c r="E26" s="677">
        <f>INDEX('TB Clean'!$D$2:$D$464,MATCH('Linked TB'!A26,'TB Clean'!$A$2:$A$464,0))</f>
        <v>738122.04</v>
      </c>
      <c r="F26" s="684">
        <f t="shared" si="2"/>
        <v>738122.04</v>
      </c>
      <c r="G26" s="677">
        <f t="shared" si="0"/>
        <v>0</v>
      </c>
      <c r="H26" s="678" t="s">
        <v>427</v>
      </c>
    </row>
    <row r="27" spans="1:8">
      <c r="A27" s="673">
        <v>1140</v>
      </c>
      <c r="B27" s="654" t="str">
        <f>INDEX('TB Clean'!$B$2:$B$464,MATCH('Linked TB'!A27,'TB Clean'!$A$2:$A$464,0))</f>
        <v xml:space="preserve">     METER INSTALLATIONS</v>
      </c>
      <c r="C27" s="674">
        <f t="shared" si="1"/>
        <v>600576.56999999995</v>
      </c>
      <c r="D27" s="675">
        <v>0</v>
      </c>
      <c r="E27" s="677">
        <f>INDEX('TB Clean'!$D$2:$D$464,MATCH('Linked TB'!A27,'TB Clean'!$A$2:$A$464,0))</f>
        <v>600576.56999999995</v>
      </c>
      <c r="F27" s="684">
        <f t="shared" si="2"/>
        <v>600576.56999999995</v>
      </c>
      <c r="G27" s="677">
        <f t="shared" si="0"/>
        <v>0</v>
      </c>
      <c r="H27" s="678" t="s">
        <v>427</v>
      </c>
    </row>
    <row r="28" spans="1:8">
      <c r="A28" s="673">
        <v>1145</v>
      </c>
      <c r="B28" s="654" t="str">
        <f>INDEX('TB Clean'!$B$2:$B$464,MATCH('Linked TB'!A28,'TB Clean'!$A$2:$A$464,0))</f>
        <v xml:space="preserve">     HYDRANTS</v>
      </c>
      <c r="C28" s="674">
        <f>+E28</f>
        <v>406626.32</v>
      </c>
      <c r="D28" s="675">
        <v>0</v>
      </c>
      <c r="E28" s="677">
        <f>INDEX('TB Clean'!$D$2:$D$464,MATCH('Linked TB'!A28,'TB Clean'!$A$2:$A$464,0))</f>
        <v>406626.32</v>
      </c>
      <c r="F28" s="684">
        <f>+IF(UPPER(H28)="ACTUAL",C28,INDEX(ALLOCATION_TABLE,MATCH(UPPER(H28),INDEX(ALLOCATION_TABLE,0,1),0),5)*E28)</f>
        <v>406626.32</v>
      </c>
      <c r="G28" s="677">
        <f>+E28-F28</f>
        <v>0</v>
      </c>
      <c r="H28" s="678" t="s">
        <v>427</v>
      </c>
    </row>
    <row r="29" spans="1:8">
      <c r="A29" s="673">
        <v>1150</v>
      </c>
      <c r="B29" s="654" t="str">
        <f>INDEX('TB Clean'!$B$2:$B$464,MATCH('Linked TB'!A29,'TB Clean'!$A$2:$A$464,0))</f>
        <v xml:space="preserve">     BACKFLOW PREVENTION DEVIC</v>
      </c>
      <c r="C29" s="674">
        <f>+E29</f>
        <v>0</v>
      </c>
      <c r="D29" s="675">
        <v>0</v>
      </c>
      <c r="E29" s="677">
        <f>INDEX('TB Clean'!$D$2:$D$464,MATCH('Linked TB'!A29,'TB Clean'!$A$2:$A$464,0))</f>
        <v>0</v>
      </c>
      <c r="F29" s="684">
        <f>+IF(UPPER(H29)="ACTUAL",C29,INDEX(ALLOCATION_TABLE,MATCH(UPPER(H29),INDEX(ALLOCATION_TABLE,0,1),0),5)*E29)</f>
        <v>0</v>
      </c>
      <c r="G29" s="677">
        <f>+E29-F29</f>
        <v>0</v>
      </c>
      <c r="H29" s="678" t="s">
        <v>427</v>
      </c>
    </row>
    <row r="30" spans="1:8">
      <c r="A30" s="673">
        <v>1170</v>
      </c>
      <c r="B30" s="654" t="str">
        <f>INDEX('TB Clean'!$B$2:$B$464,MATCH('Linked TB'!A30,'TB Clean'!$A$2:$A$464,0))</f>
        <v xml:space="preserve">     OTH PLT&amp;MISC EQUIP TRANS</v>
      </c>
      <c r="C30" s="674">
        <f>+E30</f>
        <v>0</v>
      </c>
      <c r="D30" s="675">
        <v>0</v>
      </c>
      <c r="E30" s="677">
        <f>INDEX('TB Clean'!$D$2:$D$464,MATCH('Linked TB'!A30,'TB Clean'!$A$2:$A$464,0))</f>
        <v>0</v>
      </c>
      <c r="F30" s="684">
        <f>+IF(UPPER(H30)="ACTUAL",C30,INDEX(ALLOCATION_TABLE,MATCH(UPPER(H30),INDEX(ALLOCATION_TABLE,0,1),0),5)*E30)</f>
        <v>0</v>
      </c>
      <c r="G30" s="677">
        <f>+E30-F30</f>
        <v>0</v>
      </c>
      <c r="H30" s="678" t="s">
        <v>427</v>
      </c>
    </row>
    <row r="31" spans="1:8">
      <c r="A31" s="673">
        <v>1175</v>
      </c>
      <c r="B31" s="654" t="str">
        <f>INDEX('TB Clean'!$B$2:$B$464,MATCH('Linked TB'!A31,'TB Clean'!$A$2:$A$464,0))</f>
        <v xml:space="preserve">     OFFICE STRUCT &amp; IMPRV</v>
      </c>
      <c r="C31" s="674">
        <f>+E31</f>
        <v>151271.59</v>
      </c>
      <c r="D31" s="675">
        <v>0</v>
      </c>
      <c r="E31" s="677">
        <f>INDEX('TB Clean'!$D$2:$D$464,MATCH('Linked TB'!A31,'TB Clean'!$A$2:$A$464,0))</f>
        <v>151271.59</v>
      </c>
      <c r="F31" s="684">
        <f>+IF(UPPER(H31)="ACTUAL",C31,INDEX(ALLOCATION_TABLE,MATCH(UPPER(H31),INDEX(ALLOCATION_TABLE,0,1),0),5)*E31)</f>
        <v>151271.59</v>
      </c>
      <c r="G31" s="677">
        <f>+E31-F31</f>
        <v>0</v>
      </c>
      <c r="H31" s="678" t="s">
        <v>427</v>
      </c>
    </row>
    <row r="32" spans="1:8">
      <c r="A32" s="673">
        <v>1180</v>
      </c>
      <c r="B32" s="654" t="str">
        <f>INDEX('TB Clean'!$B$2:$B$464,MATCH('Linked TB'!A32,'TB Clean'!$A$2:$A$464,0))</f>
        <v xml:space="preserve">     OFFICE FURN &amp; EQPT</v>
      </c>
      <c r="C32" s="674">
        <f t="shared" si="1"/>
        <v>100935.4</v>
      </c>
      <c r="D32" s="675">
        <v>0</v>
      </c>
      <c r="E32" s="677">
        <f>INDEX('TB Clean'!$D$2:$D$464,MATCH('Linked TB'!A32,'TB Clean'!$A$2:$A$464,0))</f>
        <v>100935.4</v>
      </c>
      <c r="F32" s="684">
        <f t="shared" si="2"/>
        <v>100935.4</v>
      </c>
      <c r="G32" s="677">
        <f t="shared" si="0"/>
        <v>0</v>
      </c>
      <c r="H32" s="678" t="s">
        <v>427</v>
      </c>
    </row>
    <row r="33" spans="1:8">
      <c r="A33" s="673">
        <v>1190</v>
      </c>
      <c r="B33" s="654" t="str">
        <f>INDEX('TB Clean'!$B$2:$B$464,MATCH('Linked TB'!A33,'TB Clean'!$A$2:$A$464,0))</f>
        <v xml:space="preserve">     TOOL SHOP &amp; MISC EQPT</v>
      </c>
      <c r="C33" s="674">
        <f t="shared" si="1"/>
        <v>269939.90999999997</v>
      </c>
      <c r="D33" s="675">
        <v>0</v>
      </c>
      <c r="E33" s="677">
        <f>INDEX('TB Clean'!$D$2:$D$464,MATCH('Linked TB'!A33,'TB Clean'!$A$2:$A$464,0))</f>
        <v>269939.90999999997</v>
      </c>
      <c r="F33" s="684">
        <f t="shared" si="2"/>
        <v>269939.90999999997</v>
      </c>
      <c r="G33" s="677">
        <f t="shared" si="0"/>
        <v>0</v>
      </c>
      <c r="H33" s="678" t="s">
        <v>427</v>
      </c>
    </row>
    <row r="34" spans="1:8">
      <c r="A34" s="673">
        <v>1195</v>
      </c>
      <c r="B34" s="654" t="str">
        <f>INDEX('TB Clean'!$B$2:$B$464,MATCH('Linked TB'!A34,'TB Clean'!$A$2:$A$464,0))</f>
        <v xml:space="preserve">     LABORATORY EQUIPMENT</v>
      </c>
      <c r="C34" s="674">
        <f t="shared" si="1"/>
        <v>78263.199999999997</v>
      </c>
      <c r="D34" s="675">
        <v>0</v>
      </c>
      <c r="E34" s="677">
        <f>INDEX('TB Clean'!$D$2:$D$464,MATCH('Linked TB'!A34,'TB Clean'!$A$2:$A$464,0))</f>
        <v>78263.199999999997</v>
      </c>
      <c r="F34" s="684">
        <f t="shared" si="2"/>
        <v>78263.199999999997</v>
      </c>
      <c r="G34" s="677">
        <f t="shared" si="0"/>
        <v>0</v>
      </c>
      <c r="H34" s="678" t="s">
        <v>427</v>
      </c>
    </row>
    <row r="35" spans="1:8">
      <c r="A35" s="673">
        <v>1200</v>
      </c>
      <c r="B35" s="654" t="str">
        <f>INDEX('TB Clean'!$B$2:$B$464,MATCH('Linked TB'!A35,'TB Clean'!$A$2:$A$464,0))</f>
        <v xml:space="preserve">     POWER OPERATED EQUIP</v>
      </c>
      <c r="C35" s="674">
        <f t="shared" ref="C35" si="3">+E35</f>
        <v>2570.16</v>
      </c>
      <c r="D35" s="675">
        <v>0</v>
      </c>
      <c r="E35" s="677">
        <f>INDEX('TB Clean'!$D$2:$D$464,MATCH('Linked TB'!A35,'TB Clean'!$A$2:$A$464,0))</f>
        <v>2570.16</v>
      </c>
      <c r="F35" s="684">
        <f t="shared" ref="F35" si="4">+IF(UPPER(H35)="ACTUAL",C35,INDEX(ALLOCATION_TABLE,MATCH(UPPER(H35),INDEX(ALLOCATION_TABLE,0,1),0),5)*E35)</f>
        <v>2570.16</v>
      </c>
      <c r="G35" s="677">
        <f t="shared" ref="G35" si="5">+E35-F35</f>
        <v>0</v>
      </c>
      <c r="H35" s="678" t="s">
        <v>427</v>
      </c>
    </row>
    <row r="36" spans="1:8">
      <c r="A36" s="673">
        <v>1205</v>
      </c>
      <c r="B36" s="654" t="str">
        <f>INDEX('TB Clean'!$B$2:$B$464,MATCH('Linked TB'!A36,'TB Clean'!$A$2:$A$464,0))</f>
        <v xml:space="preserve">     COMMUNICATION EQPT</v>
      </c>
      <c r="C36" s="674">
        <f>+E36</f>
        <v>54791.5</v>
      </c>
      <c r="D36" s="675">
        <v>0</v>
      </c>
      <c r="E36" s="677">
        <f>INDEX('TB Clean'!$D$2:$D$464,MATCH('Linked TB'!A36,'TB Clean'!$A$2:$A$464,0))</f>
        <v>54791.5</v>
      </c>
      <c r="F36" s="684">
        <f>+IF(UPPER(H36)="ACTUAL",C36,INDEX(ALLOCATION_TABLE,MATCH(UPPER(H36),INDEX(ALLOCATION_TABLE,0,1),0),5)*E36)</f>
        <v>54791.5</v>
      </c>
      <c r="G36" s="677">
        <f>+E36-F36</f>
        <v>0</v>
      </c>
      <c r="H36" s="678" t="s">
        <v>427</v>
      </c>
    </row>
    <row r="37" spans="1:8">
      <c r="A37" s="673">
        <v>1210</v>
      </c>
      <c r="B37" s="654" t="str">
        <f>INDEX('TB Clean'!$B$2:$B$464,MATCH('Linked TB'!A37,'TB Clean'!$A$2:$A$464,0))</f>
        <v xml:space="preserve">     MISC EQUIPMENT</v>
      </c>
      <c r="C37" s="674">
        <f t="shared" si="1"/>
        <v>0</v>
      </c>
      <c r="D37" s="675">
        <v>0</v>
      </c>
      <c r="E37" s="677">
        <f>INDEX('TB Clean'!$D$2:$D$464,MATCH('Linked TB'!A37,'TB Clean'!$A$2:$A$464,0))</f>
        <v>0</v>
      </c>
      <c r="F37" s="684">
        <f t="shared" si="2"/>
        <v>0</v>
      </c>
      <c r="G37" s="677">
        <f t="shared" si="0"/>
        <v>0</v>
      </c>
      <c r="H37" s="678" t="s">
        <v>427</v>
      </c>
    </row>
    <row r="38" spans="1:8">
      <c r="A38" s="673">
        <v>1215</v>
      </c>
      <c r="B38" s="654" t="str">
        <f>INDEX('TB Clean'!$B$2:$B$464,MATCH('Linked TB'!A38,'TB Clean'!$A$2:$A$464,0))</f>
        <v xml:space="preserve">     WATER PLANT ALLOCATED</v>
      </c>
      <c r="C38" s="674">
        <f t="shared" si="1"/>
        <v>69976</v>
      </c>
      <c r="D38" s="675">
        <v>0</v>
      </c>
      <c r="E38" s="677">
        <f>INDEX('TB Clean'!$D$2:$D$464,MATCH('Linked TB'!A38,'TB Clean'!$A$2:$A$464,0))</f>
        <v>69976</v>
      </c>
      <c r="F38" s="684">
        <f>+IF(UPPER(H38)="ACTUAL",C38,INDEX(ALLOCATION_TABLE,MATCH(UPPER(H38),INDEX(ALLOCATION_TABLE,0,1),0),5)*E38)</f>
        <v>69976</v>
      </c>
      <c r="G38" s="677">
        <f t="shared" si="0"/>
        <v>0</v>
      </c>
      <c r="H38" s="678" t="s">
        <v>427</v>
      </c>
    </row>
    <row r="39" spans="1:8">
      <c r="A39" s="680">
        <v>1220</v>
      </c>
      <c r="B39" s="654" t="str">
        <f>INDEX('TB Clean'!$B$2:$B$464,MATCH('Linked TB'!A39,'TB Clean'!$A$2:$A$464,0))</f>
        <v xml:space="preserve">     OTHER TANGIBLE PLT WATER</v>
      </c>
      <c r="C39" s="674">
        <f>+E39</f>
        <v>0</v>
      </c>
      <c r="D39" s="675"/>
      <c r="E39" s="677">
        <f>INDEX('TB Clean'!$D$2:$D$464,MATCH('Linked TB'!A39,'TB Clean'!$A$2:$A$464,0))</f>
        <v>0</v>
      </c>
      <c r="F39" s="684">
        <f>+IF(UPPER(H39)="ACTUAL",C39,INDEX(ALLOCATION_TABLE,MATCH(UPPER(H39),INDEX(ALLOCATION_TABLE,0,1),0),5)*E39)</f>
        <v>0</v>
      </c>
      <c r="G39" s="677">
        <f>+E39-F39</f>
        <v>0</v>
      </c>
      <c r="H39" s="678" t="s">
        <v>427</v>
      </c>
    </row>
    <row r="40" spans="1:8">
      <c r="A40" s="673">
        <v>1245</v>
      </c>
      <c r="B40" s="654" t="str">
        <f>INDEX('TB Clean'!$B$2:$B$464,MATCH('Linked TB'!A40,'TB Clean'!$A$2:$A$464,0))</f>
        <v xml:space="preserve">     ORGANIZATION</v>
      </c>
      <c r="C40" s="674">
        <v>0</v>
      </c>
      <c r="D40" s="675">
        <f t="shared" ref="D40:D62" si="6">+E40</f>
        <v>0</v>
      </c>
      <c r="E40" s="677">
        <f>INDEX('TB Clean'!$D$2:$D$464,MATCH('Linked TB'!A40,'TB Clean'!$A$2:$A$464,0))</f>
        <v>0</v>
      </c>
      <c r="F40" s="684">
        <f>+IF(UPPER(H40)="ACTUAL",C40,INDEX(ALLOCATION_TABLE,MATCH(UPPER(H40),INDEX(ALLOCATION_TABLE,0,1),0),5)*E40)</f>
        <v>0</v>
      </c>
      <c r="G40" s="677">
        <f>+E40-F40</f>
        <v>0</v>
      </c>
      <c r="H40" s="678" t="s">
        <v>427</v>
      </c>
    </row>
    <row r="41" spans="1:8">
      <c r="A41" s="673">
        <v>1250</v>
      </c>
      <c r="B41" s="654" t="str">
        <f>INDEX('TB Clean'!$B$2:$B$464,MATCH('Linked TB'!A41,'TB Clean'!$A$2:$A$464,0))</f>
        <v xml:space="preserve">     FRANCHISES INTANG PLT</v>
      </c>
      <c r="C41" s="674">
        <v>0</v>
      </c>
      <c r="D41" s="675">
        <f t="shared" si="6"/>
        <v>0</v>
      </c>
      <c r="E41" s="677">
        <f>INDEX('TB Clean'!$D$2:$D$464,MATCH('Linked TB'!A41,'TB Clean'!$A$2:$A$464,0))</f>
        <v>0</v>
      </c>
      <c r="F41" s="684">
        <f t="shared" ref="F41:F67" si="7">+IF(UPPER(H41)="ACTUAL",C41,INDEX(ALLOCATION_TABLE,MATCH(UPPER(H41),INDEX(ALLOCATION_TABLE,0,1),0),5)*E41)</f>
        <v>0</v>
      </c>
      <c r="G41" s="677">
        <f t="shared" ref="G41:G67" si="8">+E41-F41</f>
        <v>0</v>
      </c>
      <c r="H41" s="678" t="s">
        <v>427</v>
      </c>
    </row>
    <row r="42" spans="1:8">
      <c r="A42" s="673">
        <v>1285</v>
      </c>
      <c r="B42" s="654" t="str">
        <f>INDEX('TB Clean'!$B$2:$B$464,MATCH('Linked TB'!A42,'TB Clean'!$A$2:$A$464,0))</f>
        <v xml:space="preserve">     LAND &amp; LAND RIGHTS GEN PL</v>
      </c>
      <c r="C42" s="674">
        <v>0</v>
      </c>
      <c r="D42" s="675">
        <f t="shared" si="6"/>
        <v>0</v>
      </c>
      <c r="E42" s="677">
        <f>INDEX('TB Clean'!$D$2:$D$464,MATCH('Linked TB'!A42,'TB Clean'!$A$2:$A$464,0))</f>
        <v>0</v>
      </c>
      <c r="F42" s="684">
        <f t="shared" si="7"/>
        <v>0</v>
      </c>
      <c r="G42" s="677">
        <f t="shared" si="8"/>
        <v>0</v>
      </c>
      <c r="H42" s="678" t="s">
        <v>427</v>
      </c>
    </row>
    <row r="43" spans="1:8">
      <c r="A43" s="673">
        <v>1290</v>
      </c>
      <c r="B43" s="654" t="str">
        <f>INDEX('TB Clean'!$B$2:$B$464,MATCH('Linked TB'!A43,'TB Clean'!$A$2:$A$464,0))</f>
        <v xml:space="preserve">     STRUCT/IMPRV COLL PLT</v>
      </c>
      <c r="C43" s="674">
        <v>0</v>
      </c>
      <c r="D43" s="675">
        <f t="shared" si="6"/>
        <v>0</v>
      </c>
      <c r="E43" s="677">
        <f>INDEX('TB Clean'!$D$2:$D$464,MATCH('Linked TB'!A43,'TB Clean'!$A$2:$A$464,0))</f>
        <v>0</v>
      </c>
      <c r="F43" s="684">
        <f t="shared" si="7"/>
        <v>0</v>
      </c>
      <c r="G43" s="677">
        <f t="shared" si="8"/>
        <v>0</v>
      </c>
      <c r="H43" s="678" t="s">
        <v>427</v>
      </c>
    </row>
    <row r="44" spans="1:8">
      <c r="A44" s="673">
        <v>1295</v>
      </c>
      <c r="B44" s="654" t="str">
        <f>INDEX('TB Clean'!$B$2:$B$464,MATCH('Linked TB'!A44,'TB Clean'!$A$2:$A$464,0))</f>
        <v xml:space="preserve">     STRUCT/IMPRV PUMP PLT LS</v>
      </c>
      <c r="C44" s="674">
        <v>0</v>
      </c>
      <c r="D44" s="675">
        <f t="shared" si="6"/>
        <v>0</v>
      </c>
      <c r="E44" s="677">
        <f>INDEX('TB Clean'!$D$2:$D$464,MATCH('Linked TB'!A44,'TB Clean'!$A$2:$A$464,0))</f>
        <v>0</v>
      </c>
      <c r="F44" s="684">
        <f t="shared" si="7"/>
        <v>0</v>
      </c>
      <c r="G44" s="677">
        <f t="shared" si="8"/>
        <v>0</v>
      </c>
      <c r="H44" s="678" t="s">
        <v>427</v>
      </c>
    </row>
    <row r="45" spans="1:8">
      <c r="A45" s="673">
        <v>1305</v>
      </c>
      <c r="B45" s="654" t="str">
        <f>INDEX('TB Clean'!$B$2:$B$464,MATCH('Linked TB'!A45,'TB Clean'!$A$2:$A$464,0))</f>
        <v xml:space="preserve">     STRUCT/IMPRV RECLAIM WTP</v>
      </c>
      <c r="C45" s="674">
        <v>0</v>
      </c>
      <c r="D45" s="675">
        <f t="shared" si="6"/>
        <v>0</v>
      </c>
      <c r="E45" s="677">
        <f>INDEX('TB Clean'!$D$2:$D$464,MATCH('Linked TB'!A45,'TB Clean'!$A$2:$A$464,0))</f>
        <v>0</v>
      </c>
      <c r="F45" s="684">
        <f t="shared" si="7"/>
        <v>0</v>
      </c>
      <c r="G45" s="677">
        <f t="shared" si="8"/>
        <v>0</v>
      </c>
      <c r="H45" s="678" t="s">
        <v>427</v>
      </c>
    </row>
    <row r="46" spans="1:8">
      <c r="A46" s="673">
        <v>1315</v>
      </c>
      <c r="B46" s="654" t="str">
        <f>INDEX('TB Clean'!$B$2:$B$464,MATCH('Linked TB'!A46,'TB Clean'!$A$2:$A$464,0))</f>
        <v xml:space="preserve">     STRUCT/IMPRV GEN PLT</v>
      </c>
      <c r="C46" s="674">
        <v>0</v>
      </c>
      <c r="D46" s="675">
        <f t="shared" si="6"/>
        <v>0</v>
      </c>
      <c r="E46" s="677">
        <f>INDEX('TB Clean'!$D$2:$D$464,MATCH('Linked TB'!A46,'TB Clean'!$A$2:$A$464,0))</f>
        <v>0</v>
      </c>
      <c r="F46" s="684">
        <f t="shared" si="7"/>
        <v>0</v>
      </c>
      <c r="G46" s="677">
        <f t="shared" si="8"/>
        <v>0</v>
      </c>
      <c r="H46" s="678" t="s">
        <v>427</v>
      </c>
    </row>
    <row r="47" spans="1:8">
      <c r="A47" s="673">
        <v>1330</v>
      </c>
      <c r="B47" s="654" t="str">
        <f>INDEX('TB Clean'!$B$2:$B$464,MATCH('Linked TB'!A47,'TB Clean'!$A$2:$A$464,0))</f>
        <v xml:space="preserve">     POWER GEN EQUIP TREAT PLT</v>
      </c>
      <c r="C47" s="674">
        <v>0</v>
      </c>
      <c r="D47" s="675">
        <f t="shared" si="6"/>
        <v>0</v>
      </c>
      <c r="E47" s="677">
        <f>INDEX('TB Clean'!$D$2:$D$464,MATCH('Linked TB'!A47,'TB Clean'!$A$2:$A$464,0))</f>
        <v>0</v>
      </c>
      <c r="F47" s="684">
        <f t="shared" si="7"/>
        <v>0</v>
      </c>
      <c r="G47" s="677">
        <f t="shared" si="8"/>
        <v>0</v>
      </c>
      <c r="H47" s="678" t="s">
        <v>427</v>
      </c>
    </row>
    <row r="48" spans="1:8">
      <c r="A48" s="673">
        <v>1345</v>
      </c>
      <c r="B48" s="654" t="str">
        <f>INDEX('TB Clean'!$B$2:$B$464,MATCH('Linked TB'!A48,'TB Clean'!$A$2:$A$464,0))</f>
        <v xml:space="preserve">     SEWER FORCE MAIN</v>
      </c>
      <c r="C48" s="674">
        <v>0</v>
      </c>
      <c r="D48" s="675">
        <f t="shared" si="6"/>
        <v>0</v>
      </c>
      <c r="E48" s="677">
        <f>INDEX('TB Clean'!$D$2:$D$464,MATCH('Linked TB'!A48,'TB Clean'!$A$2:$A$464,0))</f>
        <v>0</v>
      </c>
      <c r="F48" s="684">
        <f t="shared" si="7"/>
        <v>0</v>
      </c>
      <c r="G48" s="677">
        <f t="shared" si="8"/>
        <v>0</v>
      </c>
      <c r="H48" s="678" t="s">
        <v>427</v>
      </c>
    </row>
    <row r="49" spans="1:8">
      <c r="A49" s="673">
        <v>1350</v>
      </c>
      <c r="B49" s="654" t="str">
        <f>INDEX('TB Clean'!$B$2:$B$464,MATCH('Linked TB'!A49,'TB Clean'!$A$2:$A$464,0))</f>
        <v xml:space="preserve">     SEWER GRAVITY MAIN/MANHOL</v>
      </c>
      <c r="C49" s="674">
        <v>0</v>
      </c>
      <c r="D49" s="675">
        <f t="shared" si="6"/>
        <v>0</v>
      </c>
      <c r="E49" s="677">
        <f>INDEX('TB Clean'!$D$2:$D$464,MATCH('Linked TB'!A49,'TB Clean'!$A$2:$A$464,0))</f>
        <v>0</v>
      </c>
      <c r="F49" s="684">
        <f t="shared" si="7"/>
        <v>0</v>
      </c>
      <c r="G49" s="677">
        <f t="shared" si="8"/>
        <v>0</v>
      </c>
      <c r="H49" s="678" t="s">
        <v>427</v>
      </c>
    </row>
    <row r="50" spans="1:8">
      <c r="A50" s="673">
        <v>1360</v>
      </c>
      <c r="B50" s="654" t="str">
        <f>INDEX('TB Clean'!$B$2:$B$464,MATCH('Linked TB'!A50,'TB Clean'!$A$2:$A$464,0))</f>
        <v xml:space="preserve">     SERVICES TO CUSTOMERS</v>
      </c>
      <c r="C50" s="674">
        <v>0</v>
      </c>
      <c r="D50" s="675">
        <f t="shared" si="6"/>
        <v>0</v>
      </c>
      <c r="E50" s="677">
        <f>INDEX('TB Clean'!$D$2:$D$464,MATCH('Linked TB'!A50,'TB Clean'!$A$2:$A$464,0))</f>
        <v>0</v>
      </c>
      <c r="F50" s="684">
        <f t="shared" si="7"/>
        <v>0</v>
      </c>
      <c r="G50" s="677">
        <f t="shared" si="8"/>
        <v>0</v>
      </c>
      <c r="H50" s="678" t="s">
        <v>427</v>
      </c>
    </row>
    <row r="51" spans="1:8">
      <c r="A51" s="673">
        <v>1365</v>
      </c>
      <c r="B51" s="654" t="str">
        <f>INDEX('TB Clean'!$B$2:$B$464,MATCH('Linked TB'!A51,'TB Clean'!$A$2:$A$464,0))</f>
        <v xml:space="preserve">     FLOW MEASURE DEVICES</v>
      </c>
      <c r="C51" s="674">
        <v>0</v>
      </c>
      <c r="D51" s="675">
        <f t="shared" si="6"/>
        <v>0</v>
      </c>
      <c r="E51" s="677">
        <f>INDEX('TB Clean'!$D$2:$D$464,MATCH('Linked TB'!A51,'TB Clean'!$A$2:$A$464,0))</f>
        <v>0</v>
      </c>
      <c r="F51" s="684">
        <f t="shared" si="7"/>
        <v>0</v>
      </c>
      <c r="G51" s="677">
        <f t="shared" si="8"/>
        <v>0</v>
      </c>
      <c r="H51" s="678" t="s">
        <v>427</v>
      </c>
    </row>
    <row r="52" spans="1:8">
      <c r="A52" s="673">
        <v>1370</v>
      </c>
      <c r="B52" s="654" t="str">
        <f>INDEX('TB Clean'!$B$2:$B$464,MATCH('Linked TB'!A52,'TB Clean'!$A$2:$A$464,0))</f>
        <v xml:space="preserve">     FLOW MEASURE INSTALL</v>
      </c>
      <c r="C52" s="674">
        <v>0</v>
      </c>
      <c r="D52" s="675">
        <f t="shared" si="6"/>
        <v>0</v>
      </c>
      <c r="E52" s="677">
        <f>INDEX('TB Clean'!$D$2:$D$464,MATCH('Linked TB'!A52,'TB Clean'!$A$2:$A$464,0))</f>
        <v>0</v>
      </c>
      <c r="F52" s="684">
        <f t="shared" si="7"/>
        <v>0</v>
      </c>
      <c r="G52" s="677">
        <f t="shared" si="8"/>
        <v>0</v>
      </c>
      <c r="H52" s="678" t="s">
        <v>427</v>
      </c>
    </row>
    <row r="53" spans="1:8">
      <c r="A53" s="673">
        <v>1380</v>
      </c>
      <c r="B53" s="654" t="str">
        <f>INDEX('TB Clean'!$B$2:$B$464,MATCH('Linked TB'!A53,'TB Clean'!$A$2:$A$464,0))</f>
        <v xml:space="preserve">     PUMPING EQUIPMENT PUMP PL</v>
      </c>
      <c r="C53" s="674">
        <v>0</v>
      </c>
      <c r="D53" s="675">
        <f t="shared" si="6"/>
        <v>0</v>
      </c>
      <c r="E53" s="677">
        <f>INDEX('TB Clean'!$D$2:$D$464,MATCH('Linked TB'!A53,'TB Clean'!$A$2:$A$464,0))</f>
        <v>0</v>
      </c>
      <c r="F53" s="684">
        <f t="shared" si="7"/>
        <v>0</v>
      </c>
      <c r="G53" s="677">
        <f t="shared" si="8"/>
        <v>0</v>
      </c>
      <c r="H53" s="678" t="s">
        <v>427</v>
      </c>
    </row>
    <row r="54" spans="1:8">
      <c r="A54" s="673">
        <v>1385</v>
      </c>
      <c r="B54" s="654" t="str">
        <f>INDEX('TB Clean'!$B$2:$B$464,MATCH('Linked TB'!A54,'TB Clean'!$A$2:$A$464,0))</f>
        <v xml:space="preserve">     PUMPING EQUIPMENT RECLAIM</v>
      </c>
      <c r="C54" s="674">
        <v>0</v>
      </c>
      <c r="D54" s="675">
        <f t="shared" si="6"/>
        <v>0</v>
      </c>
      <c r="E54" s="677">
        <f>INDEX('TB Clean'!$D$2:$D$464,MATCH('Linked TB'!A54,'TB Clean'!$A$2:$A$464,0))</f>
        <v>0</v>
      </c>
      <c r="F54" s="684">
        <f t="shared" si="7"/>
        <v>0</v>
      </c>
      <c r="G54" s="677">
        <f t="shared" si="8"/>
        <v>0</v>
      </c>
      <c r="H54" s="678" t="s">
        <v>427</v>
      </c>
    </row>
    <row r="55" spans="1:8">
      <c r="A55" s="673">
        <v>1395</v>
      </c>
      <c r="B55" s="654" t="str">
        <f>INDEX('TB Clean'!$B$2:$B$464,MATCH('Linked TB'!A55,'TB Clean'!$A$2:$A$464,0))</f>
        <v xml:space="preserve">     TREAT/DISP EQUIP LAGOON</v>
      </c>
      <c r="C55" s="674">
        <v>0</v>
      </c>
      <c r="D55" s="675">
        <f t="shared" si="6"/>
        <v>0</v>
      </c>
      <c r="E55" s="677">
        <f>INDEX('TB Clean'!$D$2:$D$464,MATCH('Linked TB'!A55,'TB Clean'!$A$2:$A$464,0))</f>
        <v>0</v>
      </c>
      <c r="F55" s="684">
        <f>+IF(UPPER(H55)="ACTUAL",C55,INDEX(ALLOCATION_TABLE,MATCH(UPPER(H55),INDEX(ALLOCATION_TABLE,0,1),0),5)*E55)</f>
        <v>0</v>
      </c>
      <c r="G55" s="677">
        <f t="shared" si="8"/>
        <v>0</v>
      </c>
      <c r="H55" s="678" t="s">
        <v>427</v>
      </c>
    </row>
    <row r="56" spans="1:8">
      <c r="A56" s="673">
        <v>1400</v>
      </c>
      <c r="B56" s="654" t="str">
        <f>INDEX('TB Clean'!$B$2:$B$464,MATCH('Linked TB'!A56,'TB Clean'!$A$2:$A$464,0))</f>
        <v xml:space="preserve">     TREAT/DISP EQUIP TRT PLT</v>
      </c>
      <c r="C56" s="674">
        <v>0</v>
      </c>
      <c r="D56" s="675">
        <f t="shared" si="6"/>
        <v>0</v>
      </c>
      <c r="E56" s="677">
        <f>INDEX('TB Clean'!$D$2:$D$464,MATCH('Linked TB'!A56,'TB Clean'!$A$2:$A$464,0))</f>
        <v>0</v>
      </c>
      <c r="F56" s="684">
        <f t="shared" si="7"/>
        <v>0</v>
      </c>
      <c r="G56" s="677">
        <f t="shared" si="8"/>
        <v>0</v>
      </c>
      <c r="H56" s="678" t="s">
        <v>427</v>
      </c>
    </row>
    <row r="57" spans="1:8">
      <c r="A57" s="673">
        <v>1410</v>
      </c>
      <c r="B57" s="654" t="str">
        <f>INDEX('TB Clean'!$B$2:$B$464,MATCH('Linked TB'!A57,'TB Clean'!$A$2:$A$464,0))</f>
        <v xml:space="preserve">     PLANT SEWERS TRTMT PLT</v>
      </c>
      <c r="C57" s="674">
        <v>0</v>
      </c>
      <c r="D57" s="675">
        <f t="shared" si="6"/>
        <v>0</v>
      </c>
      <c r="E57" s="677">
        <f>INDEX('TB Clean'!$D$2:$D$464,MATCH('Linked TB'!A57,'TB Clean'!$A$2:$A$464,0))</f>
        <v>0</v>
      </c>
      <c r="F57" s="684">
        <f t="shared" si="7"/>
        <v>0</v>
      </c>
      <c r="G57" s="677">
        <f t="shared" si="8"/>
        <v>0</v>
      </c>
      <c r="H57" s="678" t="s">
        <v>427</v>
      </c>
    </row>
    <row r="58" spans="1:8">
      <c r="A58" s="673">
        <v>1430</v>
      </c>
      <c r="B58" s="654" t="str">
        <f>INDEX('TB Clean'!$B$2:$B$464,MATCH('Linked TB'!A58,'TB Clean'!$A$2:$A$464,0))</f>
        <v xml:space="preserve">     OTHER PLT COLLECTION</v>
      </c>
      <c r="C58" s="674">
        <v>0</v>
      </c>
      <c r="D58" s="675">
        <f t="shared" si="6"/>
        <v>0</v>
      </c>
      <c r="E58" s="677">
        <f>INDEX('TB Clean'!$D$2:$D$464,MATCH('Linked TB'!A58,'TB Clean'!$A$2:$A$464,0))</f>
        <v>0</v>
      </c>
      <c r="F58" s="684">
        <f t="shared" si="7"/>
        <v>0</v>
      </c>
      <c r="G58" s="677">
        <f t="shared" si="8"/>
        <v>0</v>
      </c>
      <c r="H58" s="678" t="s">
        <v>427</v>
      </c>
    </row>
    <row r="59" spans="1:8">
      <c r="A59" s="673">
        <v>1435</v>
      </c>
      <c r="B59" s="654" t="str">
        <f>INDEX('TB Clean'!$B$2:$B$464,MATCH('Linked TB'!A59,'TB Clean'!$A$2:$A$464,0))</f>
        <v xml:space="preserve">     OTHER PLT PUMP</v>
      </c>
      <c r="C59" s="674">
        <v>0</v>
      </c>
      <c r="D59" s="675">
        <f t="shared" si="6"/>
        <v>0</v>
      </c>
      <c r="E59" s="677">
        <f>INDEX('TB Clean'!$D$2:$D$464,MATCH('Linked TB'!A59,'TB Clean'!$A$2:$A$464,0))</f>
        <v>0</v>
      </c>
      <c r="F59" s="684">
        <f t="shared" si="7"/>
        <v>0</v>
      </c>
      <c r="G59" s="677">
        <f t="shared" si="8"/>
        <v>0</v>
      </c>
      <c r="H59" s="678" t="s">
        <v>427</v>
      </c>
    </row>
    <row r="60" spans="1:8">
      <c r="A60" s="673">
        <v>1465</v>
      </c>
      <c r="B60" s="654" t="str">
        <f>INDEX('TB Clean'!$B$2:$B$464,MATCH('Linked TB'!A60,'TB Clean'!$A$2:$A$464,0))</f>
        <v xml:space="preserve">     STORES EQUIPMENT</v>
      </c>
      <c r="C60" s="674">
        <v>0</v>
      </c>
      <c r="D60" s="675">
        <f t="shared" si="6"/>
        <v>0</v>
      </c>
      <c r="E60" s="677">
        <f>INDEX('TB Clean'!$D$2:$D$464,MATCH('Linked TB'!A60,'TB Clean'!$A$2:$A$464,0))</f>
        <v>0</v>
      </c>
      <c r="F60" s="684">
        <f t="shared" si="7"/>
        <v>0</v>
      </c>
      <c r="G60" s="677">
        <f t="shared" si="8"/>
        <v>0</v>
      </c>
      <c r="H60" s="678" t="s">
        <v>427</v>
      </c>
    </row>
    <row r="61" spans="1:8">
      <c r="A61" s="673">
        <v>1470</v>
      </c>
      <c r="B61" s="654" t="str">
        <f>INDEX('TB Clean'!$B$2:$B$464,MATCH('Linked TB'!A61,'TB Clean'!$A$2:$A$464,0))</f>
        <v xml:space="preserve">     TOOL SHOP &amp; MISC EQPT</v>
      </c>
      <c r="C61" s="674">
        <v>0</v>
      </c>
      <c r="D61" s="675">
        <f t="shared" si="6"/>
        <v>0</v>
      </c>
      <c r="E61" s="677">
        <f>INDEX('TB Clean'!$D$2:$D$464,MATCH('Linked TB'!A61,'TB Clean'!$A$2:$A$464,0))</f>
        <v>0</v>
      </c>
      <c r="F61" s="684">
        <f t="shared" si="7"/>
        <v>0</v>
      </c>
      <c r="G61" s="677">
        <f t="shared" si="8"/>
        <v>0</v>
      </c>
      <c r="H61" s="678" t="s">
        <v>427</v>
      </c>
    </row>
    <row r="62" spans="1:8">
      <c r="A62" s="673">
        <v>1475</v>
      </c>
      <c r="B62" s="654" t="str">
        <f>INDEX('TB Clean'!$B$2:$B$464,MATCH('Linked TB'!A62,'TB Clean'!$A$2:$A$464,0))</f>
        <v xml:space="preserve">     LABORATORY EQPT</v>
      </c>
      <c r="C62" s="674">
        <v>0</v>
      </c>
      <c r="D62" s="675">
        <f t="shared" si="6"/>
        <v>0</v>
      </c>
      <c r="E62" s="677">
        <f>INDEX('TB Clean'!$D$2:$D$464,MATCH('Linked TB'!A62,'TB Clean'!$A$2:$A$464,0))</f>
        <v>0</v>
      </c>
      <c r="F62" s="684">
        <f t="shared" si="7"/>
        <v>0</v>
      </c>
      <c r="G62" s="677">
        <f t="shared" si="8"/>
        <v>0</v>
      </c>
      <c r="H62" s="678" t="s">
        <v>427</v>
      </c>
    </row>
    <row r="63" spans="1:8">
      <c r="A63" s="673">
        <v>1480</v>
      </c>
      <c r="B63" s="654" t="str">
        <f>INDEX('TB Clean'!$B$2:$B$464,MATCH('Linked TB'!A63,'TB Clean'!$A$2:$A$464,0))</f>
        <v xml:space="preserve">     POWER OPERATED EQUIP</v>
      </c>
      <c r="C63" s="674">
        <v>0</v>
      </c>
      <c r="D63" s="675">
        <f>+E63</f>
        <v>0</v>
      </c>
      <c r="E63" s="677">
        <f>INDEX('TB Clean'!$D$2:$D$464,MATCH('Linked TB'!A63,'TB Clean'!$A$2:$A$464,0))</f>
        <v>0</v>
      </c>
      <c r="F63" s="684">
        <f t="shared" si="7"/>
        <v>0</v>
      </c>
      <c r="G63" s="677">
        <f t="shared" si="8"/>
        <v>0</v>
      </c>
      <c r="H63" s="678" t="s">
        <v>427</v>
      </c>
    </row>
    <row r="64" spans="1:8">
      <c r="A64" s="673">
        <v>1485</v>
      </c>
      <c r="B64" s="654" t="str">
        <f>INDEX('TB Clean'!$B$2:$B$464,MATCH('Linked TB'!A64,'TB Clean'!$A$2:$A$464,0))</f>
        <v xml:space="preserve">     COMMUNICATION EQPT</v>
      </c>
      <c r="C64" s="674">
        <v>0</v>
      </c>
      <c r="D64" s="675">
        <f>+E64</f>
        <v>0</v>
      </c>
      <c r="E64" s="677">
        <f>INDEX('TB Clean'!$D$2:$D$464,MATCH('Linked TB'!A64,'TB Clean'!$A$2:$A$464,0))</f>
        <v>0</v>
      </c>
      <c r="F64" s="684">
        <f t="shared" si="7"/>
        <v>0</v>
      </c>
      <c r="G64" s="677">
        <f t="shared" si="8"/>
        <v>0</v>
      </c>
      <c r="H64" s="678" t="s">
        <v>427</v>
      </c>
    </row>
    <row r="65" spans="1:8">
      <c r="A65" s="673">
        <v>1490</v>
      </c>
      <c r="B65" s="654" t="str">
        <f>INDEX('TB Clean'!$B$2:$B$464,MATCH('Linked TB'!A65,'TB Clean'!$A$2:$A$464,0))</f>
        <v xml:space="preserve">     MISC EQUIP SEWER</v>
      </c>
      <c r="C65" s="674">
        <v>0</v>
      </c>
      <c r="D65" s="675">
        <f>+E65</f>
        <v>0</v>
      </c>
      <c r="E65" s="677">
        <f>INDEX('TB Clean'!$D$2:$D$464,MATCH('Linked TB'!A65,'TB Clean'!$A$2:$A$464,0))</f>
        <v>0</v>
      </c>
      <c r="F65" s="684">
        <f t="shared" si="7"/>
        <v>0</v>
      </c>
      <c r="G65" s="677">
        <f t="shared" si="8"/>
        <v>0</v>
      </c>
      <c r="H65" s="678" t="s">
        <v>427</v>
      </c>
    </row>
    <row r="66" spans="1:8">
      <c r="A66" s="673">
        <v>1535</v>
      </c>
      <c r="B66" s="654" t="str">
        <f>INDEX('TB Clean'!$B$2:$B$464,MATCH('Linked TB'!A66,'TB Clean'!$A$2:$A$464,0))</f>
        <v xml:space="preserve">     REUSE DIST RESERVOIRS</v>
      </c>
      <c r="C66" s="674">
        <v>0</v>
      </c>
      <c r="D66" s="675">
        <f>+E66</f>
        <v>0</v>
      </c>
      <c r="E66" s="677">
        <f>INDEX('TB Clean'!$D$2:$D$464,MATCH('Linked TB'!A66,'TB Clean'!$A$2:$A$464,0))</f>
        <v>0</v>
      </c>
      <c r="F66" s="684">
        <f t="shared" si="7"/>
        <v>0</v>
      </c>
      <c r="G66" s="677">
        <f t="shared" si="8"/>
        <v>0</v>
      </c>
      <c r="H66" s="678" t="s">
        <v>427</v>
      </c>
    </row>
    <row r="67" spans="1:8">
      <c r="A67" s="673">
        <v>1540</v>
      </c>
      <c r="B67" s="654" t="str">
        <f>INDEX('TB Clean'!$B$2:$B$464,MATCH('Linked TB'!A67,'TB Clean'!$A$2:$A$464,0))</f>
        <v xml:space="preserve">     REUSE TRANMISSION &amp; DIST</v>
      </c>
      <c r="C67" s="674">
        <v>0</v>
      </c>
      <c r="D67" s="675">
        <f>+E67</f>
        <v>0</v>
      </c>
      <c r="E67" s="677">
        <f>INDEX('TB Clean'!$D$2:$D$464,MATCH('Linked TB'!A67,'TB Clean'!$A$2:$A$464,0))</f>
        <v>0</v>
      </c>
      <c r="F67" s="684">
        <f t="shared" si="7"/>
        <v>0</v>
      </c>
      <c r="G67" s="677">
        <f t="shared" si="8"/>
        <v>0</v>
      </c>
      <c r="H67" s="678" t="s">
        <v>427</v>
      </c>
    </row>
    <row r="68" spans="1:8" ht="6" customHeight="1">
      <c r="A68" s="673"/>
      <c r="C68" s="681">
        <v>0</v>
      </c>
      <c r="D68" s="682">
        <v>0</v>
      </c>
      <c r="E68" s="683">
        <v>0</v>
      </c>
      <c r="F68" s="689">
        <v>0</v>
      </c>
      <c r="G68" s="683">
        <v>0</v>
      </c>
      <c r="H68" s="678"/>
    </row>
    <row r="69" spans="1:8">
      <c r="A69" s="673" t="s">
        <v>959</v>
      </c>
      <c r="B69" s="654" t="s">
        <v>960</v>
      </c>
      <c r="C69" s="684">
        <f>SUM(C9:C68)</f>
        <v>10396782.610000001</v>
      </c>
      <c r="D69" s="677">
        <f>SUM(D9:D68)</f>
        <v>0</v>
      </c>
      <c r="E69" s="677">
        <f>SUM(E9:E68)</f>
        <v>10396782.610000001</v>
      </c>
      <c r="F69" s="684">
        <f>SUM(F9:F68)</f>
        <v>10396782.610000001</v>
      </c>
      <c r="G69" s="677">
        <f>SUM(G9:G68)</f>
        <v>0</v>
      </c>
      <c r="H69" s="678"/>
    </row>
    <row r="70" spans="1:8">
      <c r="A70" s="673"/>
      <c r="C70" s="684"/>
      <c r="D70" s="677"/>
      <c r="E70" s="677"/>
      <c r="F70" s="684"/>
      <c r="G70" s="677"/>
      <c r="H70" s="678"/>
    </row>
    <row r="71" spans="1:8">
      <c r="A71" s="685">
        <v>1555</v>
      </c>
      <c r="B71" s="654" t="str">
        <f>INDEX('TB Clean'!$B$2:$B$464,MATCH('Linked TB'!A71,'TB Clean'!$A$2:$A$464,0))</f>
        <v xml:space="preserve">     TRANSPORTATION EQPT WTR</v>
      </c>
      <c r="C71" s="674">
        <f>+E71</f>
        <v>594204.38</v>
      </c>
      <c r="D71" s="675">
        <v>0</v>
      </c>
      <c r="E71" s="677">
        <f>INDEX('TB Clean'!$D$2:$D$464,MATCH('Linked TB'!A71,'TB Clean'!$A$2:$A$464,0))</f>
        <v>594204.38</v>
      </c>
      <c r="F71" s="684">
        <f>+IF(UPPER(H71)="ACTUAL",C71,INDEX(ALLOCATION_TABLE,MATCH(UPPER(H71),INDEX(ALLOCATION_TABLE,0,1),0),5)*E71)</f>
        <v>594204.38</v>
      </c>
      <c r="G71" s="677">
        <f>+E71-F71</f>
        <v>0</v>
      </c>
      <c r="H71" s="678" t="s">
        <v>427</v>
      </c>
    </row>
    <row r="72" spans="1:8" ht="5.0999999999999996" customHeight="1">
      <c r="A72" s="673"/>
      <c r="C72" s="681">
        <v>0</v>
      </c>
      <c r="D72" s="682">
        <v>0</v>
      </c>
      <c r="E72" s="683">
        <v>0</v>
      </c>
      <c r="F72" s="689">
        <v>0</v>
      </c>
      <c r="G72" s="683">
        <v>0</v>
      </c>
      <c r="H72" s="678"/>
    </row>
    <row r="73" spans="1:8">
      <c r="A73" s="673" t="s">
        <v>959</v>
      </c>
      <c r="B73" s="654" t="s">
        <v>961</v>
      </c>
      <c r="C73" s="684">
        <f>SUM(C71:C72)</f>
        <v>594204.38</v>
      </c>
      <c r="D73" s="677">
        <f>SUM(D71:D72)</f>
        <v>0</v>
      </c>
      <c r="E73" s="677">
        <f>SUM(E71:E72)</f>
        <v>594204.38</v>
      </c>
      <c r="F73" s="684">
        <f>SUM(F71:F72)</f>
        <v>594204.38</v>
      </c>
      <c r="G73" s="677">
        <f>SUM(G71:G72)</f>
        <v>0</v>
      </c>
      <c r="H73" s="678"/>
    </row>
    <row r="74" spans="1:8">
      <c r="A74" s="673"/>
      <c r="C74" s="674"/>
      <c r="D74" s="675"/>
      <c r="E74" s="677"/>
      <c r="F74" s="684"/>
      <c r="G74" s="677"/>
      <c r="H74" s="678"/>
    </row>
    <row r="75" spans="1:8">
      <c r="A75" s="673">
        <v>1580</v>
      </c>
      <c r="B75" s="654" t="str">
        <f>INDEX('TB Clean'!$B$2:$B$464,MATCH('Linked TB'!A75,'TB Clean'!$A$2:$A$464,0))</f>
        <v xml:space="preserve">     MAINFRAME COMPUTER WTR</v>
      </c>
      <c r="C75" s="674">
        <f>+E75</f>
        <v>28678.82</v>
      </c>
      <c r="D75" s="675">
        <v>0</v>
      </c>
      <c r="E75" s="677">
        <f>INDEX('TB Clean'!$D$2:$D$464,MATCH('Linked TB'!A75,'TB Clean'!$A$2:$A$464,0))</f>
        <v>28678.82</v>
      </c>
      <c r="F75" s="684">
        <f>+IF(UPPER(H75)="ACTUAL",C75,INDEX(ALLOCATION_TABLE,MATCH(UPPER(H75),INDEX(ALLOCATION_TABLE,0,1),0),5)*E75)</f>
        <v>28678.82</v>
      </c>
      <c r="G75" s="677">
        <f>+E75-F75</f>
        <v>0</v>
      </c>
      <c r="H75" s="678" t="s">
        <v>427</v>
      </c>
    </row>
    <row r="76" spans="1:8">
      <c r="A76" s="673">
        <v>1585</v>
      </c>
      <c r="B76" s="654" t="str">
        <f>INDEX('TB Clean'!$B$2:$B$464,MATCH('Linked TB'!A76,'TB Clean'!$A$2:$A$464,0))</f>
        <v xml:space="preserve">     MINI COMPUTERS WTR</v>
      </c>
      <c r="C76" s="674">
        <f>+E76</f>
        <v>134842.59</v>
      </c>
      <c r="D76" s="675">
        <v>0</v>
      </c>
      <c r="E76" s="677">
        <f>INDEX('TB Clean'!$D$2:$D$464,MATCH('Linked TB'!A76,'TB Clean'!$A$2:$A$464,0))</f>
        <v>134842.59</v>
      </c>
      <c r="F76" s="684">
        <f>+IF(UPPER(H76)="ACTUAL",C76,INDEX(ALLOCATION_TABLE,MATCH(UPPER(H76),INDEX(ALLOCATION_TABLE,0,1),0),5)*E76)</f>
        <v>134842.59</v>
      </c>
      <c r="G76" s="677">
        <f>+E76-F76</f>
        <v>0</v>
      </c>
      <c r="H76" s="678" t="s">
        <v>427</v>
      </c>
    </row>
    <row r="77" spans="1:8">
      <c r="A77" s="673">
        <v>1590</v>
      </c>
      <c r="B77" s="654" t="str">
        <f>INDEX('TB Clean'!$B$2:$B$464,MATCH('Linked TB'!A77,'TB Clean'!$A$2:$A$464,0))</f>
        <v xml:space="preserve">     COMP SYS COST WTR</v>
      </c>
      <c r="C77" s="674">
        <f>+E77</f>
        <v>656946.85</v>
      </c>
      <c r="D77" s="675">
        <v>0</v>
      </c>
      <c r="E77" s="677">
        <f>INDEX('TB Clean'!$D$2:$D$464,MATCH('Linked TB'!A77,'TB Clean'!$A$2:$A$464,0))</f>
        <v>656946.85</v>
      </c>
      <c r="F77" s="684">
        <f>+IF(UPPER(H77)="ACTUAL",C77,INDEX(ALLOCATION_TABLE,MATCH(UPPER(H77),INDEX(ALLOCATION_TABLE,0,1),0),5)*E77)</f>
        <v>656946.85</v>
      </c>
      <c r="G77" s="677">
        <f>+E77-F77</f>
        <v>0</v>
      </c>
      <c r="H77" s="678" t="s">
        <v>427</v>
      </c>
    </row>
    <row r="78" spans="1:8">
      <c r="A78" s="673">
        <v>1595</v>
      </c>
      <c r="B78" s="654" t="str">
        <f>INDEX('TB Clean'!$B$2:$B$464,MATCH('Linked TB'!A78,'TB Clean'!$A$2:$A$464,0))</f>
        <v xml:space="preserve">     MICRO SYS COST WTR</v>
      </c>
      <c r="C78" s="674">
        <f>+E78</f>
        <v>18079.080000000002</v>
      </c>
      <c r="D78" s="675">
        <v>0</v>
      </c>
      <c r="E78" s="677">
        <f>INDEX('TB Clean'!$D$2:$D$464,MATCH('Linked TB'!A78,'TB Clean'!$A$2:$A$464,0))</f>
        <v>18079.080000000002</v>
      </c>
      <c r="F78" s="684">
        <f>+IF(UPPER(H78)="ACTUAL",C78,INDEX(ALLOCATION_TABLE,MATCH(UPPER(H78),INDEX(ALLOCATION_TABLE,0,1),0),5)*E78)</f>
        <v>18079.080000000002</v>
      </c>
      <c r="G78" s="677">
        <f>+E78-F78</f>
        <v>0</v>
      </c>
      <c r="H78" s="678" t="s">
        <v>427</v>
      </c>
    </row>
    <row r="79" spans="1:8" ht="5.0999999999999996" customHeight="1">
      <c r="A79" s="673"/>
      <c r="C79" s="681">
        <v>0</v>
      </c>
      <c r="D79" s="682">
        <v>0</v>
      </c>
      <c r="E79" s="683">
        <v>0</v>
      </c>
      <c r="F79" s="689">
        <v>0</v>
      </c>
      <c r="G79" s="683">
        <v>0</v>
      </c>
      <c r="H79" s="678"/>
    </row>
    <row r="80" spans="1:8">
      <c r="A80" s="673" t="s">
        <v>959</v>
      </c>
      <c r="B80" s="654" t="s">
        <v>962</v>
      </c>
      <c r="C80" s="684">
        <f>SUM(C75:C79)</f>
        <v>838547.34</v>
      </c>
      <c r="D80" s="677">
        <f>SUM(D75:D79)</f>
        <v>0</v>
      </c>
      <c r="E80" s="677">
        <f>SUM(E75:E79)</f>
        <v>838547.34</v>
      </c>
      <c r="F80" s="684">
        <f>SUM(F75:F79)</f>
        <v>838547.34</v>
      </c>
      <c r="G80" s="677">
        <f>SUM(G75:G79)</f>
        <v>0</v>
      </c>
      <c r="H80" s="678"/>
    </row>
    <row r="81" spans="1:8">
      <c r="A81" s="673"/>
      <c r="C81" s="674"/>
      <c r="D81" s="675"/>
      <c r="E81" s="677"/>
      <c r="F81" s="684"/>
      <c r="G81" s="677"/>
      <c r="H81" s="678"/>
    </row>
    <row r="82" spans="1:8">
      <c r="A82" s="673">
        <v>1665</v>
      </c>
      <c r="B82" s="654" t="str">
        <f>INDEX('TB Clean'!$B$2:$B$464,MATCH('Linked TB'!A82,'TB Clean'!$A$2:$A$464,0))</f>
        <v xml:space="preserve">     WIP - CAPITALIZED TIME</v>
      </c>
      <c r="C82" s="674">
        <f>+E82</f>
        <v>185448.02000000002</v>
      </c>
      <c r="D82" s="675">
        <v>0</v>
      </c>
      <c r="E82" s="677">
        <f>INDEX('TB Clean'!$D$2:$D$464,MATCH('Linked TB'!A82,'TB Clean'!$A$2:$A$464,0))</f>
        <v>185448.02000000002</v>
      </c>
      <c r="F82" s="684">
        <f t="shared" ref="F82:F96" si="9">+IF(UPPER(H82)="ACTUAL",C82,INDEX(ALLOCATION_TABLE,MATCH(UPPER(H82),INDEX(ALLOCATION_TABLE,0,1),0),5)*E82)</f>
        <v>185448.02000000002</v>
      </c>
      <c r="G82" s="677">
        <f>+E82-F82</f>
        <v>0</v>
      </c>
      <c r="H82" s="678" t="s">
        <v>427</v>
      </c>
    </row>
    <row r="83" spans="1:8">
      <c r="A83" s="673">
        <v>1666</v>
      </c>
      <c r="B83" s="654" t="str">
        <f>INDEX('TB Clean'!$B$2:$B$464,MATCH('Linked TB'!A83,'TB Clean'!$A$2:$A$464,0))</f>
        <v xml:space="preserve">     WIP - INTEREST DURING CONSTR</v>
      </c>
      <c r="C83" s="674">
        <f t="shared" ref="C83:C93" si="10">+E83</f>
        <v>19603.849999999995</v>
      </c>
      <c r="D83" s="675">
        <v>0</v>
      </c>
      <c r="E83" s="677">
        <f>INDEX('TB Clean'!$D$2:$D$464,MATCH('Linked TB'!A83,'TB Clean'!$A$2:$A$464,0))</f>
        <v>19603.849999999995</v>
      </c>
      <c r="F83" s="684">
        <f t="shared" si="9"/>
        <v>19603.849999999995</v>
      </c>
      <c r="G83" s="677">
        <f t="shared" ref="G83:G91" si="11">+E83-F83</f>
        <v>0</v>
      </c>
      <c r="H83" s="678" t="s">
        <v>427</v>
      </c>
    </row>
    <row r="84" spans="1:8">
      <c r="A84" s="673">
        <v>1667</v>
      </c>
      <c r="B84" s="654" t="str">
        <f>INDEX('TB Clean'!$B$2:$B$464,MATCH('Linked TB'!A84,'TB Clean'!$A$2:$A$464,0))</f>
        <v xml:space="preserve">     WIP - ENGINEERING</v>
      </c>
      <c r="C84" s="674">
        <f t="shared" si="10"/>
        <v>19773.05</v>
      </c>
      <c r="D84" s="675">
        <v>0</v>
      </c>
      <c r="E84" s="677">
        <f>INDEX('TB Clean'!$D$2:$D$464,MATCH('Linked TB'!A84,'TB Clean'!$A$2:$A$464,0))</f>
        <v>19773.05</v>
      </c>
      <c r="F84" s="684">
        <f t="shared" si="9"/>
        <v>19773.05</v>
      </c>
      <c r="G84" s="677">
        <f t="shared" si="11"/>
        <v>0</v>
      </c>
      <c r="H84" s="678" t="s">
        <v>427</v>
      </c>
    </row>
    <row r="85" spans="1:8">
      <c r="A85" s="673">
        <v>1668</v>
      </c>
      <c r="B85" s="654" t="str">
        <f>INDEX('TB Clean'!$B$2:$B$464,MATCH('Linked TB'!A85,'TB Clean'!$A$2:$A$464,0))</f>
        <v xml:space="preserve">     WIP - LABOR/INSTALLATION</v>
      </c>
      <c r="C85" s="674">
        <f t="shared" si="10"/>
        <v>269671.96999999997</v>
      </c>
      <c r="D85" s="675">
        <v>0</v>
      </c>
      <c r="E85" s="677">
        <f>INDEX('TB Clean'!$D$2:$D$464,MATCH('Linked TB'!A85,'TB Clean'!$A$2:$A$464,0))</f>
        <v>269671.96999999997</v>
      </c>
      <c r="F85" s="684">
        <f t="shared" si="9"/>
        <v>269671.96999999997</v>
      </c>
      <c r="G85" s="677">
        <f t="shared" si="11"/>
        <v>0</v>
      </c>
      <c r="H85" s="678" t="s">
        <v>427</v>
      </c>
    </row>
    <row r="86" spans="1:8">
      <c r="A86" s="673">
        <v>1669</v>
      </c>
      <c r="B86" s="654" t="str">
        <f>INDEX('TB Clean'!$B$2:$B$464,MATCH('Linked TB'!A86,'TB Clean'!$A$2:$A$464,0))</f>
        <v xml:space="preserve">     WIP - EQUIPMENT</v>
      </c>
      <c r="C86" s="674">
        <f t="shared" si="10"/>
        <v>204363.16999999998</v>
      </c>
      <c r="D86" s="675">
        <v>0</v>
      </c>
      <c r="E86" s="677">
        <f>INDEX('TB Clean'!$D$2:$D$464,MATCH('Linked TB'!A86,'TB Clean'!$A$2:$A$464,0))</f>
        <v>204363.16999999998</v>
      </c>
      <c r="F86" s="684">
        <f t="shared" si="9"/>
        <v>204363.16999999998</v>
      </c>
      <c r="G86" s="677">
        <f t="shared" si="11"/>
        <v>0</v>
      </c>
      <c r="H86" s="678" t="s">
        <v>427</v>
      </c>
    </row>
    <row r="87" spans="1:8">
      <c r="A87" s="673">
        <v>1670</v>
      </c>
      <c r="B87" s="654" t="str">
        <f>INDEX('TB Clean'!$B$2:$B$464,MATCH('Linked TB'!A87,'TB Clean'!$A$2:$A$464,0))</f>
        <v xml:space="preserve">     WIP - MATERIAL</v>
      </c>
      <c r="C87" s="674">
        <f t="shared" si="10"/>
        <v>143275.58000000002</v>
      </c>
      <c r="D87" s="675">
        <v>0</v>
      </c>
      <c r="E87" s="677">
        <f>INDEX('TB Clean'!$D$2:$D$464,MATCH('Linked TB'!A87,'TB Clean'!$A$2:$A$464,0))</f>
        <v>143275.58000000002</v>
      </c>
      <c r="F87" s="684">
        <f t="shared" si="9"/>
        <v>143275.58000000002</v>
      </c>
      <c r="G87" s="677">
        <f t="shared" si="11"/>
        <v>0</v>
      </c>
      <c r="H87" s="678" t="s">
        <v>427</v>
      </c>
    </row>
    <row r="88" spans="1:8">
      <c r="A88" s="673">
        <v>1672</v>
      </c>
      <c r="B88" s="654" t="str">
        <f>INDEX('TB Clean'!$B$2:$B$464,MATCH('Linked TB'!A88,'TB Clean'!$A$2:$A$464,0))</f>
        <v xml:space="preserve">     WIP - PIPING</v>
      </c>
      <c r="C88" s="674">
        <f t="shared" si="10"/>
        <v>193298.13</v>
      </c>
      <c r="D88" s="675">
        <v>0</v>
      </c>
      <c r="E88" s="677">
        <f>INDEX('TB Clean'!$D$2:$D$464,MATCH('Linked TB'!A88,'TB Clean'!$A$2:$A$464,0))</f>
        <v>193298.13</v>
      </c>
      <c r="F88" s="684">
        <f t="shared" si="9"/>
        <v>193298.13</v>
      </c>
      <c r="G88" s="677">
        <f t="shared" si="11"/>
        <v>0</v>
      </c>
      <c r="H88" s="678" t="s">
        <v>427</v>
      </c>
    </row>
    <row r="89" spans="1:8">
      <c r="A89" s="673">
        <v>1673</v>
      </c>
      <c r="B89" s="654" t="str">
        <f>INDEX('TB Clean'!$B$2:$B$464,MATCH('Linked TB'!A89,'TB Clean'!$A$2:$A$464,0))</f>
        <v xml:space="preserve">     WIP - SITE WORK</v>
      </c>
      <c r="C89" s="674">
        <f t="shared" si="10"/>
        <v>1410</v>
      </c>
      <c r="D89" s="675">
        <v>0</v>
      </c>
      <c r="E89" s="677">
        <f>INDEX('TB Clean'!$D$2:$D$464,MATCH('Linked TB'!A89,'TB Clean'!$A$2:$A$464,0))</f>
        <v>1410</v>
      </c>
      <c r="F89" s="684">
        <f t="shared" si="9"/>
        <v>1410</v>
      </c>
      <c r="G89" s="677">
        <f t="shared" si="11"/>
        <v>0</v>
      </c>
      <c r="H89" s="678" t="s">
        <v>427</v>
      </c>
    </row>
    <row r="90" spans="1:8">
      <c r="A90" s="673">
        <v>1683</v>
      </c>
      <c r="B90" s="654" t="str">
        <f>INDEX('TB Clean'!$B$2:$B$464,MATCH('Linked TB'!A90,'TB Clean'!$A$2:$A$464,0))</f>
        <v xml:space="preserve">     WIP - PUMPS/EQUIPMENT</v>
      </c>
      <c r="C90" s="674">
        <f t="shared" si="10"/>
        <v>331861.62</v>
      </c>
      <c r="D90" s="675">
        <v>0</v>
      </c>
      <c r="E90" s="677">
        <f>INDEX('TB Clean'!$D$2:$D$464,MATCH('Linked TB'!A90,'TB Clean'!$A$2:$A$464,0))</f>
        <v>331861.62</v>
      </c>
      <c r="F90" s="684">
        <f t="shared" si="9"/>
        <v>331861.62</v>
      </c>
      <c r="G90" s="677">
        <f t="shared" si="11"/>
        <v>0</v>
      </c>
      <c r="H90" s="678" t="s">
        <v>427</v>
      </c>
    </row>
    <row r="91" spans="1:8">
      <c r="A91" s="673">
        <v>1699</v>
      </c>
      <c r="B91" s="654" t="str">
        <f>INDEX('TB Clean'!$B$2:$B$464,MATCH('Linked TB'!A91,'TB Clean'!$A$2:$A$464,0))</f>
        <v xml:space="preserve">     WIP - TRANSFER TO FIXED ASSETS</v>
      </c>
      <c r="C91" s="674">
        <f t="shared" si="10"/>
        <v>-1368705.3900000001</v>
      </c>
      <c r="D91" s="675">
        <v>0</v>
      </c>
      <c r="E91" s="677">
        <f>INDEX('TB Clean'!$D$2:$D$464,MATCH('Linked TB'!A91,'TB Clean'!$A$2:$A$464,0))</f>
        <v>-1368705.3900000001</v>
      </c>
      <c r="F91" s="684">
        <f t="shared" si="9"/>
        <v>-1368705.3900000001</v>
      </c>
      <c r="G91" s="677">
        <f t="shared" si="11"/>
        <v>0</v>
      </c>
      <c r="H91" s="678" t="s">
        <v>427</v>
      </c>
    </row>
    <row r="92" spans="1:8">
      <c r="A92" s="673">
        <v>1739</v>
      </c>
      <c r="B92" s="654" t="str">
        <f>INDEX('TB Clean'!$B$2:$B$464,MATCH('Linked TB'!A92,'TB Clean'!$A$2:$A$464,0))</f>
        <v xml:space="preserve">     SEWER PLANT IN PROCESS</v>
      </c>
      <c r="C92" s="674">
        <f t="shared" si="10"/>
        <v>0</v>
      </c>
      <c r="D92" s="675">
        <f>+E92</f>
        <v>0</v>
      </c>
      <c r="E92" s="677">
        <f>INDEX('TB Clean'!$D$2:$D$464,MATCH('Linked TB'!A92,'TB Clean'!$A$2:$A$464,0))</f>
        <v>0</v>
      </c>
      <c r="F92" s="684">
        <f t="shared" si="9"/>
        <v>0</v>
      </c>
      <c r="G92" s="677">
        <f>+E92-F92</f>
        <v>0</v>
      </c>
      <c r="H92" s="678" t="s">
        <v>427</v>
      </c>
    </row>
    <row r="93" spans="1:8">
      <c r="A93" s="673">
        <v>1769</v>
      </c>
      <c r="B93" s="654" t="str">
        <f>INDEX('TB Clean'!$B$2:$B$464,MATCH('Linked TB'!A93,'TB Clean'!$A$2:$A$464,0))</f>
        <v xml:space="preserve">     OTHER PLANT IN PROCESS</v>
      </c>
      <c r="C93" s="674">
        <f t="shared" si="10"/>
        <v>0</v>
      </c>
      <c r="D93" s="675">
        <f>+E93</f>
        <v>0</v>
      </c>
      <c r="E93" s="677">
        <f>INDEX('TB Clean'!$D$2:$D$464,MATCH('Linked TB'!A93,'TB Clean'!$A$2:$A$464,0))</f>
        <v>0</v>
      </c>
      <c r="F93" s="684">
        <f t="shared" si="9"/>
        <v>0</v>
      </c>
      <c r="G93" s="677">
        <f>+E93-F93</f>
        <v>0</v>
      </c>
      <c r="H93" s="678" t="s">
        <v>427</v>
      </c>
    </row>
    <row r="94" spans="1:8">
      <c r="A94" s="673">
        <v>1775</v>
      </c>
      <c r="B94" s="654" t="str">
        <f>INDEX('TB Clean'!$B$2:$B$464,MATCH('Linked TB'!A94,'TB Clean'!$A$2:$A$464,0))</f>
        <v xml:space="preserve">     WIP - CAPITALIZED TIME</v>
      </c>
      <c r="C94" s="674">
        <v>0</v>
      </c>
      <c r="D94" s="675">
        <f t="shared" ref="D94:D95" si="12">+E94</f>
        <v>6015.74</v>
      </c>
      <c r="E94" s="677">
        <f>INDEX('TB Clean'!$D$2:$D$464,MATCH('Linked TB'!A94,'TB Clean'!$A$2:$A$464,0))</f>
        <v>6015.74</v>
      </c>
      <c r="F94" s="684">
        <f t="shared" si="9"/>
        <v>0</v>
      </c>
      <c r="G94" s="677">
        <f t="shared" ref="G94:G95" si="13">+E94-F94</f>
        <v>6015.74</v>
      </c>
      <c r="H94" s="678" t="s">
        <v>427</v>
      </c>
    </row>
    <row r="95" spans="1:8">
      <c r="A95" s="673">
        <v>1782</v>
      </c>
      <c r="B95" s="654" t="str">
        <f>INDEX('TB Clean'!$B$2:$B$464,MATCH('Linked TB'!A95,'TB Clean'!$A$2:$A$464,0))</f>
        <v xml:space="preserve">     WIP - CONTRACTOR/LABOR</v>
      </c>
      <c r="C95" s="674">
        <v>0</v>
      </c>
      <c r="D95" s="675">
        <f t="shared" si="12"/>
        <v>95125.58</v>
      </c>
      <c r="E95" s="677">
        <f>INDEX('TB Clean'!$D$2:$D$464,MATCH('Linked TB'!A95,'TB Clean'!$A$2:$A$464,0))</f>
        <v>95125.58</v>
      </c>
      <c r="F95" s="684">
        <f t="shared" si="9"/>
        <v>0</v>
      </c>
      <c r="G95" s="677">
        <f t="shared" si="13"/>
        <v>95125.58</v>
      </c>
      <c r="H95" s="678" t="s">
        <v>427</v>
      </c>
    </row>
    <row r="96" spans="1:8">
      <c r="A96" s="673">
        <v>1799</v>
      </c>
      <c r="B96" s="654" t="str">
        <f>INDEX('TB Clean'!$B$2:$B$464,MATCH('Linked TB'!A96,'TB Clean'!$A$2:$A$464,0))</f>
        <v xml:space="preserve">     DEFERRED PLANT IN PROCESS</v>
      </c>
      <c r="C96" s="674">
        <v>0</v>
      </c>
      <c r="D96" s="675">
        <f>+E96</f>
        <v>-101141.32</v>
      </c>
      <c r="E96" s="677">
        <f>INDEX('TB Clean'!$D$2:$D$464,MATCH('Linked TB'!A96,'TB Clean'!$A$2:$A$464,0))</f>
        <v>-101141.32</v>
      </c>
      <c r="F96" s="684">
        <f t="shared" si="9"/>
        <v>0</v>
      </c>
      <c r="G96" s="677">
        <f>+E96-F96</f>
        <v>-101141.32</v>
      </c>
      <c r="H96" s="678" t="s">
        <v>427</v>
      </c>
    </row>
    <row r="97" spans="1:8" ht="5.0999999999999996" customHeight="1">
      <c r="A97" s="673"/>
      <c r="C97" s="681">
        <v>0</v>
      </c>
      <c r="D97" s="682">
        <v>0</v>
      </c>
      <c r="E97" s="683">
        <v>0</v>
      </c>
      <c r="F97" s="689">
        <v>0</v>
      </c>
      <c r="G97" s="683">
        <v>0</v>
      </c>
      <c r="H97" s="678"/>
    </row>
    <row r="98" spans="1:8">
      <c r="A98" s="673" t="s">
        <v>959</v>
      </c>
      <c r="B98" s="654" t="s">
        <v>963</v>
      </c>
      <c r="C98" s="684">
        <f>SUM(C82:C97)</f>
        <v>0</v>
      </c>
      <c r="D98" s="677">
        <f>SUM(D82:D97)</f>
        <v>0</v>
      </c>
      <c r="E98" s="677">
        <f>SUM(E82:E97)</f>
        <v>0</v>
      </c>
      <c r="F98" s="1062">
        <f>SUM(F82:F97)</f>
        <v>0</v>
      </c>
      <c r="G98" s="677">
        <f>SUM(G82:G97)</f>
        <v>0</v>
      </c>
      <c r="H98" s="678"/>
    </row>
    <row r="99" spans="1:8">
      <c r="A99" s="673"/>
      <c r="C99" s="674"/>
      <c r="D99" s="675"/>
      <c r="E99" s="677"/>
      <c r="F99" s="684"/>
      <c r="G99" s="677"/>
      <c r="H99" s="678"/>
    </row>
    <row r="100" spans="1:8">
      <c r="A100" s="673">
        <v>1835</v>
      </c>
      <c r="B100" s="654" t="str">
        <f>INDEX('TB Clean'!$B$2:$B$464,MATCH('Linked TB'!A100,'TB Clean'!$A$2:$A$464,0))</f>
        <v xml:space="preserve">     ACC DEPR-ORGANIZATION</v>
      </c>
      <c r="C100" s="674">
        <f>+E100</f>
        <v>-13138.16</v>
      </c>
      <c r="D100" s="675">
        <v>0</v>
      </c>
      <c r="E100" s="677">
        <f>INDEX('TB Clean'!$D$2:$D$464,MATCH('Linked TB'!A100,'TB Clean'!$A$2:$A$464,0))</f>
        <v>-13138.16</v>
      </c>
      <c r="F100" s="684">
        <f>+IF(UPPER(H100)="ACTUAL",C100,INDEX(ALLOCATION_TABLE,MATCH(UPPER(H100),INDEX(ALLOCATION_TABLE,0,1),0),5)*E100)</f>
        <v>-13138.16</v>
      </c>
      <c r="G100" s="677">
        <f>+E100-F100</f>
        <v>0</v>
      </c>
      <c r="H100" s="678" t="s">
        <v>427</v>
      </c>
    </row>
    <row r="101" spans="1:8">
      <c r="A101" s="673">
        <v>1840</v>
      </c>
      <c r="B101" s="654" t="str">
        <f>INDEX('TB Clean'!$B$2:$B$464,MATCH('Linked TB'!A101,'TB Clean'!$A$2:$A$464,0))</f>
        <v xml:space="preserve">     ACC DEPR-FRANCHISES</v>
      </c>
      <c r="C101" s="674">
        <f t="shared" ref="C101:C127" si="14">+E101</f>
        <v>0</v>
      </c>
      <c r="D101" s="675">
        <v>0</v>
      </c>
      <c r="E101" s="677">
        <f>INDEX('TB Clean'!$D$2:$D$464,MATCH('Linked TB'!A101,'TB Clean'!$A$2:$A$464,0))</f>
        <v>0</v>
      </c>
      <c r="F101" s="684">
        <f t="shared" ref="F101:F127" si="15">+IF(UPPER(H101)="ACTUAL",C101,INDEX(ALLOCATION_TABLE,MATCH(UPPER(H101),INDEX(ALLOCATION_TABLE,0,1),0),5)*E101)</f>
        <v>0</v>
      </c>
      <c r="G101" s="677">
        <f t="shared" ref="G101:G127" si="16">+E101-F101</f>
        <v>0</v>
      </c>
      <c r="H101" s="678" t="s">
        <v>427</v>
      </c>
    </row>
    <row r="102" spans="1:8">
      <c r="A102" s="673">
        <v>1845</v>
      </c>
      <c r="B102" s="654" t="str">
        <f>INDEX('TB Clean'!$B$2:$B$464,MATCH('Linked TB'!A102,'TB Clean'!$A$2:$A$464,0))</f>
        <v xml:space="preserve">     ACC DEPR-STRUCT&amp;IMPRV SRC</v>
      </c>
      <c r="C102" s="674">
        <f t="shared" si="14"/>
        <v>-34186.11</v>
      </c>
      <c r="D102" s="675">
        <v>0</v>
      </c>
      <c r="E102" s="677">
        <f>INDEX('TB Clean'!$D$2:$D$464,MATCH('Linked TB'!A102,'TB Clean'!$A$2:$A$464,0))</f>
        <v>-34186.11</v>
      </c>
      <c r="F102" s="684">
        <f t="shared" si="15"/>
        <v>-34186.11</v>
      </c>
      <c r="G102" s="677">
        <f t="shared" si="16"/>
        <v>0</v>
      </c>
      <c r="H102" s="678" t="s">
        <v>427</v>
      </c>
    </row>
    <row r="103" spans="1:8">
      <c r="A103" s="673">
        <v>1850</v>
      </c>
      <c r="B103" s="654" t="str">
        <f>INDEX('TB Clean'!$B$2:$B$464,MATCH('Linked TB'!A103,'TB Clean'!$A$2:$A$464,0))</f>
        <v xml:space="preserve">     ACC DEPR-STRUCT&amp;IMPRV WTP</v>
      </c>
      <c r="C103" s="674">
        <f t="shared" si="14"/>
        <v>-193220.73</v>
      </c>
      <c r="D103" s="675">
        <v>0</v>
      </c>
      <c r="E103" s="677">
        <f>INDEX('TB Clean'!$D$2:$D$464,MATCH('Linked TB'!A103,'TB Clean'!$A$2:$A$464,0))</f>
        <v>-193220.73</v>
      </c>
      <c r="F103" s="684">
        <f t="shared" si="15"/>
        <v>-193220.73</v>
      </c>
      <c r="G103" s="677">
        <f t="shared" si="16"/>
        <v>0</v>
      </c>
      <c r="H103" s="678" t="s">
        <v>427</v>
      </c>
    </row>
    <row r="104" spans="1:8">
      <c r="A104" s="673">
        <v>1855</v>
      </c>
      <c r="B104" s="654" t="str">
        <f>INDEX('TB Clean'!$B$2:$B$464,MATCH('Linked TB'!A104,'TB Clean'!$A$2:$A$464,0))</f>
        <v xml:space="preserve">     ACC DEPR-STRUCT&amp;IMPRV TRN</v>
      </c>
      <c r="C104" s="674">
        <f>+E104</f>
        <v>-2.31</v>
      </c>
      <c r="D104" s="675">
        <v>0</v>
      </c>
      <c r="E104" s="677">
        <f>INDEX('TB Clean'!$D$2:$D$464,MATCH('Linked TB'!A104,'TB Clean'!$A$2:$A$464,0))</f>
        <v>-2.31</v>
      </c>
      <c r="F104" s="684">
        <f>+IF(UPPER(H104)="ACTUAL",C104,INDEX(ALLOCATION_TABLE,MATCH(UPPER(H104),INDEX(ALLOCATION_TABLE,0,1),0),5)*E104)</f>
        <v>-2.31</v>
      </c>
      <c r="G104" s="677">
        <f>+E104-F104</f>
        <v>0</v>
      </c>
      <c r="H104" s="678" t="s">
        <v>427</v>
      </c>
    </row>
    <row r="105" spans="1:8">
      <c r="A105" s="673">
        <v>1860</v>
      </c>
      <c r="B105" s="654" t="str">
        <f>INDEX('TB Clean'!$B$2:$B$464,MATCH('Linked TB'!A105,'TB Clean'!$A$2:$A$464,0))</f>
        <v xml:space="preserve">     ACC DEPR-STRUCT&amp;IMPRV GEN</v>
      </c>
      <c r="C105" s="674">
        <f>+E105</f>
        <v>-19660.47</v>
      </c>
      <c r="D105" s="675"/>
      <c r="E105" s="677">
        <f>INDEX('TB Clean'!$D$2:$D$464,MATCH('Linked TB'!A105,'TB Clean'!$A$2:$A$464,0))</f>
        <v>-19660.47</v>
      </c>
      <c r="F105" s="684">
        <f>+IF(UPPER(H105)="ACTUAL",C105,INDEX(ALLOCATION_TABLE,MATCH(UPPER(H105),INDEX(ALLOCATION_TABLE,0,1),0),5)*E105)</f>
        <v>-19660.47</v>
      </c>
      <c r="G105" s="677">
        <f>+E105-F105</f>
        <v>0</v>
      </c>
      <c r="H105" s="678" t="s">
        <v>427</v>
      </c>
    </row>
    <row r="106" spans="1:8">
      <c r="A106" s="673">
        <v>1875</v>
      </c>
      <c r="B106" s="654" t="str">
        <f>INDEX('TB Clean'!$B$2:$B$464,MATCH('Linked TB'!A106,'TB Clean'!$A$2:$A$464,0))</f>
        <v xml:space="preserve">     ACC DEPR-WELLS &amp; SPRINGS</v>
      </c>
      <c r="C106" s="674">
        <f t="shared" si="14"/>
        <v>-113744.17</v>
      </c>
      <c r="D106" s="675">
        <v>0</v>
      </c>
      <c r="E106" s="677">
        <f>INDEX('TB Clean'!$D$2:$D$464,MATCH('Linked TB'!A106,'TB Clean'!$A$2:$A$464,0))</f>
        <v>-113744.17</v>
      </c>
      <c r="F106" s="684">
        <f t="shared" si="15"/>
        <v>-113744.17</v>
      </c>
      <c r="G106" s="677">
        <f t="shared" si="16"/>
        <v>0</v>
      </c>
      <c r="H106" s="678" t="s">
        <v>427</v>
      </c>
    </row>
    <row r="107" spans="1:8">
      <c r="A107" s="673">
        <v>1885</v>
      </c>
      <c r="B107" s="654" t="str">
        <f>INDEX('TB Clean'!$B$2:$B$464,MATCH('Linked TB'!A107,'TB Clean'!$A$2:$A$464,0))</f>
        <v xml:space="preserve">     ACC DEPR-SUPPLY MAINS</v>
      </c>
      <c r="C107" s="674">
        <f t="shared" si="14"/>
        <v>-890.45</v>
      </c>
      <c r="D107" s="675">
        <v>0</v>
      </c>
      <c r="E107" s="677">
        <f>INDEX('TB Clean'!$D$2:$D$464,MATCH('Linked TB'!A107,'TB Clean'!$A$2:$A$464,0))</f>
        <v>-890.45</v>
      </c>
      <c r="F107" s="684">
        <f t="shared" si="15"/>
        <v>-890.45</v>
      </c>
      <c r="G107" s="677">
        <f t="shared" si="16"/>
        <v>0</v>
      </c>
      <c r="H107" s="678" t="s">
        <v>427</v>
      </c>
    </row>
    <row r="108" spans="1:8">
      <c r="A108" s="673">
        <v>1895</v>
      </c>
      <c r="B108" s="654" t="str">
        <f>INDEX('TB Clean'!$B$2:$B$464,MATCH('Linked TB'!A108,'TB Clean'!$A$2:$A$464,0))</f>
        <v xml:space="preserve">     ACC DEPR-ELECT PUMP EQUIP</v>
      </c>
      <c r="C108" s="674">
        <f t="shared" si="14"/>
        <v>-570.29</v>
      </c>
      <c r="D108" s="675">
        <v>0</v>
      </c>
      <c r="E108" s="677">
        <f>INDEX('TB Clean'!$D$2:$D$464,MATCH('Linked TB'!A108,'TB Clean'!$A$2:$A$464,0))</f>
        <v>-570.29</v>
      </c>
      <c r="F108" s="684">
        <f t="shared" si="15"/>
        <v>-570.29</v>
      </c>
      <c r="G108" s="677">
        <f t="shared" si="16"/>
        <v>0</v>
      </c>
      <c r="H108" s="678" t="s">
        <v>427</v>
      </c>
    </row>
    <row r="109" spans="1:8">
      <c r="A109" s="673">
        <v>1900</v>
      </c>
      <c r="B109" s="654" t="str">
        <f>INDEX('TB Clean'!$B$2:$B$464,MATCH('Linked TB'!A109,'TB Clean'!$A$2:$A$464,0))</f>
        <v xml:space="preserve">     ACC DEPR-ELECT PUMP EQUIP</v>
      </c>
      <c r="C109" s="674">
        <f t="shared" si="14"/>
        <v>-138177.82999999999</v>
      </c>
      <c r="D109" s="675">
        <v>0</v>
      </c>
      <c r="E109" s="677">
        <f>INDEX('TB Clean'!$D$2:$D$464,MATCH('Linked TB'!A109,'TB Clean'!$A$2:$A$464,0))</f>
        <v>-138177.82999999999</v>
      </c>
      <c r="F109" s="684">
        <f t="shared" si="15"/>
        <v>-138177.82999999999</v>
      </c>
      <c r="G109" s="677">
        <f t="shared" si="16"/>
        <v>0</v>
      </c>
      <c r="H109" s="678" t="s">
        <v>427</v>
      </c>
    </row>
    <row r="110" spans="1:8">
      <c r="A110" s="673">
        <v>1905</v>
      </c>
      <c r="B110" s="654" t="str">
        <f>INDEX('TB Clean'!$B$2:$B$464,MATCH('Linked TB'!A110,'TB Clean'!$A$2:$A$464,0))</f>
        <v xml:space="preserve">     ACC DEPR-ELECT PUMP EQUIP</v>
      </c>
      <c r="C110" s="674">
        <f t="shared" si="14"/>
        <v>-215.4</v>
      </c>
      <c r="D110" s="675"/>
      <c r="E110" s="677">
        <f>INDEX('TB Clean'!$D$2:$D$464,MATCH('Linked TB'!A110,'TB Clean'!$A$2:$A$464,0))</f>
        <v>-215.4</v>
      </c>
      <c r="F110" s="684">
        <f>+IF(UPPER(H110)="ACTUAL",C110,INDEX(ALLOCATION_TABLE,MATCH(UPPER(H110),INDEX(ALLOCATION_TABLE,0,1),0),5)*E110)</f>
        <v>-215.4</v>
      </c>
      <c r="G110" s="677">
        <f t="shared" si="16"/>
        <v>0</v>
      </c>
      <c r="H110" s="678" t="s">
        <v>427</v>
      </c>
    </row>
    <row r="111" spans="1:8">
      <c r="A111" s="673">
        <v>1910</v>
      </c>
      <c r="B111" s="654" t="str">
        <f>INDEX('TB Clean'!$B$2:$B$464,MATCH('Linked TB'!A111,'TB Clean'!$A$2:$A$464,0))</f>
        <v xml:space="preserve">     ACC DEPR-WATER TREATMENT</v>
      </c>
      <c r="C111" s="674">
        <f t="shared" si="14"/>
        <v>-238141.08</v>
      </c>
      <c r="D111" s="675">
        <v>0</v>
      </c>
      <c r="E111" s="677">
        <f>INDEX('TB Clean'!$D$2:$D$464,MATCH('Linked TB'!A111,'TB Clean'!$A$2:$A$464,0))</f>
        <v>-238141.08</v>
      </c>
      <c r="F111" s="684">
        <f t="shared" si="15"/>
        <v>-238141.08</v>
      </c>
      <c r="G111" s="677">
        <f t="shared" si="16"/>
        <v>0</v>
      </c>
      <c r="H111" s="678" t="s">
        <v>427</v>
      </c>
    </row>
    <row r="112" spans="1:8">
      <c r="A112" s="673">
        <v>1915</v>
      </c>
      <c r="B112" s="654" t="str">
        <f>INDEX('TB Clean'!$B$2:$B$464,MATCH('Linked TB'!A112,'TB Clean'!$A$2:$A$464,0))</f>
        <v xml:space="preserve">     ACC DEPR-DIST RESV &amp; STAN</v>
      </c>
      <c r="C112" s="674">
        <f t="shared" si="14"/>
        <v>-278778.78999999998</v>
      </c>
      <c r="D112" s="675">
        <v>0</v>
      </c>
      <c r="E112" s="677">
        <f>INDEX('TB Clean'!$D$2:$D$464,MATCH('Linked TB'!A112,'TB Clean'!$A$2:$A$464,0))</f>
        <v>-278778.78999999998</v>
      </c>
      <c r="F112" s="684">
        <f t="shared" si="15"/>
        <v>-278778.78999999998</v>
      </c>
      <c r="G112" s="677">
        <f t="shared" si="16"/>
        <v>0</v>
      </c>
      <c r="H112" s="678" t="s">
        <v>427</v>
      </c>
    </row>
    <row r="113" spans="1:8">
      <c r="A113" s="673">
        <v>1920</v>
      </c>
      <c r="B113" s="654" t="str">
        <f>INDEX('TB Clean'!$B$2:$B$464,MATCH('Linked TB'!A113,'TB Clean'!$A$2:$A$464,0))</f>
        <v xml:space="preserve">     ACC DEPR-TRANS &amp; DISTR MA</v>
      </c>
      <c r="C113" s="674">
        <f t="shared" si="14"/>
        <v>-1094451.8500000001</v>
      </c>
      <c r="D113" s="675">
        <v>0</v>
      </c>
      <c r="E113" s="677">
        <f>INDEX('TB Clean'!$D$2:$D$464,MATCH('Linked TB'!A113,'TB Clean'!$A$2:$A$464,0))</f>
        <v>-1094451.8500000001</v>
      </c>
      <c r="F113" s="684">
        <f t="shared" si="15"/>
        <v>-1094451.8500000001</v>
      </c>
      <c r="G113" s="677">
        <f t="shared" si="16"/>
        <v>0</v>
      </c>
      <c r="H113" s="678" t="s">
        <v>427</v>
      </c>
    </row>
    <row r="114" spans="1:8">
      <c r="A114" s="673">
        <v>1925</v>
      </c>
      <c r="B114" s="654" t="str">
        <f>INDEX('TB Clean'!$B$2:$B$464,MATCH('Linked TB'!A114,'TB Clean'!$A$2:$A$464,0))</f>
        <v xml:space="preserve">     ACC DEPR-SERVICE LINES</v>
      </c>
      <c r="C114" s="674">
        <f t="shared" si="14"/>
        <v>-635589.55000000005</v>
      </c>
      <c r="D114" s="675">
        <v>0</v>
      </c>
      <c r="E114" s="677">
        <f>INDEX('TB Clean'!$D$2:$D$464,MATCH('Linked TB'!A114,'TB Clean'!$A$2:$A$464,0))</f>
        <v>-635589.55000000005</v>
      </c>
      <c r="F114" s="684">
        <f t="shared" si="15"/>
        <v>-635589.55000000005</v>
      </c>
      <c r="G114" s="677">
        <f t="shared" si="16"/>
        <v>0</v>
      </c>
      <c r="H114" s="678" t="s">
        <v>427</v>
      </c>
    </row>
    <row r="115" spans="1:8">
      <c r="A115" s="673">
        <v>1930</v>
      </c>
      <c r="B115" s="654" t="str">
        <f>INDEX('TB Clean'!$B$2:$B$464,MATCH('Linked TB'!A115,'TB Clean'!$A$2:$A$464,0))</f>
        <v xml:space="preserve">     ACC DEPR-METERS</v>
      </c>
      <c r="C115" s="674">
        <f t="shared" si="14"/>
        <v>-463287.66</v>
      </c>
      <c r="D115" s="675">
        <v>0</v>
      </c>
      <c r="E115" s="677">
        <f>INDEX('TB Clean'!$D$2:$D$464,MATCH('Linked TB'!A115,'TB Clean'!$A$2:$A$464,0))</f>
        <v>-463287.66</v>
      </c>
      <c r="F115" s="684">
        <f t="shared" si="15"/>
        <v>-463287.66</v>
      </c>
      <c r="G115" s="677">
        <f t="shared" si="16"/>
        <v>0</v>
      </c>
      <c r="H115" s="678" t="s">
        <v>427</v>
      </c>
    </row>
    <row r="116" spans="1:8">
      <c r="A116" s="673">
        <v>1935</v>
      </c>
      <c r="B116" s="654" t="str">
        <f>INDEX('TB Clean'!$B$2:$B$464,MATCH('Linked TB'!A116,'TB Clean'!$A$2:$A$464,0))</f>
        <v xml:space="preserve">     ACC DEPR-METER INSTALLS</v>
      </c>
      <c r="C116" s="674">
        <f t="shared" si="14"/>
        <v>-217855.58</v>
      </c>
      <c r="D116" s="675">
        <v>0</v>
      </c>
      <c r="E116" s="677">
        <f>INDEX('TB Clean'!$D$2:$D$464,MATCH('Linked TB'!A116,'TB Clean'!$A$2:$A$464,0))</f>
        <v>-217855.58</v>
      </c>
      <c r="F116" s="684">
        <f t="shared" si="15"/>
        <v>-217855.58</v>
      </c>
      <c r="G116" s="677">
        <f t="shared" si="16"/>
        <v>0</v>
      </c>
      <c r="H116" s="678" t="s">
        <v>427</v>
      </c>
    </row>
    <row r="117" spans="1:8">
      <c r="A117" s="673">
        <v>1940</v>
      </c>
      <c r="B117" s="654" t="str">
        <f>INDEX('TB Clean'!$B$2:$B$464,MATCH('Linked TB'!A117,'TB Clean'!$A$2:$A$464,0))</f>
        <v xml:space="preserve">     ACC DEPR-HYDRANTS</v>
      </c>
      <c r="C117" s="674">
        <f t="shared" si="14"/>
        <v>-83866.38</v>
      </c>
      <c r="D117" s="675">
        <v>0</v>
      </c>
      <c r="E117" s="677">
        <f>INDEX('TB Clean'!$D$2:$D$464,MATCH('Linked TB'!A117,'TB Clean'!$A$2:$A$464,0))</f>
        <v>-83866.38</v>
      </c>
      <c r="F117" s="684">
        <f t="shared" si="15"/>
        <v>-83866.38</v>
      </c>
      <c r="G117" s="677">
        <f t="shared" si="16"/>
        <v>0</v>
      </c>
      <c r="H117" s="678" t="s">
        <v>427</v>
      </c>
    </row>
    <row r="118" spans="1:8">
      <c r="A118" s="673">
        <v>1945</v>
      </c>
      <c r="B118" s="654" t="str">
        <f>INDEX('TB Clean'!$B$2:$B$464,MATCH('Linked TB'!A118,'TB Clean'!$A$2:$A$464,0))</f>
        <v xml:space="preserve">     ACC DEPR-BACKFLOW PREVENT</v>
      </c>
      <c r="C118" s="674">
        <f t="shared" si="14"/>
        <v>0</v>
      </c>
      <c r="D118" s="675">
        <v>0</v>
      </c>
      <c r="E118" s="677">
        <f>INDEX('TB Clean'!$D$2:$D$464,MATCH('Linked TB'!A118,'TB Clean'!$A$2:$A$464,0))</f>
        <v>0</v>
      </c>
      <c r="F118" s="684">
        <f t="shared" si="15"/>
        <v>0</v>
      </c>
      <c r="G118" s="677">
        <f t="shared" si="16"/>
        <v>0</v>
      </c>
      <c r="H118" s="678" t="s">
        <v>427</v>
      </c>
    </row>
    <row r="119" spans="1:8">
      <c r="A119" s="673">
        <v>1965</v>
      </c>
      <c r="B119" s="654" t="str">
        <f>INDEX('TB Clean'!$B$2:$B$464,MATCH('Linked TB'!A119,'TB Clean'!$A$2:$A$464,0))</f>
        <v xml:space="preserve">     ACC DEPR-OTH PLANT&amp;MISC T</v>
      </c>
      <c r="C119" s="674">
        <f t="shared" si="14"/>
        <v>0</v>
      </c>
      <c r="D119" s="675">
        <v>0</v>
      </c>
      <c r="E119" s="677">
        <f>INDEX('TB Clean'!$D$2:$D$464,MATCH('Linked TB'!A119,'TB Clean'!$A$2:$A$464,0))</f>
        <v>0</v>
      </c>
      <c r="F119" s="684">
        <f t="shared" si="15"/>
        <v>0</v>
      </c>
      <c r="G119" s="677">
        <f t="shared" si="16"/>
        <v>0</v>
      </c>
      <c r="H119" s="678" t="s">
        <v>427</v>
      </c>
    </row>
    <row r="120" spans="1:8">
      <c r="A120" s="673">
        <v>1970</v>
      </c>
      <c r="B120" s="654" t="str">
        <f>INDEX('TB Clean'!$B$2:$B$464,MATCH('Linked TB'!A120,'TB Clean'!$A$2:$A$464,0))</f>
        <v xml:space="preserve">     ACC DEPR-OFFICE STRUCTURE</v>
      </c>
      <c r="C120" s="674">
        <f t="shared" si="14"/>
        <v>-61998.86</v>
      </c>
      <c r="D120" s="675"/>
      <c r="E120" s="677">
        <f>INDEX('TB Clean'!$D$2:$D$464,MATCH('Linked TB'!A120,'TB Clean'!$A$2:$A$464,0))</f>
        <v>-61998.86</v>
      </c>
      <c r="F120" s="684">
        <f>+IF(UPPER(H120)="ACTUAL",C120,INDEX(ALLOCATION_TABLE,MATCH(UPPER(H120),INDEX(ALLOCATION_TABLE,0,1),0),5)*E120)</f>
        <v>-61998.86</v>
      </c>
      <c r="G120" s="677">
        <f t="shared" si="16"/>
        <v>0</v>
      </c>
      <c r="H120" s="678" t="s">
        <v>427</v>
      </c>
    </row>
    <row r="121" spans="1:8">
      <c r="A121" s="673">
        <v>1975</v>
      </c>
      <c r="B121" s="654" t="str">
        <f>INDEX('TB Clean'!$B$2:$B$464,MATCH('Linked TB'!A121,'TB Clean'!$A$2:$A$464,0))</f>
        <v xml:space="preserve">     ACC DEPR-OFFICE FURN/EQPT</v>
      </c>
      <c r="C121" s="674">
        <f t="shared" si="14"/>
        <v>-90560.35</v>
      </c>
      <c r="D121" s="675">
        <v>0</v>
      </c>
      <c r="E121" s="677">
        <f>INDEX('TB Clean'!$D$2:$D$464,MATCH('Linked TB'!A121,'TB Clean'!$A$2:$A$464,0))</f>
        <v>-90560.35</v>
      </c>
      <c r="F121" s="684">
        <f t="shared" si="15"/>
        <v>-90560.35</v>
      </c>
      <c r="G121" s="677">
        <f t="shared" si="16"/>
        <v>0</v>
      </c>
      <c r="H121" s="678" t="s">
        <v>427</v>
      </c>
    </row>
    <row r="122" spans="1:8">
      <c r="A122" s="673">
        <v>1985</v>
      </c>
      <c r="B122" s="654" t="str">
        <f>INDEX('TB Clean'!$B$2:$B$464,MATCH('Linked TB'!A122,'TB Clean'!$A$2:$A$464,0))</f>
        <v xml:space="preserve">     ACC DEPR-TOOL SHOP &amp; MISC</v>
      </c>
      <c r="C122" s="674">
        <f t="shared" si="14"/>
        <v>-139794.07999999999</v>
      </c>
      <c r="D122" s="675">
        <v>0</v>
      </c>
      <c r="E122" s="677">
        <f>INDEX('TB Clean'!$D$2:$D$464,MATCH('Linked TB'!A122,'TB Clean'!$A$2:$A$464,0))</f>
        <v>-139794.07999999999</v>
      </c>
      <c r="F122" s="684">
        <f t="shared" si="15"/>
        <v>-139794.07999999999</v>
      </c>
      <c r="G122" s="677">
        <f t="shared" si="16"/>
        <v>0</v>
      </c>
      <c r="H122" s="678" t="s">
        <v>427</v>
      </c>
    </row>
    <row r="123" spans="1:8">
      <c r="A123" s="673">
        <v>1990</v>
      </c>
      <c r="B123" s="654" t="str">
        <f>INDEX('TB Clean'!$B$2:$B$464,MATCH('Linked TB'!A123,'TB Clean'!$A$2:$A$464,0))</f>
        <v xml:space="preserve">     ACC DEPR-LABORATORY EQUIP</v>
      </c>
      <c r="C123" s="674">
        <f t="shared" si="14"/>
        <v>-29359.08</v>
      </c>
      <c r="D123" s="675">
        <v>0</v>
      </c>
      <c r="E123" s="677">
        <f>INDEX('TB Clean'!$D$2:$D$464,MATCH('Linked TB'!A123,'TB Clean'!$A$2:$A$464,0))</f>
        <v>-29359.08</v>
      </c>
      <c r="F123" s="684">
        <f t="shared" si="15"/>
        <v>-29359.08</v>
      </c>
      <c r="G123" s="677">
        <f t="shared" si="16"/>
        <v>0</v>
      </c>
      <c r="H123" s="678" t="s">
        <v>427</v>
      </c>
    </row>
    <row r="124" spans="1:8">
      <c r="A124" s="673">
        <v>1995</v>
      </c>
      <c r="B124" s="654" t="str">
        <f>INDEX('TB Clean'!$B$2:$B$464,MATCH('Linked TB'!A124,'TB Clean'!$A$2:$A$464,0))</f>
        <v xml:space="preserve">     ACC DEPR-POWER OPERATED EQUIP</v>
      </c>
      <c r="C124" s="674">
        <f t="shared" ref="C124" si="17">+E124</f>
        <v>-856.8</v>
      </c>
      <c r="D124" s="675">
        <v>0</v>
      </c>
      <c r="E124" s="677">
        <f>INDEX('TB Clean'!$D$2:$D$464,MATCH('Linked TB'!A124,'TB Clean'!$A$2:$A$464,0))</f>
        <v>-856.8</v>
      </c>
      <c r="F124" s="684">
        <f t="shared" ref="F124" si="18">+IF(UPPER(H124)="ACTUAL",C124,INDEX(ALLOCATION_TABLE,MATCH(UPPER(H124),INDEX(ALLOCATION_TABLE,0,1),0),5)*E124)</f>
        <v>-856.8</v>
      </c>
      <c r="G124" s="677">
        <f t="shared" ref="G124" si="19">+E124-F124</f>
        <v>0</v>
      </c>
      <c r="H124" s="678" t="s">
        <v>427</v>
      </c>
    </row>
    <row r="125" spans="1:8">
      <c r="A125" s="673">
        <v>2000</v>
      </c>
      <c r="B125" s="654" t="str">
        <f>INDEX('TB Clean'!$B$2:$B$464,MATCH('Linked TB'!A125,'TB Clean'!$A$2:$A$464,0))</f>
        <v xml:space="preserve">     ACC DEPR-COMMUNICATION EQ</v>
      </c>
      <c r="C125" s="674">
        <f t="shared" si="14"/>
        <v>-46047.19</v>
      </c>
      <c r="D125" s="675">
        <v>0</v>
      </c>
      <c r="E125" s="677">
        <f>INDEX('TB Clean'!$D$2:$D$464,MATCH('Linked TB'!A125,'TB Clean'!$A$2:$A$464,0))</f>
        <v>-46047.19</v>
      </c>
      <c r="F125" s="684">
        <f t="shared" si="15"/>
        <v>-46047.19</v>
      </c>
      <c r="G125" s="677">
        <f t="shared" si="16"/>
        <v>0</v>
      </c>
      <c r="H125" s="678" t="s">
        <v>427</v>
      </c>
    </row>
    <row r="126" spans="1:8">
      <c r="A126" s="673">
        <v>2005</v>
      </c>
      <c r="B126" s="654" t="str">
        <f>INDEX('TB Clean'!$B$2:$B$464,MATCH('Linked TB'!A126,'TB Clean'!$A$2:$A$464,0))</f>
        <v xml:space="preserve">     ACC DEPR-MISC EQUIPMENT</v>
      </c>
      <c r="C126" s="674">
        <f t="shared" si="14"/>
        <v>0</v>
      </c>
      <c r="D126" s="675">
        <v>0</v>
      </c>
      <c r="E126" s="677">
        <f>INDEX('TB Clean'!$D$2:$D$464,MATCH('Linked TB'!A126,'TB Clean'!$A$2:$A$464,0))</f>
        <v>0</v>
      </c>
      <c r="F126" s="684">
        <f t="shared" si="15"/>
        <v>0</v>
      </c>
      <c r="G126" s="677">
        <f t="shared" si="16"/>
        <v>0</v>
      </c>
      <c r="H126" s="678" t="s">
        <v>427</v>
      </c>
    </row>
    <row r="127" spans="1:8">
      <c r="A127" s="673">
        <v>2010</v>
      </c>
      <c r="B127" s="654" t="str">
        <f>INDEX('TB Clean'!$B$2:$B$464,MATCH('Linked TB'!A127,'TB Clean'!$A$2:$A$464,0))</f>
        <v xml:space="preserve">     ACC DEPR-OTHER TANG PLT W</v>
      </c>
      <c r="C127" s="674">
        <f t="shared" si="14"/>
        <v>-15392.5</v>
      </c>
      <c r="D127" s="675">
        <v>0</v>
      </c>
      <c r="E127" s="677">
        <f>INDEX('TB Clean'!$D$2:$D$464,MATCH('Linked TB'!A127,'TB Clean'!$A$2:$A$464,0))</f>
        <v>-15392.5</v>
      </c>
      <c r="F127" s="684">
        <f t="shared" si="15"/>
        <v>-15392.5</v>
      </c>
      <c r="G127" s="677">
        <f t="shared" si="16"/>
        <v>0</v>
      </c>
      <c r="H127" s="678" t="s">
        <v>427</v>
      </c>
    </row>
    <row r="128" spans="1:8">
      <c r="A128" s="673">
        <v>2030</v>
      </c>
      <c r="B128" s="654" t="str">
        <f>INDEX('TB Clean'!$B$2:$B$464,MATCH('Linked TB'!A128,'TB Clean'!$A$2:$A$464,0))</f>
        <v xml:space="preserve">     ACC DEPR-ORGANIZATION</v>
      </c>
      <c r="C128" s="674">
        <v>0</v>
      </c>
      <c r="D128" s="675">
        <f>+E128</f>
        <v>0</v>
      </c>
      <c r="E128" s="677">
        <f>INDEX('TB Clean'!$D$2:$D$464,MATCH('Linked TB'!A128,'TB Clean'!$A$2:$A$464,0))</f>
        <v>0</v>
      </c>
      <c r="F128" s="684">
        <f>+IF(UPPER(H128)="ACTUAL",C128,INDEX(ALLOCATION_TABLE,MATCH(UPPER(H128),INDEX(ALLOCATION_TABLE,0,1),0),5)*E128)</f>
        <v>0</v>
      </c>
      <c r="G128" s="677">
        <f>+E128-F128</f>
        <v>0</v>
      </c>
      <c r="H128" s="678" t="s">
        <v>427</v>
      </c>
    </row>
    <row r="129" spans="1:8">
      <c r="A129" s="673">
        <v>2040</v>
      </c>
      <c r="B129" s="654" t="str">
        <f>INDEX('TB Clean'!$B$2:$B$464,MATCH('Linked TB'!A129,'TB Clean'!$A$2:$A$464,0))</f>
        <v xml:space="preserve">     ACC DEPR FRANCHISES INTAN</v>
      </c>
      <c r="C129" s="674">
        <v>0</v>
      </c>
      <c r="D129" s="675">
        <f t="shared" ref="D129:D154" si="20">+E129</f>
        <v>0</v>
      </c>
      <c r="E129" s="677">
        <f>INDEX('TB Clean'!$D$2:$D$464,MATCH('Linked TB'!A129,'TB Clean'!$A$2:$A$464,0))</f>
        <v>0</v>
      </c>
      <c r="F129" s="684">
        <f t="shared" ref="F129:F157" si="21">+IF(UPPER(H129)="ACTUAL",C129,INDEX(ALLOCATION_TABLE,MATCH(UPPER(H129),INDEX(ALLOCATION_TABLE,0,1),0),5)*E129)</f>
        <v>0</v>
      </c>
      <c r="G129" s="677">
        <f t="shared" ref="G129:G159" si="22">+E129-F129</f>
        <v>0</v>
      </c>
      <c r="H129" s="678" t="s">
        <v>427</v>
      </c>
    </row>
    <row r="130" spans="1:8">
      <c r="A130" s="673">
        <v>2050</v>
      </c>
      <c r="B130" s="654" t="str">
        <f>INDEX('TB Clean'!$B$2:$B$464,MATCH('Linked TB'!A130,'TB Clean'!$A$2:$A$464,0))</f>
        <v xml:space="preserve">     ACC DEPR-STRUCT/IMPRV COL</v>
      </c>
      <c r="C130" s="674">
        <v>0</v>
      </c>
      <c r="D130" s="675">
        <f t="shared" si="20"/>
        <v>0</v>
      </c>
      <c r="E130" s="677">
        <f>INDEX('TB Clean'!$D$2:$D$464,MATCH('Linked TB'!A130,'TB Clean'!$A$2:$A$464,0))</f>
        <v>0</v>
      </c>
      <c r="F130" s="684">
        <f t="shared" si="21"/>
        <v>0</v>
      </c>
      <c r="G130" s="677">
        <f t="shared" si="22"/>
        <v>0</v>
      </c>
      <c r="H130" s="678" t="s">
        <v>427</v>
      </c>
    </row>
    <row r="131" spans="1:8">
      <c r="A131" s="673">
        <v>2055</v>
      </c>
      <c r="B131" s="654" t="str">
        <f>INDEX('TB Clean'!$B$2:$B$464,MATCH('Linked TB'!A131,'TB Clean'!$A$2:$A$464,0))</f>
        <v xml:space="preserve">     ACC DEPR-STRUCT/IMPRV PUM</v>
      </c>
      <c r="C131" s="674">
        <v>0</v>
      </c>
      <c r="D131" s="675">
        <f t="shared" si="20"/>
        <v>0</v>
      </c>
      <c r="E131" s="677">
        <f>INDEX('TB Clean'!$D$2:$D$464,MATCH('Linked TB'!A131,'TB Clean'!$A$2:$A$464,0))</f>
        <v>0</v>
      </c>
      <c r="F131" s="684">
        <f t="shared" si="21"/>
        <v>0</v>
      </c>
      <c r="G131" s="677">
        <f t="shared" si="22"/>
        <v>0</v>
      </c>
      <c r="H131" s="678" t="s">
        <v>427</v>
      </c>
    </row>
    <row r="132" spans="1:8">
      <c r="A132" s="673">
        <v>2065</v>
      </c>
      <c r="B132" s="654" t="str">
        <f>INDEX('TB Clean'!$B$2:$B$464,MATCH('Linked TB'!A132,'TB Clean'!$A$2:$A$464,0))</f>
        <v xml:space="preserve">     ACC DEPR-STRUCT/IMPRV RCL</v>
      </c>
      <c r="C132" s="674">
        <v>0</v>
      </c>
      <c r="D132" s="675">
        <f t="shared" si="20"/>
        <v>0</v>
      </c>
      <c r="E132" s="677">
        <f>INDEX('TB Clean'!$D$2:$D$464,MATCH('Linked TB'!A132,'TB Clean'!$A$2:$A$464,0))</f>
        <v>0</v>
      </c>
      <c r="F132" s="684">
        <f t="shared" si="21"/>
        <v>0</v>
      </c>
      <c r="G132" s="677">
        <f t="shared" si="22"/>
        <v>0</v>
      </c>
      <c r="H132" s="678" t="s">
        <v>427</v>
      </c>
    </row>
    <row r="133" spans="1:8">
      <c r="A133" s="673">
        <v>2075</v>
      </c>
      <c r="B133" s="654" t="str">
        <f>INDEX('TB Clean'!$B$2:$B$464,MATCH('Linked TB'!A133,'TB Clean'!$A$2:$A$464,0))</f>
        <v xml:space="preserve">     ACC DEPR-STRUCT/IMPRV GEN</v>
      </c>
      <c r="C133" s="674">
        <v>0</v>
      </c>
      <c r="D133" s="675">
        <f t="shared" si="20"/>
        <v>0</v>
      </c>
      <c r="E133" s="677">
        <f>INDEX('TB Clean'!$D$2:$D$464,MATCH('Linked TB'!A133,'TB Clean'!$A$2:$A$464,0))</f>
        <v>0</v>
      </c>
      <c r="F133" s="684">
        <f t="shared" si="21"/>
        <v>0</v>
      </c>
      <c r="G133" s="677">
        <f t="shared" si="22"/>
        <v>0</v>
      </c>
      <c r="H133" s="678" t="s">
        <v>427</v>
      </c>
    </row>
    <row r="134" spans="1:8">
      <c r="A134" s="673">
        <v>2090</v>
      </c>
      <c r="B134" s="654" t="str">
        <f>INDEX('TB Clean'!$B$2:$B$464,MATCH('Linked TB'!A134,'TB Clean'!$A$2:$A$464,0))</f>
        <v xml:space="preserve">     ACC DEPR-PWR GEN EQP TRT</v>
      </c>
      <c r="C134" s="674">
        <v>0</v>
      </c>
      <c r="D134" s="675">
        <f t="shared" si="20"/>
        <v>0</v>
      </c>
      <c r="E134" s="677">
        <f>INDEX('TB Clean'!$D$2:$D$464,MATCH('Linked TB'!A134,'TB Clean'!$A$2:$A$464,0))</f>
        <v>0</v>
      </c>
      <c r="F134" s="684">
        <f t="shared" si="21"/>
        <v>0</v>
      </c>
      <c r="G134" s="677">
        <f t="shared" si="22"/>
        <v>0</v>
      </c>
      <c r="H134" s="678" t="s">
        <v>427</v>
      </c>
    </row>
    <row r="135" spans="1:8">
      <c r="A135" s="673">
        <v>2105</v>
      </c>
      <c r="B135" s="654" t="str">
        <f>INDEX('TB Clean'!$B$2:$B$464,MATCH('Linked TB'!A135,'TB Clean'!$A$2:$A$464,0))</f>
        <v xml:space="preserve">     ACC DEPR-SEWER FORCE MAIN</v>
      </c>
      <c r="C135" s="674">
        <v>0</v>
      </c>
      <c r="D135" s="675">
        <f t="shared" si="20"/>
        <v>0</v>
      </c>
      <c r="E135" s="677">
        <f>INDEX('TB Clean'!$D$2:$D$464,MATCH('Linked TB'!A135,'TB Clean'!$A$2:$A$464,0))</f>
        <v>0</v>
      </c>
      <c r="F135" s="684">
        <f t="shared" si="21"/>
        <v>0</v>
      </c>
      <c r="G135" s="677">
        <f t="shared" si="22"/>
        <v>0</v>
      </c>
      <c r="H135" s="678" t="s">
        <v>427</v>
      </c>
    </row>
    <row r="136" spans="1:8">
      <c r="A136" s="673">
        <v>2110</v>
      </c>
      <c r="B136" s="654" t="str">
        <f>INDEX('TB Clean'!$B$2:$B$464,MATCH('Linked TB'!A136,'TB Clean'!$A$2:$A$464,0))</f>
        <v xml:space="preserve">     ACC DEPR-SEWER GRVTY MAIN</v>
      </c>
      <c r="C136" s="674">
        <v>0</v>
      </c>
      <c r="D136" s="675">
        <f t="shared" si="20"/>
        <v>0</v>
      </c>
      <c r="E136" s="677">
        <f>INDEX('TB Clean'!$D$2:$D$464,MATCH('Linked TB'!A136,'TB Clean'!$A$2:$A$464,0))</f>
        <v>0</v>
      </c>
      <c r="F136" s="684">
        <f t="shared" si="21"/>
        <v>0</v>
      </c>
      <c r="G136" s="677">
        <f t="shared" si="22"/>
        <v>0</v>
      </c>
      <c r="H136" s="678" t="s">
        <v>427</v>
      </c>
    </row>
    <row r="137" spans="1:8">
      <c r="A137" s="673">
        <v>2120</v>
      </c>
      <c r="B137" s="654" t="str">
        <f>INDEX('TB Clean'!$B$2:$B$464,MATCH('Linked TB'!A137,'TB Clean'!$A$2:$A$464,0))</f>
        <v xml:space="preserve">     ACC DEPR-SERVICES TO CUST</v>
      </c>
      <c r="C137" s="674">
        <v>0</v>
      </c>
      <c r="D137" s="675">
        <f t="shared" si="20"/>
        <v>0</v>
      </c>
      <c r="E137" s="677">
        <f>INDEX('TB Clean'!$D$2:$D$464,MATCH('Linked TB'!A137,'TB Clean'!$A$2:$A$464,0))</f>
        <v>0</v>
      </c>
      <c r="F137" s="684">
        <f t="shared" si="21"/>
        <v>0</v>
      </c>
      <c r="G137" s="677">
        <f t="shared" si="22"/>
        <v>0</v>
      </c>
      <c r="H137" s="678" t="s">
        <v>427</v>
      </c>
    </row>
    <row r="138" spans="1:8">
      <c r="A138" s="673">
        <v>2125</v>
      </c>
      <c r="B138" s="654" t="str">
        <f>INDEX('TB Clean'!$B$2:$B$464,MATCH('Linked TB'!A138,'TB Clean'!$A$2:$A$464,0))</f>
        <v xml:space="preserve">     ACC DEPR-FLOW MEASURE DEV</v>
      </c>
      <c r="C138" s="674">
        <v>0</v>
      </c>
      <c r="D138" s="675">
        <f t="shared" si="20"/>
        <v>0</v>
      </c>
      <c r="E138" s="677">
        <f>INDEX('TB Clean'!$D$2:$D$464,MATCH('Linked TB'!A138,'TB Clean'!$A$2:$A$464,0))</f>
        <v>0</v>
      </c>
      <c r="F138" s="684">
        <f t="shared" si="21"/>
        <v>0</v>
      </c>
      <c r="G138" s="677">
        <f t="shared" si="22"/>
        <v>0</v>
      </c>
      <c r="H138" s="678" t="s">
        <v>427</v>
      </c>
    </row>
    <row r="139" spans="1:8">
      <c r="A139" s="673">
        <v>2130</v>
      </c>
      <c r="B139" s="654" t="str">
        <f>INDEX('TB Clean'!$B$2:$B$464,MATCH('Linked TB'!A139,'TB Clean'!$A$2:$A$464,0))</f>
        <v xml:space="preserve">     ACC DEPR-FLOW MEASURE INS</v>
      </c>
      <c r="C139" s="674">
        <v>0</v>
      </c>
      <c r="D139" s="675">
        <f t="shared" si="20"/>
        <v>0</v>
      </c>
      <c r="E139" s="677">
        <f>INDEX('TB Clean'!$D$2:$D$464,MATCH('Linked TB'!A139,'TB Clean'!$A$2:$A$464,0))</f>
        <v>0</v>
      </c>
      <c r="F139" s="684">
        <f t="shared" si="21"/>
        <v>0</v>
      </c>
      <c r="G139" s="677">
        <f t="shared" si="22"/>
        <v>0</v>
      </c>
      <c r="H139" s="678" t="s">
        <v>427</v>
      </c>
    </row>
    <row r="140" spans="1:8">
      <c r="A140" s="673">
        <v>2140</v>
      </c>
      <c r="B140" s="654" t="str">
        <f>INDEX('TB Clean'!$B$2:$B$464,MATCH('Linked TB'!A140,'TB Clean'!$A$2:$A$464,0))</f>
        <v xml:space="preserve">     ACC DEPR-PUMP EQP PUMP PL</v>
      </c>
      <c r="C140" s="674">
        <v>0</v>
      </c>
      <c r="D140" s="675">
        <f t="shared" si="20"/>
        <v>0</v>
      </c>
      <c r="E140" s="677">
        <f>INDEX('TB Clean'!$D$2:$D$464,MATCH('Linked TB'!A140,'TB Clean'!$A$2:$A$464,0))</f>
        <v>0</v>
      </c>
      <c r="F140" s="684">
        <f t="shared" si="21"/>
        <v>0</v>
      </c>
      <c r="G140" s="677">
        <f t="shared" si="22"/>
        <v>0</v>
      </c>
      <c r="H140" s="678" t="s">
        <v>427</v>
      </c>
    </row>
    <row r="141" spans="1:8">
      <c r="A141" s="673">
        <v>2145</v>
      </c>
      <c r="B141" s="654" t="str">
        <f>INDEX('TB Clean'!$B$2:$B$464,MATCH('Linked TB'!A141,'TB Clean'!$A$2:$A$464,0))</f>
        <v xml:space="preserve">     ACC DEPR-PUMP EQP RCLM WT</v>
      </c>
      <c r="C141" s="674">
        <v>0</v>
      </c>
      <c r="D141" s="675">
        <f t="shared" si="20"/>
        <v>0</v>
      </c>
      <c r="E141" s="677">
        <f>INDEX('TB Clean'!$D$2:$D$464,MATCH('Linked TB'!A141,'TB Clean'!$A$2:$A$464,0))</f>
        <v>0</v>
      </c>
      <c r="F141" s="684">
        <f t="shared" si="21"/>
        <v>0</v>
      </c>
      <c r="G141" s="677">
        <f t="shared" si="22"/>
        <v>0</v>
      </c>
      <c r="H141" s="678" t="s">
        <v>427</v>
      </c>
    </row>
    <row r="142" spans="1:8">
      <c r="A142" s="673">
        <v>2155</v>
      </c>
      <c r="B142" s="654" t="str">
        <f>INDEX('TB Clean'!$B$2:$B$464,MATCH('Linked TB'!A142,'TB Clean'!$A$2:$A$464,0))</f>
        <v xml:space="preserve">     ACC DEPR-TREAT/DISP EQP L</v>
      </c>
      <c r="C142" s="674"/>
      <c r="D142" s="675">
        <f t="shared" si="20"/>
        <v>0</v>
      </c>
      <c r="E142" s="677">
        <f>INDEX('TB Clean'!$D$2:$D$464,MATCH('Linked TB'!A142,'TB Clean'!$A$2:$A$464,0))</f>
        <v>0</v>
      </c>
      <c r="F142" s="684">
        <f>+IF(UPPER(H142)="ACTUAL",C142,INDEX(ALLOCATION_TABLE,MATCH(UPPER(H142),INDEX(ALLOCATION_TABLE,0,1),0),5)*E142)</f>
        <v>0</v>
      </c>
      <c r="G142" s="677">
        <f t="shared" si="22"/>
        <v>0</v>
      </c>
      <c r="H142" s="678" t="s">
        <v>427</v>
      </c>
    </row>
    <row r="143" spans="1:8">
      <c r="A143" s="673">
        <v>2160</v>
      </c>
      <c r="B143" s="654" t="str">
        <f>INDEX('TB Clean'!$B$2:$B$464,MATCH('Linked TB'!A143,'TB Clean'!$A$2:$A$464,0))</f>
        <v xml:space="preserve">     ACC DEPR-TREAT/DISP EQP T</v>
      </c>
      <c r="C143" s="674">
        <v>0</v>
      </c>
      <c r="D143" s="675">
        <f t="shared" si="20"/>
        <v>0</v>
      </c>
      <c r="E143" s="677">
        <f>INDEX('TB Clean'!$D$2:$D$464,MATCH('Linked TB'!A143,'TB Clean'!$A$2:$A$464,0))</f>
        <v>0</v>
      </c>
      <c r="F143" s="684">
        <f t="shared" si="21"/>
        <v>0</v>
      </c>
      <c r="G143" s="677">
        <f t="shared" si="22"/>
        <v>0</v>
      </c>
      <c r="H143" s="678" t="s">
        <v>427</v>
      </c>
    </row>
    <row r="144" spans="1:8">
      <c r="A144" s="673">
        <v>2170</v>
      </c>
      <c r="B144" s="654" t="str">
        <f>INDEX('TB Clean'!$B$2:$B$464,MATCH('Linked TB'!A144,'TB Clean'!$A$2:$A$464,0))</f>
        <v xml:space="preserve">     ACC DEPR-PLANT SEWERS TRT</v>
      </c>
      <c r="C144" s="674">
        <v>0</v>
      </c>
      <c r="D144" s="675">
        <f t="shared" si="20"/>
        <v>0</v>
      </c>
      <c r="E144" s="677">
        <f>INDEX('TB Clean'!$D$2:$D$464,MATCH('Linked TB'!A144,'TB Clean'!$A$2:$A$464,0))</f>
        <v>0</v>
      </c>
      <c r="F144" s="684">
        <f t="shared" si="21"/>
        <v>0</v>
      </c>
      <c r="G144" s="677">
        <f t="shared" si="22"/>
        <v>0</v>
      </c>
      <c r="H144" s="678" t="s">
        <v>427</v>
      </c>
    </row>
    <row r="145" spans="1:8">
      <c r="A145" s="673">
        <v>2180</v>
      </c>
      <c r="B145" s="654" t="str">
        <f>INDEX('TB Clean'!$B$2:$B$464,MATCH('Linked TB'!A145,'TB Clean'!$A$2:$A$464,0))</f>
        <v xml:space="preserve">     ACC DEPR-OUTFALL LINES</v>
      </c>
      <c r="C145" s="674">
        <v>0</v>
      </c>
      <c r="D145" s="675">
        <f t="shared" si="20"/>
        <v>0</v>
      </c>
      <c r="E145" s="677">
        <f>INDEX('TB Clean'!$D$2:$D$464,MATCH('Linked TB'!A145,'TB Clean'!$A$2:$A$464,0))</f>
        <v>0</v>
      </c>
      <c r="F145" s="684">
        <f t="shared" si="21"/>
        <v>0</v>
      </c>
      <c r="G145" s="677">
        <f t="shared" si="22"/>
        <v>0</v>
      </c>
      <c r="H145" s="678" t="s">
        <v>427</v>
      </c>
    </row>
    <row r="146" spans="1:8">
      <c r="A146" s="673">
        <v>2195</v>
      </c>
      <c r="B146" s="654" t="str">
        <f>INDEX('TB Clean'!$B$2:$B$464,MATCH('Linked TB'!A146,'TB Clean'!$A$2:$A$464,0))</f>
        <v xml:space="preserve">     ACC DEPR-OTHER PLT PUMP</v>
      </c>
      <c r="C146" s="674">
        <v>0</v>
      </c>
      <c r="D146" s="675">
        <f t="shared" si="20"/>
        <v>0</v>
      </c>
      <c r="E146" s="677">
        <f>INDEX('TB Clean'!$D$2:$D$464,MATCH('Linked TB'!A146,'TB Clean'!$A$2:$A$464,0))</f>
        <v>0</v>
      </c>
      <c r="F146" s="684">
        <f t="shared" si="21"/>
        <v>0</v>
      </c>
      <c r="G146" s="677">
        <f t="shared" si="22"/>
        <v>0</v>
      </c>
      <c r="H146" s="678" t="s">
        <v>427</v>
      </c>
    </row>
    <row r="147" spans="1:8">
      <c r="A147" s="673">
        <v>2225</v>
      </c>
      <c r="B147" s="654" t="str">
        <f>INDEX('TB Clean'!$B$2:$B$464,MATCH('Linked TB'!A147,'TB Clean'!$A$2:$A$464,0))</f>
        <v xml:space="preserve">     ACC DEPR-STORES EQUIPMENT</v>
      </c>
      <c r="C147" s="674">
        <v>0</v>
      </c>
      <c r="D147" s="675">
        <f t="shared" si="20"/>
        <v>0</v>
      </c>
      <c r="E147" s="677">
        <f>INDEX('TB Clean'!$D$2:$D$464,MATCH('Linked TB'!A147,'TB Clean'!$A$2:$A$464,0))</f>
        <v>0</v>
      </c>
      <c r="F147" s="684">
        <f t="shared" si="21"/>
        <v>0</v>
      </c>
      <c r="G147" s="677">
        <f t="shared" si="22"/>
        <v>0</v>
      </c>
      <c r="H147" s="678" t="s">
        <v>427</v>
      </c>
    </row>
    <row r="148" spans="1:8">
      <c r="A148" s="673">
        <v>2230</v>
      </c>
      <c r="B148" s="654" t="str">
        <f>INDEX('TB Clean'!$B$2:$B$464,MATCH('Linked TB'!A148,'TB Clean'!$A$2:$A$464,0))</f>
        <v xml:space="preserve">     ACC DEPR-TOOL SHOP &amp; MISC</v>
      </c>
      <c r="C148" s="674">
        <v>0</v>
      </c>
      <c r="D148" s="675">
        <f t="shared" si="20"/>
        <v>0</v>
      </c>
      <c r="E148" s="677">
        <f>INDEX('TB Clean'!$D$2:$D$464,MATCH('Linked TB'!A148,'TB Clean'!$A$2:$A$464,0))</f>
        <v>0</v>
      </c>
      <c r="F148" s="684">
        <f t="shared" si="21"/>
        <v>0</v>
      </c>
      <c r="G148" s="677">
        <f t="shared" si="22"/>
        <v>0</v>
      </c>
      <c r="H148" s="678" t="s">
        <v>427</v>
      </c>
    </row>
    <row r="149" spans="1:8">
      <c r="A149" s="673">
        <v>2235</v>
      </c>
      <c r="B149" s="654" t="str">
        <f>INDEX('TB Clean'!$B$2:$B$464,MATCH('Linked TB'!A149,'TB Clean'!$A$2:$A$464,0))</f>
        <v xml:space="preserve">     ACC DEPR-LABORATORY EQPT</v>
      </c>
      <c r="C149" s="674">
        <v>0</v>
      </c>
      <c r="D149" s="675">
        <f t="shared" si="20"/>
        <v>0</v>
      </c>
      <c r="E149" s="677">
        <f>INDEX('TB Clean'!$D$2:$D$464,MATCH('Linked TB'!A149,'TB Clean'!$A$2:$A$464,0))</f>
        <v>0</v>
      </c>
      <c r="F149" s="684">
        <f t="shared" si="21"/>
        <v>0</v>
      </c>
      <c r="G149" s="677">
        <f t="shared" si="22"/>
        <v>0</v>
      </c>
      <c r="H149" s="678" t="s">
        <v>427</v>
      </c>
    </row>
    <row r="150" spans="1:8">
      <c r="A150" s="673">
        <v>2240</v>
      </c>
      <c r="B150" s="654" t="str">
        <f>INDEX('TB Clean'!$B$2:$B$464,MATCH('Linked TB'!A150,'TB Clean'!$A$2:$A$464,0))</f>
        <v xml:space="preserve">     ACC DEPR-POWER OPERATED E</v>
      </c>
      <c r="C150" s="674">
        <v>0</v>
      </c>
      <c r="D150" s="675">
        <f t="shared" si="20"/>
        <v>0</v>
      </c>
      <c r="E150" s="677">
        <f>INDEX('TB Clean'!$D$2:$D$464,MATCH('Linked TB'!A150,'TB Clean'!$A$2:$A$464,0))</f>
        <v>0</v>
      </c>
      <c r="F150" s="684">
        <f t="shared" si="21"/>
        <v>0</v>
      </c>
      <c r="G150" s="677">
        <f t="shared" si="22"/>
        <v>0</v>
      </c>
      <c r="H150" s="678" t="s">
        <v>427</v>
      </c>
    </row>
    <row r="151" spans="1:8">
      <c r="A151" s="673">
        <v>2245</v>
      </c>
      <c r="B151" s="654" t="str">
        <f>INDEX('TB Clean'!$B$2:$B$464,MATCH('Linked TB'!A151,'TB Clean'!$A$2:$A$464,0))</f>
        <v xml:space="preserve">     ACC DEPR-COMMUNICATION EQ</v>
      </c>
      <c r="C151" s="674">
        <v>0</v>
      </c>
      <c r="D151" s="675">
        <f t="shared" si="20"/>
        <v>0</v>
      </c>
      <c r="E151" s="677">
        <f>INDEX('TB Clean'!$D$2:$D$464,MATCH('Linked TB'!A151,'TB Clean'!$A$2:$A$464,0))</f>
        <v>0</v>
      </c>
      <c r="F151" s="684">
        <f t="shared" si="21"/>
        <v>0</v>
      </c>
      <c r="G151" s="677">
        <f t="shared" si="22"/>
        <v>0</v>
      </c>
      <c r="H151" s="678" t="s">
        <v>427</v>
      </c>
    </row>
    <row r="152" spans="1:8">
      <c r="A152" s="673">
        <v>2250</v>
      </c>
      <c r="B152" s="654" t="str">
        <f>INDEX('TB Clean'!$B$2:$B$464,MATCH('Linked TB'!A152,'TB Clean'!$A$2:$A$464,0))</f>
        <v xml:space="preserve">     ACC DEPR-MISC EQUIP SEWER</v>
      </c>
      <c r="C152" s="674">
        <v>0</v>
      </c>
      <c r="D152" s="675">
        <f t="shared" si="20"/>
        <v>0</v>
      </c>
      <c r="E152" s="677">
        <f>INDEX('TB Clean'!$D$2:$D$464,MATCH('Linked TB'!A152,'TB Clean'!$A$2:$A$464,0))</f>
        <v>0</v>
      </c>
      <c r="F152" s="684">
        <f t="shared" si="21"/>
        <v>0</v>
      </c>
      <c r="G152" s="677">
        <f t="shared" si="22"/>
        <v>0</v>
      </c>
      <c r="H152" s="678" t="s">
        <v>427</v>
      </c>
    </row>
    <row r="153" spans="1:8">
      <c r="A153" s="673">
        <v>2280</v>
      </c>
      <c r="B153" s="654" t="str">
        <f>INDEX('TB Clean'!$B$2:$B$464,MATCH('Linked TB'!A153,'TB Clean'!$A$2:$A$464,0))</f>
        <v xml:space="preserve">     ACC DEPR-REUSE DIST RESER</v>
      </c>
      <c r="C153" s="674">
        <v>0</v>
      </c>
      <c r="D153" s="675">
        <f t="shared" si="20"/>
        <v>0</v>
      </c>
      <c r="E153" s="677">
        <f>INDEX('TB Clean'!$D$2:$D$464,MATCH('Linked TB'!A153,'TB Clean'!$A$2:$A$464,0))</f>
        <v>0</v>
      </c>
      <c r="F153" s="684">
        <f t="shared" si="21"/>
        <v>0</v>
      </c>
      <c r="G153" s="677">
        <f t="shared" si="22"/>
        <v>0</v>
      </c>
      <c r="H153" s="678" t="s">
        <v>427</v>
      </c>
    </row>
    <row r="154" spans="1:8">
      <c r="A154" s="673">
        <v>2285</v>
      </c>
      <c r="B154" s="654" t="str">
        <f>INDEX('TB Clean'!$B$2:$B$464,MATCH('Linked TB'!A154,'TB Clean'!$A$2:$A$464,0))</f>
        <v xml:space="preserve">     ACC DEPR-REUSE TRANS/DIST</v>
      </c>
      <c r="C154" s="674">
        <v>0</v>
      </c>
      <c r="D154" s="675">
        <f t="shared" si="20"/>
        <v>0</v>
      </c>
      <c r="E154" s="677">
        <f>INDEX('TB Clean'!$D$2:$D$464,MATCH('Linked TB'!A154,'TB Clean'!$A$2:$A$464,0))</f>
        <v>0</v>
      </c>
      <c r="F154" s="684">
        <f t="shared" si="21"/>
        <v>0</v>
      </c>
      <c r="G154" s="677">
        <f t="shared" si="22"/>
        <v>0</v>
      </c>
      <c r="H154" s="678" t="s">
        <v>427</v>
      </c>
    </row>
    <row r="155" spans="1:8">
      <c r="A155" s="673">
        <v>2300</v>
      </c>
      <c r="B155" s="654" t="str">
        <f>INDEX('TB Clean'!$B$2:$B$464,MATCH('Linked TB'!A155,'TB Clean'!$A$2:$A$464,0))</f>
        <v xml:space="preserve">     ACC DEPR-TRANSPORTATION W</v>
      </c>
      <c r="C155" s="674">
        <f t="shared" ref="C155:C156" si="23">+E155</f>
        <v>-550225.31999999995</v>
      </c>
      <c r="D155" s="675">
        <v>0</v>
      </c>
      <c r="E155" s="677">
        <f>INDEX('TB Clean'!$D$2:$D$464,MATCH('Linked TB'!A155,'TB Clean'!$A$2:$A$464,0))</f>
        <v>-550225.31999999995</v>
      </c>
      <c r="F155" s="684">
        <f>+IF(UPPER(H155)="ACTUAL",C155,INDEX(ALLOCATION_TABLE,MATCH(UPPER(H155),INDEX(ALLOCATION_TABLE,0,1),0),5)*E155)</f>
        <v>-550225.31999999995</v>
      </c>
      <c r="G155" s="677">
        <f t="shared" si="22"/>
        <v>0</v>
      </c>
      <c r="H155" s="678" t="s">
        <v>427</v>
      </c>
    </row>
    <row r="156" spans="1:8">
      <c r="A156" s="673">
        <v>2320</v>
      </c>
      <c r="B156" s="654" t="str">
        <f>INDEX('TB Clean'!$B$2:$B$464,MATCH('Linked TB'!A156,'TB Clean'!$A$2:$A$464,0))</f>
        <v xml:space="preserve">     ACC DEPR-MAINFRAME COMP W</v>
      </c>
      <c r="C156" s="674">
        <f t="shared" si="23"/>
        <v>-28652.78</v>
      </c>
      <c r="D156" s="675">
        <v>0</v>
      </c>
      <c r="E156" s="677">
        <f>INDEX('TB Clean'!$D$2:$D$464,MATCH('Linked TB'!A156,'TB Clean'!$A$2:$A$464,0))</f>
        <v>-28652.78</v>
      </c>
      <c r="F156" s="684">
        <f>+IF(UPPER(H156)="ACTUAL",C156,INDEX(ALLOCATION_TABLE,MATCH(UPPER(H156),INDEX(ALLOCATION_TABLE,0,1),0),5)*E156)</f>
        <v>-28652.78</v>
      </c>
      <c r="G156" s="677">
        <f t="shared" si="22"/>
        <v>0</v>
      </c>
      <c r="H156" s="678" t="s">
        <v>427</v>
      </c>
    </row>
    <row r="157" spans="1:8">
      <c r="A157" s="673">
        <v>2325</v>
      </c>
      <c r="B157" s="654" t="str">
        <f>INDEX('TB Clean'!$B$2:$B$464,MATCH('Linked TB'!A157,'TB Clean'!$A$2:$A$464,0))</f>
        <v xml:space="preserve">     ACC DEPR-MINI COMP WTR</v>
      </c>
      <c r="C157" s="674">
        <f>+E157</f>
        <v>-100975.81</v>
      </c>
      <c r="D157" s="675">
        <v>0</v>
      </c>
      <c r="E157" s="677">
        <f>INDEX('TB Clean'!$D$2:$D$464,MATCH('Linked TB'!A157,'TB Clean'!$A$2:$A$464,0))</f>
        <v>-100975.81</v>
      </c>
      <c r="F157" s="684">
        <f t="shared" si="21"/>
        <v>-100975.81</v>
      </c>
      <c r="G157" s="677">
        <f t="shared" si="22"/>
        <v>0</v>
      </c>
      <c r="H157" s="678" t="s">
        <v>427</v>
      </c>
    </row>
    <row r="158" spans="1:8">
      <c r="A158" s="673">
        <v>2330</v>
      </c>
      <c r="B158" s="654" t="str">
        <f>INDEX('TB Clean'!$B$2:$B$464,MATCH('Linked TB'!A158,'TB Clean'!$A$2:$A$464,0))</f>
        <v xml:space="preserve">     COMP SYS AMORTIZATION WTR</v>
      </c>
      <c r="C158" s="674">
        <f>+E158</f>
        <v>-573458.36</v>
      </c>
      <c r="D158" s="675">
        <v>0</v>
      </c>
      <c r="E158" s="677">
        <f>INDEX('TB Clean'!$D$2:$D$464,MATCH('Linked TB'!A158,'TB Clean'!$A$2:$A$464,0))</f>
        <v>-573458.36</v>
      </c>
      <c r="F158" s="684">
        <f>+IF(UPPER(H158)="ACTUAL",C158,INDEX(ALLOCATION_TABLE,MATCH(UPPER(H158),INDEX(ALLOCATION_TABLE,0,1),0),5)*E158)</f>
        <v>-573458.36</v>
      </c>
      <c r="G158" s="677">
        <f t="shared" si="22"/>
        <v>0</v>
      </c>
      <c r="H158" s="678" t="s">
        <v>427</v>
      </c>
    </row>
    <row r="159" spans="1:8">
      <c r="A159" s="673">
        <v>2335</v>
      </c>
      <c r="B159" s="654" t="str">
        <f>INDEX('TB Clean'!$B$2:$B$464,MATCH('Linked TB'!A159,'TB Clean'!$A$2:$A$464,0))</f>
        <v xml:space="preserve">     MICRO SYS AMORTIZATION WT</v>
      </c>
      <c r="C159" s="674">
        <f>+E159</f>
        <v>-18079.080000000002</v>
      </c>
      <c r="D159" s="675">
        <v>0</v>
      </c>
      <c r="E159" s="677">
        <f>INDEX('TB Clean'!$D$2:$D$464,MATCH('Linked TB'!A159,'TB Clean'!$A$2:$A$464,0))</f>
        <v>-18079.080000000002</v>
      </c>
      <c r="F159" s="684">
        <f>+IF(UPPER(H159)="ACTUAL",C159,INDEX(ALLOCATION_TABLE,MATCH(UPPER(H159),INDEX(ALLOCATION_TABLE,0,1),0),5)*E159)</f>
        <v>-18079.080000000002</v>
      </c>
      <c r="G159" s="677">
        <f t="shared" si="22"/>
        <v>0</v>
      </c>
      <c r="H159" s="678" t="s">
        <v>427</v>
      </c>
    </row>
    <row r="160" spans="1:8" ht="5.0999999999999996" customHeight="1">
      <c r="A160" s="673"/>
      <c r="C160" s="681">
        <v>0</v>
      </c>
      <c r="D160" s="682">
        <v>0</v>
      </c>
      <c r="E160" s="683">
        <v>0</v>
      </c>
      <c r="F160" s="689">
        <v>0</v>
      </c>
      <c r="G160" s="683">
        <v>0</v>
      </c>
      <c r="H160" s="678"/>
    </row>
    <row r="161" spans="1:8">
      <c r="A161" s="673" t="s">
        <v>959</v>
      </c>
      <c r="B161" s="654" t="s">
        <v>964</v>
      </c>
      <c r="C161" s="684">
        <f>SUM(C100:C160)</f>
        <v>-5181177.0200000005</v>
      </c>
      <c r="D161" s="677">
        <f>SUM(D100:D160)</f>
        <v>0</v>
      </c>
      <c r="E161" s="677">
        <f>SUM(E100:E160)</f>
        <v>-5181177.0200000005</v>
      </c>
      <c r="F161" s="684">
        <f>SUM(F100:F160)</f>
        <v>-5181177.0200000005</v>
      </c>
      <c r="G161" s="677">
        <f>SUM(G100:G160)</f>
        <v>0</v>
      </c>
      <c r="H161" s="678"/>
    </row>
    <row r="162" spans="1:8">
      <c r="A162" s="673"/>
      <c r="C162" s="674"/>
      <c r="D162" s="675"/>
      <c r="E162" s="677"/>
      <c r="F162" s="684"/>
      <c r="G162" s="677"/>
      <c r="H162" s="678"/>
    </row>
    <row r="163" spans="1:8">
      <c r="A163" s="673">
        <v>2400</v>
      </c>
      <c r="B163" s="654" t="str">
        <f>INDEX('TB Clean'!$B$2:$B$464,MATCH('Linked TB'!A163,'TB Clean'!$A$2:$A$464,0))</f>
        <v xml:space="preserve">    UTILITY PAA WTR PLANT AMOR</v>
      </c>
      <c r="C163" s="674">
        <f>+E163</f>
        <v>-183024.56</v>
      </c>
      <c r="D163" s="675"/>
      <c r="E163" s="677">
        <f>INDEX('TB Clean'!$D$2:$D$464,MATCH('Linked TB'!A163,'TB Clean'!$A$2:$A$464,0))</f>
        <v>-183024.56</v>
      </c>
      <c r="F163" s="684">
        <f>+IF(UPPER(H163)="ACTUAL",C163,INDEX(ALLOCATION_TABLE,MATCH(UPPER(H163),INDEX(ALLOCATION_TABLE,0,1),0),5)*E163)</f>
        <v>-183024.56</v>
      </c>
      <c r="G163" s="677">
        <f>+E163-F163</f>
        <v>0</v>
      </c>
      <c r="H163" s="678" t="s">
        <v>427</v>
      </c>
    </row>
    <row r="164" spans="1:8">
      <c r="A164" s="673">
        <v>2420</v>
      </c>
      <c r="B164" s="654" t="str">
        <f>INDEX('TB Clean'!$B$2:$B$464,MATCH('Linked TB'!A164,'TB Clean'!$A$2:$A$464,0))</f>
        <v xml:space="preserve">    ACC AMORT UTIL PAA-WATER</v>
      </c>
      <c r="C164" s="674">
        <f>+E164</f>
        <v>45756.02</v>
      </c>
      <c r="D164" s="675"/>
      <c r="E164" s="677">
        <f>INDEX('TB Clean'!$D$2:$D$464,MATCH('Linked TB'!A164,'TB Clean'!$A$2:$A$464,0))</f>
        <v>45756.02</v>
      </c>
      <c r="F164" s="684">
        <f>+IF(UPPER(H164)="ACTUAL",C164,INDEX(ALLOCATION_TABLE,MATCH(UPPER(H164),INDEX(ALLOCATION_TABLE,0,1),0),5)*E164)</f>
        <v>45756.02</v>
      </c>
      <c r="G164" s="677">
        <f>+E164-F164</f>
        <v>0</v>
      </c>
      <c r="H164" s="678" t="s">
        <v>427</v>
      </c>
    </row>
    <row r="165" spans="1:8" ht="4.5" customHeight="1">
      <c r="A165" s="673"/>
      <c r="C165" s="681">
        <v>0</v>
      </c>
      <c r="D165" s="682">
        <v>0</v>
      </c>
      <c r="E165" s="683">
        <v>0</v>
      </c>
      <c r="F165" s="689">
        <v>0</v>
      </c>
      <c r="G165" s="683">
        <v>0</v>
      </c>
      <c r="H165" s="678"/>
    </row>
    <row r="166" spans="1:8">
      <c r="A166" s="673" t="s">
        <v>959</v>
      </c>
      <c r="B166" s="654" t="s">
        <v>965</v>
      </c>
      <c r="C166" s="674">
        <f>SUM(C163:C165)</f>
        <v>-137268.54</v>
      </c>
      <c r="D166" s="675">
        <f>SUM(D163:D165)</f>
        <v>0</v>
      </c>
      <c r="E166" s="675">
        <f>SUM(E163:E165)</f>
        <v>-137268.54</v>
      </c>
      <c r="F166" s="674">
        <f>SUM(F163:F165)</f>
        <v>-137268.54</v>
      </c>
      <c r="G166" s="675">
        <f>SUM(G163:G165)</f>
        <v>0</v>
      </c>
      <c r="H166" s="678"/>
    </row>
    <row r="167" spans="1:8">
      <c r="A167" s="673"/>
      <c r="C167" s="674"/>
      <c r="D167" s="675"/>
      <c r="E167" s="677"/>
      <c r="F167" s="684"/>
      <c r="G167" s="677"/>
      <c r="H167" s="678"/>
    </row>
    <row r="168" spans="1:8">
      <c r="A168" s="673">
        <v>2640</v>
      </c>
      <c r="B168" s="654" t="str">
        <f>INDEX('TB Clean'!$B$2:$B$464,MATCH('Linked TB'!A168,'TB Clean'!$A$2:$A$464,0))</f>
        <v xml:space="preserve">     CASH-CHASE-WSC DISBURSEME</v>
      </c>
      <c r="C168" s="674">
        <v>0</v>
      </c>
      <c r="D168" s="675">
        <v>0</v>
      </c>
      <c r="E168" s="677">
        <f>INDEX('TB Clean'!$D$2:$D$464,MATCH('Linked TB'!A168,'TB Clean'!$A$2:$A$464,0))</f>
        <v>104802.78</v>
      </c>
      <c r="F168" s="684">
        <f>+IF(UPPER(H168)="ACTUAL",C168,INDEX(ALLOCATION_TABLE,MATCH(UPPER(H168),INDEX(ALLOCATION_TABLE,0,1),0),5)*E168)</f>
        <v>104802.78</v>
      </c>
      <c r="G168" s="677">
        <f>+E168-F168</f>
        <v>0</v>
      </c>
      <c r="H168" s="678" t="s">
        <v>428</v>
      </c>
    </row>
    <row r="169" spans="1:8">
      <c r="A169" s="673">
        <v>2665</v>
      </c>
      <c r="B169" s="654" t="str">
        <f>INDEX('TB Clean'!$B$2:$B$464,MATCH('Linked TB'!A169,'TB Clean'!$A$2:$A$464,0))</f>
        <v xml:space="preserve">     CASH UNAPPLIED</v>
      </c>
      <c r="C169" s="674">
        <v>0</v>
      </c>
      <c r="D169" s="675">
        <v>0</v>
      </c>
      <c r="E169" s="677">
        <f>INDEX('TB Clean'!$D$2:$D$464,MATCH('Linked TB'!A169,'TB Clean'!$A$2:$A$464,0))</f>
        <v>0</v>
      </c>
      <c r="F169" s="684">
        <f>+IF(UPPER(H169)="ACTUAL",C169,INDEX(ALLOCATION_TABLE,MATCH(UPPER(H169),INDEX(ALLOCATION_TABLE,0,1),0),5)*E169)</f>
        <v>0</v>
      </c>
      <c r="G169" s="677">
        <f>+E169-F169</f>
        <v>0</v>
      </c>
      <c r="H169" s="678" t="s">
        <v>428</v>
      </c>
    </row>
    <row r="170" spans="1:8" ht="5.0999999999999996" customHeight="1">
      <c r="A170" s="673"/>
      <c r="C170" s="681">
        <v>0</v>
      </c>
      <c r="D170" s="682">
        <v>0</v>
      </c>
      <c r="E170" s="683">
        <v>0</v>
      </c>
      <c r="F170" s="689">
        <v>0</v>
      </c>
      <c r="G170" s="683">
        <v>0</v>
      </c>
      <c r="H170" s="678"/>
    </row>
    <row r="171" spans="1:8">
      <c r="A171" s="673" t="s">
        <v>959</v>
      </c>
      <c r="B171" s="654" t="s">
        <v>966</v>
      </c>
      <c r="C171" s="684">
        <f>SUM(C168:C170)</f>
        <v>0</v>
      </c>
      <c r="D171" s="677">
        <f>SUM(D169:D170)</f>
        <v>0</v>
      </c>
      <c r="E171" s="677">
        <f>SUM(E168:E170)</f>
        <v>104802.78</v>
      </c>
      <c r="F171" s="684">
        <f>SUM(F168:F170)</f>
        <v>104802.78</v>
      </c>
      <c r="G171" s="677">
        <f>SUM(G168:G170)</f>
        <v>0</v>
      </c>
      <c r="H171" s="678"/>
    </row>
    <row r="172" spans="1:8">
      <c r="A172" s="673"/>
      <c r="C172" s="674"/>
      <c r="D172" s="675"/>
      <c r="E172" s="677"/>
      <c r="F172" s="684"/>
      <c r="G172" s="677"/>
      <c r="H172" s="678"/>
    </row>
    <row r="173" spans="1:8">
      <c r="A173" s="673">
        <v>2675</v>
      </c>
      <c r="B173" s="654" t="str">
        <f>INDEX('TB Clean'!$B$2:$B$464,MATCH('Linked TB'!A173,'TB Clean'!$A$2:$A$464,0))</f>
        <v xml:space="preserve">     A/R-CUSTOMER TRADE CC&amp;B</v>
      </c>
      <c r="C173" s="674">
        <v>0</v>
      </c>
      <c r="D173" s="675">
        <v>0</v>
      </c>
      <c r="E173" s="677">
        <f>INDEX('TB Clean'!$D$2:$D$464,MATCH('Linked TB'!A173,'TB Clean'!$A$2:$A$464,0))</f>
        <v>352588.52</v>
      </c>
      <c r="F173" s="684">
        <f t="shared" ref="F173:F178" si="24">+IF(UPPER(H173)="ACTUAL",C173,INDEX(ALLOCATION_TABLE,MATCH(UPPER(H173),INDEX(ALLOCATION_TABLE,0,1),0),5)*E173)</f>
        <v>352588.52</v>
      </c>
      <c r="G173" s="677">
        <f t="shared" ref="G173:G178" si="25">+E173-F173</f>
        <v>0</v>
      </c>
      <c r="H173" s="678" t="s">
        <v>428</v>
      </c>
    </row>
    <row r="174" spans="1:8">
      <c r="A174" s="673">
        <v>2680</v>
      </c>
      <c r="B174" s="654" t="str">
        <f>INDEX('TB Clean'!$B$2:$B$464,MATCH('Linked TB'!A174,'TB Clean'!$A$2:$A$464,0))</f>
        <v xml:space="preserve">     A/R-CUSTOMER ACCRUAL</v>
      </c>
      <c r="C174" s="674">
        <v>0</v>
      </c>
      <c r="D174" s="675">
        <v>0</v>
      </c>
      <c r="E174" s="677">
        <f>INDEX('TB Clean'!$D$2:$D$464,MATCH('Linked TB'!A174,'TB Clean'!$A$2:$A$464,0))</f>
        <v>117250</v>
      </c>
      <c r="F174" s="684">
        <f t="shared" si="24"/>
        <v>117250</v>
      </c>
      <c r="G174" s="677">
        <f t="shared" si="25"/>
        <v>0</v>
      </c>
      <c r="H174" s="678" t="s">
        <v>428</v>
      </c>
    </row>
    <row r="175" spans="1:8">
      <c r="A175" s="673">
        <v>2685</v>
      </c>
      <c r="B175" s="654" t="str">
        <f>INDEX('TB Clean'!$B$2:$B$464,MATCH('Linked TB'!A175,'TB Clean'!$A$2:$A$464,0))</f>
        <v xml:space="preserve">     A/R-CUSTOMER REFUNDS</v>
      </c>
      <c r="C175" s="674">
        <v>0</v>
      </c>
      <c r="D175" s="675">
        <v>0</v>
      </c>
      <c r="E175" s="677">
        <f>INDEX('TB Clean'!$D$2:$D$464,MATCH('Linked TB'!A175,'TB Clean'!$A$2:$A$464,0))</f>
        <v>31.67</v>
      </c>
      <c r="F175" s="684">
        <f t="shared" si="24"/>
        <v>31.67</v>
      </c>
      <c r="G175" s="677">
        <f t="shared" si="25"/>
        <v>0</v>
      </c>
      <c r="H175" s="678" t="s">
        <v>428</v>
      </c>
    </row>
    <row r="176" spans="1:8">
      <c r="A176" s="673">
        <v>2690</v>
      </c>
      <c r="B176" s="654" t="str">
        <f>INDEX('TB Clean'!$B$2:$B$464,MATCH('Linked TB'!A176,'TB Clean'!$A$2:$A$464,0))</f>
        <v xml:space="preserve">    ACCUM PROV UNCOLLECT ACCTS</v>
      </c>
      <c r="C176" s="674">
        <v>0</v>
      </c>
      <c r="D176" s="675">
        <v>0</v>
      </c>
      <c r="E176" s="677">
        <f>INDEX('TB Clean'!$D$2:$D$464,MATCH('Linked TB'!A176,'TB Clean'!$A$2:$A$464,0))</f>
        <v>-44421.84</v>
      </c>
      <c r="F176" s="684">
        <f t="shared" si="24"/>
        <v>-44421.84</v>
      </c>
      <c r="G176" s="677">
        <f t="shared" si="25"/>
        <v>0</v>
      </c>
      <c r="H176" s="678" t="s">
        <v>428</v>
      </c>
    </row>
    <row r="177" spans="1:8">
      <c r="A177" s="673">
        <v>2700</v>
      </c>
      <c r="B177" s="654" t="str">
        <f>INDEX('TB Clean'!$B$2:$B$464,MATCH('Linked TB'!A177,'TB Clean'!$A$2:$A$464,0))</f>
        <v xml:space="preserve">     A/R-OTHER</v>
      </c>
      <c r="C177" s="674">
        <v>0</v>
      </c>
      <c r="D177" s="675">
        <v>0</v>
      </c>
      <c r="E177" s="677">
        <f>INDEX('TB Clean'!$D$2:$D$464,MATCH('Linked TB'!A177,'TB Clean'!$A$2:$A$464,0))</f>
        <v>10500</v>
      </c>
      <c r="F177" s="684">
        <f t="shared" si="24"/>
        <v>10500</v>
      </c>
      <c r="G177" s="677">
        <f t="shared" si="25"/>
        <v>0</v>
      </c>
      <c r="H177" s="678" t="s">
        <v>428</v>
      </c>
    </row>
    <row r="178" spans="1:8">
      <c r="A178" s="673">
        <v>2710</v>
      </c>
      <c r="B178" s="654" t="str">
        <f>INDEX('TB Clean'!$B$2:$B$464,MATCH('Linked TB'!A178,'TB Clean'!$A$2:$A$464,0))</f>
        <v xml:space="preserve">    A/R ASSOC COS</v>
      </c>
      <c r="C178" s="674">
        <v>0</v>
      </c>
      <c r="D178" s="675">
        <v>0</v>
      </c>
      <c r="E178" s="677">
        <f>INDEX('TB Clean'!$D$2:$D$464,MATCH('Linked TB'!A178,'TB Clean'!$A$2:$A$464,0))</f>
        <v>289626.74</v>
      </c>
      <c r="F178" s="684">
        <f t="shared" si="24"/>
        <v>289626.74</v>
      </c>
      <c r="G178" s="677">
        <f t="shared" si="25"/>
        <v>0</v>
      </c>
      <c r="H178" s="678" t="s">
        <v>428</v>
      </c>
    </row>
    <row r="179" spans="1:8" ht="5.0999999999999996" customHeight="1">
      <c r="A179" s="673"/>
      <c r="C179" s="681">
        <v>0</v>
      </c>
      <c r="D179" s="682">
        <v>0</v>
      </c>
      <c r="E179" s="683">
        <v>0</v>
      </c>
      <c r="F179" s="689">
        <v>0</v>
      </c>
      <c r="G179" s="683">
        <v>0</v>
      </c>
      <c r="H179" s="678"/>
    </row>
    <row r="180" spans="1:8">
      <c r="A180" s="673" t="s">
        <v>959</v>
      </c>
      <c r="B180" s="654" t="s">
        <v>967</v>
      </c>
      <c r="C180" s="684">
        <f>SUM(C173:C179)</f>
        <v>0</v>
      </c>
      <c r="D180" s="677">
        <f>SUM(D173:D179)</f>
        <v>0</v>
      </c>
      <c r="E180" s="677">
        <f>SUM(E173:E179)</f>
        <v>725575.09</v>
      </c>
      <c r="F180" s="684">
        <f>SUM(F173:F179)</f>
        <v>725575.09</v>
      </c>
      <c r="G180" s="677">
        <f>SUM(G173:G179)</f>
        <v>0</v>
      </c>
      <c r="H180" s="678"/>
    </row>
    <row r="181" spans="1:8">
      <c r="A181" s="673"/>
      <c r="C181" s="674"/>
      <c r="D181" s="675"/>
      <c r="E181" s="677"/>
      <c r="F181" s="684"/>
      <c r="G181" s="677"/>
      <c r="H181" s="678"/>
    </row>
    <row r="182" spans="1:8">
      <c r="A182" s="673"/>
      <c r="C182" s="674"/>
      <c r="D182" s="675"/>
      <c r="E182" s="677"/>
      <c r="F182" s="684"/>
      <c r="G182" s="677"/>
      <c r="H182" s="678"/>
    </row>
    <row r="183" spans="1:8">
      <c r="A183" s="673">
        <v>2755</v>
      </c>
      <c r="B183" s="654" t="str">
        <f>INDEX('TB Clean'!$B$2:$B$464,MATCH('Linked TB'!A183,'TB Clean'!$A$2:$A$464,0))</f>
        <v xml:space="preserve">    INVENTORY</v>
      </c>
      <c r="C183" s="674">
        <v>0</v>
      </c>
      <c r="D183" s="675">
        <v>0</v>
      </c>
      <c r="E183" s="677">
        <f>INDEX('TB Clean'!$D$2:$D$464,MATCH('Linked TB'!A183,'TB Clean'!$A$2:$A$464,0))</f>
        <v>7700</v>
      </c>
      <c r="F183" s="684">
        <f>+IF(UPPER(H183)="ACTUAL",C183,INDEX(ALLOCATION_TABLE,MATCH(UPPER(H183),INDEX(ALLOCATION_TABLE,0,1),0),5)*E183)</f>
        <v>7700</v>
      </c>
      <c r="G183" s="677">
        <f>+E183-F183</f>
        <v>0</v>
      </c>
      <c r="H183" s="678" t="s">
        <v>428</v>
      </c>
    </row>
    <row r="184" spans="1:8" ht="4.5" customHeight="1">
      <c r="A184" s="673"/>
      <c r="C184" s="681">
        <v>0</v>
      </c>
      <c r="D184" s="682">
        <v>0</v>
      </c>
      <c r="E184" s="683">
        <v>0</v>
      </c>
      <c r="F184" s="689">
        <v>0</v>
      </c>
      <c r="G184" s="683">
        <v>0</v>
      </c>
      <c r="H184" s="678"/>
    </row>
    <row r="185" spans="1:8">
      <c r="A185" s="673" t="s">
        <v>959</v>
      </c>
      <c r="C185" s="674">
        <f>SUM(C183:C184)</f>
        <v>0</v>
      </c>
      <c r="D185" s="675">
        <f>SUM(D183:D184)</f>
        <v>0</v>
      </c>
      <c r="E185" s="675">
        <f>SUM(E183:E184)</f>
        <v>7700</v>
      </c>
      <c r="F185" s="674">
        <f>SUM(F183:F184)</f>
        <v>7700</v>
      </c>
      <c r="G185" s="675">
        <f>SUM(G183:G184)</f>
        <v>0</v>
      </c>
      <c r="H185" s="678"/>
    </row>
    <row r="186" spans="1:8">
      <c r="A186" s="673"/>
      <c r="C186" s="674"/>
      <c r="D186" s="675"/>
      <c r="E186" s="677"/>
      <c r="F186" s="684"/>
      <c r="G186" s="677"/>
      <c r="H186" s="678"/>
    </row>
    <row r="187" spans="1:8">
      <c r="A187" s="673">
        <v>2775</v>
      </c>
      <c r="B187" s="654" t="str">
        <f>INDEX('TB Clean'!$B$2:$B$464,MATCH('Linked TB'!A187,'TB Clean'!$A$2:$A$464,0))</f>
        <v xml:space="preserve">    SPECIAL DEPOSITS</v>
      </c>
      <c r="C187" s="674">
        <v>0</v>
      </c>
      <c r="D187" s="675">
        <v>0</v>
      </c>
      <c r="E187" s="677">
        <f>INDEX('TB Clean'!$D$2:$D$464,MATCH('Linked TB'!A187,'TB Clean'!$A$2:$A$464,0))</f>
        <v>6100</v>
      </c>
      <c r="F187" s="684">
        <f>+IF(UPPER(H187)="ACTUAL",C187,INDEX(ALLOCATION_TABLE,MATCH(UPPER(H187),INDEX(ALLOCATION_TABLE,0,1),0),5)*E187)</f>
        <v>6100</v>
      </c>
      <c r="G187" s="677">
        <f>+E187-F187</f>
        <v>0</v>
      </c>
      <c r="H187" s="678" t="s">
        <v>428</v>
      </c>
    </row>
    <row r="188" spans="1:8" ht="4.5" customHeight="1">
      <c r="A188" s="673"/>
      <c r="C188" s="681">
        <v>0</v>
      </c>
      <c r="D188" s="682">
        <v>0</v>
      </c>
      <c r="E188" s="683">
        <v>0</v>
      </c>
      <c r="F188" s="689">
        <v>0</v>
      </c>
      <c r="G188" s="683">
        <v>0</v>
      </c>
      <c r="H188" s="678"/>
    </row>
    <row r="189" spans="1:8">
      <c r="A189" s="673" t="s">
        <v>959</v>
      </c>
      <c r="C189" s="674">
        <f>SUM(C187:C188)</f>
        <v>0</v>
      </c>
      <c r="D189" s="675">
        <f>SUM(D187:D188)</f>
        <v>0</v>
      </c>
      <c r="E189" s="675">
        <f>SUM(E187:E188)</f>
        <v>6100</v>
      </c>
      <c r="F189" s="674">
        <f>SUM(F187:F188)</f>
        <v>6100</v>
      </c>
      <c r="G189" s="675">
        <f>SUM(G187:G188)</f>
        <v>0</v>
      </c>
      <c r="H189" s="678"/>
    </row>
    <row r="190" spans="1:8">
      <c r="A190" s="673"/>
      <c r="C190" s="674"/>
      <c r="D190" s="675"/>
      <c r="E190" s="677"/>
      <c r="F190" s="684"/>
      <c r="G190" s="677"/>
      <c r="H190" s="678"/>
    </row>
    <row r="191" spans="1:8">
      <c r="A191" s="673">
        <v>2795</v>
      </c>
      <c r="B191" s="654" t="str">
        <f>INDEX('TB Clean'!$B$2:$B$464,MATCH('Linked TB'!A191,'TB Clean'!$A$2:$A$464,0))</f>
        <v xml:space="preserve">    PREPAID REIMBURSEMENTS</v>
      </c>
      <c r="C191" s="674">
        <v>0</v>
      </c>
      <c r="D191" s="675">
        <v>0</v>
      </c>
      <c r="E191" s="677">
        <f>INDEX('TB Clean'!$D$2:$D$464,MATCH('Linked TB'!A191,'TB Clean'!$A$2:$A$464,0))</f>
        <v>0</v>
      </c>
      <c r="F191" s="684">
        <f>+IF(UPPER(H191)="ACTUAL",C191,INDEX(ALLOCATION_TABLE,MATCH(UPPER(H191),INDEX(ALLOCATION_TABLE,0,1),0),5)*E191)</f>
        <v>0</v>
      </c>
      <c r="G191" s="677">
        <f>+E191-F191</f>
        <v>0</v>
      </c>
      <c r="H191" s="678" t="s">
        <v>428</v>
      </c>
    </row>
    <row r="192" spans="1:8" ht="5.25" customHeight="1">
      <c r="A192" s="673"/>
      <c r="B192" s="686"/>
      <c r="C192" s="681">
        <v>0</v>
      </c>
      <c r="D192" s="682">
        <v>0</v>
      </c>
      <c r="E192" s="683">
        <v>0</v>
      </c>
      <c r="F192" s="689">
        <v>0</v>
      </c>
      <c r="G192" s="683">
        <v>0</v>
      </c>
      <c r="H192" s="678"/>
    </row>
    <row r="193" spans="1:8">
      <c r="A193" s="673" t="s">
        <v>959</v>
      </c>
      <c r="B193" s="686" t="s">
        <v>968</v>
      </c>
      <c r="C193" s="674">
        <f>SUM(C191:C192)</f>
        <v>0</v>
      </c>
      <c r="D193" s="675">
        <f>SUM(D191:D192)</f>
        <v>0</v>
      </c>
      <c r="E193" s="677">
        <f>SUM(E191:E192)</f>
        <v>0</v>
      </c>
      <c r="F193" s="684">
        <f>SUM(F191:F192)</f>
        <v>0</v>
      </c>
      <c r="G193" s="677">
        <f>SUM(G191:G192)</f>
        <v>0</v>
      </c>
      <c r="H193" s="678"/>
    </row>
    <row r="194" spans="1:8">
      <c r="A194" s="673"/>
      <c r="B194" s="686"/>
      <c r="C194" s="674"/>
      <c r="D194" s="675"/>
      <c r="E194" s="677"/>
      <c r="F194" s="684"/>
      <c r="G194" s="677"/>
      <c r="H194" s="678"/>
    </row>
    <row r="195" spans="1:8">
      <c r="A195" s="687">
        <v>2856</v>
      </c>
      <c r="B195" s="654" t="str">
        <f>INDEX('TB Clean'!$B$2:$B$464,MATCH('Linked TB'!A195,'TB Clean'!$A$2:$A$464,0))</f>
        <v xml:space="preserve">    PRELIMINARY SURVEY</v>
      </c>
      <c r="C195" s="674">
        <v>0</v>
      </c>
      <c r="D195" s="675">
        <v>0</v>
      </c>
      <c r="E195" s="677">
        <f>INDEX('TB Clean'!$D$2:$D$464,MATCH('Linked TB'!A195,'TB Clean'!$A$2:$A$464,0))</f>
        <v>0</v>
      </c>
      <c r="F195" s="684">
        <f>+IF(UPPER(H195)="ACTUAL",C195,INDEX(ALLOCATION_TABLE,MATCH(UPPER(H195),INDEX(ALLOCATION_TABLE,0,1),0),5)*E195)</f>
        <v>0</v>
      </c>
      <c r="G195" s="677">
        <f>+E195-F195</f>
        <v>0</v>
      </c>
      <c r="H195" s="678" t="s">
        <v>428</v>
      </c>
    </row>
    <row r="196" spans="1:8" ht="4.5" customHeight="1">
      <c r="A196" s="687"/>
      <c r="B196" s="686"/>
      <c r="C196" s="681">
        <v>0</v>
      </c>
      <c r="D196" s="682">
        <v>0</v>
      </c>
      <c r="E196" s="683">
        <v>0</v>
      </c>
      <c r="F196" s="689">
        <v>0</v>
      </c>
      <c r="G196" s="683">
        <v>0</v>
      </c>
      <c r="H196" s="678"/>
    </row>
    <row r="197" spans="1:8">
      <c r="A197" s="687" t="s">
        <v>959</v>
      </c>
      <c r="B197" s="686" t="s">
        <v>969</v>
      </c>
      <c r="C197" s="674">
        <f>SUM(C195:C196)</f>
        <v>0</v>
      </c>
      <c r="D197" s="675">
        <f>SUM(D195:D196)</f>
        <v>0</v>
      </c>
      <c r="E197" s="677">
        <f>SUM(E195:E196)</f>
        <v>0</v>
      </c>
      <c r="F197" s="684">
        <f>SUM(F195:F196)</f>
        <v>0</v>
      </c>
      <c r="G197" s="677">
        <f>SUM(G195:G196)</f>
        <v>0</v>
      </c>
      <c r="H197" s="678"/>
    </row>
    <row r="198" spans="1:8">
      <c r="A198" s="673"/>
      <c r="C198" s="674"/>
      <c r="D198" s="675"/>
      <c r="E198" s="677"/>
      <c r="F198" s="684"/>
      <c r="G198" s="677"/>
      <c r="H198" s="678"/>
    </row>
    <row r="199" spans="1:8">
      <c r="A199" s="673">
        <v>2906</v>
      </c>
      <c r="B199" s="654" t="str">
        <f>INDEX('TB Clean'!$B$2:$B$464,MATCH('Linked TB'!A199,'TB Clean'!$A$2:$A$464,0))</f>
        <v xml:space="preserve">    RCIP - ATTORNEY FEES</v>
      </c>
      <c r="C199" s="674">
        <v>0</v>
      </c>
      <c r="D199" s="675">
        <v>0</v>
      </c>
      <c r="E199" s="677">
        <f>INDEX('TB Clean'!$D$2:$D$464,MATCH('Linked TB'!A199,'TB Clean'!$A$2:$A$464,0))</f>
        <v>220258.43</v>
      </c>
      <c r="F199" s="684">
        <f t="shared" ref="F199:F206" si="26">+IF(UPPER(H199)="ACTUAL",C199,INDEX(ALLOCATION_TABLE,MATCH(UPPER(H199),INDEX(ALLOCATION_TABLE,0,1),0),5)*E199)</f>
        <v>220258.43</v>
      </c>
      <c r="G199" s="677">
        <f t="shared" ref="G199:G203" si="27">+E199-F199</f>
        <v>0</v>
      </c>
      <c r="H199" s="678" t="s">
        <v>428</v>
      </c>
    </row>
    <row r="200" spans="1:8">
      <c r="A200" s="673">
        <v>2907</v>
      </c>
      <c r="B200" s="654" t="str">
        <f>INDEX('TB Clean'!$B$2:$B$464,MATCH('Linked TB'!A200,'TB Clean'!$A$2:$A$464,0))</f>
        <v xml:space="preserve">    RCIP - CAPITALIZED TIME</v>
      </c>
      <c r="C200" s="674">
        <v>0</v>
      </c>
      <c r="D200" s="675">
        <v>0</v>
      </c>
      <c r="E200" s="677">
        <f>INDEX('TB Clean'!$D$2:$D$464,MATCH('Linked TB'!A200,'TB Clean'!$A$2:$A$464,0))</f>
        <v>214873.78000000003</v>
      </c>
      <c r="F200" s="684">
        <f t="shared" si="26"/>
        <v>214873.78000000003</v>
      </c>
      <c r="G200" s="677">
        <f t="shared" si="27"/>
        <v>0</v>
      </c>
      <c r="H200" s="678" t="s">
        <v>428</v>
      </c>
    </row>
    <row r="201" spans="1:8">
      <c r="A201" s="673">
        <v>2908</v>
      </c>
      <c r="B201" s="654" t="str">
        <f>INDEX('TB Clean'!$B$2:$B$464,MATCH('Linked TB'!A201,'TB Clean'!$A$2:$A$464,0))</f>
        <v xml:space="preserve">    RCIP - ADMINISTRATIVE EXPENSES</v>
      </c>
      <c r="C201" s="674">
        <v>0</v>
      </c>
      <c r="D201" s="675">
        <v>0</v>
      </c>
      <c r="E201" s="677">
        <f>INDEX('TB Clean'!$D$2:$D$464,MATCH('Linked TB'!A201,'TB Clean'!$A$2:$A$464,0))</f>
        <v>4689.7299999999996</v>
      </c>
      <c r="F201" s="684">
        <f t="shared" si="26"/>
        <v>4689.7299999999996</v>
      </c>
      <c r="G201" s="677">
        <f t="shared" si="27"/>
        <v>0</v>
      </c>
      <c r="H201" s="678" t="s">
        <v>428</v>
      </c>
    </row>
    <row r="202" spans="1:8">
      <c r="A202" s="673">
        <v>2909</v>
      </c>
      <c r="B202" s="654" t="str">
        <f>INDEX('TB Clean'!$B$2:$B$464,MATCH('Linked TB'!A202,'TB Clean'!$A$2:$A$464,0))</f>
        <v xml:space="preserve">    RCIP - TRAVEL</v>
      </c>
      <c r="C202" s="674">
        <v>0</v>
      </c>
      <c r="D202" s="675">
        <v>0</v>
      </c>
      <c r="E202" s="677">
        <f>INDEX('TB Clean'!$D$2:$D$464,MATCH('Linked TB'!A202,'TB Clean'!$A$2:$A$464,0))</f>
        <v>10204.459999999999</v>
      </c>
      <c r="F202" s="684">
        <f t="shared" si="26"/>
        <v>10204.459999999999</v>
      </c>
      <c r="G202" s="677">
        <f t="shared" si="27"/>
        <v>0</v>
      </c>
      <c r="H202" s="678" t="s">
        <v>428</v>
      </c>
    </row>
    <row r="203" spans="1:8">
      <c r="A203" s="673">
        <v>2910</v>
      </c>
      <c r="B203" s="654" t="str">
        <f>INDEX('TB Clean'!$B$2:$B$464,MATCH('Linked TB'!A203,'TB Clean'!$A$2:$A$464,0))</f>
        <v xml:space="preserve">    RCIP - CONSULTING FEES</v>
      </c>
      <c r="C203" s="674">
        <v>0</v>
      </c>
      <c r="D203" s="675">
        <v>0</v>
      </c>
      <c r="E203" s="677">
        <f>INDEX('TB Clean'!$D$2:$D$464,MATCH('Linked TB'!A203,'TB Clean'!$A$2:$A$464,0))</f>
        <v>95257.98000000001</v>
      </c>
      <c r="F203" s="684">
        <f t="shared" si="26"/>
        <v>95257.98000000001</v>
      </c>
      <c r="G203" s="677">
        <f t="shared" si="27"/>
        <v>0</v>
      </c>
      <c r="H203" s="678" t="s">
        <v>428</v>
      </c>
    </row>
    <row r="204" spans="1:8">
      <c r="A204" s="673">
        <v>2914</v>
      </c>
      <c r="B204" s="654" t="str">
        <f>INDEX('TB Clean'!$B$2:$B$464,MATCH('Linked TB'!A204,'TB Clean'!$A$2:$A$464,0))</f>
        <v xml:space="preserve">     Rate Case In Progress</v>
      </c>
      <c r="C204" s="674">
        <v>0</v>
      </c>
      <c r="D204" s="675">
        <v>0</v>
      </c>
      <c r="E204" s="677">
        <f>INDEX('TB Clean'!$D$2:$D$464,MATCH('Linked TB'!A204,'TB Clean'!$A$2:$A$464,0))</f>
        <v>-545284.38</v>
      </c>
      <c r="F204" s="684">
        <f t="shared" si="26"/>
        <v>-545284.38</v>
      </c>
      <c r="G204" s="677">
        <f>+E204-F204</f>
        <v>0</v>
      </c>
      <c r="H204" s="678" t="s">
        <v>428</v>
      </c>
    </row>
    <row r="205" spans="1:8">
      <c r="A205" s="673">
        <v>2920</v>
      </c>
      <c r="B205" s="654" t="str">
        <f>INDEX('TB Clean'!$B$2:$B$464,MATCH('Linked TB'!A205,'TB Clean'!$A$2:$A$464,0))</f>
        <v xml:space="preserve">     RATE CASE BEING AMORT</v>
      </c>
      <c r="C205" s="674">
        <v>0</v>
      </c>
      <c r="D205" s="675">
        <v>0</v>
      </c>
      <c r="E205" s="677">
        <f>INDEX('TB Clean'!$D$2:$D$464,MATCH('Linked TB'!A205,'TB Clean'!$A$2:$A$464,0))</f>
        <v>545699.6</v>
      </c>
      <c r="F205" s="684">
        <f t="shared" si="26"/>
        <v>545699.6</v>
      </c>
      <c r="G205" s="677">
        <f>+E205-F205</f>
        <v>0</v>
      </c>
      <c r="H205" s="678" t="s">
        <v>428</v>
      </c>
    </row>
    <row r="206" spans="1:8">
      <c r="A206" s="685">
        <v>2930</v>
      </c>
      <c r="B206" s="654" t="str">
        <f>INDEX('TB Clean'!$B$2:$B$464,MATCH('Linked TB'!A206,'TB Clean'!$A$2:$A$464,0))</f>
        <v xml:space="preserve">     RATE CASE ACCUM AMORT</v>
      </c>
      <c r="C206" s="674">
        <v>0</v>
      </c>
      <c r="D206" s="675">
        <v>0</v>
      </c>
      <c r="E206" s="677">
        <f>INDEX('TB Clean'!$D$2:$D$464,MATCH('Linked TB'!A206,'TB Clean'!$A$2:$A$464,0))</f>
        <v>-375724.06</v>
      </c>
      <c r="F206" s="684">
        <f t="shared" si="26"/>
        <v>-375724.06</v>
      </c>
      <c r="G206" s="677">
        <f>+E206-F206</f>
        <v>0</v>
      </c>
      <c r="H206" s="678" t="s">
        <v>428</v>
      </c>
    </row>
    <row r="207" spans="1:8" ht="5.0999999999999996" customHeight="1">
      <c r="A207" s="673"/>
      <c r="C207" s="681">
        <v>0</v>
      </c>
      <c r="D207" s="682">
        <v>0</v>
      </c>
      <c r="E207" s="683">
        <v>0</v>
      </c>
      <c r="F207" s="689">
        <v>0</v>
      </c>
      <c r="G207" s="683">
        <v>0</v>
      </c>
      <c r="H207" s="678"/>
    </row>
    <row r="208" spans="1:8">
      <c r="A208" s="673" t="s">
        <v>959</v>
      </c>
      <c r="B208" s="654" t="s">
        <v>970</v>
      </c>
      <c r="C208" s="684">
        <f>SUM(C199:C207)</f>
        <v>0</v>
      </c>
      <c r="D208" s="677">
        <f>SUM(D199:D207)</f>
        <v>0</v>
      </c>
      <c r="E208" s="677">
        <f>SUM(E199:E207)</f>
        <v>169975.53999999998</v>
      </c>
      <c r="F208" s="684">
        <f>SUM(F199:F207)</f>
        <v>169975.53999999998</v>
      </c>
      <c r="G208" s="677">
        <f>SUM(G199:G207)</f>
        <v>0</v>
      </c>
      <c r="H208" s="678"/>
    </row>
    <row r="209" spans="1:8">
      <c r="A209" s="673"/>
      <c r="C209" s="684"/>
      <c r="D209" s="677"/>
      <c r="E209" s="677"/>
      <c r="F209" s="684"/>
      <c r="G209" s="677"/>
      <c r="H209" s="678"/>
    </row>
    <row r="210" spans="1:8">
      <c r="A210" s="673">
        <v>2960</v>
      </c>
      <c r="B210" s="654" t="str">
        <f>INDEX('TB Clean'!$B$2:$B$464,MATCH('Linked TB'!A210,'TB Clean'!$A$2:$A$464,0))</f>
        <v xml:space="preserve">     DEF CHGS-TANK MAINT&amp;REP W</v>
      </c>
      <c r="C210" s="674">
        <v>0</v>
      </c>
      <c r="D210" s="675">
        <v>0</v>
      </c>
      <c r="E210" s="677">
        <f>INDEX('TB Clean'!$D$2:$D$464,MATCH('Linked TB'!A210,'TB Clean'!$A$2:$A$464,0))</f>
        <v>135710.32</v>
      </c>
      <c r="F210" s="684">
        <f>+IF(UPPER(H210)="ACTUAL",C210,INDEX(ALLOCATION_TABLE,MATCH(UPPER(H210),INDEX(ALLOCATION_TABLE,0,1),0),5)*E210)</f>
        <v>135710.32</v>
      </c>
      <c r="G210" s="677">
        <f>+E210-F210</f>
        <v>0</v>
      </c>
      <c r="H210" s="678" t="s">
        <v>428</v>
      </c>
    </row>
    <row r="211" spans="1:8">
      <c r="A211" s="673">
        <v>2965</v>
      </c>
      <c r="B211" s="654" t="str">
        <f>INDEX('TB Clean'!$B$2:$B$464,MATCH('Linked TB'!A211,'TB Clean'!$A$2:$A$464,0))</f>
        <v xml:space="preserve">     DEF CHGS-RELOCATION EXPEN</v>
      </c>
      <c r="C211" s="674">
        <v>0</v>
      </c>
      <c r="D211" s="675">
        <v>0</v>
      </c>
      <c r="E211" s="677">
        <f>INDEX('TB Clean'!$D$2:$D$464,MATCH('Linked TB'!A211,'TB Clean'!$A$2:$A$464,0))</f>
        <v>0</v>
      </c>
      <c r="F211" s="684">
        <f>+IF(UPPER(H211)="ACTUAL",C211,INDEX(ALLOCATION_TABLE,MATCH(UPPER(H211),INDEX(ALLOCATION_TABLE,0,1),0),5)*E211)</f>
        <v>0</v>
      </c>
      <c r="G211" s="677">
        <f>+E211-F211</f>
        <v>0</v>
      </c>
      <c r="H211" s="678" t="s">
        <v>428</v>
      </c>
    </row>
    <row r="212" spans="1:8">
      <c r="A212" s="673">
        <v>2980</v>
      </c>
      <c r="B212" s="654" t="str">
        <f>INDEX('TB Clean'!$B$2:$B$464,MATCH('Linked TB'!A212,'TB Clean'!$A$2:$A$464,0))</f>
        <v xml:space="preserve">     DEF CHGS-EMP FEES</v>
      </c>
      <c r="C212" s="674">
        <v>0</v>
      </c>
      <c r="D212" s="675">
        <v>0</v>
      </c>
      <c r="E212" s="677">
        <f>INDEX('TB Clean'!$D$2:$D$464,MATCH('Linked TB'!A212,'TB Clean'!$A$2:$A$464,0))</f>
        <v>0</v>
      </c>
      <c r="F212" s="684">
        <f>+IF(UPPER(H212)="ACTUAL",C212,INDEX(ALLOCATION_TABLE,MATCH(UPPER(H212),INDEX(ALLOCATION_TABLE,0,1),0),5)*E212)</f>
        <v>0</v>
      </c>
      <c r="G212" s="677">
        <f>+E212-F212</f>
        <v>0</v>
      </c>
      <c r="H212" s="678" t="s">
        <v>428</v>
      </c>
    </row>
    <row r="213" spans="1:8">
      <c r="A213" s="673">
        <v>3005</v>
      </c>
      <c r="B213" s="654" t="str">
        <f>INDEX('TB Clean'!$B$2:$B$464,MATCH('Linked TB'!A213,'TB Clean'!$A$2:$A$464,0))</f>
        <v xml:space="preserve">     DEF CHGS-VOC TESTING</v>
      </c>
      <c r="C213" s="674">
        <v>0</v>
      </c>
      <c r="D213" s="675">
        <v>0</v>
      </c>
      <c r="E213" s="677">
        <f>INDEX('TB Clean'!$D$2:$D$464,MATCH('Linked TB'!A213,'TB Clean'!$A$2:$A$464,0))</f>
        <v>2455</v>
      </c>
      <c r="F213" s="684">
        <f t="shared" ref="F213:F221" si="28">+IF(UPPER(H213)="ACTUAL",C213,INDEX(ALLOCATION_TABLE,MATCH(UPPER(H213),INDEX(ALLOCATION_TABLE,0,1),0),5)*E213)</f>
        <v>2455</v>
      </c>
      <c r="G213" s="677">
        <f t="shared" ref="G213:G221" si="29">+E213-F213</f>
        <v>0</v>
      </c>
      <c r="H213" s="678" t="s">
        <v>428</v>
      </c>
    </row>
    <row r="214" spans="1:8">
      <c r="A214" s="673">
        <v>3025</v>
      </c>
      <c r="B214" s="654" t="str">
        <f>INDEX('TB Clean'!$B$2:$B$464,MATCH('Linked TB'!A214,'TB Clean'!$A$2:$A$464,0))</f>
        <v xml:space="preserve">     DEF CHGS-PR WASH/JET SWR</v>
      </c>
      <c r="C214" s="674">
        <v>0</v>
      </c>
      <c r="D214" s="675">
        <v>0</v>
      </c>
      <c r="E214" s="677">
        <f>INDEX('TB Clean'!$D$2:$D$464,MATCH('Linked TB'!A214,'TB Clean'!$A$2:$A$464,0))</f>
        <v>0</v>
      </c>
      <c r="F214" s="684">
        <f>+IF(UPPER(H214)="ACTUAL",C214,INDEX(ALLOCATION_TABLE,MATCH(UPPER(H214),INDEX(ALLOCATION_TABLE,0,1),0),5)*E214)</f>
        <v>0</v>
      </c>
      <c r="G214" s="677">
        <f t="shared" si="29"/>
        <v>0</v>
      </c>
      <c r="H214" s="678" t="s">
        <v>428</v>
      </c>
    </row>
    <row r="215" spans="1:8">
      <c r="A215" s="673">
        <v>3040</v>
      </c>
      <c r="B215" s="654" t="str">
        <f>INDEX('TB Clean'!$B$2:$B$464,MATCH('Linked TB'!A215,'TB Clean'!$A$2:$A$464,0))</f>
        <v xml:space="preserve">     DEF CHGS-TANK MAINT&amp;REP S</v>
      </c>
      <c r="C215" s="674">
        <v>0</v>
      </c>
      <c r="D215" s="675">
        <v>0</v>
      </c>
      <c r="E215" s="677">
        <f>INDEX('TB Clean'!$D$2:$D$464,MATCH('Linked TB'!A215,'TB Clean'!$A$2:$A$464,0))</f>
        <v>0</v>
      </c>
      <c r="F215" s="684">
        <f t="shared" si="28"/>
        <v>0</v>
      </c>
      <c r="G215" s="677">
        <f t="shared" si="29"/>
        <v>0</v>
      </c>
      <c r="H215" s="678" t="s">
        <v>428</v>
      </c>
    </row>
    <row r="216" spans="1:8">
      <c r="A216" s="673">
        <v>3110</v>
      </c>
      <c r="B216" s="654" t="str">
        <f>INDEX('TB Clean'!$B$2:$B$464,MATCH('Linked TB'!A216,'TB Clean'!$A$2:$A$464,0))</f>
        <v xml:space="preserve">     AMORT - TANK MAINT&amp;REP WT</v>
      </c>
      <c r="C216" s="674">
        <v>0</v>
      </c>
      <c r="D216" s="675">
        <v>0</v>
      </c>
      <c r="E216" s="677">
        <f>INDEX('TB Clean'!$D$2:$D$464,MATCH('Linked TB'!A216,'TB Clean'!$A$2:$A$464,0))</f>
        <v>-82841.52</v>
      </c>
      <c r="F216" s="684">
        <f t="shared" si="28"/>
        <v>-82841.52</v>
      </c>
      <c r="G216" s="677">
        <f t="shared" si="29"/>
        <v>0</v>
      </c>
      <c r="H216" s="678" t="s">
        <v>428</v>
      </c>
    </row>
    <row r="217" spans="1:8">
      <c r="A217" s="673">
        <v>3120</v>
      </c>
      <c r="B217" s="654" t="str">
        <f>INDEX('TB Clean'!$B$2:$B$464,MATCH('Linked TB'!A217,'TB Clean'!$A$2:$A$464,0))</f>
        <v xml:space="preserve">     AMORT - RELOCATION EXP</v>
      </c>
      <c r="C217" s="674">
        <v>0</v>
      </c>
      <c r="D217" s="675">
        <v>0</v>
      </c>
      <c r="E217" s="677">
        <f>INDEX('TB Clean'!$D$2:$D$464,MATCH('Linked TB'!A217,'TB Clean'!$A$2:$A$464,0))</f>
        <v>0</v>
      </c>
      <c r="F217" s="684">
        <f>+IF(UPPER(H217)="ACTUAL",C217,INDEX(ALLOCATION_TABLE,MATCH(UPPER(H217),INDEX(ALLOCATION_TABLE,0,1),0),5)*E217)</f>
        <v>0</v>
      </c>
      <c r="G217" s="677">
        <f t="shared" si="29"/>
        <v>0</v>
      </c>
      <c r="H217" s="678" t="s">
        <v>428</v>
      </c>
    </row>
    <row r="218" spans="1:8">
      <c r="A218" s="673">
        <v>3135</v>
      </c>
      <c r="B218" s="654" t="str">
        <f>INDEX('TB Clean'!$B$2:$B$464,MATCH('Linked TB'!A218,'TB Clean'!$A$2:$A$464,0))</f>
        <v xml:space="preserve">     AMORT - EMPLOYEE FEES</v>
      </c>
      <c r="C218" s="674">
        <v>0</v>
      </c>
      <c r="D218" s="675">
        <v>0</v>
      </c>
      <c r="E218" s="677">
        <f>INDEX('TB Clean'!$D$2:$D$464,MATCH('Linked TB'!A218,'TB Clean'!$A$2:$A$464,0))</f>
        <v>0</v>
      </c>
      <c r="F218" s="684">
        <f>+IF(UPPER(H218)="ACTUAL",C218,INDEX(ALLOCATION_TABLE,MATCH(UPPER(H218),INDEX(ALLOCATION_TABLE,0,1),0),5)*E218)</f>
        <v>0</v>
      </c>
      <c r="G218" s="677">
        <f t="shared" si="29"/>
        <v>0</v>
      </c>
      <c r="H218" s="678" t="s">
        <v>428</v>
      </c>
    </row>
    <row r="219" spans="1:8">
      <c r="A219" s="673">
        <v>3160</v>
      </c>
      <c r="B219" s="654" t="str">
        <f>INDEX('TB Clean'!$B$2:$B$464,MATCH('Linked TB'!A219,'TB Clean'!$A$2:$A$464,0))</f>
        <v xml:space="preserve">     AMORT - VOC TESTING</v>
      </c>
      <c r="C219" s="674">
        <v>0</v>
      </c>
      <c r="D219" s="675">
        <v>0</v>
      </c>
      <c r="E219" s="677">
        <f>INDEX('TB Clean'!$D$2:$D$464,MATCH('Linked TB'!A219,'TB Clean'!$A$2:$A$464,0))</f>
        <v>-682.69</v>
      </c>
      <c r="F219" s="684">
        <f t="shared" si="28"/>
        <v>-682.69</v>
      </c>
      <c r="G219" s="677">
        <f t="shared" si="29"/>
        <v>0</v>
      </c>
      <c r="H219" s="678" t="s">
        <v>428</v>
      </c>
    </row>
    <row r="220" spans="1:8">
      <c r="A220" s="673">
        <v>3180</v>
      </c>
      <c r="B220" s="654" t="str">
        <f>INDEX('TB Clean'!$B$2:$B$464,MATCH('Linked TB'!A220,'TB Clean'!$A$2:$A$464,0))</f>
        <v xml:space="preserve">     AMORT - PR WASH/JET SWR M</v>
      </c>
      <c r="C220" s="674">
        <v>0</v>
      </c>
      <c r="D220" s="675">
        <v>0</v>
      </c>
      <c r="E220" s="677">
        <f>INDEX('TB Clean'!$D$2:$D$464,MATCH('Linked TB'!A220,'TB Clean'!$A$2:$A$464,0))</f>
        <v>0</v>
      </c>
      <c r="F220" s="684">
        <f>+IF(UPPER(H220)="ACTUAL",C220,INDEX(ALLOCATION_TABLE,MATCH(UPPER(H220),INDEX(ALLOCATION_TABLE,0,1),0),5)*E220)</f>
        <v>0</v>
      </c>
      <c r="G220" s="677">
        <f t="shared" si="29"/>
        <v>0</v>
      </c>
      <c r="H220" s="678" t="s">
        <v>428</v>
      </c>
    </row>
    <row r="221" spans="1:8">
      <c r="A221" s="673">
        <v>3195</v>
      </c>
      <c r="B221" s="654" t="str">
        <f>INDEX('TB Clean'!$B$2:$B$464,MATCH('Linked TB'!A221,'TB Clean'!$A$2:$A$464,0))</f>
        <v xml:space="preserve">     AMORT - TANK MAINT&amp;REP SW</v>
      </c>
      <c r="C221" s="674">
        <f t="shared" ref="C221" si="30">E221</f>
        <v>0</v>
      </c>
      <c r="D221" s="675">
        <v>0</v>
      </c>
      <c r="E221" s="677">
        <f>INDEX('TB Clean'!$D$2:$D$464,MATCH('Linked TB'!A221,'TB Clean'!$A$2:$A$464,0))</f>
        <v>0</v>
      </c>
      <c r="F221" s="684">
        <f t="shared" si="28"/>
        <v>0</v>
      </c>
      <c r="G221" s="677">
        <f t="shared" si="29"/>
        <v>0</v>
      </c>
      <c r="H221" s="678" t="s">
        <v>428</v>
      </c>
    </row>
    <row r="222" spans="1:8" ht="5.0999999999999996" customHeight="1">
      <c r="A222" s="673"/>
      <c r="C222" s="681">
        <v>0</v>
      </c>
      <c r="D222" s="682">
        <v>0</v>
      </c>
      <c r="E222" s="683">
        <v>0</v>
      </c>
      <c r="F222" s="689">
        <v>0</v>
      </c>
      <c r="G222" s="683">
        <v>0</v>
      </c>
      <c r="H222" s="678"/>
    </row>
    <row r="223" spans="1:8">
      <c r="A223" s="673" t="s">
        <v>959</v>
      </c>
      <c r="B223" s="654" t="s">
        <v>971</v>
      </c>
      <c r="C223" s="684">
        <f>SUM(C210:C222)</f>
        <v>0</v>
      </c>
      <c r="D223" s="677">
        <f>SUM(D210:D222)</f>
        <v>0</v>
      </c>
      <c r="E223" s="677">
        <f>SUM(E210:E222)</f>
        <v>54641.11</v>
      </c>
      <c r="F223" s="684">
        <f>SUM(F210:F222)</f>
        <v>54641.11</v>
      </c>
      <c r="G223" s="677">
        <f>SUM(G210:G222)</f>
        <v>0</v>
      </c>
      <c r="H223" s="678"/>
    </row>
    <row r="224" spans="1:8">
      <c r="A224" s="673"/>
      <c r="B224" s="688"/>
      <c r="C224" s="684"/>
      <c r="D224" s="677"/>
      <c r="E224" s="677"/>
      <c r="F224" s="684"/>
      <c r="G224" s="677"/>
      <c r="H224" s="678"/>
    </row>
    <row r="225" spans="1:10" ht="5.0999999999999996" customHeight="1">
      <c r="A225" s="673"/>
      <c r="B225" s="688"/>
      <c r="C225" s="684"/>
      <c r="D225" s="683"/>
      <c r="E225" s="683"/>
      <c r="F225" s="689"/>
      <c r="G225" s="683"/>
      <c r="H225" s="678"/>
    </row>
    <row r="226" spans="1:10" ht="15">
      <c r="A226" s="673" t="s">
        <v>959</v>
      </c>
      <c r="B226" s="688" t="s">
        <v>972</v>
      </c>
      <c r="C226" s="689">
        <f>+SUMIF($A$5:$A$225,$A226,C$5:C$225)</f>
        <v>6511088.7700000014</v>
      </c>
      <c r="D226" s="683">
        <f>+SUMIF($A$5:$A$225,$A226,D$5:D$225)</f>
        <v>0</v>
      </c>
      <c r="E226" s="683">
        <f>+SUMIF($A$5:$A$225,$A226,E$5:E$225)</f>
        <v>7579883.2900000019</v>
      </c>
      <c r="F226" s="689">
        <f>+SUMIF($A$5:$A$225,$A226,F$5:F$225)</f>
        <v>7579883.2900000019</v>
      </c>
      <c r="G226" s="683">
        <f>+SUMIF($A$5:$A$225,$A226,G$5:G$225)</f>
        <v>0</v>
      </c>
      <c r="H226" s="678"/>
    </row>
    <row r="227" spans="1:10">
      <c r="A227" s="673"/>
      <c r="C227" s="684"/>
      <c r="D227" s="677"/>
      <c r="E227" s="677"/>
      <c r="F227" s="684"/>
      <c r="G227" s="677"/>
      <c r="H227" s="678"/>
    </row>
    <row r="228" spans="1:10">
      <c r="A228" s="673"/>
      <c r="C228" s="684"/>
      <c r="D228" s="677"/>
      <c r="E228" s="677"/>
      <c r="F228" s="684"/>
      <c r="G228" s="677"/>
      <c r="H228" s="678"/>
    </row>
    <row r="229" spans="1:10">
      <c r="A229" s="673">
        <v>3225</v>
      </c>
      <c r="B229" s="654" t="str">
        <f>INDEX('TB Clean'!$B$2:$B$464,MATCH('Linked TB'!A229,'TB Clean'!$A$2:$A$464,0))</f>
        <v xml:space="preserve">    ADV-IN-AID OF CONST-WATER</v>
      </c>
      <c r="C229" s="674">
        <f>+E229</f>
        <v>-75637.36</v>
      </c>
      <c r="D229" s="675">
        <v>0</v>
      </c>
      <c r="E229" s="677">
        <f>INDEX('TB Clean'!$D$2:$D$464,MATCH('Linked TB'!A229,'TB Clean'!$A$2:$A$464,0))</f>
        <v>-75637.36</v>
      </c>
      <c r="F229" s="684">
        <f>+IF(UPPER(H229)="ACTUAL",C229,INDEX(ALLOCATION_TABLE,MATCH(UPPER(H229),INDEX(ALLOCATION_TABLE,0,1),0),5)*E229)</f>
        <v>-75637.36</v>
      </c>
      <c r="G229" s="677">
        <f>+E229-F229</f>
        <v>0</v>
      </c>
      <c r="H229" s="678" t="s">
        <v>427</v>
      </c>
    </row>
    <row r="230" spans="1:10" s="1403" customFormat="1">
      <c r="A230" s="1396">
        <v>3235</v>
      </c>
      <c r="B230" s="1397" t="str">
        <f>INDEX('TB Clean'!$B$2:$B$464,MATCH('Linked TB'!A230,'TB Clean'!$A$2:$A$464,0))</f>
        <v xml:space="preserve">     ACC AMORT-AIA-WATER</v>
      </c>
      <c r="C230" s="1398">
        <f>+E230</f>
        <v>2261.61</v>
      </c>
      <c r="D230" s="1399">
        <v>0</v>
      </c>
      <c r="E230" s="1400">
        <f>INDEX('TB Clean'!$D$2:$D$464,MATCH('Linked TB'!A230,'TB Clean'!$A$2:$A$464,0))</f>
        <v>2261.61</v>
      </c>
      <c r="F230" s="1401">
        <f>+IF(UPPER(H230)="ACTUAL",C230,INDEX(ALLOCATION_TABLE,MATCH(UPPER(H230),INDEX(ALLOCATION_TABLE,0,1),0),5)*E230)</f>
        <v>2261.61</v>
      </c>
      <c r="G230" s="1400">
        <f>+E230-F230</f>
        <v>0</v>
      </c>
      <c r="H230" s="1402" t="s">
        <v>427</v>
      </c>
    </row>
    <row r="231" spans="1:10" ht="4.5" customHeight="1">
      <c r="A231" s="673"/>
      <c r="C231" s="681">
        <v>0</v>
      </c>
      <c r="D231" s="682">
        <v>0</v>
      </c>
      <c r="E231" s="683">
        <v>0</v>
      </c>
      <c r="F231" s="689">
        <v>0</v>
      </c>
      <c r="G231" s="683">
        <v>0</v>
      </c>
      <c r="H231" s="678"/>
    </row>
    <row r="232" spans="1:10">
      <c r="A232" s="673" t="s">
        <v>959</v>
      </c>
      <c r="C232" s="684">
        <f>SUM(C229:C231)</f>
        <v>-73375.75</v>
      </c>
      <c r="D232" s="677">
        <f>SUM(D229:D231)</f>
        <v>0</v>
      </c>
      <c r="E232" s="1400">
        <f>SUM(E229:E231)</f>
        <v>-73375.75</v>
      </c>
      <c r="F232" s="684">
        <f>SUM(F229:F231)</f>
        <v>-73375.75</v>
      </c>
      <c r="G232" s="677">
        <f>SUM(G229:G231)</f>
        <v>0</v>
      </c>
      <c r="H232" s="678"/>
    </row>
    <row r="233" spans="1:10">
      <c r="A233" s="673"/>
      <c r="C233" s="684"/>
      <c r="D233" s="677"/>
      <c r="E233" s="677"/>
      <c r="F233" s="684"/>
      <c r="G233" s="677"/>
      <c r="H233" s="678"/>
    </row>
    <row r="234" spans="1:10">
      <c r="A234" s="673">
        <v>3350</v>
      </c>
      <c r="B234" s="654" t="str">
        <f>INDEX('TB Clean'!$B$2:$B$464,MATCH('Linked TB'!A234,'TB Clean'!$A$2:$A$464,0))</f>
        <v xml:space="preserve">     CIAC-METERS</v>
      </c>
      <c r="C234" s="674">
        <f>+E234</f>
        <v>-83141</v>
      </c>
      <c r="D234" s="675">
        <v>0</v>
      </c>
      <c r="E234" s="677">
        <f>INDEX('TB Clean'!$D$2:$D$464,MATCH('Linked TB'!A234,'TB Clean'!$A$2:$A$464,0))</f>
        <v>-83141</v>
      </c>
      <c r="F234" s="684">
        <f>+IF(UPPER(H234)="ACTUAL",C234,INDEX(ALLOCATION_TABLE,MATCH(UPPER(H234),INDEX(ALLOCATION_TABLE,0,1),0),5)*E234)</f>
        <v>-83141</v>
      </c>
      <c r="G234" s="677">
        <f>+E234-F234</f>
        <v>0</v>
      </c>
      <c r="H234" s="678" t="s">
        <v>427</v>
      </c>
    </row>
    <row r="235" spans="1:10">
      <c r="A235" s="673">
        <v>3430</v>
      </c>
      <c r="B235" s="654" t="str">
        <f>INDEX('TB Clean'!$B$2:$B$464,MATCH('Linked TB'!A235,'TB Clean'!$A$2:$A$464,0))</f>
        <v xml:space="preserve">     CIAC-OTHER TANGIBLE PLT W</v>
      </c>
      <c r="C235" s="674">
        <f>+E235</f>
        <v>-104168.69</v>
      </c>
      <c r="D235" s="675">
        <v>0</v>
      </c>
      <c r="E235" s="677">
        <f>INDEX('TB Clean'!$D$2:$D$464,MATCH('Linked TB'!A235,'TB Clean'!$A$2:$A$464,0))</f>
        <v>-104168.69</v>
      </c>
      <c r="F235" s="684">
        <f>+IF(UPPER(H235)="ACTUAL",C235,INDEX(ALLOCATION_TABLE,MATCH(UPPER(H235),INDEX(ALLOCATION_TABLE,0,1),0),5)*E235)</f>
        <v>-104168.69</v>
      </c>
      <c r="G235" s="677">
        <f>+E235-F235</f>
        <v>0</v>
      </c>
      <c r="H235" s="678" t="s">
        <v>427</v>
      </c>
    </row>
    <row r="236" spans="1:10">
      <c r="A236" s="673">
        <v>3435</v>
      </c>
      <c r="B236" s="654" t="str">
        <f>INDEX('TB Clean'!$B$2:$B$464,MATCH('Linked TB'!A236,'TB Clean'!$A$2:$A$464,0))</f>
        <v xml:space="preserve">     CIAC-WATER-TAP</v>
      </c>
      <c r="C236" s="674">
        <f t="shared" ref="C236:C245" si="31">+E236</f>
        <v>-51712.25</v>
      </c>
      <c r="D236" s="675">
        <v>0</v>
      </c>
      <c r="E236" s="677">
        <f>INDEX('TB Clean'!$D$2:$D$464,MATCH('Linked TB'!A236,'TB Clean'!$A$2:$A$464,0))</f>
        <v>-51712.25</v>
      </c>
      <c r="F236" s="684">
        <f t="shared" ref="F236:F250" si="32">+IF(UPPER(H236)="ACTUAL",C236,INDEX(ALLOCATION_TABLE,MATCH(UPPER(H236),INDEX(ALLOCATION_TABLE,0,1),0),5)*E236)</f>
        <v>-51712.25</v>
      </c>
      <c r="G236" s="677">
        <f t="shared" ref="G236:G250" si="33">+E236-F236</f>
        <v>0</v>
      </c>
      <c r="H236" s="678" t="s">
        <v>427</v>
      </c>
    </row>
    <row r="237" spans="1:10">
      <c r="A237" s="673">
        <v>3455</v>
      </c>
      <c r="B237" s="654" t="str">
        <f>INDEX('TB Clean'!$B$2:$B$464,MATCH('Linked TB'!A237,'TB Clean'!$A$2:$A$464,0))</f>
        <v xml:space="preserve">     CIAC-WTR PLT MTR FEE</v>
      </c>
      <c r="C237" s="674">
        <f t="shared" si="31"/>
        <v>0</v>
      </c>
      <c r="D237" s="675">
        <v>0</v>
      </c>
      <c r="E237" s="677">
        <f>INDEX('TB Clean'!$D$2:$D$464,MATCH('Linked TB'!A237,'TB Clean'!$A$2:$A$464,0))</f>
        <v>0</v>
      </c>
      <c r="F237" s="684">
        <f t="shared" si="32"/>
        <v>0</v>
      </c>
      <c r="G237" s="677">
        <f t="shared" si="33"/>
        <v>0</v>
      </c>
      <c r="H237" s="678" t="s">
        <v>427</v>
      </c>
      <c r="J237" s="679">
        <v>181189.87</v>
      </c>
    </row>
    <row r="238" spans="1:10">
      <c r="A238" s="673">
        <v>3500</v>
      </c>
      <c r="B238" s="654" t="str">
        <f>INDEX('TB Clean'!$B$2:$B$464,MATCH('Linked TB'!A238,'TB Clean'!$A$2:$A$464,0))</f>
        <v xml:space="preserve">     CIAC-STRUCT/IMPRV PUMP PL</v>
      </c>
      <c r="C238" s="674">
        <v>0</v>
      </c>
      <c r="D238" s="675">
        <f>+E238</f>
        <v>0</v>
      </c>
      <c r="E238" s="677">
        <f>INDEX('TB Clean'!$D$2:$D$464,MATCH('Linked TB'!A238,'TB Clean'!$A$2:$A$464,0))</f>
        <v>0</v>
      </c>
      <c r="F238" s="684">
        <f t="shared" si="32"/>
        <v>0</v>
      </c>
      <c r="G238" s="677">
        <f t="shared" si="33"/>
        <v>0</v>
      </c>
      <c r="H238" s="678" t="s">
        <v>427</v>
      </c>
    </row>
    <row r="239" spans="1:10">
      <c r="A239" s="673">
        <v>3520</v>
      </c>
      <c r="B239" s="654" t="str">
        <f>INDEX('TB Clean'!$B$2:$B$464,MATCH('Linked TB'!A239,'TB Clean'!$A$2:$A$464,0))</f>
        <v xml:space="preserve">     CIAC-STRUCT/IMPRV GEN PLT</v>
      </c>
      <c r="C239" s="674">
        <v>0</v>
      </c>
      <c r="D239" s="675">
        <f>+E239</f>
        <v>0</v>
      </c>
      <c r="E239" s="677">
        <f>INDEX('TB Clean'!$D$2:$D$464,MATCH('Linked TB'!A239,'TB Clean'!$A$2:$A$464,0))</f>
        <v>0</v>
      </c>
      <c r="F239" s="684">
        <f t="shared" si="32"/>
        <v>0</v>
      </c>
      <c r="G239" s="677">
        <f t="shared" si="33"/>
        <v>0</v>
      </c>
      <c r="H239" s="678" t="s">
        <v>427</v>
      </c>
    </row>
    <row r="240" spans="1:10">
      <c r="A240" s="673">
        <v>3550</v>
      </c>
      <c r="B240" s="654" t="str">
        <f>INDEX('TB Clean'!$B$2:$B$464,MATCH('Linked TB'!A240,'TB Clean'!$A$2:$A$464,0))</f>
        <v xml:space="preserve">     CIAC-SEWER FORCE MAIN</v>
      </c>
      <c r="C240" s="674">
        <v>0</v>
      </c>
      <c r="D240" s="675">
        <f>+E240</f>
        <v>0</v>
      </c>
      <c r="E240" s="677">
        <f>INDEX('TB Clean'!$D$2:$D$464,MATCH('Linked TB'!A240,'TB Clean'!$A$2:$A$464,0))</f>
        <v>0</v>
      </c>
      <c r="F240" s="684">
        <f t="shared" si="32"/>
        <v>0</v>
      </c>
      <c r="G240" s="677">
        <f t="shared" si="33"/>
        <v>0</v>
      </c>
      <c r="H240" s="678" t="s">
        <v>427</v>
      </c>
    </row>
    <row r="241" spans="1:8">
      <c r="A241" s="673">
        <v>3555</v>
      </c>
      <c r="B241" s="654" t="str">
        <f>INDEX('TB Clean'!$B$2:$B$464,MATCH('Linked TB'!A241,'TB Clean'!$A$2:$A$464,0))</f>
        <v xml:space="preserve">     CIAC-SEWER GRAVITY MAIN</v>
      </c>
      <c r="C241" s="674">
        <v>0</v>
      </c>
      <c r="D241" s="675">
        <f>+E241</f>
        <v>0</v>
      </c>
      <c r="E241" s="677">
        <f>INDEX('TB Clean'!$D$2:$D$464,MATCH('Linked TB'!A241,'TB Clean'!$A$2:$A$464,0))</f>
        <v>0</v>
      </c>
      <c r="F241" s="684">
        <f t="shared" si="32"/>
        <v>0</v>
      </c>
      <c r="G241" s="677">
        <f t="shared" si="33"/>
        <v>0</v>
      </c>
      <c r="H241" s="678" t="s">
        <v>427</v>
      </c>
    </row>
    <row r="242" spans="1:8" s="1403" customFormat="1">
      <c r="A242" s="1396">
        <v>3895</v>
      </c>
      <c r="B242" s="1397" t="str">
        <f>INDEX('TB Clean'!$B$2:$B$464,MATCH('Linked TB'!A242,'TB Clean'!$A$2:$A$464,0))</f>
        <v xml:space="preserve">     ACC AMORT METERS</v>
      </c>
      <c r="C242" s="1398">
        <f t="shared" si="31"/>
        <v>2909.97</v>
      </c>
      <c r="D242" s="1399">
        <v>0</v>
      </c>
      <c r="E242" s="1400">
        <f>INDEX('TB Clean'!$D$2:$D$464,MATCH('Linked TB'!A242,'TB Clean'!$A$2:$A$464,0))</f>
        <v>2909.97</v>
      </c>
      <c r="F242" s="1401">
        <f t="shared" si="32"/>
        <v>2909.97</v>
      </c>
      <c r="G242" s="1400">
        <f t="shared" si="33"/>
        <v>0</v>
      </c>
      <c r="H242" s="1402" t="s">
        <v>427</v>
      </c>
    </row>
    <row r="243" spans="1:8">
      <c r="A243" s="673">
        <v>3975</v>
      </c>
      <c r="B243" s="654" t="str">
        <f>INDEX('TB Clean'!$B$2:$B$464,MATCH('Linked TB'!A243,'TB Clean'!$A$2:$A$464,0))</f>
        <v xml:space="preserve">     ACC AMORT OTHER TANG PLT</v>
      </c>
      <c r="C243" s="674">
        <f t="shared" ref="C243" si="34">+E243</f>
        <v>44777.58</v>
      </c>
      <c r="D243" s="675">
        <v>0</v>
      </c>
      <c r="E243" s="677">
        <f>INDEX('TB Clean'!$D$2:$D$464,MATCH('Linked TB'!A243,'TB Clean'!$A$2:$A$464,0))</f>
        <v>44777.58</v>
      </c>
      <c r="F243" s="684">
        <f t="shared" ref="F243" si="35">+IF(UPPER(H243)="ACTUAL",C243,INDEX(ALLOCATION_TABLE,MATCH(UPPER(H243),INDEX(ALLOCATION_TABLE,0,1),0),5)*E243)</f>
        <v>44777.58</v>
      </c>
      <c r="G243" s="677">
        <f t="shared" ref="G243" si="36">+E243-F243</f>
        <v>0</v>
      </c>
      <c r="H243" s="678" t="s">
        <v>427</v>
      </c>
    </row>
    <row r="244" spans="1:8">
      <c r="A244" s="673">
        <v>3980</v>
      </c>
      <c r="B244" s="654" t="str">
        <f>INDEX('TB Clean'!$B$2:$B$464,MATCH('Linked TB'!A244,'TB Clean'!$A$2:$A$464,0))</f>
        <v xml:space="preserve">     ACC AMORT WATER-CIAC TAP</v>
      </c>
      <c r="C244" s="674">
        <f t="shared" si="31"/>
        <v>2680.44</v>
      </c>
      <c r="D244" s="675">
        <v>0</v>
      </c>
      <c r="E244" s="677">
        <f>INDEX('TB Clean'!$D$2:$D$464,MATCH('Linked TB'!A244,'TB Clean'!$A$2:$A$464,0))</f>
        <v>2680.44</v>
      </c>
      <c r="F244" s="684">
        <f t="shared" si="32"/>
        <v>2680.44</v>
      </c>
      <c r="G244" s="677">
        <f t="shared" si="33"/>
        <v>0</v>
      </c>
      <c r="H244" s="678" t="s">
        <v>427</v>
      </c>
    </row>
    <row r="245" spans="1:8">
      <c r="A245" s="673">
        <v>4005</v>
      </c>
      <c r="B245" s="654" t="str">
        <f>INDEX('TB Clean'!$B$2:$B$464,MATCH('Linked TB'!A245,'TB Clean'!$A$2:$A$464,0))</f>
        <v xml:space="preserve">     ACC AMORT WTR PLT MTR FEE</v>
      </c>
      <c r="C245" s="674">
        <f t="shared" si="31"/>
        <v>0</v>
      </c>
      <c r="D245" s="675">
        <v>0</v>
      </c>
      <c r="E245" s="677">
        <f>INDEX('TB Clean'!$D$2:$D$464,MATCH('Linked TB'!A245,'TB Clean'!$A$2:$A$464,0))</f>
        <v>0</v>
      </c>
      <c r="F245" s="684">
        <f t="shared" si="32"/>
        <v>0</v>
      </c>
      <c r="G245" s="677">
        <f t="shared" si="33"/>
        <v>0</v>
      </c>
      <c r="H245" s="678" t="s">
        <v>427</v>
      </c>
    </row>
    <row r="246" spans="1:8">
      <c r="A246" s="673">
        <v>4050</v>
      </c>
      <c r="B246" s="654" t="str">
        <f>INDEX('TB Clean'!$B$2:$B$464,MATCH('Linked TB'!A246,'TB Clean'!$A$2:$A$464,0))</f>
        <v xml:space="preserve">     ACC AMORTSTRUCT/IMPRV PUM</v>
      </c>
      <c r="C246" s="674">
        <v>0</v>
      </c>
      <c r="D246" s="675">
        <f>+E246</f>
        <v>0</v>
      </c>
      <c r="E246" s="677">
        <f>INDEX('TB Clean'!$D$2:$D$464,MATCH('Linked TB'!A246,'TB Clean'!$A$2:$A$464,0))</f>
        <v>0</v>
      </c>
      <c r="F246" s="684">
        <f t="shared" si="32"/>
        <v>0</v>
      </c>
      <c r="G246" s="677">
        <f t="shared" si="33"/>
        <v>0</v>
      </c>
      <c r="H246" s="678" t="s">
        <v>427</v>
      </c>
    </row>
    <row r="247" spans="1:8">
      <c r="A247" s="673">
        <v>4070</v>
      </c>
      <c r="B247" s="654" t="str">
        <f>INDEX('TB Clean'!$B$2:$B$464,MATCH('Linked TB'!A247,'TB Clean'!$A$2:$A$464,0))</f>
        <v xml:space="preserve">     ACC AMORTSTRUCT/IMPRV GEN</v>
      </c>
      <c r="C247" s="674">
        <v>0</v>
      </c>
      <c r="D247" s="675">
        <f>+E247</f>
        <v>0</v>
      </c>
      <c r="E247" s="677">
        <f>INDEX('TB Clean'!$D$2:$D$464,MATCH('Linked TB'!A247,'TB Clean'!$A$2:$A$464,0))</f>
        <v>0</v>
      </c>
      <c r="F247" s="684">
        <f t="shared" si="32"/>
        <v>0</v>
      </c>
      <c r="G247" s="677">
        <f t="shared" si="33"/>
        <v>0</v>
      </c>
      <c r="H247" s="678" t="s">
        <v>427</v>
      </c>
    </row>
    <row r="248" spans="1:8">
      <c r="A248" s="673">
        <v>4100</v>
      </c>
      <c r="B248" s="654" t="str">
        <f>INDEX('TB Clean'!$B$2:$B$464,MATCH('Linked TB'!A248,'TB Clean'!$A$2:$A$464,0))</f>
        <v xml:space="preserve">     ACC AMORT SWR FORCE MAIN/</v>
      </c>
      <c r="C248" s="674">
        <v>0</v>
      </c>
      <c r="D248" s="675">
        <f>+E248</f>
        <v>0</v>
      </c>
      <c r="E248" s="677">
        <f>INDEX('TB Clean'!$D$2:$D$464,MATCH('Linked TB'!A248,'TB Clean'!$A$2:$A$464,0))</f>
        <v>0</v>
      </c>
      <c r="F248" s="684">
        <f t="shared" si="32"/>
        <v>0</v>
      </c>
      <c r="G248" s="677">
        <f t="shared" si="33"/>
        <v>0</v>
      </c>
      <c r="H248" s="678" t="s">
        <v>427</v>
      </c>
    </row>
    <row r="249" spans="1:8">
      <c r="A249" s="673">
        <v>4105</v>
      </c>
      <c r="B249" s="654" t="str">
        <f>INDEX('TB Clean'!$B$2:$B$464,MATCH('Linked TB'!A249,'TB Clean'!$A$2:$A$464,0))</f>
        <v xml:space="preserve">     ACC AMORT SEWER GRAVITY M</v>
      </c>
      <c r="C249" s="674">
        <v>0</v>
      </c>
      <c r="D249" s="675">
        <f>+E249</f>
        <v>0</v>
      </c>
      <c r="E249" s="677">
        <f>INDEX('TB Clean'!$D$2:$D$464,MATCH('Linked TB'!A249,'TB Clean'!$A$2:$A$464,0))</f>
        <v>0</v>
      </c>
      <c r="F249" s="684">
        <f t="shared" si="32"/>
        <v>0</v>
      </c>
      <c r="G249" s="677">
        <f t="shared" si="33"/>
        <v>0</v>
      </c>
      <c r="H249" s="678" t="s">
        <v>427</v>
      </c>
    </row>
    <row r="250" spans="1:8">
      <c r="A250" s="673">
        <v>4265</v>
      </c>
      <c r="B250" s="654" t="str">
        <f>INDEX('TB Clean'!$B$2:$B$464,MATCH('Linked TB'!A250,'TB Clean'!$A$2:$A$464,0))</f>
        <v xml:space="preserve">     ACC AMORT SEWER-TAP</v>
      </c>
      <c r="C250" s="674">
        <v>0</v>
      </c>
      <c r="D250" s="675">
        <f>+E250</f>
        <v>0</v>
      </c>
      <c r="E250" s="677">
        <f>INDEX('TB Clean'!$D$2:$D$464,MATCH('Linked TB'!A250,'TB Clean'!$A$2:$A$464,0))</f>
        <v>0</v>
      </c>
      <c r="F250" s="684">
        <f t="shared" si="32"/>
        <v>0</v>
      </c>
      <c r="G250" s="677">
        <f t="shared" si="33"/>
        <v>0</v>
      </c>
      <c r="H250" s="678" t="s">
        <v>427</v>
      </c>
    </row>
    <row r="251" spans="1:8" ht="3.75" customHeight="1">
      <c r="A251" s="673"/>
      <c r="C251" s="681">
        <v>0</v>
      </c>
      <c r="D251" s="682">
        <v>0</v>
      </c>
      <c r="E251" s="683">
        <v>0</v>
      </c>
      <c r="F251" s="689">
        <v>0</v>
      </c>
      <c r="G251" s="683">
        <v>0</v>
      </c>
      <c r="H251" s="678"/>
    </row>
    <row r="252" spans="1:8">
      <c r="A252" s="673" t="s">
        <v>959</v>
      </c>
      <c r="B252" s="654" t="s">
        <v>973</v>
      </c>
      <c r="C252" s="684">
        <f>SUM(C234:C251)</f>
        <v>-188653.95</v>
      </c>
      <c r="D252" s="677">
        <f>SUM(D234:D251)</f>
        <v>0</v>
      </c>
      <c r="E252" s="1400">
        <f>SUM(E234:E251)</f>
        <v>-188653.95</v>
      </c>
      <c r="F252" s="684">
        <f>SUM(F234:F251)</f>
        <v>-188653.95</v>
      </c>
      <c r="G252" s="677">
        <f>SUM(G234:G251)</f>
        <v>0</v>
      </c>
      <c r="H252" s="678"/>
    </row>
    <row r="253" spans="1:8">
      <c r="A253" s="673"/>
      <c r="C253" s="684"/>
      <c r="D253" s="677"/>
      <c r="E253" s="677"/>
      <c r="F253" s="684"/>
      <c r="G253" s="677"/>
      <c r="H253" s="678"/>
    </row>
    <row r="254" spans="1:8">
      <c r="A254" s="673">
        <v>4371</v>
      </c>
      <c r="B254" s="654" t="str">
        <f>INDEX('TB Clean'!$B$2:$B$464,MATCH('Linked TB'!A254,'TB Clean'!$A$2:$A$464,0))</f>
        <v xml:space="preserve">     DEF FED TAX - TAP FEE POS</v>
      </c>
      <c r="C254" s="674">
        <v>0</v>
      </c>
      <c r="D254" s="675">
        <v>0</v>
      </c>
      <c r="E254" s="677">
        <f>INDEX('TB Clean'!$D$2:$D$464,MATCH('Linked TB'!A254,'TB Clean'!$A$2:$A$464,0))</f>
        <v>66.400000000000006</v>
      </c>
      <c r="F254" s="684">
        <f t="shared" ref="F254:F260" si="37">+IF(UPPER(H254)="ACTUAL",C254,INDEX(ALLOCATION_TABLE,MATCH(UPPER(H254),INDEX(ALLOCATION_TABLE,0,1),0),5)*E254)</f>
        <v>66.400000000000006</v>
      </c>
      <c r="G254" s="677">
        <f t="shared" ref="G254:G260" si="38">+E254-F254</f>
        <v>0</v>
      </c>
      <c r="H254" s="678" t="s">
        <v>723</v>
      </c>
    </row>
    <row r="255" spans="1:8">
      <c r="A255" s="673">
        <v>4375</v>
      </c>
      <c r="B255" s="654" t="str">
        <f>INDEX('TB Clean'!$B$2:$B$464,MATCH('Linked TB'!A255,'TB Clean'!$A$2:$A$464,0))</f>
        <v xml:space="preserve">     DEF FED TAX - RATE CASE</v>
      </c>
      <c r="C255" s="674">
        <v>0</v>
      </c>
      <c r="D255" s="675">
        <v>0</v>
      </c>
      <c r="E255" s="677">
        <f>INDEX('TB Clean'!$D$2:$D$464,MATCH('Linked TB'!A255,'TB Clean'!$A$2:$A$464,0))</f>
        <v>-45812.29</v>
      </c>
      <c r="F255" s="684">
        <f t="shared" si="37"/>
        <v>-45812.29</v>
      </c>
      <c r="G255" s="677">
        <f t="shared" si="38"/>
        <v>0</v>
      </c>
      <c r="H255" s="678" t="s">
        <v>428</v>
      </c>
    </row>
    <row r="256" spans="1:8">
      <c r="A256" s="673">
        <v>4377</v>
      </c>
      <c r="B256" s="654" t="str">
        <f>INDEX('TB Clean'!$B$2:$B$464,MATCH('Linked TB'!A256,'TB Clean'!$A$2:$A$464,0))</f>
        <v xml:space="preserve">     DEF FED TAX - DEF MAINT</v>
      </c>
      <c r="C256" s="674">
        <v>0</v>
      </c>
      <c r="D256" s="675">
        <v>0</v>
      </c>
      <c r="E256" s="677">
        <f>INDEX('TB Clean'!$D$2:$D$464,MATCH('Linked TB'!A256,'TB Clean'!$A$2:$A$464,0))</f>
        <v>-23972.05</v>
      </c>
      <c r="F256" s="684">
        <f t="shared" si="37"/>
        <v>-23972.05</v>
      </c>
      <c r="G256" s="677">
        <f t="shared" si="38"/>
        <v>0</v>
      </c>
      <c r="H256" s="678" t="s">
        <v>428</v>
      </c>
    </row>
    <row r="257" spans="1:8">
      <c r="A257" s="673">
        <v>4383</v>
      </c>
      <c r="B257" s="654" t="str">
        <f>INDEX('TB Clean'!$B$2:$B$464,MATCH('Linked TB'!A257,'TB Clean'!$A$2:$A$464,0))</f>
        <v xml:space="preserve">     DEF FED TAX - ORGN EXP</v>
      </c>
      <c r="C257" s="674">
        <v>0</v>
      </c>
      <c r="D257" s="675">
        <v>0</v>
      </c>
      <c r="E257" s="677">
        <f>INDEX('TB Clean'!$D$2:$D$464,MATCH('Linked TB'!A257,'TB Clean'!$A$2:$A$464,0))</f>
        <v>-41173</v>
      </c>
      <c r="F257" s="684">
        <f t="shared" si="37"/>
        <v>-41173</v>
      </c>
      <c r="G257" s="677">
        <f t="shared" si="38"/>
        <v>0</v>
      </c>
      <c r="H257" s="678" t="s">
        <v>428</v>
      </c>
    </row>
    <row r="258" spans="1:8">
      <c r="A258" s="673">
        <v>4385</v>
      </c>
      <c r="B258" s="654" t="str">
        <f>INDEX('TB Clean'!$B$2:$B$464,MATCH('Linked TB'!A258,'TB Clean'!$A$2:$A$464,0))</f>
        <v xml:space="preserve">     DEF FED TAX - BAD DEBT</v>
      </c>
      <c r="C258" s="674">
        <v>0</v>
      </c>
      <c r="D258" s="675">
        <v>0</v>
      </c>
      <c r="E258" s="677">
        <f>INDEX('TB Clean'!$D$2:$D$464,MATCH('Linked TB'!A258,'TB Clean'!$A$2:$A$464,0))</f>
        <v>10476</v>
      </c>
      <c r="F258" s="684">
        <f t="shared" si="37"/>
        <v>10476</v>
      </c>
      <c r="G258" s="677">
        <f t="shared" si="38"/>
        <v>0</v>
      </c>
      <c r="H258" s="678" t="s">
        <v>428</v>
      </c>
    </row>
    <row r="259" spans="1:8">
      <c r="A259" s="673">
        <v>4387</v>
      </c>
      <c r="B259" s="654" t="str">
        <f>INDEX('TB Clean'!$B$2:$B$464,MATCH('Linked TB'!A259,'TB Clean'!$A$2:$A$464,0))</f>
        <v xml:space="preserve">     DEF FED TAX - DEPRECIATIO</v>
      </c>
      <c r="C259" s="674">
        <v>0</v>
      </c>
      <c r="D259" s="675">
        <v>0</v>
      </c>
      <c r="E259" s="677">
        <f>INDEX('TB Clean'!$D$2:$D$464,MATCH('Linked TB'!A259,'TB Clean'!$A$2:$A$464,0))</f>
        <v>-714575.55</v>
      </c>
      <c r="F259" s="684">
        <f t="shared" ref="F259" si="39">+IF(UPPER(H259)="ACTUAL",C259,INDEX(ALLOCATION_TABLE,MATCH(UPPER(H259),INDEX(ALLOCATION_TABLE,0,1),0),5)*E259)</f>
        <v>-714575.55</v>
      </c>
      <c r="G259" s="677">
        <f t="shared" ref="G259" si="40">+E259-F259</f>
        <v>0</v>
      </c>
      <c r="H259" s="678" t="s">
        <v>428</v>
      </c>
    </row>
    <row r="260" spans="1:8" s="1403" customFormat="1">
      <c r="A260" s="1396">
        <v>4389</v>
      </c>
      <c r="B260" s="1397" t="str">
        <f>INDEX('TB Clean'!$B$2:$B$464,MATCH('Linked TB'!A260,'TB Clean'!$A$2:$A$464,0))</f>
        <v xml:space="preserve">     DEF FED TAX - NOL</v>
      </c>
      <c r="C260" s="1398">
        <v>0</v>
      </c>
      <c r="D260" s="1399">
        <v>0</v>
      </c>
      <c r="E260" s="1400">
        <f>INDEX('TB Clean'!$D$2:$D$464,MATCH('Linked TB'!A260,'TB Clean'!$A$2:$A$464,0))</f>
        <v>57069.03</v>
      </c>
      <c r="F260" s="1401">
        <f t="shared" si="37"/>
        <v>57069.03</v>
      </c>
      <c r="G260" s="1400">
        <f t="shared" si="38"/>
        <v>0</v>
      </c>
      <c r="H260" s="1402" t="s">
        <v>428</v>
      </c>
    </row>
    <row r="261" spans="1:8" ht="5.0999999999999996" customHeight="1">
      <c r="A261" s="673"/>
      <c r="C261" s="681">
        <v>0</v>
      </c>
      <c r="D261" s="682">
        <v>0</v>
      </c>
      <c r="E261" s="683">
        <v>0</v>
      </c>
      <c r="F261" s="689">
        <v>0</v>
      </c>
      <c r="G261" s="683">
        <v>0</v>
      </c>
      <c r="H261" s="678"/>
    </row>
    <row r="262" spans="1:8">
      <c r="A262" s="673" t="s">
        <v>959</v>
      </c>
      <c r="B262" s="654" t="s">
        <v>974</v>
      </c>
      <c r="C262" s="684">
        <f>SUM(C254:C261)</f>
        <v>0</v>
      </c>
      <c r="D262" s="677">
        <f>SUM(D254:D261)</f>
        <v>0</v>
      </c>
      <c r="E262" s="1400">
        <f>SUM(E254:E261)</f>
        <v>-757921.46</v>
      </c>
      <c r="F262" s="684">
        <f>SUM(F254:F261)</f>
        <v>-757921.46</v>
      </c>
      <c r="G262" s="677">
        <f>SUM(G254:G261)</f>
        <v>0</v>
      </c>
      <c r="H262" s="678"/>
    </row>
    <row r="263" spans="1:8">
      <c r="A263" s="673"/>
      <c r="C263" s="684"/>
      <c r="D263" s="677"/>
      <c r="E263" s="677"/>
      <c r="F263" s="684"/>
      <c r="G263" s="677"/>
      <c r="H263" s="678"/>
    </row>
    <row r="264" spans="1:8" s="1403" customFormat="1">
      <c r="A264" s="1396">
        <v>4417</v>
      </c>
      <c r="B264" s="1397" t="str">
        <f>INDEX('TB Clean'!$B$2:$B$464,MATCH('Linked TB'!A264,'TB Clean'!$A$2:$A$464,0))</f>
        <v xml:space="preserve">     ACCUM DEF INCOME TAX - ST</v>
      </c>
      <c r="C264" s="1401">
        <v>0</v>
      </c>
      <c r="D264" s="1400">
        <v>0</v>
      </c>
      <c r="E264" s="1400">
        <f>INDEX('TB Clean'!$D$2:$D$464,MATCH('Linked TB'!A264,'TB Clean'!$A$2:$A$464,0))</f>
        <v>-15.62</v>
      </c>
      <c r="F264" s="1401">
        <f t="shared" ref="F264:F271" si="41">+IF(UPPER(H264)="ACTUAL",C264,INDEX(ALLOCATION_TABLE,MATCH(UPPER(H264),INDEX(ALLOCATION_TABLE,0,1),0),5)*E264)</f>
        <v>-15.62</v>
      </c>
      <c r="G264" s="1400">
        <f t="shared" ref="G264:G271" si="42">+E264-F264</f>
        <v>0</v>
      </c>
      <c r="H264" s="1402" t="s">
        <v>428</v>
      </c>
    </row>
    <row r="265" spans="1:8">
      <c r="A265" s="673">
        <v>4421</v>
      </c>
      <c r="B265" s="654" t="str">
        <f>INDEX('TB Clean'!$B$2:$B$464,MATCH('Linked TB'!A265,'TB Clean'!$A$2:$A$464,0))</f>
        <v xml:space="preserve">     DEF ST TAX - TAP FEE POST</v>
      </c>
      <c r="C265" s="684">
        <v>0</v>
      </c>
      <c r="D265" s="677">
        <v>0</v>
      </c>
      <c r="E265" s="677">
        <f>INDEX('TB Clean'!$D$2:$D$464,MATCH('Linked TB'!A265,'TB Clean'!$A$2:$A$464,0))</f>
        <v>13.6</v>
      </c>
      <c r="F265" s="684">
        <f t="shared" ref="F265" si="43">+IF(UPPER(H265)="ACTUAL",C265,INDEX(ALLOCATION_TABLE,MATCH(UPPER(H265),INDEX(ALLOCATION_TABLE,0,1),0),5)*E265)</f>
        <v>13.6</v>
      </c>
      <c r="G265" s="677">
        <f t="shared" ref="G265" si="44">+E265-F265</f>
        <v>0</v>
      </c>
      <c r="H265" s="678" t="s">
        <v>723</v>
      </c>
    </row>
    <row r="266" spans="1:8">
      <c r="A266" s="673">
        <v>4425</v>
      </c>
      <c r="B266" s="654" t="str">
        <f>INDEX('TB Clean'!$B$2:$B$464,MATCH('Linked TB'!A266,'TB Clean'!$A$2:$A$464,0))</f>
        <v xml:space="preserve">     DEF ST TAX - RATE CASE</v>
      </c>
      <c r="C266" s="684">
        <v>0</v>
      </c>
      <c r="D266" s="677">
        <v>0</v>
      </c>
      <c r="E266" s="677">
        <f>INDEX('TB Clean'!$D$2:$D$464,MATCH('Linked TB'!A266,'TB Clean'!$A$2:$A$464,0))</f>
        <v>-10534.27</v>
      </c>
      <c r="F266" s="684">
        <f t="shared" si="41"/>
        <v>-10534.27</v>
      </c>
      <c r="G266" s="677">
        <f t="shared" si="42"/>
        <v>0</v>
      </c>
      <c r="H266" s="678" t="s">
        <v>428</v>
      </c>
    </row>
    <row r="267" spans="1:8">
      <c r="A267" s="673">
        <v>4427</v>
      </c>
      <c r="B267" s="654" t="str">
        <f>INDEX('TB Clean'!$B$2:$B$464,MATCH('Linked TB'!A267,'TB Clean'!$A$2:$A$464,0))</f>
        <v xml:space="preserve">     DEF ST TAX - DEF MAINT</v>
      </c>
      <c r="C267" s="684">
        <v>0</v>
      </c>
      <c r="D267" s="677">
        <v>0</v>
      </c>
      <c r="E267" s="677">
        <f>INDEX('TB Clean'!$D$2:$D$464,MATCH('Linked TB'!A267,'TB Clean'!$A$2:$A$464,0))</f>
        <v>-4552.38</v>
      </c>
      <c r="F267" s="684">
        <f t="shared" si="41"/>
        <v>-4552.38</v>
      </c>
      <c r="G267" s="677">
        <f t="shared" si="42"/>
        <v>0</v>
      </c>
      <c r="H267" s="678" t="s">
        <v>428</v>
      </c>
    </row>
    <row r="268" spans="1:8">
      <c r="A268" s="673">
        <v>4433</v>
      </c>
      <c r="B268" s="654" t="str">
        <f>INDEX('TB Clean'!$B$2:$B$464,MATCH('Linked TB'!A268,'TB Clean'!$A$2:$A$464,0))</f>
        <v xml:space="preserve">     DEF ST TAX - ORGN EXP</v>
      </c>
      <c r="C268" s="684">
        <v>0</v>
      </c>
      <c r="D268" s="675">
        <v>0</v>
      </c>
      <c r="E268" s="677">
        <f>INDEX('TB Clean'!$D$2:$D$464,MATCH('Linked TB'!A268,'TB Clean'!$A$2:$A$464,0))</f>
        <v>-4551</v>
      </c>
      <c r="F268" s="684">
        <f t="shared" si="41"/>
        <v>-4551</v>
      </c>
      <c r="G268" s="677">
        <f t="shared" si="42"/>
        <v>0</v>
      </c>
      <c r="H268" s="678" t="s">
        <v>428</v>
      </c>
    </row>
    <row r="269" spans="1:8">
      <c r="A269" s="673">
        <v>4435</v>
      </c>
      <c r="B269" s="654" t="str">
        <f>INDEX('TB Clean'!$B$2:$B$464,MATCH('Linked TB'!A269,'TB Clean'!$A$2:$A$464,0))</f>
        <v xml:space="preserve">     DEF ST TAX - BAD DEBT</v>
      </c>
      <c r="C269" s="684">
        <v>0</v>
      </c>
      <c r="D269" s="675">
        <v>0</v>
      </c>
      <c r="E269" s="677">
        <f>INDEX('TB Clean'!$D$2:$D$464,MATCH('Linked TB'!A269,'TB Clean'!$A$2:$A$464,0))</f>
        <v>2350</v>
      </c>
      <c r="F269" s="684">
        <f t="shared" si="41"/>
        <v>2350</v>
      </c>
      <c r="G269" s="677">
        <f t="shared" si="42"/>
        <v>0</v>
      </c>
      <c r="H269" s="678" t="s">
        <v>428</v>
      </c>
    </row>
    <row r="270" spans="1:8">
      <c r="A270" s="673">
        <v>4437</v>
      </c>
      <c r="B270" s="654" t="str">
        <f>INDEX('TB Clean'!$B$2:$B$464,MATCH('Linked TB'!A270,'TB Clean'!$A$2:$A$464,0))</f>
        <v xml:space="preserve">     DEF ST TAX - DEPRECIATION</v>
      </c>
      <c r="C270" s="684">
        <v>0</v>
      </c>
      <c r="D270" s="675">
        <v>0</v>
      </c>
      <c r="E270" s="677">
        <f>INDEX('TB Clean'!$D$2:$D$464,MATCH('Linked TB'!A270,'TB Clean'!$A$2:$A$464,0))</f>
        <v>-67689.13</v>
      </c>
      <c r="F270" s="684">
        <f t="shared" ref="F270" si="45">+IF(UPPER(H270)="ACTUAL",C270,INDEX(ALLOCATION_TABLE,MATCH(UPPER(H270),INDEX(ALLOCATION_TABLE,0,1),0),5)*E270)</f>
        <v>-67689.13</v>
      </c>
      <c r="G270" s="677">
        <f t="shared" ref="G270" si="46">+E270-F270</f>
        <v>0</v>
      </c>
      <c r="H270" s="678" t="s">
        <v>428</v>
      </c>
    </row>
    <row r="271" spans="1:8" s="1403" customFormat="1">
      <c r="A271" s="1396">
        <v>4439</v>
      </c>
      <c r="B271" s="1397" t="str">
        <f>INDEX('TB Clean'!$B$2:$B$464,MATCH('Linked TB'!A271,'TB Clean'!$A$2:$A$464,0))</f>
        <v xml:space="preserve">     DEF ST TAX - NOL</v>
      </c>
      <c r="C271" s="1401">
        <v>0</v>
      </c>
      <c r="D271" s="1399">
        <v>0</v>
      </c>
      <c r="E271" s="1400">
        <f>INDEX('TB Clean'!$D$2:$D$464,MATCH('Linked TB'!A271,'TB Clean'!$A$2:$A$464,0))</f>
        <v>6728</v>
      </c>
      <c r="F271" s="1401">
        <f t="shared" si="41"/>
        <v>6728</v>
      </c>
      <c r="G271" s="1400">
        <f t="shared" si="42"/>
        <v>0</v>
      </c>
      <c r="H271" s="1402" t="s">
        <v>428</v>
      </c>
    </row>
    <row r="272" spans="1:8" ht="5.0999999999999996" customHeight="1">
      <c r="A272" s="673"/>
      <c r="C272" s="681">
        <v>0</v>
      </c>
      <c r="D272" s="682">
        <v>0</v>
      </c>
      <c r="E272" s="683">
        <v>0</v>
      </c>
      <c r="F272" s="689">
        <v>0</v>
      </c>
      <c r="G272" s="683">
        <v>0</v>
      </c>
      <c r="H272" s="678"/>
    </row>
    <row r="273" spans="1:8">
      <c r="A273" s="673" t="s">
        <v>959</v>
      </c>
      <c r="B273" s="654" t="s">
        <v>975</v>
      </c>
      <c r="C273" s="684">
        <f>SUM(C264:C272)</f>
        <v>0</v>
      </c>
      <c r="D273" s="677">
        <f>SUM(D264:D272)</f>
        <v>0</v>
      </c>
      <c r="E273" s="1400">
        <f>SUM(E264:E272)</f>
        <v>-78250.8</v>
      </c>
      <c r="F273" s="684">
        <f>SUM(F264:F272)</f>
        <v>-78250.8</v>
      </c>
      <c r="G273" s="677">
        <f>SUM(G264:G272)</f>
        <v>0</v>
      </c>
      <c r="H273" s="678"/>
    </row>
    <row r="274" spans="1:8">
      <c r="A274" s="673"/>
      <c r="C274" s="684"/>
      <c r="D274" s="677"/>
      <c r="E274" s="677"/>
      <c r="F274" s="684"/>
      <c r="G274" s="677"/>
      <c r="H274" s="678"/>
    </row>
    <row r="275" spans="1:8">
      <c r="A275" s="673">
        <v>4515</v>
      </c>
      <c r="B275" s="654" t="str">
        <f>INDEX('TB Clean'!$B$2:$B$464,MATCH('Linked TB'!A275,'TB Clean'!$A$2:$A$464,0))</f>
        <v xml:space="preserve">     A/P TRADE</v>
      </c>
      <c r="C275" s="674">
        <v>0</v>
      </c>
      <c r="D275" s="675">
        <v>0</v>
      </c>
      <c r="E275" s="677">
        <f>INDEX('TB Clean'!$D$2:$D$464,MATCH('Linked TB'!A275,'TB Clean'!$A$2:$A$464,0))</f>
        <v>-57031.519999999997</v>
      </c>
      <c r="F275" s="684">
        <f t="shared" ref="F275:F280" si="47">+IF(UPPER(H275)="ACTUAL",C275,INDEX(ALLOCATION_TABLE,MATCH(UPPER(H275),INDEX(ALLOCATION_TABLE,0,1),0),5)*E275)</f>
        <v>-57031.519999999997</v>
      </c>
      <c r="G275" s="677">
        <f t="shared" ref="G275:G280" si="48">+E275-F275</f>
        <v>0</v>
      </c>
      <c r="H275" s="678" t="s">
        <v>428</v>
      </c>
    </row>
    <row r="276" spans="1:8">
      <c r="A276" s="673">
        <v>4520</v>
      </c>
      <c r="B276" s="654" t="str">
        <f>INDEX('TB Clean'!$B$2:$B$464,MATCH('Linked TB'!A276,'TB Clean'!$A$2:$A$464,0))</f>
        <v xml:space="preserve">     A/P RETIREMENT PLANS</v>
      </c>
      <c r="C276" s="674">
        <v>0</v>
      </c>
      <c r="D276" s="675">
        <v>0</v>
      </c>
      <c r="E276" s="677">
        <f>INDEX('TB Clean'!$D$2:$D$464,MATCH('Linked TB'!A276,'TB Clean'!$A$2:$A$464,0))</f>
        <v>0</v>
      </c>
      <c r="F276" s="684">
        <f t="shared" si="47"/>
        <v>0</v>
      </c>
      <c r="G276" s="677">
        <f t="shared" si="48"/>
        <v>0</v>
      </c>
      <c r="H276" s="678" t="s">
        <v>428</v>
      </c>
    </row>
    <row r="277" spans="1:8">
      <c r="A277" s="673">
        <v>4525</v>
      </c>
      <c r="B277" s="654" t="str">
        <f>INDEX('TB Clean'!$B$2:$B$464,MATCH('Linked TB'!A277,'TB Clean'!$A$2:$A$464,0))</f>
        <v xml:space="preserve">     A/P TRADE - ACCRUAL</v>
      </c>
      <c r="C277" s="674">
        <v>0</v>
      </c>
      <c r="D277" s="675">
        <v>0</v>
      </c>
      <c r="E277" s="677">
        <f>INDEX('TB Clean'!$D$2:$D$464,MATCH('Linked TB'!A277,'TB Clean'!$A$2:$A$464,0))</f>
        <v>-285978.87</v>
      </c>
      <c r="F277" s="684">
        <f t="shared" si="47"/>
        <v>-285978.87</v>
      </c>
      <c r="G277" s="677">
        <f t="shared" si="48"/>
        <v>0</v>
      </c>
      <c r="H277" s="678" t="s">
        <v>428</v>
      </c>
    </row>
    <row r="278" spans="1:8">
      <c r="A278" s="673">
        <v>4527</v>
      </c>
      <c r="B278" s="654" t="str">
        <f>INDEX('TB Clean'!$B$2:$B$464,MATCH('Linked TB'!A278,'TB Clean'!$A$2:$A$464,0))</f>
        <v xml:space="preserve">     A/P TRADE - RECD NOT VOUC</v>
      </c>
      <c r="C278" s="674">
        <v>0</v>
      </c>
      <c r="D278" s="675">
        <v>0</v>
      </c>
      <c r="E278" s="677">
        <f>INDEX('TB Clean'!$D$2:$D$464,MATCH('Linked TB'!A278,'TB Clean'!$A$2:$A$464,0))</f>
        <v>-6511.75</v>
      </c>
      <c r="F278" s="684">
        <f t="shared" si="47"/>
        <v>-6511.75</v>
      </c>
      <c r="G278" s="677">
        <f t="shared" si="48"/>
        <v>0</v>
      </c>
      <c r="H278" s="678" t="s">
        <v>428</v>
      </c>
    </row>
    <row r="279" spans="1:8">
      <c r="A279" s="673">
        <v>4535</v>
      </c>
      <c r="B279" s="654" t="str">
        <f>INDEX('TB Clean'!$B$2:$B$464,MATCH('Linked TB'!A279,'TB Clean'!$A$2:$A$464,0))</f>
        <v xml:space="preserve">     A/P-ASSOC COMPANIES</v>
      </c>
      <c r="C279" s="674">
        <v>0</v>
      </c>
      <c r="D279" s="675">
        <v>0</v>
      </c>
      <c r="E279" s="677">
        <f>INDEX('TB Clean'!$D$2:$D$464,MATCH('Linked TB'!A279,'TB Clean'!$A$2:$A$464,0))</f>
        <v>-1667632.54</v>
      </c>
      <c r="F279" s="684">
        <f t="shared" si="47"/>
        <v>-1667632.54</v>
      </c>
      <c r="G279" s="677">
        <f t="shared" si="48"/>
        <v>0</v>
      </c>
      <c r="H279" s="678" t="s">
        <v>428</v>
      </c>
    </row>
    <row r="280" spans="1:8">
      <c r="A280" s="673">
        <v>4545</v>
      </c>
      <c r="B280" s="654" t="str">
        <f>INDEX('TB Clean'!$B$2:$B$464,MATCH('Linked TB'!A280,'TB Clean'!$A$2:$A$464,0))</f>
        <v xml:space="preserve">     A/P MISCELLANEOUS</v>
      </c>
      <c r="C280" s="674">
        <v>0</v>
      </c>
      <c r="D280" s="675">
        <v>0</v>
      </c>
      <c r="E280" s="677">
        <f>INDEX('TB Clean'!$D$2:$D$464,MATCH('Linked TB'!A280,'TB Clean'!$A$2:$A$464,0))</f>
        <v>-4544.87</v>
      </c>
      <c r="F280" s="684">
        <f t="shared" si="47"/>
        <v>-4544.87</v>
      </c>
      <c r="G280" s="677">
        <f t="shared" si="48"/>
        <v>0</v>
      </c>
      <c r="H280" s="678" t="s">
        <v>428</v>
      </c>
    </row>
    <row r="281" spans="1:8" ht="5.0999999999999996" customHeight="1">
      <c r="A281" s="673"/>
      <c r="C281" s="681">
        <v>0</v>
      </c>
      <c r="D281" s="682">
        <v>0</v>
      </c>
      <c r="E281" s="683">
        <v>0</v>
      </c>
      <c r="F281" s="689">
        <v>0</v>
      </c>
      <c r="G281" s="683">
        <v>0</v>
      </c>
      <c r="H281" s="678"/>
    </row>
    <row r="282" spans="1:8">
      <c r="A282" s="673" t="s">
        <v>959</v>
      </c>
      <c r="B282" s="654" t="s">
        <v>976</v>
      </c>
      <c r="C282" s="684">
        <f>SUM(C275:C281)</f>
        <v>0</v>
      </c>
      <c r="D282" s="677">
        <f>SUM(D275:D281)</f>
        <v>0</v>
      </c>
      <c r="E282" s="1400">
        <f>SUM(E275:E281)</f>
        <v>-2021699.5500000003</v>
      </c>
      <c r="F282" s="684">
        <f>SUM(F275:F281)</f>
        <v>-2021699.5500000003</v>
      </c>
      <c r="G282" s="677">
        <f>SUM(G275:G281)</f>
        <v>0</v>
      </c>
      <c r="H282" s="678"/>
    </row>
    <row r="283" spans="1:8">
      <c r="A283" s="673"/>
      <c r="C283" s="684"/>
      <c r="D283" s="677"/>
      <c r="E283" s="677"/>
      <c r="F283" s="684"/>
      <c r="G283" s="677"/>
      <c r="H283" s="678"/>
    </row>
    <row r="284" spans="1:8">
      <c r="A284" s="673">
        <v>4565</v>
      </c>
      <c r="B284" s="654" t="str">
        <f>INDEX('TB Clean'!$B$2:$B$464,MATCH('Linked TB'!A284,'TB Clean'!$A$2:$A$464,0))</f>
        <v xml:space="preserve">    ADVANCES FROM UTILITIES IN</v>
      </c>
      <c r="C284" s="674">
        <v>0</v>
      </c>
      <c r="D284" s="675">
        <v>0</v>
      </c>
      <c r="E284" s="677">
        <f>INDEX('TB Clean'!$D$2:$D$464,MATCH('Linked TB'!A284,'TB Clean'!$A$2:$A$464,0))</f>
        <v>457635.31</v>
      </c>
      <c r="F284" s="684">
        <f>+IF(UPPER(H284)="ACTUAL",C284,INDEX(ALLOCATION_TABLE,MATCH(UPPER(H284),INDEX(ALLOCATION_TABLE,0,1),0),5)*E284)</f>
        <v>457635.31</v>
      </c>
      <c r="G284" s="677">
        <f>+E284-F284</f>
        <v>0</v>
      </c>
      <c r="H284" s="678" t="s">
        <v>428</v>
      </c>
    </row>
    <row r="285" spans="1:8" ht="5.0999999999999996" customHeight="1">
      <c r="A285" s="673"/>
      <c r="C285" s="681">
        <v>0</v>
      </c>
      <c r="D285" s="682">
        <v>0</v>
      </c>
      <c r="E285" s="683">
        <v>0</v>
      </c>
      <c r="F285" s="689">
        <v>0</v>
      </c>
      <c r="G285" s="683">
        <v>0</v>
      </c>
      <c r="H285" s="678"/>
    </row>
    <row r="286" spans="1:8">
      <c r="A286" s="673" t="s">
        <v>959</v>
      </c>
      <c r="B286" s="654" t="s">
        <v>977</v>
      </c>
      <c r="C286" s="684">
        <f>SUM(C284:C285)</f>
        <v>0</v>
      </c>
      <c r="D286" s="677">
        <f>SUM(D284:D285)</f>
        <v>0</v>
      </c>
      <c r="E286" s="1400">
        <f>SUM(E284:E285)</f>
        <v>457635.31</v>
      </c>
      <c r="F286" s="684">
        <f>SUM(F284:F285)</f>
        <v>457635.31</v>
      </c>
      <c r="G286" s="677">
        <f>SUM(G284:G285)</f>
        <v>0</v>
      </c>
      <c r="H286" s="678"/>
    </row>
    <row r="287" spans="1:8">
      <c r="A287" s="673"/>
      <c r="C287" s="684"/>
      <c r="D287" s="677"/>
      <c r="E287" s="677"/>
      <c r="F287" s="684"/>
      <c r="G287" s="677"/>
      <c r="H287" s="678"/>
    </row>
    <row r="288" spans="1:8">
      <c r="A288" s="673">
        <v>4555</v>
      </c>
      <c r="B288" s="654" t="str">
        <f>INDEX('TB Clean'!$B$2:$B$464,MATCH('Linked TB'!A288,'TB Clean'!$A$2:$A$464,0))</f>
        <v xml:space="preserve">     DEF CREDITS OTHER</v>
      </c>
      <c r="C288" s="674">
        <f>E288</f>
        <v>0</v>
      </c>
      <c r="D288" s="675">
        <v>0</v>
      </c>
      <c r="E288" s="677">
        <f>INDEX('TB Clean'!$D$2:$D$464,MATCH('Linked TB'!A288,'TB Clean'!$A$2:$A$464,0))</f>
        <v>0</v>
      </c>
      <c r="F288" s="684">
        <f>+IF(UPPER(H288)="ACTUAL",C288,INDEX(ALLOCATION_TABLE,MATCH(UPPER(H288),INDEX(ALLOCATION_TABLE,0,1),0),5)*E288)</f>
        <v>0</v>
      </c>
      <c r="G288" s="677">
        <f>+E288-F288</f>
        <v>0</v>
      </c>
      <c r="H288" s="678" t="s">
        <v>428</v>
      </c>
    </row>
    <row r="289" spans="1:8">
      <c r="A289" s="673">
        <v>4595</v>
      </c>
      <c r="B289" s="654" t="str">
        <f>INDEX('TB Clean'!$B$2:$B$464,MATCH('Linked TB'!A289,'TB Clean'!$A$2:$A$464,0))</f>
        <v xml:space="preserve">    CUSTOMER DEPOSITS</v>
      </c>
      <c r="C289" s="674">
        <v>0</v>
      </c>
      <c r="D289" s="675">
        <v>0</v>
      </c>
      <c r="E289" s="677">
        <f>INDEX('TB Clean'!$D$2:$D$464,MATCH('Linked TB'!A289,'TB Clean'!$A$2:$A$464,0))</f>
        <v>-35468.68</v>
      </c>
      <c r="F289" s="684">
        <f>+IF(UPPER(H289)="ACTUAL",C289,INDEX(ALLOCATION_TABLE,MATCH(UPPER(H289),INDEX(ALLOCATION_TABLE,0,1),0),5)*E289)</f>
        <v>-35468.68</v>
      </c>
      <c r="G289" s="677">
        <f>+E289-F289</f>
        <v>0</v>
      </c>
      <c r="H289" s="678" t="s">
        <v>428</v>
      </c>
    </row>
    <row r="290" spans="1:8" ht="5.0999999999999996" customHeight="1">
      <c r="A290" s="673"/>
      <c r="C290" s="681">
        <v>0</v>
      </c>
      <c r="D290" s="682">
        <v>0</v>
      </c>
      <c r="E290" s="683">
        <v>0</v>
      </c>
      <c r="F290" s="689">
        <v>0</v>
      </c>
      <c r="G290" s="683">
        <v>0</v>
      </c>
      <c r="H290" s="678"/>
    </row>
    <row r="291" spans="1:8">
      <c r="A291" s="673" t="s">
        <v>959</v>
      </c>
      <c r="B291" s="654" t="s">
        <v>978</v>
      </c>
      <c r="C291" s="684">
        <f>SUM(C288:C290)</f>
        <v>0</v>
      </c>
      <c r="D291" s="677">
        <f>SUM(D288:D290)</f>
        <v>0</v>
      </c>
      <c r="E291" s="1400">
        <f>SUM(E288:E290)</f>
        <v>-35468.68</v>
      </c>
      <c r="F291" s="684">
        <f>SUM(F289:F290)</f>
        <v>-35468.68</v>
      </c>
      <c r="G291" s="677">
        <f>SUM(G289:G290)</f>
        <v>0</v>
      </c>
      <c r="H291" s="678"/>
    </row>
    <row r="292" spans="1:8">
      <c r="A292" s="673"/>
      <c r="C292" s="684"/>
      <c r="D292" s="677"/>
      <c r="E292" s="677"/>
      <c r="F292" s="684"/>
      <c r="G292" s="677"/>
      <c r="H292" s="678"/>
    </row>
    <row r="293" spans="1:8">
      <c r="A293" s="673">
        <v>4612</v>
      </c>
      <c r="B293" s="654" t="str">
        <f>INDEX('TB Clean'!$B$2:$B$464,MATCH('Linked TB'!A293,'TB Clean'!$A$2:$A$464,0))</f>
        <v xml:space="preserve">     ACCRUED TAXES GENERAL</v>
      </c>
      <c r="C293" s="674">
        <f>E293</f>
        <v>-27377.13</v>
      </c>
      <c r="D293" s="675">
        <v>0</v>
      </c>
      <c r="E293" s="677">
        <f>INDEX('TB Clean'!$D$2:$D$464,MATCH('Linked TB'!A293,'TB Clean'!$A$2:$A$464,0))</f>
        <v>-27377.13</v>
      </c>
      <c r="F293" s="684">
        <f>+IF(UPPER(H293)="ACTUAL",C293,INDEX(ALLOCATION_TABLE,MATCH(UPPER(H293),INDEX(ALLOCATION_TABLE,0,1),0),5)*E293)</f>
        <v>-27377.13</v>
      </c>
      <c r="G293" s="677">
        <f>+E293-F293</f>
        <v>0</v>
      </c>
      <c r="H293" s="678" t="s">
        <v>428</v>
      </c>
    </row>
    <row r="294" spans="1:8">
      <c r="A294" s="673">
        <v>4614</v>
      </c>
      <c r="B294" s="654" t="str">
        <f>INDEX('TB Clean'!$B$2:$B$464,MATCH('Linked TB'!A294,'TB Clean'!$A$2:$A$464,0))</f>
        <v xml:space="preserve">     ACCRUED GROSS RECEIPT TAX</v>
      </c>
      <c r="C294" s="674">
        <f t="shared" ref="C294" si="49">E294</f>
        <v>0</v>
      </c>
      <c r="D294" s="675">
        <v>0</v>
      </c>
      <c r="E294" s="677">
        <f>INDEX('TB Clean'!$D$2:$D$464,MATCH('Linked TB'!A294,'TB Clean'!$A$2:$A$464,0))</f>
        <v>0</v>
      </c>
      <c r="F294" s="684">
        <f>+IF(UPPER(H294)="ACTUAL",C294,INDEX(ALLOCATION_TABLE,MATCH(UPPER(H294),INDEX(ALLOCATION_TABLE,0,1),0),5)*E294)</f>
        <v>0</v>
      </c>
      <c r="G294" s="677">
        <f>+E294-F294</f>
        <v>0</v>
      </c>
      <c r="H294" s="678" t="s">
        <v>428</v>
      </c>
    </row>
    <row r="295" spans="1:8">
      <c r="A295" s="673">
        <v>4618</v>
      </c>
      <c r="B295" s="654" t="str">
        <f>INDEX('TB Clean'!$B$2:$B$464,MATCH('Linked TB'!A295,'TB Clean'!$A$2:$A$464,0))</f>
        <v xml:space="preserve">     ACCRUED UTIL OR COMM TAX</v>
      </c>
      <c r="C295" s="674">
        <v>0</v>
      </c>
      <c r="D295" s="675">
        <v>0</v>
      </c>
      <c r="E295" s="677">
        <f>INDEX('TB Clean'!$D$2:$D$464,MATCH('Linked TB'!A295,'TB Clean'!$A$2:$A$464,0))</f>
        <v>-881.24</v>
      </c>
      <c r="F295" s="684">
        <f>+IF(UPPER(H295)="ACTUAL",C295,INDEX(ALLOCATION_TABLE,MATCH(UPPER(H295),INDEX(ALLOCATION_TABLE,0,1),0),5)*E295)</f>
        <v>-881.24</v>
      </c>
      <c r="G295" s="677">
        <f>+E295-F295</f>
        <v>0</v>
      </c>
      <c r="H295" s="678" t="s">
        <v>428</v>
      </c>
    </row>
    <row r="296" spans="1:8" ht="5.0999999999999996" customHeight="1">
      <c r="A296" s="673"/>
      <c r="C296" s="681">
        <v>0</v>
      </c>
      <c r="D296" s="682">
        <v>0</v>
      </c>
      <c r="E296" s="683">
        <v>0</v>
      </c>
      <c r="F296" s="689">
        <v>0</v>
      </c>
      <c r="G296" s="683">
        <v>0</v>
      </c>
      <c r="H296" s="678"/>
    </row>
    <row r="297" spans="1:8">
      <c r="A297" s="673" t="s">
        <v>959</v>
      </c>
      <c r="B297" s="654" t="s">
        <v>979</v>
      </c>
      <c r="C297" s="684">
        <f>SUM(C293:C296)</f>
        <v>-27377.13</v>
      </c>
      <c r="D297" s="677">
        <f>SUM(D293:D296)</f>
        <v>0</v>
      </c>
      <c r="E297" s="1400">
        <f>SUM(E293:E296)</f>
        <v>-28258.370000000003</v>
      </c>
      <c r="F297" s="684">
        <f>SUM(F293:F296)</f>
        <v>-28258.370000000003</v>
      </c>
      <c r="G297" s="677">
        <f>SUM(G293:G296)</f>
        <v>0</v>
      </c>
      <c r="H297" s="678"/>
    </row>
    <row r="298" spans="1:8">
      <c r="A298" s="673"/>
      <c r="C298" s="684"/>
      <c r="D298" s="677"/>
      <c r="E298" s="677"/>
      <c r="F298" s="684"/>
      <c r="G298" s="677"/>
      <c r="H298" s="678"/>
    </row>
    <row r="299" spans="1:8">
      <c r="A299" s="673">
        <v>4628</v>
      </c>
      <c r="B299" s="654" t="str">
        <f>INDEX('TB Clean'!$B$2:$B$464,MATCH('Linked TB'!A299,'TB Clean'!$A$2:$A$464,0))</f>
        <v xml:space="preserve">     ACCRUED REAL EST TAX</v>
      </c>
      <c r="C299" s="674">
        <v>0</v>
      </c>
      <c r="D299" s="675">
        <v>0</v>
      </c>
      <c r="E299" s="677">
        <f>INDEX('TB Clean'!$D$2:$D$464,MATCH('Linked TB'!A299,'TB Clean'!$A$2:$A$464,0))</f>
        <v>-1971.61</v>
      </c>
      <c r="F299" s="684">
        <f t="shared" ref="F299:F306" si="50">+IF(UPPER(H299)="ACTUAL",C299,INDEX(ALLOCATION_TABLE,MATCH(UPPER(H299),INDEX(ALLOCATION_TABLE,0,1),0),5)*E299)</f>
        <v>-1971.61</v>
      </c>
      <c r="G299" s="677">
        <f>+E299-F299</f>
        <v>0</v>
      </c>
      <c r="H299" s="678" t="s">
        <v>428</v>
      </c>
    </row>
    <row r="300" spans="1:8">
      <c r="A300" s="673">
        <v>4630</v>
      </c>
      <c r="B300" s="654" t="str">
        <f>INDEX('TB Clean'!$B$2:$B$464,MATCH('Linked TB'!A300,'TB Clean'!$A$2:$A$464,0))</f>
        <v xml:space="preserve">     ACCRUED PERS PROP &amp; ICT TAX</v>
      </c>
      <c r="C300" s="674">
        <v>0</v>
      </c>
      <c r="D300" s="675">
        <v>0</v>
      </c>
      <c r="E300" s="677">
        <f>INDEX('TB Clean'!$D$2:$D$464,MATCH('Linked TB'!A300,'TB Clean'!$A$2:$A$464,0))</f>
        <v>-4835.25</v>
      </c>
      <c r="F300" s="684">
        <f t="shared" ref="F300" si="51">+IF(UPPER(H300)="ACTUAL",C300,INDEX(ALLOCATION_TABLE,MATCH(UPPER(H300),INDEX(ALLOCATION_TABLE,0,1),0),5)*E300)</f>
        <v>-4835.25</v>
      </c>
      <c r="G300" s="677">
        <f>+E300-F300</f>
        <v>0</v>
      </c>
      <c r="H300" s="678" t="s">
        <v>428</v>
      </c>
    </row>
    <row r="301" spans="1:8">
      <c r="A301" s="673">
        <v>4634</v>
      </c>
      <c r="B301" s="654" t="str">
        <f>INDEX('TB Clean'!$B$2:$B$464,MATCH('Linked TB'!A301,'TB Clean'!$A$2:$A$464,0))</f>
        <v xml:space="preserve">     ACCRUED SALES TAX</v>
      </c>
      <c r="C301" s="674">
        <v>0</v>
      </c>
      <c r="D301" s="675">
        <v>0</v>
      </c>
      <c r="E301" s="677">
        <f>INDEX('TB Clean'!$D$2:$D$464,MATCH('Linked TB'!A301,'TB Clean'!$A$2:$A$464,0))</f>
        <v>-10520.61</v>
      </c>
      <c r="F301" s="684">
        <f t="shared" si="50"/>
        <v>-10520.61</v>
      </c>
      <c r="G301" s="677">
        <f t="shared" ref="G301:G306" si="52">+E301-F301</f>
        <v>0</v>
      </c>
      <c r="H301" s="678" t="s">
        <v>428</v>
      </c>
    </row>
    <row r="302" spans="1:8">
      <c r="A302" s="673">
        <v>4635</v>
      </c>
      <c r="B302" s="654" t="str">
        <f>INDEX('TB Clean'!$B$2:$B$464,MATCH('Linked TB'!A302,'TB Clean'!$A$2:$A$464,0))</f>
        <v xml:space="preserve">     ACCRUED USE TAX</v>
      </c>
      <c r="C302" s="674">
        <v>0</v>
      </c>
      <c r="D302" s="675">
        <v>0</v>
      </c>
      <c r="E302" s="677">
        <f>INDEX('TB Clean'!$D$2:$D$464,MATCH('Linked TB'!A302,'TB Clean'!$A$2:$A$464,0))</f>
        <v>-54.17</v>
      </c>
      <c r="F302" s="684">
        <f t="shared" si="50"/>
        <v>-54.17</v>
      </c>
      <c r="G302" s="677">
        <f t="shared" si="52"/>
        <v>0</v>
      </c>
      <c r="H302" s="678" t="s">
        <v>428</v>
      </c>
    </row>
    <row r="303" spans="1:8">
      <c r="A303" s="673">
        <v>4636</v>
      </c>
      <c r="B303" s="654" t="str">
        <f>INDEX('TB Clean'!$B$2:$B$464,MATCH('Linked TB'!A303,'TB Clean'!$A$2:$A$464,0))</f>
        <v xml:space="preserve">     ACCRUED COUNTY TAX A</v>
      </c>
      <c r="C303" s="674">
        <v>0</v>
      </c>
      <c r="D303" s="675">
        <v>0</v>
      </c>
      <c r="E303" s="677">
        <f>INDEX('TB Clean'!$D$2:$D$464,MATCH('Linked TB'!A303,'TB Clean'!$A$2:$A$464,0))</f>
        <v>-4694.75</v>
      </c>
      <c r="F303" s="684">
        <f t="shared" si="50"/>
        <v>-4694.75</v>
      </c>
      <c r="G303" s="677">
        <f t="shared" si="52"/>
        <v>0</v>
      </c>
      <c r="H303" s="678" t="s">
        <v>428</v>
      </c>
    </row>
    <row r="304" spans="1:8">
      <c r="A304" s="673">
        <v>4637</v>
      </c>
      <c r="B304" s="654" t="str">
        <f>INDEX('TB Clean'!$B$2:$B$464,MATCH('Linked TB'!A304,'TB Clean'!$A$2:$A$464,0))</f>
        <v xml:space="preserve">     ACCRUED COUNTY TAX B</v>
      </c>
      <c r="C304" s="674">
        <v>0</v>
      </c>
      <c r="D304" s="675">
        <v>0</v>
      </c>
      <c r="E304" s="677">
        <f>INDEX('TB Clean'!$D$2:$D$464,MATCH('Linked TB'!A304,'TB Clean'!$A$2:$A$464,0))</f>
        <v>1296.49</v>
      </c>
      <c r="F304" s="684">
        <f t="shared" si="50"/>
        <v>1296.49</v>
      </c>
      <c r="G304" s="677">
        <f t="shared" si="52"/>
        <v>0</v>
      </c>
      <c r="H304" s="678" t="s">
        <v>428</v>
      </c>
    </row>
    <row r="305" spans="1:8">
      <c r="A305" s="673">
        <v>4638</v>
      </c>
      <c r="B305" s="654" t="str">
        <f>INDEX('TB Clean'!$B$2:$B$464,MATCH('Linked TB'!A305,'TB Clean'!$A$2:$A$464,0))</f>
        <v xml:space="preserve">     ACCRUED CITY TAX</v>
      </c>
      <c r="C305" s="674">
        <v>0</v>
      </c>
      <c r="D305" s="675">
        <v>0</v>
      </c>
      <c r="E305" s="677">
        <f>INDEX('TB Clean'!$D$2:$D$464,MATCH('Linked TB'!A305,'TB Clean'!$A$2:$A$464,0))</f>
        <v>-16886.2</v>
      </c>
      <c r="F305" s="684">
        <f t="shared" si="50"/>
        <v>-16886.2</v>
      </c>
      <c r="G305" s="677">
        <f t="shared" si="52"/>
        <v>0</v>
      </c>
      <c r="H305" s="678" t="s">
        <v>428</v>
      </c>
    </row>
    <row r="306" spans="1:8">
      <c r="A306" s="673">
        <v>4639</v>
      </c>
      <c r="B306" s="654" t="str">
        <f>INDEX('TB Clean'!$B$2:$B$464,MATCH('Linked TB'!A306,'TB Clean'!$A$2:$A$464,0))</f>
        <v xml:space="preserve">     ACCRUED CITY TAX B</v>
      </c>
      <c r="C306" s="674">
        <v>0</v>
      </c>
      <c r="D306" s="675">
        <v>0</v>
      </c>
      <c r="E306" s="677">
        <f>INDEX('TB Clean'!$D$2:$D$464,MATCH('Linked TB'!A306,'TB Clean'!$A$2:$A$464,0))</f>
        <v>-261.29000000000002</v>
      </c>
      <c r="F306" s="684">
        <f t="shared" si="50"/>
        <v>-261.29000000000002</v>
      </c>
      <c r="G306" s="677">
        <f t="shared" si="52"/>
        <v>0</v>
      </c>
      <c r="H306" s="678" t="s">
        <v>428</v>
      </c>
    </row>
    <row r="307" spans="1:8">
      <c r="A307" s="673">
        <v>4659</v>
      </c>
      <c r="B307" s="654" t="str">
        <f>INDEX('TB Clean'!$B$2:$B$464,MATCH('Linked TB'!A307,'TB Clean'!$A$2:$A$464,0))</f>
        <v xml:space="preserve">     ACCRUED FED INCOME TAX</v>
      </c>
      <c r="C307" s="674">
        <v>0</v>
      </c>
      <c r="D307" s="675">
        <v>0</v>
      </c>
      <c r="E307" s="677">
        <f>INDEX('TB Clean'!$D$2:$D$464,MATCH('Linked TB'!A307,'TB Clean'!$A$2:$A$464,0))</f>
        <v>78303</v>
      </c>
      <c r="F307" s="684">
        <f t="shared" ref="F307" si="53">+IF(UPPER(H307)="ACTUAL",C307,INDEX(ALLOCATION_TABLE,MATCH(UPPER(H307),INDEX(ALLOCATION_TABLE,0,1),0),5)*E307)</f>
        <v>78303</v>
      </c>
      <c r="G307" s="677">
        <f t="shared" ref="G307:G308" si="54">+E307-F307</f>
        <v>0</v>
      </c>
      <c r="H307" s="678" t="s">
        <v>428</v>
      </c>
    </row>
    <row r="308" spans="1:8">
      <c r="A308" s="673">
        <v>4661</v>
      </c>
      <c r="B308" s="654" t="str">
        <f>INDEX('TB Clean'!$B$2:$B$464,MATCH('Linked TB'!A308,'TB Clean'!$A$2:$A$464,0))</f>
        <v xml:space="preserve">     ACCRUED ST INCOME TAX</v>
      </c>
      <c r="C308" s="674">
        <v>0</v>
      </c>
      <c r="D308" s="675">
        <v>0</v>
      </c>
      <c r="E308" s="677">
        <f>INDEX('TB Clean'!$D$2:$D$464,MATCH('Linked TB'!A308,'TB Clean'!$A$2:$A$464,0))</f>
        <v>13521.94</v>
      </c>
      <c r="F308" s="684">
        <f>+IF(UPPER(H308)="ACTUAL",C308,INDEX(ALLOCATION_TABLE,MATCH(UPPER(H308),INDEX(ALLOCATION_TABLE,0,1),0),5)*E308)</f>
        <v>13521.94</v>
      </c>
      <c r="G308" s="677">
        <f t="shared" si="54"/>
        <v>0</v>
      </c>
      <c r="H308" s="678" t="s">
        <v>428</v>
      </c>
    </row>
    <row r="309" spans="1:8" ht="5.0999999999999996" customHeight="1">
      <c r="A309" s="673"/>
      <c r="C309" s="681">
        <v>0</v>
      </c>
      <c r="D309" s="682">
        <v>0</v>
      </c>
      <c r="E309" s="683">
        <v>0</v>
      </c>
      <c r="F309" s="689">
        <v>0</v>
      </c>
      <c r="G309" s="683">
        <v>0</v>
      </c>
      <c r="H309" s="678"/>
    </row>
    <row r="310" spans="1:8">
      <c r="A310" s="673" t="s">
        <v>959</v>
      </c>
      <c r="B310" s="654" t="s">
        <v>980</v>
      </c>
      <c r="C310" s="684">
        <f>SUM(C299:C309)</f>
        <v>0</v>
      </c>
      <c r="D310" s="677">
        <f>SUM(D299:D309)</f>
        <v>0</v>
      </c>
      <c r="E310" s="1400">
        <f>SUM(E299:E309)</f>
        <v>53897.55</v>
      </c>
      <c r="F310" s="684">
        <f>SUM(F299:F309)</f>
        <v>53897.55</v>
      </c>
      <c r="G310" s="677">
        <f>SUM(G299:G309)</f>
        <v>0</v>
      </c>
      <c r="H310" s="678"/>
    </row>
    <row r="311" spans="1:8">
      <c r="A311" s="673"/>
      <c r="C311" s="684"/>
      <c r="D311" s="677"/>
      <c r="E311" s="677"/>
      <c r="F311" s="684"/>
      <c r="G311" s="677"/>
      <c r="H311" s="678"/>
    </row>
    <row r="312" spans="1:8">
      <c r="A312" s="673">
        <v>4685</v>
      </c>
      <c r="B312" s="654" t="str">
        <f>INDEX('TB Clean'!$B$2:$B$464,MATCH('Linked TB'!A312,'TB Clean'!$A$2:$A$464,0))</f>
        <v xml:space="preserve">     ACCRUED CUST DEP INTEREST</v>
      </c>
      <c r="C312" s="674">
        <v>0</v>
      </c>
      <c r="D312" s="675">
        <v>0</v>
      </c>
      <c r="E312" s="677">
        <f>INDEX('TB Clean'!$D$2:$D$464,MATCH('Linked TB'!A312,'TB Clean'!$A$2:$A$464,0))</f>
        <v>-901.23</v>
      </c>
      <c r="F312" s="684">
        <f>+IF(UPPER(H312)="ACTUAL",C312,INDEX(ALLOCATION_TABLE,MATCH(UPPER(H312),INDEX(ALLOCATION_TABLE,0,1),0),5)*E312)</f>
        <v>-901.23</v>
      </c>
      <c r="G312" s="677">
        <f>+E312-F312</f>
        <v>0</v>
      </c>
      <c r="H312" s="678" t="s">
        <v>428</v>
      </c>
    </row>
    <row r="313" spans="1:8" ht="4.5" customHeight="1">
      <c r="A313" s="673"/>
      <c r="C313" s="681">
        <v>0</v>
      </c>
      <c r="D313" s="682">
        <v>0</v>
      </c>
      <c r="E313" s="683">
        <v>0</v>
      </c>
      <c r="F313" s="689">
        <v>0</v>
      </c>
      <c r="G313" s="683">
        <v>0</v>
      </c>
      <c r="H313" s="678"/>
    </row>
    <row r="314" spans="1:8">
      <c r="A314" s="673" t="s">
        <v>959</v>
      </c>
      <c r="B314" s="654" t="s">
        <v>981</v>
      </c>
      <c r="C314" s="684">
        <f>SUM(C312:C313)</f>
        <v>0</v>
      </c>
      <c r="D314" s="677">
        <f>SUM(D312:D313)</f>
        <v>0</v>
      </c>
      <c r="E314" s="1400">
        <f>SUM(E312:E313)</f>
        <v>-901.23</v>
      </c>
      <c r="F314" s="684">
        <f>SUM(F312:F313)</f>
        <v>-901.23</v>
      </c>
      <c r="G314" s="677">
        <f>SUM(G312:G313)</f>
        <v>0</v>
      </c>
      <c r="H314" s="678"/>
    </row>
    <row r="315" spans="1:8">
      <c r="A315" s="673"/>
      <c r="C315" s="684"/>
      <c r="D315" s="677"/>
      <c r="E315" s="677"/>
      <c r="F315" s="684"/>
      <c r="G315" s="677"/>
      <c r="H315" s="678"/>
    </row>
    <row r="316" spans="1:8">
      <c r="A316" s="673">
        <v>4715</v>
      </c>
      <c r="C316" s="674">
        <v>0</v>
      </c>
      <c r="D316" s="675">
        <v>0</v>
      </c>
      <c r="E316" s="677">
        <v>0</v>
      </c>
      <c r="F316" s="684">
        <f>+IF(UPPER(H316)="ACTUAL",C316,INDEX(ALLOCATION_TABLE,MATCH(UPPER(H316),INDEX(ALLOCATION_TABLE,0,1),0),5)*E316)</f>
        <v>0</v>
      </c>
      <c r="G316" s="677">
        <f>+E316-F316</f>
        <v>0</v>
      </c>
      <c r="H316" s="678" t="s">
        <v>428</v>
      </c>
    </row>
    <row r="317" spans="1:8" ht="4.5" customHeight="1">
      <c r="A317" s="673"/>
      <c r="C317" s="681">
        <v>0</v>
      </c>
      <c r="D317" s="682">
        <v>0</v>
      </c>
      <c r="E317" s="683">
        <v>0</v>
      </c>
      <c r="F317" s="689">
        <v>0</v>
      </c>
      <c r="G317" s="683">
        <v>0</v>
      </c>
      <c r="H317" s="678"/>
    </row>
    <row r="318" spans="1:8">
      <c r="A318" s="673" t="s">
        <v>959</v>
      </c>
      <c r="B318" s="654" t="s">
        <v>982</v>
      </c>
      <c r="C318" s="684">
        <f>SUM(C316:C317)</f>
        <v>0</v>
      </c>
      <c r="D318" s="677">
        <f>SUM(D316:D317)</f>
        <v>0</v>
      </c>
      <c r="E318" s="677">
        <f>SUM(E316:E317)</f>
        <v>0</v>
      </c>
      <c r="F318" s="684">
        <f>SUM(F316:F317)</f>
        <v>0</v>
      </c>
      <c r="G318" s="677">
        <f>SUM(G316:G317)</f>
        <v>0</v>
      </c>
      <c r="H318" s="678"/>
    </row>
    <row r="319" spans="1:8">
      <c r="A319" s="673"/>
      <c r="C319" s="684"/>
      <c r="D319" s="677"/>
      <c r="E319" s="677"/>
      <c r="F319" s="684"/>
      <c r="G319" s="677"/>
      <c r="H319" s="678"/>
    </row>
    <row r="320" spans="1:8" ht="4.5" customHeight="1">
      <c r="A320" s="673"/>
      <c r="C320" s="681">
        <v>0</v>
      </c>
      <c r="D320" s="682">
        <v>0</v>
      </c>
      <c r="E320" s="683">
        <v>0</v>
      </c>
      <c r="F320" s="689">
        <v>0</v>
      </c>
      <c r="G320" s="683">
        <v>0</v>
      </c>
      <c r="H320" s="678"/>
    </row>
    <row r="321" spans="1:8">
      <c r="A321" s="673" t="s">
        <v>959</v>
      </c>
      <c r="B321" s="654" t="s">
        <v>983</v>
      </c>
      <c r="C321" s="684">
        <f>SUM(C320:C320)</f>
        <v>0</v>
      </c>
      <c r="D321" s="677">
        <f>SUM(D320:D320)</f>
        <v>0</v>
      </c>
      <c r="E321" s="677">
        <f>SUM(E320:E320)</f>
        <v>0</v>
      </c>
      <c r="F321" s="684">
        <f>SUM(F320:F320)</f>
        <v>0</v>
      </c>
      <c r="G321" s="677">
        <f>SUM(G320:G320)</f>
        <v>0</v>
      </c>
      <c r="H321" s="678"/>
    </row>
    <row r="322" spans="1:8">
      <c r="A322" s="673"/>
      <c r="C322" s="684"/>
      <c r="D322" s="677"/>
      <c r="E322" s="677"/>
      <c r="F322" s="684"/>
      <c r="G322" s="677"/>
      <c r="H322" s="678"/>
    </row>
    <row r="323" spans="1:8" ht="13.5" customHeight="1">
      <c r="A323" s="673"/>
      <c r="C323" s="684"/>
      <c r="D323" s="677"/>
      <c r="E323" s="677"/>
      <c r="F323" s="684"/>
      <c r="G323" s="677"/>
      <c r="H323" s="678"/>
    </row>
    <row r="324" spans="1:8" ht="15">
      <c r="A324" s="673" t="s">
        <v>959</v>
      </c>
      <c r="B324" s="654" t="s">
        <v>984</v>
      </c>
      <c r="C324" s="689">
        <f>+SUMIF($A$227:$A$323,$A324,C$227:C$323)</f>
        <v>-289406.83</v>
      </c>
      <c r="D324" s="683">
        <f>+SUMIF($A$227:$A$323,$A324,D$227:D$323)</f>
        <v>0</v>
      </c>
      <c r="E324" s="683">
        <f>+SUMIF($A$227:$A$323,$A324,E$227:E$323)</f>
        <v>-2672996.9300000006</v>
      </c>
      <c r="F324" s="689">
        <f>+SUMIF($A$227:$A$323,$A324,F$227:F$323)</f>
        <v>-2672996.9300000006</v>
      </c>
      <c r="G324" s="683">
        <f>+SUMIF($A$227:$A$323,$A324,G$227:G$323)</f>
        <v>0</v>
      </c>
      <c r="H324" s="678"/>
    </row>
    <row r="325" spans="1:8">
      <c r="A325" s="673"/>
      <c r="C325" s="684"/>
      <c r="D325" s="677"/>
      <c r="E325" s="677"/>
      <c r="F325" s="684"/>
      <c r="G325" s="677"/>
      <c r="H325" s="678"/>
    </row>
    <row r="326" spans="1:8">
      <c r="A326" s="673">
        <v>4760</v>
      </c>
      <c r="B326" s="654" t="str">
        <f>INDEX('TB Clean'!$B$2:$B$464,MATCH('Linked TB'!A326,'TB Clean'!$A$2:$A$464,0))</f>
        <v xml:space="preserve">     COMMON STOCK</v>
      </c>
      <c r="C326" s="674">
        <v>0</v>
      </c>
      <c r="D326" s="675">
        <v>0</v>
      </c>
      <c r="E326" s="677">
        <f>INDEX('TB Clean'!$D$2:$D$464,MATCH('Linked TB'!A326,'TB Clean'!$A$2:$A$464,0))</f>
        <v>-1000</v>
      </c>
      <c r="F326" s="684">
        <f>+IF(UPPER(H326)="ACTUAL",C326,INDEX(ALLOCATION_TABLE,MATCH(UPPER(H326),INDEX(ALLOCATION_TABLE,0,1),0),5)*E326)</f>
        <v>-1000</v>
      </c>
      <c r="G326" s="677">
        <f>+E326-F326</f>
        <v>0</v>
      </c>
      <c r="H326" s="678" t="s">
        <v>428</v>
      </c>
    </row>
    <row r="327" spans="1:8">
      <c r="A327" s="673">
        <v>4780</v>
      </c>
      <c r="B327" s="654" t="str">
        <f>INDEX('TB Clean'!$B$2:$B$464,MATCH('Linked TB'!A327,'TB Clean'!$A$2:$A$464,0))</f>
        <v xml:space="preserve">    PAID IN CAPITAL</v>
      </c>
      <c r="C327" s="674">
        <v>0</v>
      </c>
      <c r="D327" s="675">
        <v>0</v>
      </c>
      <c r="E327" s="677">
        <f>INDEX('TB Clean'!$D$2:$D$464,MATCH('Linked TB'!A327,'TB Clean'!$A$2:$A$464,0))</f>
        <v>-2834076</v>
      </c>
      <c r="F327" s="684">
        <f>+IF(UPPER(H327)="ACTUAL",C327,INDEX(ALLOCATION_TABLE,MATCH(UPPER(H327),INDEX(ALLOCATION_TABLE,0,1),0),5)*E327)</f>
        <v>-2834076</v>
      </c>
      <c r="G327" s="677">
        <f>+E327-F327</f>
        <v>0</v>
      </c>
      <c r="H327" s="678" t="s">
        <v>428</v>
      </c>
    </row>
    <row r="328" spans="1:8">
      <c r="A328" s="673">
        <v>4785</v>
      </c>
      <c r="B328" s="654" t="str">
        <f>INDEX('TB Clean'!$B$2:$B$464,MATCH('Linked TB'!A328,'TB Clean'!$A$2:$A$464,0))</f>
        <v xml:space="preserve">    MISC PAID IN CAPITAL</v>
      </c>
      <c r="C328" s="674">
        <v>0</v>
      </c>
      <c r="D328" s="675">
        <v>0</v>
      </c>
      <c r="E328" s="677">
        <f>INDEX('TB Clean'!$D$2:$D$464,MATCH('Linked TB'!A328,'TB Clean'!$A$2:$A$464,0))</f>
        <v>-2233362.2599999998</v>
      </c>
      <c r="F328" s="684">
        <f>+IF(UPPER(H328)="ACTUAL",C328,INDEX(ALLOCATION_TABLE,MATCH(UPPER(H328),INDEX(ALLOCATION_TABLE,0,1),0),5)*E328)</f>
        <v>-2233362.2599999998</v>
      </c>
      <c r="G328" s="677">
        <f>+E328-F328</f>
        <v>0</v>
      </c>
      <c r="H328" s="678" t="s">
        <v>428</v>
      </c>
    </row>
    <row r="329" spans="1:8">
      <c r="A329" s="673">
        <v>4998</v>
      </c>
      <c r="B329" s="654" t="str">
        <f>INDEX('TB Clean'!$B$2:$B$464,MATCH('Linked TB'!A329,'TB Clean'!$A$2:$A$464,0))</f>
        <v xml:space="preserve">    RETAINED EARN-PRIOR YEARS</v>
      </c>
      <c r="C329" s="674">
        <v>0</v>
      </c>
      <c r="D329" s="675">
        <v>0</v>
      </c>
      <c r="E329" s="677">
        <f>INDEX('TB Clean'!$D$2:$D$464,MATCH('Linked TB'!A329,'TB Clean'!$A$2:$A$464,0))</f>
        <v>206373.68</v>
      </c>
      <c r="F329" s="684">
        <f>+IF(UPPER(H329)="ACTUAL",C329,INDEX(ALLOCATION_TABLE,MATCH(UPPER(H329),INDEX(ALLOCATION_TABLE,0,1),0),5)*E329)</f>
        <v>206373.68</v>
      </c>
      <c r="G329" s="677">
        <f>+E329-F329</f>
        <v>0</v>
      </c>
      <c r="H329" s="678" t="s">
        <v>428</v>
      </c>
    </row>
    <row r="330" spans="1:8" s="1403" customFormat="1">
      <c r="A330" s="1396">
        <v>4999</v>
      </c>
      <c r="B330" s="1397" t="str">
        <f>INDEX('TB Clean'!$B$2:$B$464,MATCH('Linked TB'!A330,'TB Clean'!$A$2:$A$464,0))</f>
        <v xml:space="preserve">    RETAINED EARN-CURRENT YEARS</v>
      </c>
      <c r="C330" s="1398">
        <v>0</v>
      </c>
      <c r="D330" s="1399">
        <v>0</v>
      </c>
      <c r="E330" s="1400">
        <f>INDEX('TB Clean'!$D$2:$D$464,MATCH('Linked TB'!A330,'TB Clean'!$A$2:$A$464,0))</f>
        <v>142616.04000000141</v>
      </c>
      <c r="F330" s="1401">
        <f>+IF(UPPER(H330)="ACTUAL",C330,INDEX(ALLOCATION_TABLE,MATCH(UPPER(H330),INDEX(ALLOCATION_TABLE,0,1),0),5)*E330)</f>
        <v>142616.04000000141</v>
      </c>
      <c r="G330" s="1400">
        <f>+E330-F330</f>
        <v>0</v>
      </c>
      <c r="H330" s="1402" t="s">
        <v>428</v>
      </c>
    </row>
    <row r="331" spans="1:8" ht="4.5" customHeight="1">
      <c r="A331" s="690"/>
      <c r="C331" s="681">
        <v>0</v>
      </c>
      <c r="D331" s="682">
        <v>0</v>
      </c>
      <c r="E331" s="683">
        <v>0</v>
      </c>
      <c r="F331" s="689">
        <v>0</v>
      </c>
      <c r="G331" s="683">
        <v>0</v>
      </c>
      <c r="H331" s="678"/>
    </row>
    <row r="332" spans="1:8">
      <c r="A332" s="690" t="s">
        <v>959</v>
      </c>
      <c r="B332" s="654" t="s">
        <v>985</v>
      </c>
      <c r="C332" s="684">
        <f>SUM(C326:C331)</f>
        <v>0</v>
      </c>
      <c r="D332" s="677">
        <f>SUM(D326:D331)</f>
        <v>0</v>
      </c>
      <c r="E332" s="677">
        <f>SUM(E326:E331)</f>
        <v>-4719448.5399999991</v>
      </c>
      <c r="F332" s="684">
        <f>SUM(F326:F331)</f>
        <v>-4719448.5399999991</v>
      </c>
      <c r="G332" s="677">
        <f>SUM(G326:G331)</f>
        <v>0</v>
      </c>
      <c r="H332" s="678"/>
    </row>
    <row r="333" spans="1:8">
      <c r="A333" s="690"/>
      <c r="C333" s="684"/>
      <c r="D333" s="677"/>
      <c r="E333" s="677"/>
      <c r="F333" s="684"/>
      <c r="G333" s="677"/>
      <c r="H333" s="678"/>
    </row>
    <row r="334" spans="1:8" ht="5.0999999999999996" customHeight="1">
      <c r="A334" s="690"/>
      <c r="C334" s="684"/>
      <c r="D334" s="677"/>
      <c r="E334" s="677"/>
      <c r="F334" s="684"/>
      <c r="G334" s="677"/>
      <c r="H334" s="678"/>
    </row>
    <row r="335" spans="1:8" ht="15">
      <c r="A335" s="690" t="s">
        <v>959</v>
      </c>
      <c r="B335" s="654" t="s">
        <v>958</v>
      </c>
      <c r="C335" s="691">
        <f>+C332+C324+C226</f>
        <v>6221681.9400000013</v>
      </c>
      <c r="D335" s="692">
        <f>+D332+D324+D226</f>
        <v>0</v>
      </c>
      <c r="E335" s="692">
        <f>+E332+E324+E226</f>
        <v>187437.82000000216</v>
      </c>
      <c r="F335" s="691">
        <f>+F332+F324+F226</f>
        <v>187437.82000000216</v>
      </c>
      <c r="G335" s="692">
        <f>+G332+G324+G226</f>
        <v>0</v>
      </c>
      <c r="H335" s="678"/>
    </row>
    <row r="336" spans="1:8" ht="15">
      <c r="A336" s="690"/>
      <c r="C336" s="691"/>
      <c r="D336" s="692"/>
      <c r="E336" s="692"/>
      <c r="F336" s="691"/>
      <c r="G336" s="692"/>
      <c r="H336" s="678"/>
    </row>
    <row r="337" spans="1:8" ht="13.5" customHeight="1">
      <c r="A337" s="2127" t="s">
        <v>986</v>
      </c>
      <c r="B337" s="2127"/>
      <c r="C337" s="670"/>
      <c r="D337" s="671"/>
      <c r="E337" s="671"/>
      <c r="F337" s="670"/>
      <c r="G337" s="671"/>
      <c r="H337" s="672"/>
    </row>
    <row r="338" spans="1:8">
      <c r="A338" s="690"/>
      <c r="C338" s="684"/>
      <c r="D338" s="677"/>
      <c r="E338" s="677"/>
      <c r="F338" s="684"/>
      <c r="G338" s="677"/>
      <c r="H338" s="678"/>
    </row>
    <row r="339" spans="1:8">
      <c r="A339" s="673">
        <v>5025</v>
      </c>
      <c r="B339" s="654" t="str">
        <f>INDEX('TB Clean'!$B$2:$B$464,MATCH('Linked TB'!A339,'TB Clean'!$A$2:$A$464,0))</f>
        <v xml:space="preserve">    WATER REVENUE-RESIDENTIAL</v>
      </c>
      <c r="C339" s="674">
        <f t="shared" ref="C339:C355" si="55">+E339</f>
        <v>-1384496.290000001</v>
      </c>
      <c r="D339" s="675">
        <v>0</v>
      </c>
      <c r="E339" s="677">
        <f>INDEX('TB Clean'!$D$2:$D$464,MATCH('Linked TB'!A339,'TB Clean'!$A$2:$A$464,0))</f>
        <v>-1384496.290000001</v>
      </c>
      <c r="F339" s="684">
        <f>+IF(UPPER(H339)="ACTUAL",C339,INDEX(ALLOCATION_TABLE,MATCH(UPPER(H339),INDEX(ALLOCATION_TABLE,0,1),0),5)*E339)</f>
        <v>-1384496.290000001</v>
      </c>
      <c r="G339" s="677">
        <f t="shared" ref="G339:G354" si="56">+E339-F339</f>
        <v>0</v>
      </c>
      <c r="H339" s="678" t="s">
        <v>427</v>
      </c>
    </row>
    <row r="340" spans="1:8">
      <c r="A340" s="673">
        <v>5030</v>
      </c>
      <c r="B340" s="654" t="str">
        <f>INDEX('TB Clean'!$B$2:$B$464,MATCH('Linked TB'!A340,'TB Clean'!$A$2:$A$464,0))</f>
        <v xml:space="preserve">    WATER REVENUE-ACCRUALS</v>
      </c>
      <c r="C340" s="674">
        <f t="shared" si="55"/>
        <v>4653</v>
      </c>
      <c r="D340" s="675">
        <v>0</v>
      </c>
      <c r="E340" s="677">
        <f>INDEX('TB Clean'!$D$2:$D$464,MATCH('Linked TB'!A340,'TB Clean'!$A$2:$A$464,0))</f>
        <v>4653</v>
      </c>
      <c r="F340" s="684">
        <f t="shared" ref="F340:F346" si="57">+IF(UPPER(H340)="ACTUAL",C340,INDEX(ALLOCATION_TABLE,MATCH(UPPER(H340),INDEX(ALLOCATION_TABLE,0,1),0),5)*E340)</f>
        <v>4653</v>
      </c>
      <c r="G340" s="677">
        <f t="shared" ref="G340:G346" si="58">+E340-F340</f>
        <v>0</v>
      </c>
      <c r="H340" s="678" t="s">
        <v>427</v>
      </c>
    </row>
    <row r="341" spans="1:8">
      <c r="A341" s="673">
        <v>5035</v>
      </c>
      <c r="B341" s="654" t="str">
        <f>INDEX('TB Clean'!$B$2:$B$464,MATCH('Linked TB'!A341,'TB Clean'!$A$2:$A$464,0))</f>
        <v xml:space="preserve">    WATER REVENUE-COMMERCIAL</v>
      </c>
      <c r="C341" s="674">
        <f t="shared" si="55"/>
        <v>-399746.66999999993</v>
      </c>
      <c r="D341" s="675"/>
      <c r="E341" s="677">
        <f>INDEX('TB Clean'!$D$2:$D$464,MATCH('Linked TB'!A341,'TB Clean'!$A$2:$A$464,0))</f>
        <v>-399746.66999999993</v>
      </c>
      <c r="F341" s="684">
        <f t="shared" si="57"/>
        <v>-399746.66999999993</v>
      </c>
      <c r="G341" s="677">
        <f t="shared" si="58"/>
        <v>0</v>
      </c>
      <c r="H341" s="678" t="s">
        <v>427</v>
      </c>
    </row>
    <row r="342" spans="1:8">
      <c r="A342" s="673">
        <v>5040</v>
      </c>
      <c r="B342" s="654" t="str">
        <f>INDEX('TB Clean'!$B$2:$B$464,MATCH('Linked TB'!A342,'TB Clean'!$A$2:$A$464,0))</f>
        <v xml:space="preserve">    WATER REVENUE-INDUSTRIAL</v>
      </c>
      <c r="C342" s="674">
        <f t="shared" si="55"/>
        <v>-156255.01999999996</v>
      </c>
      <c r="D342" s="675"/>
      <c r="E342" s="677">
        <f>INDEX('TB Clean'!$D$2:$D$464,MATCH('Linked TB'!A342,'TB Clean'!$A$2:$A$464,0))</f>
        <v>-156255.01999999996</v>
      </c>
      <c r="F342" s="684">
        <f t="shared" si="57"/>
        <v>-156255.01999999996</v>
      </c>
      <c r="G342" s="677">
        <f t="shared" si="58"/>
        <v>0</v>
      </c>
      <c r="H342" s="678" t="s">
        <v>427</v>
      </c>
    </row>
    <row r="343" spans="1:8">
      <c r="A343" s="673">
        <v>5045</v>
      </c>
      <c r="B343" s="654" t="str">
        <f>INDEX('TB Clean'!$B$2:$B$464,MATCH('Linked TB'!A343,'TB Clean'!$A$2:$A$464,0))</f>
        <v xml:space="preserve">    WATER REVENUE-PUBLIC AUTH</v>
      </c>
      <c r="C343" s="674">
        <f t="shared" si="55"/>
        <v>-125305.62999999998</v>
      </c>
      <c r="D343" s="675"/>
      <c r="E343" s="677">
        <f>INDEX('TB Clean'!$D$2:$D$464,MATCH('Linked TB'!A343,'TB Clean'!$A$2:$A$464,0))</f>
        <v>-125305.62999999998</v>
      </c>
      <c r="F343" s="684">
        <f t="shared" si="57"/>
        <v>-125305.62999999998</v>
      </c>
      <c r="G343" s="677">
        <f t="shared" si="58"/>
        <v>0</v>
      </c>
      <c r="H343" s="678" t="s">
        <v>427</v>
      </c>
    </row>
    <row r="344" spans="1:8">
      <c r="A344" s="673">
        <v>5050</v>
      </c>
      <c r="B344" s="654" t="str">
        <f>INDEX('TB Clean'!$B$2:$B$464,MATCH('Linked TB'!A344,'TB Clean'!$A$2:$A$464,0))</f>
        <v xml:space="preserve">    WATER REVENUE-MULT FAM DWE</v>
      </c>
      <c r="C344" s="674">
        <f t="shared" si="55"/>
        <v>-11539.069999999998</v>
      </c>
      <c r="D344" s="675"/>
      <c r="E344" s="677">
        <f>INDEX('TB Clean'!$D$2:$D$464,MATCH('Linked TB'!A344,'TB Clean'!$A$2:$A$464,0))</f>
        <v>-11539.069999999998</v>
      </c>
      <c r="F344" s="684">
        <f t="shared" si="57"/>
        <v>-11539.069999999998</v>
      </c>
      <c r="G344" s="677">
        <f t="shared" si="58"/>
        <v>0</v>
      </c>
      <c r="H344" s="678" t="s">
        <v>427</v>
      </c>
    </row>
    <row r="345" spans="1:8" s="1403" customFormat="1">
      <c r="A345" s="1396">
        <v>5052</v>
      </c>
      <c r="B345" s="1397" t="str">
        <f>INDEX('TB Clean'!$B$2:$B$464,MATCH('Linked TB'!A345,'TB Clean'!$A$2:$A$464,0))</f>
        <v xml:space="preserve">    WATER REVENUE-GUARANTEE</v>
      </c>
      <c r="C345" s="1398">
        <f t="shared" ref="C345" si="59">+E345</f>
        <v>17.5</v>
      </c>
      <c r="D345" s="1399"/>
      <c r="E345" s="1400">
        <f>INDEX('TB Clean'!$D$2:$D$464,MATCH('Linked TB'!A345,'TB Clean'!$A$2:$A$464,0))</f>
        <v>17.5</v>
      </c>
      <c r="F345" s="1401">
        <f t="shared" ref="F345" si="60">+IF(UPPER(H345)="ACTUAL",C345,INDEX(ALLOCATION_TABLE,MATCH(UPPER(H345),INDEX(ALLOCATION_TABLE,0,1),0),5)*E345)</f>
        <v>17.5</v>
      </c>
      <c r="G345" s="1400">
        <f t="shared" ref="G345" si="61">+E345-F345</f>
        <v>0</v>
      </c>
      <c r="H345" s="1402" t="s">
        <v>427</v>
      </c>
    </row>
    <row r="346" spans="1:8">
      <c r="A346" s="673">
        <v>5060</v>
      </c>
      <c r="B346" s="654" t="str">
        <f>INDEX('TB Clean'!$B$2:$B$464,MATCH('Linked TB'!A346,'TB Clean'!$A$2:$A$464,0))</f>
        <v xml:space="preserve">    PUBLIC FIRE PROTECTION</v>
      </c>
      <c r="C346" s="674">
        <f t="shared" si="55"/>
        <v>-35092.80999999999</v>
      </c>
      <c r="D346" s="675"/>
      <c r="E346" s="677">
        <f>INDEX('TB Clean'!$D$2:$D$464,MATCH('Linked TB'!A346,'TB Clean'!$A$2:$A$464,0))</f>
        <v>-35092.80999999999</v>
      </c>
      <c r="F346" s="684">
        <f t="shared" si="57"/>
        <v>-35092.80999999999</v>
      </c>
      <c r="G346" s="677">
        <f t="shared" si="58"/>
        <v>0</v>
      </c>
      <c r="H346" s="678" t="s">
        <v>427</v>
      </c>
    </row>
    <row r="347" spans="1:8">
      <c r="A347" s="673">
        <v>5100</v>
      </c>
      <c r="B347" s="654" t="str">
        <f>INDEX('TB Clean'!$B$2:$B$464,MATCH('Linked TB'!A347,'TB Clean'!$A$2:$A$464,0))</f>
        <v xml:space="preserve">    SEWER REVENUE-RESIDENTIAL</v>
      </c>
      <c r="C347" s="674"/>
      <c r="D347" s="675">
        <f>+E347</f>
        <v>0</v>
      </c>
      <c r="E347" s="677">
        <f>INDEX('TB Clean'!$D$2:$D$464,MATCH('Linked TB'!A347,'TB Clean'!$A$2:$A$464,0))</f>
        <v>0</v>
      </c>
      <c r="F347" s="684">
        <f t="shared" ref="F347:F356" si="62">+IF(UPPER(H347)="ACTUAL",C347,INDEX(ALLOCATION_TABLE,MATCH(UPPER(H347),INDEX(ALLOCATION_TABLE,0,1),0),5)*E347)</f>
        <v>0</v>
      </c>
      <c r="G347" s="677">
        <f t="shared" si="56"/>
        <v>0</v>
      </c>
      <c r="H347" s="678" t="s">
        <v>427</v>
      </c>
    </row>
    <row r="348" spans="1:8">
      <c r="A348" s="673">
        <v>5105</v>
      </c>
      <c r="B348" s="654" t="str">
        <f>INDEX('TB Clean'!$B$2:$B$464,MATCH('Linked TB'!A348,'TB Clean'!$A$2:$A$464,0))</f>
        <v xml:space="preserve">    SEWER REVENUE-ACCRUALS</v>
      </c>
      <c r="C348" s="674"/>
      <c r="D348" s="675">
        <f>+E348</f>
        <v>0</v>
      </c>
      <c r="E348" s="677">
        <f>INDEX('TB Clean'!$D$2:$D$464,MATCH('Linked TB'!A348,'TB Clean'!$A$2:$A$464,0))</f>
        <v>0</v>
      </c>
      <c r="F348" s="684">
        <f t="shared" ref="F348:F349" si="63">+IF(UPPER(H348)="ACTUAL",C348,INDEX(ALLOCATION_TABLE,MATCH(UPPER(H348),INDEX(ALLOCATION_TABLE,0,1),0),5)*E348)</f>
        <v>0</v>
      </c>
      <c r="G348" s="677">
        <f t="shared" ref="G348:G349" si="64">+E348-F348</f>
        <v>0</v>
      </c>
      <c r="H348" s="678" t="s">
        <v>427</v>
      </c>
    </row>
    <row r="349" spans="1:8" s="1403" customFormat="1">
      <c r="A349" s="1396">
        <v>5140</v>
      </c>
      <c r="B349" s="1397" t="str">
        <f>INDEX('TB Clean'!$B$2:$B$464,MATCH('Linked TB'!A349,'TB Clean'!$A$2:$A$464,0))</f>
        <v xml:space="preserve">    SEWER REVENUE-RESIDENTIAL</v>
      </c>
      <c r="C349" s="1398"/>
      <c r="D349" s="1399">
        <f>+E349</f>
        <v>0</v>
      </c>
      <c r="E349" s="1400">
        <f>INDEX('TB Clean'!$D$2:$D$464,MATCH('Linked TB'!A349,'TB Clean'!$A$2:$A$464,0))</f>
        <v>0</v>
      </c>
      <c r="F349" s="1401">
        <f t="shared" si="63"/>
        <v>0</v>
      </c>
      <c r="G349" s="1400">
        <f t="shared" si="64"/>
        <v>0</v>
      </c>
      <c r="H349" s="1402" t="s">
        <v>427</v>
      </c>
    </row>
    <row r="350" spans="1:8" s="1403" customFormat="1">
      <c r="A350" s="1396">
        <v>5155</v>
      </c>
      <c r="B350" s="1397" t="str">
        <f>INDEX('TB Clean'!$B$2:$B$464,MATCH('Linked TB'!A350,'TB Clean'!$A$2:$A$464,0))</f>
        <v xml:space="preserve">    SEWER REVENUE-COMMERCIAL</v>
      </c>
      <c r="C350" s="1398"/>
      <c r="D350" s="1399">
        <f>+E350</f>
        <v>0</v>
      </c>
      <c r="E350" s="1400">
        <f>INDEX('TB Clean'!$D$2:$D$464,MATCH('Linked TB'!A350,'TB Clean'!$A$2:$A$464,0))</f>
        <v>0</v>
      </c>
      <c r="F350" s="1401">
        <f t="shared" si="62"/>
        <v>0</v>
      </c>
      <c r="G350" s="1400">
        <f t="shared" si="56"/>
        <v>0</v>
      </c>
      <c r="H350" s="1402" t="s">
        <v>427</v>
      </c>
    </row>
    <row r="351" spans="1:8" s="1403" customFormat="1">
      <c r="A351" s="1396">
        <v>5255</v>
      </c>
      <c r="B351" s="1397" t="str">
        <f>INDEX('TB Clean'!$B$2:$B$464,MATCH('Linked TB'!A351,'TB Clean'!$A$2:$A$464,0))</f>
        <v xml:space="preserve">    GUARANTEED REVENUES</v>
      </c>
      <c r="C351" s="1398"/>
      <c r="D351" s="1399">
        <f>+E351</f>
        <v>0</v>
      </c>
      <c r="E351" s="1400">
        <f>INDEX('TB Clean'!$D$2:$D$464,MATCH('Linked TB'!A351,'TB Clean'!$A$2:$A$464,0))</f>
        <v>0</v>
      </c>
      <c r="F351" s="1401">
        <f t="shared" ref="F351" si="65">+IF(UPPER(H351)="ACTUAL",C351,INDEX(ALLOCATION_TABLE,MATCH(UPPER(H351),INDEX(ALLOCATION_TABLE,0,1),0),5)*E351)</f>
        <v>0</v>
      </c>
      <c r="G351" s="1400">
        <f t="shared" ref="G351" si="66">+E351-F351</f>
        <v>0</v>
      </c>
      <c r="H351" s="1402" t="s">
        <v>427</v>
      </c>
    </row>
    <row r="352" spans="1:8">
      <c r="A352" s="673">
        <v>5265</v>
      </c>
      <c r="B352" s="654" t="str">
        <f>INDEX('TB Clean'!$B$2:$B$464,MATCH('Linked TB'!A352,'TB Clean'!$A$2:$A$464,0))</f>
        <v xml:space="preserve">   FORFEITED DISCOUNTS</v>
      </c>
      <c r="C352" s="674">
        <f t="shared" si="55"/>
        <v>0</v>
      </c>
      <c r="D352" s="675">
        <v>0</v>
      </c>
      <c r="E352" s="677">
        <f>INDEX('TB Clean'!$D$2:$D$464,MATCH('Linked TB'!A352,'TB Clean'!$A$2:$A$464,0))</f>
        <v>0</v>
      </c>
      <c r="F352" s="684">
        <f t="shared" si="62"/>
        <v>0</v>
      </c>
      <c r="G352" s="677">
        <f t="shared" si="56"/>
        <v>0</v>
      </c>
      <c r="H352" s="678" t="s">
        <v>724</v>
      </c>
    </row>
    <row r="353" spans="1:11">
      <c r="A353" s="673">
        <v>5270</v>
      </c>
      <c r="B353" s="654" t="str">
        <f>INDEX('TB Clean'!$B$2:$B$464,MATCH('Linked TB'!A353,'TB Clean'!$A$2:$A$464,0))</f>
        <v xml:space="preserve">   MISC SERVICE REVENUE</v>
      </c>
      <c r="C353" s="674">
        <f t="shared" si="55"/>
        <v>-606.32999999999993</v>
      </c>
      <c r="D353" s="675">
        <v>0</v>
      </c>
      <c r="E353" s="677">
        <f>INDEX('TB Clean'!$D$2:$D$464,MATCH('Linked TB'!A353,'TB Clean'!$A$2:$A$464,0))</f>
        <v>-606.32999999999993</v>
      </c>
      <c r="F353" s="684">
        <f t="shared" si="62"/>
        <v>-606.32999999999993</v>
      </c>
      <c r="G353" s="677">
        <f t="shared" si="56"/>
        <v>0</v>
      </c>
      <c r="H353" s="678" t="s">
        <v>724</v>
      </c>
    </row>
    <row r="354" spans="1:11">
      <c r="A354" s="673">
        <v>5285</v>
      </c>
      <c r="B354" s="654" t="str">
        <f>INDEX('TB Clean'!$B$2:$B$464,MATCH('Linked TB'!A354,'TB Clean'!$A$2:$A$464,0))</f>
        <v xml:space="preserve">   OTHER W/S REVENUES</v>
      </c>
      <c r="C354" s="674">
        <f t="shared" si="55"/>
        <v>-65092.25</v>
      </c>
      <c r="D354" s="675">
        <v>0</v>
      </c>
      <c r="E354" s="677">
        <f>INDEX('TB Clean'!$D$2:$D$464,MATCH('Linked TB'!A354,'TB Clean'!$A$2:$A$464,0))</f>
        <v>-65092.25</v>
      </c>
      <c r="F354" s="684">
        <f t="shared" si="62"/>
        <v>-65092.25</v>
      </c>
      <c r="G354" s="677">
        <f t="shared" si="56"/>
        <v>0</v>
      </c>
      <c r="H354" s="678" t="s">
        <v>724</v>
      </c>
    </row>
    <row r="355" spans="1:11">
      <c r="A355" s="673">
        <v>5390</v>
      </c>
      <c r="B355" s="654" t="str">
        <f>INDEX('TB Clean'!$B$2:$B$464,MATCH('Linked TB'!A355,'TB Clean'!$A$2:$A$464,0))</f>
        <v xml:space="preserve">    3RD PARTY BILLING REVENUE</v>
      </c>
      <c r="C355" s="674">
        <f t="shared" si="55"/>
        <v>-6.3965899244067259E-10</v>
      </c>
      <c r="D355" s="675">
        <v>0</v>
      </c>
      <c r="E355" s="677">
        <f>INDEX('TB Clean'!$D$2:$D$464,MATCH('Linked TB'!A355,'TB Clean'!$A$2:$A$464,0))</f>
        <v>-6.3965899244067259E-10</v>
      </c>
      <c r="F355" s="684">
        <f t="shared" si="62"/>
        <v>-6.3965899244067259E-10</v>
      </c>
      <c r="G355" s="677">
        <f>+E355-F355</f>
        <v>0</v>
      </c>
      <c r="H355" s="678" t="s">
        <v>427</v>
      </c>
    </row>
    <row r="356" spans="1:11">
      <c r="A356" s="673">
        <v>5405</v>
      </c>
      <c r="B356" s="654" t="str">
        <f>INDEX('TB Clean'!$B$2:$B$464,MATCH('Linked TB'!A356,'TB Clean'!$A$2:$A$464,0))</f>
        <v xml:space="preserve">    REV FROM MGMT SERVICES</v>
      </c>
      <c r="C356" s="674">
        <f>+E356</f>
        <v>-154344.02000000002</v>
      </c>
      <c r="D356" s="675">
        <v>0</v>
      </c>
      <c r="E356" s="677">
        <f>INDEX('TB Clean'!$D$2:$D$464,MATCH('Linked TB'!A356,'TB Clean'!$A$2:$A$464,0))</f>
        <v>-154344.02000000002</v>
      </c>
      <c r="F356" s="684">
        <f t="shared" si="62"/>
        <v>-154344.02000000002</v>
      </c>
      <c r="G356" s="677">
        <f>+E356-F356</f>
        <v>0</v>
      </c>
      <c r="H356" s="678" t="s">
        <v>427</v>
      </c>
    </row>
    <row r="357" spans="1:11" ht="4.5" customHeight="1">
      <c r="A357" s="673"/>
      <c r="C357" s="681">
        <v>0</v>
      </c>
      <c r="D357" s="682">
        <v>0</v>
      </c>
      <c r="E357" s="683">
        <v>0</v>
      </c>
      <c r="F357" s="689">
        <v>0</v>
      </c>
      <c r="G357" s="683">
        <v>0</v>
      </c>
      <c r="H357" s="678"/>
    </row>
    <row r="358" spans="1:11" ht="15">
      <c r="A358" s="673" t="s">
        <v>959</v>
      </c>
      <c r="B358" s="654" t="s">
        <v>987</v>
      </c>
      <c r="C358" s="689">
        <f>SUM(C339:C357)</f>
        <v>-2327807.5900000012</v>
      </c>
      <c r="D358" s="683">
        <f>SUM(D339:D357)</f>
        <v>0</v>
      </c>
      <c r="E358" s="683">
        <f>SUM(E339:E357)</f>
        <v>-2327807.5900000012</v>
      </c>
      <c r="F358" s="689">
        <f>SUM(F339:F357)</f>
        <v>-2327807.5900000012</v>
      </c>
      <c r="G358" s="683">
        <f>SUM(G339:G357)</f>
        <v>0</v>
      </c>
      <c r="H358" s="678"/>
      <c r="J358" s="679">
        <v>-2166770.7000000002</v>
      </c>
      <c r="K358" s="679">
        <f>+E358-J358</f>
        <v>-161036.89000000106</v>
      </c>
    </row>
    <row r="359" spans="1:11" ht="15">
      <c r="A359" s="673"/>
      <c r="C359" s="689"/>
      <c r="D359" s="683"/>
      <c r="E359" s="683"/>
      <c r="F359" s="689"/>
      <c r="G359" s="683"/>
      <c r="H359" s="678"/>
    </row>
    <row r="360" spans="1:11">
      <c r="C360" s="674"/>
      <c r="D360" s="675"/>
      <c r="E360" s="675"/>
      <c r="F360" s="674"/>
      <c r="G360" s="675"/>
      <c r="H360" s="678"/>
    </row>
    <row r="361" spans="1:11" ht="4.5" customHeight="1">
      <c r="A361" s="673"/>
      <c r="C361" s="681">
        <v>0</v>
      </c>
      <c r="D361" s="682">
        <v>0</v>
      </c>
      <c r="E361" s="683">
        <v>0</v>
      </c>
      <c r="F361" s="689">
        <v>0</v>
      </c>
      <c r="G361" s="683">
        <v>0</v>
      </c>
      <c r="H361" s="678"/>
    </row>
    <row r="362" spans="1:11" ht="15">
      <c r="A362" s="673"/>
      <c r="C362" s="689"/>
      <c r="D362" s="683"/>
      <c r="E362" s="683"/>
      <c r="F362" s="689"/>
      <c r="G362" s="683"/>
      <c r="H362" s="678"/>
    </row>
    <row r="363" spans="1:11" ht="15">
      <c r="A363" s="673"/>
      <c r="C363" s="689"/>
      <c r="D363" s="683"/>
      <c r="E363" s="683"/>
      <c r="F363" s="689"/>
      <c r="G363" s="683"/>
      <c r="H363" s="678"/>
    </row>
    <row r="364" spans="1:11">
      <c r="C364" s="674"/>
      <c r="D364" s="675"/>
      <c r="E364" s="675"/>
      <c r="F364" s="674"/>
      <c r="G364" s="675"/>
      <c r="H364" s="678"/>
    </row>
    <row r="365" spans="1:11" ht="4.5" customHeight="1">
      <c r="A365" s="673"/>
      <c r="C365" s="681">
        <v>0</v>
      </c>
      <c r="D365" s="682">
        <v>0</v>
      </c>
      <c r="E365" s="683">
        <v>0</v>
      </c>
      <c r="F365" s="689">
        <v>0</v>
      </c>
      <c r="G365" s="683">
        <v>0</v>
      </c>
      <c r="H365" s="678"/>
    </row>
    <row r="366" spans="1:11" ht="15">
      <c r="A366" s="673"/>
      <c r="C366" s="689"/>
      <c r="D366" s="689"/>
      <c r="E366" s="689"/>
      <c r="F366" s="689"/>
      <c r="G366" s="689"/>
      <c r="H366" s="678"/>
    </row>
    <row r="367" spans="1:11" ht="15">
      <c r="A367" s="673"/>
      <c r="C367" s="689"/>
      <c r="D367" s="683"/>
      <c r="E367" s="683"/>
      <c r="F367" s="689"/>
      <c r="G367" s="683"/>
      <c r="H367" s="678"/>
    </row>
    <row r="368" spans="1:11">
      <c r="A368" s="673">
        <v>5435</v>
      </c>
      <c r="B368" s="654" t="str">
        <f>INDEX('TB Clean'!$B$2:$B$464,MATCH('Linked TB'!A368,'TB Clean'!$A$2:$A$464,0))</f>
        <v xml:space="preserve">    PURCHASED WATER-WATER SYS</v>
      </c>
      <c r="C368" s="674">
        <f>+E368</f>
        <v>123204</v>
      </c>
      <c r="D368" s="675">
        <v>0</v>
      </c>
      <c r="E368" s="677">
        <f>INDEX('TB Clean'!$D$2:$D$464,MATCH('Linked TB'!A368,'TB Clean'!$A$2:$A$464,0))</f>
        <v>123204</v>
      </c>
      <c r="F368" s="684">
        <f>+IF(UPPER(H368)="ACTUAL",C368,INDEX(ALLOCATION_TABLE,MATCH(UPPER(H368),INDEX(ALLOCATION_TABLE,0,1),0),5)*E368)</f>
        <v>123204</v>
      </c>
      <c r="G368" s="677">
        <f>+E368-F368</f>
        <v>0</v>
      </c>
      <c r="H368" s="678" t="s">
        <v>427</v>
      </c>
    </row>
    <row r="369" spans="1:11">
      <c r="A369" s="687">
        <v>5460</v>
      </c>
      <c r="B369" s="654" t="str">
        <f>INDEX('TB Clean'!$B$2:$B$464,MATCH('Linked TB'!A369,'TB Clean'!$A$2:$A$464,0))</f>
        <v xml:space="preserve">    PURCHASED SEWER - BILLINGS</v>
      </c>
      <c r="C369" s="674">
        <v>0</v>
      </c>
      <c r="D369" s="675">
        <f>+E369</f>
        <v>0</v>
      </c>
      <c r="E369" s="677">
        <f>INDEX('TB Clean'!$D$2:$D$464,MATCH('Linked TB'!A369,'TB Clean'!$A$2:$A$464,0))</f>
        <v>0</v>
      </c>
      <c r="F369" s="684">
        <f>+IF(UPPER(H369)="ACTUAL",C369,INDEX(ALLOCATION_TABLE,MATCH(UPPER(H369),INDEX(ALLOCATION_TABLE,0,1),0),5)*E369)</f>
        <v>0</v>
      </c>
      <c r="G369" s="677">
        <f>+E369-F369</f>
        <v>0</v>
      </c>
      <c r="H369" s="678" t="s">
        <v>427</v>
      </c>
    </row>
    <row r="370" spans="1:11" ht="3.75" customHeight="1">
      <c r="A370" s="687"/>
      <c r="B370" s="686"/>
      <c r="C370" s="681">
        <v>0</v>
      </c>
      <c r="D370" s="682">
        <v>0</v>
      </c>
      <c r="E370" s="683">
        <v>0</v>
      </c>
      <c r="F370" s="689">
        <v>0</v>
      </c>
      <c r="G370" s="683">
        <v>0</v>
      </c>
      <c r="H370" s="678"/>
    </row>
    <row r="371" spans="1:11">
      <c r="A371" s="687" t="s">
        <v>959</v>
      </c>
      <c r="B371" s="686" t="s">
        <v>988</v>
      </c>
      <c r="C371" s="684">
        <f>SUM(C368:C370)</f>
        <v>123204</v>
      </c>
      <c r="D371" s="677">
        <f>SUM(D368:D370)</f>
        <v>0</v>
      </c>
      <c r="E371" s="677">
        <f>SUM(E368:E370)</f>
        <v>123204</v>
      </c>
      <c r="F371" s="684">
        <f>SUM(F368:F370)</f>
        <v>123204</v>
      </c>
      <c r="G371" s="677">
        <f>SUM(G368:G370)</f>
        <v>0</v>
      </c>
      <c r="H371" s="678"/>
      <c r="J371" s="679">
        <v>78100</v>
      </c>
      <c r="K371" s="679">
        <f>+E371-J371</f>
        <v>45104</v>
      </c>
    </row>
    <row r="372" spans="1:11">
      <c r="A372" s="673"/>
      <c r="C372" s="684"/>
      <c r="D372" s="677"/>
      <c r="E372" s="677"/>
      <c r="F372" s="684"/>
      <c r="G372" s="677"/>
      <c r="H372" s="678"/>
    </row>
    <row r="373" spans="1:11">
      <c r="A373" s="673">
        <v>5465</v>
      </c>
      <c r="B373" s="654" t="str">
        <f>INDEX('TB Clean'!$B$2:$B$464,MATCH('Linked TB'!A373,'TB Clean'!$A$2:$A$464,0))</f>
        <v xml:space="preserve">    ELEC PWR - WTR SYSTEM SRC</v>
      </c>
      <c r="C373" s="674">
        <f>+E373</f>
        <v>79380.929999999993</v>
      </c>
      <c r="D373" s="675">
        <v>0</v>
      </c>
      <c r="E373" s="677">
        <f>INDEX('TB Clean'!$D$2:$D$464,MATCH('Linked TB'!A373,'TB Clean'!$A$2:$A$464,0))</f>
        <v>79380.929999999993</v>
      </c>
      <c r="F373" s="684">
        <f>+IF(UPPER(H373)="ACTUAL",C373,INDEX(ALLOCATION_TABLE,MATCH(UPPER(H373),INDEX(ALLOCATION_TABLE,0,1),0),5)*E373)</f>
        <v>79380.929999999993</v>
      </c>
      <c r="G373" s="677">
        <f>+E373-F373</f>
        <v>0</v>
      </c>
      <c r="H373" s="678" t="s">
        <v>427</v>
      </c>
    </row>
    <row r="374" spans="1:11">
      <c r="A374" s="673">
        <v>5470</v>
      </c>
      <c r="B374" s="654" t="str">
        <f>INDEX('TB Clean'!$B$2:$B$464,MATCH('Linked TB'!A374,'TB Clean'!$A$2:$A$464,0))</f>
        <v xml:space="preserve">    ELEC PWR - SWR SYSTEM COLL</v>
      </c>
      <c r="C374" s="674">
        <v>0</v>
      </c>
      <c r="D374" s="675">
        <f>+E374</f>
        <v>10391.820000000002</v>
      </c>
      <c r="E374" s="677">
        <f>INDEX('TB Clean'!$D$2:$D$464,MATCH('Linked TB'!A374,'TB Clean'!$A$2:$A$464,0))</f>
        <v>10391.820000000002</v>
      </c>
      <c r="F374" s="684">
        <f>+IF(UPPER(H374)="ACTUAL",C374,INDEX(ALLOCATION_TABLE,MATCH(UPPER(H374),INDEX(ALLOCATION_TABLE,0,1),0),5)*E374)</f>
        <v>0</v>
      </c>
      <c r="G374" s="677">
        <f>+E374-F374</f>
        <v>10391.820000000002</v>
      </c>
      <c r="H374" s="678" t="s">
        <v>427</v>
      </c>
    </row>
    <row r="375" spans="1:11" ht="5.0999999999999996" customHeight="1">
      <c r="A375" s="673"/>
      <c r="C375" s="681">
        <v>0</v>
      </c>
      <c r="D375" s="682">
        <v>0</v>
      </c>
      <c r="E375" s="683">
        <v>0</v>
      </c>
      <c r="F375" s="689">
        <v>0</v>
      </c>
      <c r="G375" s="683">
        <v>0</v>
      </c>
      <c r="H375" s="678"/>
    </row>
    <row r="376" spans="1:11">
      <c r="A376" s="673" t="s">
        <v>959</v>
      </c>
      <c r="B376" s="654" t="s">
        <v>989</v>
      </c>
      <c r="C376" s="684">
        <f>SUM(C373:C375)</f>
        <v>79380.929999999993</v>
      </c>
      <c r="D376" s="677">
        <f>SUM(D373:D375)</f>
        <v>10391.820000000002</v>
      </c>
      <c r="E376" s="677">
        <f>SUM(E373:E375)</f>
        <v>89772.75</v>
      </c>
      <c r="F376" s="684">
        <f>SUM(F373:F375)</f>
        <v>79380.929999999993</v>
      </c>
      <c r="G376" s="677">
        <f>SUM(G373:G375)</f>
        <v>10391.820000000002</v>
      </c>
      <c r="H376" s="678"/>
      <c r="J376" s="679">
        <v>79634.849999999991</v>
      </c>
      <c r="K376" s="679">
        <f>+E376-J376</f>
        <v>10137.900000000009</v>
      </c>
    </row>
    <row r="377" spans="1:11">
      <c r="A377" s="673"/>
      <c r="C377" s="684"/>
      <c r="D377" s="677"/>
      <c r="E377" s="677"/>
      <c r="F377" s="684"/>
      <c r="G377" s="677"/>
      <c r="H377" s="678"/>
    </row>
    <row r="378" spans="1:11">
      <c r="A378" s="673">
        <v>5480</v>
      </c>
      <c r="B378" s="654" t="str">
        <f>INDEX('TB Clean'!$B$2:$B$464,MATCH('Linked TB'!A378,'TB Clean'!$A$2:$A$464,0))</f>
        <v xml:space="preserve">    CHLORINE</v>
      </c>
      <c r="C378" s="674">
        <f>E378</f>
        <v>34161.089999999997</v>
      </c>
      <c r="D378" s="675">
        <v>0</v>
      </c>
      <c r="E378" s="677">
        <f>INDEX('TB Clean'!$D$2:$D$464,MATCH('Linked TB'!A378,'TB Clean'!$A$2:$A$464,0))</f>
        <v>34161.089999999997</v>
      </c>
      <c r="F378" s="684">
        <f>+IF(UPPER(H378)="ACTUAL",C378,INDEX(ALLOCATION_TABLE,MATCH(UPPER(H378),INDEX(ALLOCATION_TABLE,0,1),0),5)*E378)</f>
        <v>34161.089999999997</v>
      </c>
      <c r="G378" s="677">
        <f>+E378-F378</f>
        <v>0</v>
      </c>
      <c r="H378" s="678" t="s">
        <v>428</v>
      </c>
    </row>
    <row r="379" spans="1:11">
      <c r="A379" s="673">
        <v>5490</v>
      </c>
      <c r="B379" s="654" t="str">
        <f>INDEX('TB Clean'!$B$2:$B$464,MATCH('Linked TB'!A379,'TB Clean'!$A$2:$A$464,0))</f>
        <v xml:space="preserve">    OTHER TREATMENT CHEMICALS</v>
      </c>
      <c r="C379" s="674">
        <f>E379</f>
        <v>98503.170000000027</v>
      </c>
      <c r="D379" s="675">
        <v>0</v>
      </c>
      <c r="E379" s="677">
        <f>INDEX('TB Clean'!$D$2:$D$464,MATCH('Linked TB'!A379,'TB Clean'!$A$2:$A$464,0))</f>
        <v>98503.170000000027</v>
      </c>
      <c r="F379" s="684">
        <f>+IF(UPPER(H379)="ACTUAL",C379,INDEX(ALLOCATION_TABLE,MATCH(UPPER(H379),INDEX(ALLOCATION_TABLE,0,1),0),5)*E379)</f>
        <v>98503.170000000027</v>
      </c>
      <c r="G379" s="677">
        <f>+E379-F379</f>
        <v>0</v>
      </c>
      <c r="H379" s="678" t="s">
        <v>428</v>
      </c>
    </row>
    <row r="380" spans="1:11" ht="5.0999999999999996" customHeight="1">
      <c r="A380" s="673"/>
      <c r="C380" s="681">
        <v>0</v>
      </c>
      <c r="D380" s="682">
        <v>0</v>
      </c>
      <c r="E380" s="683">
        <v>0</v>
      </c>
      <c r="F380" s="689">
        <v>0</v>
      </c>
      <c r="G380" s="683">
        <v>0</v>
      </c>
      <c r="H380" s="678"/>
    </row>
    <row r="381" spans="1:11">
      <c r="A381" s="673" t="s">
        <v>959</v>
      </c>
      <c r="B381" s="654" t="s">
        <v>990</v>
      </c>
      <c r="C381" s="684">
        <f>SUM(C378:C380)</f>
        <v>132664.26</v>
      </c>
      <c r="D381" s="677">
        <f>SUM(D379:D380)</f>
        <v>0</v>
      </c>
      <c r="E381" s="677">
        <f>SUM(E378:E380)</f>
        <v>132664.26</v>
      </c>
      <c r="F381" s="684">
        <f>SUM(F378:F380)</f>
        <v>132664.26</v>
      </c>
      <c r="G381" s="677">
        <f>SUM(G378:G380)</f>
        <v>0</v>
      </c>
      <c r="H381" s="678"/>
      <c r="J381" s="679">
        <v>101313.4</v>
      </c>
      <c r="K381" s="679">
        <f>+E381-J381</f>
        <v>31350.860000000015</v>
      </c>
    </row>
    <row r="382" spans="1:11">
      <c r="A382" s="673"/>
      <c r="C382" s="684"/>
      <c r="D382" s="677"/>
      <c r="E382" s="677"/>
      <c r="F382" s="684"/>
      <c r="G382" s="677"/>
      <c r="H382" s="678"/>
    </row>
    <row r="383" spans="1:11">
      <c r="A383" s="673">
        <v>5495</v>
      </c>
      <c r="B383" s="654" t="str">
        <f>INDEX('TB Clean'!$B$2:$B$464,MATCH('Linked TB'!A383,'TB Clean'!$A$2:$A$464,0))</f>
        <v xml:space="preserve">   METER READING</v>
      </c>
      <c r="C383" s="674">
        <f>+E383</f>
        <v>0</v>
      </c>
      <c r="D383" s="675">
        <v>0</v>
      </c>
      <c r="E383" s="677">
        <f>INDEX('TB Clean'!$D$2:$D$464,MATCH('Linked TB'!A383,'TB Clean'!$A$2:$A$464,0))</f>
        <v>0</v>
      </c>
      <c r="F383" s="684">
        <f>+IF(UPPER(H383)="ACTUAL",C383,INDEX(ALLOCATION_TABLE,MATCH(UPPER(H383),INDEX(ALLOCATION_TABLE,0,1),0),5)*E383)</f>
        <v>0</v>
      </c>
      <c r="G383" s="677">
        <f>+E383-F383</f>
        <v>0</v>
      </c>
      <c r="H383" s="678" t="s">
        <v>427</v>
      </c>
    </row>
    <row r="384" spans="1:11" ht="5.0999999999999996" customHeight="1">
      <c r="A384" s="673"/>
      <c r="C384" s="681">
        <v>0</v>
      </c>
      <c r="D384" s="682">
        <v>0</v>
      </c>
      <c r="E384" s="683">
        <v>0</v>
      </c>
      <c r="F384" s="689">
        <v>0</v>
      </c>
      <c r="G384" s="683">
        <v>0</v>
      </c>
      <c r="H384" s="678"/>
    </row>
    <row r="385" spans="1:11">
      <c r="A385" s="673" t="s">
        <v>959</v>
      </c>
      <c r="B385" s="654" t="s">
        <v>991</v>
      </c>
      <c r="C385" s="684">
        <f>SUM(C383:C384)</f>
        <v>0</v>
      </c>
      <c r="D385" s="677">
        <f>SUM(D383:D384)</f>
        <v>0</v>
      </c>
      <c r="E385" s="677">
        <f>SUM(E383:E384)</f>
        <v>0</v>
      </c>
      <c r="F385" s="684">
        <f>SUM(F383:F384)</f>
        <v>0</v>
      </c>
      <c r="G385" s="677">
        <f>SUM(G383:G384)</f>
        <v>0</v>
      </c>
      <c r="H385" s="678"/>
      <c r="J385" s="679">
        <v>344.85000000000008</v>
      </c>
      <c r="K385" s="679">
        <f>+E385-J385</f>
        <v>-344.85000000000008</v>
      </c>
    </row>
    <row r="386" spans="1:11">
      <c r="A386" s="673"/>
      <c r="C386" s="684"/>
      <c r="D386" s="677"/>
      <c r="E386" s="677"/>
      <c r="F386" s="684"/>
      <c r="G386" s="677"/>
      <c r="H386" s="678"/>
    </row>
    <row r="387" spans="1:11">
      <c r="A387" s="673">
        <v>5505</v>
      </c>
      <c r="B387" s="654" t="str">
        <f>INDEX('TB Clean'!$B$2:$B$464,MATCH('Linked TB'!A387,'TB Clean'!$A$2:$A$464,0))</f>
        <v xml:space="preserve">    AGENCY EXPENSE</v>
      </c>
      <c r="C387" s="674">
        <v>0</v>
      </c>
      <c r="D387" s="675">
        <v>0</v>
      </c>
      <c r="E387" s="677">
        <f>INDEX('TB Clean'!$D$2:$D$464,MATCH('Linked TB'!A387,'TB Clean'!$A$2:$A$464,0))</f>
        <v>549.06000000000006</v>
      </c>
      <c r="F387" s="684">
        <f>+IF(UPPER(H387)="ACTUAL",C387,INDEX(ALLOCATION_TABLE,MATCH(UPPER(H387),INDEX(ALLOCATION_TABLE,0,1),0),5)*E387)</f>
        <v>549.06000000000006</v>
      </c>
      <c r="G387" s="677">
        <f>+E387-F387</f>
        <v>0</v>
      </c>
      <c r="H387" s="678" t="s">
        <v>724</v>
      </c>
    </row>
    <row r="388" spans="1:11">
      <c r="A388" s="673">
        <v>5510</v>
      </c>
      <c r="B388" s="654" t="str">
        <f>INDEX('TB Clean'!$B$2:$B$464,MATCH('Linked TB'!A388,'TB Clean'!$A$2:$A$464,0))</f>
        <v xml:space="preserve">    UNCOLLECTIBLE ACCOUNTS</v>
      </c>
      <c r="C388" s="674">
        <v>0</v>
      </c>
      <c r="D388" s="675">
        <v>0</v>
      </c>
      <c r="E388" s="677">
        <f>INDEX('TB Clean'!$D$2:$D$464,MATCH('Linked TB'!A388,'TB Clean'!$A$2:$A$464,0))</f>
        <v>35127.69999999999</v>
      </c>
      <c r="F388" s="684">
        <f>+IF(UPPER(H388)="ACTUAL",C388,INDEX(ALLOCATION_TABLE,MATCH(UPPER(H388),INDEX(ALLOCATION_TABLE,0,1),0),5)*E388)</f>
        <v>35127.69999999999</v>
      </c>
      <c r="G388" s="677">
        <f>+E388-F388</f>
        <v>0</v>
      </c>
      <c r="H388" s="678" t="s">
        <v>724</v>
      </c>
    </row>
    <row r="389" spans="1:11">
      <c r="A389" s="673">
        <v>5515</v>
      </c>
      <c r="B389" s="654" t="str">
        <f>INDEX('TB Clean'!$B$2:$B$464,MATCH('Linked TB'!A389,'TB Clean'!$A$2:$A$464,0))</f>
        <v xml:space="preserve">    UNCOLL ACCOUNTS ACCRUAL</v>
      </c>
      <c r="C389" s="674">
        <v>0</v>
      </c>
      <c r="D389" s="675"/>
      <c r="E389" s="677">
        <f>INDEX('TB Clean'!$D$2:$D$464,MATCH('Linked TB'!A389,'TB Clean'!$A$2:$A$464,0))</f>
        <v>6151.85</v>
      </c>
      <c r="F389" s="684">
        <f>+IF(UPPER(H389)="ACTUAL",C389,INDEX(ALLOCATION_TABLE,MATCH(UPPER(H389),INDEX(ALLOCATION_TABLE,0,1),0),5)*E389)</f>
        <v>6151.85</v>
      </c>
      <c r="G389" s="677">
        <f>+E389-F389</f>
        <v>0</v>
      </c>
      <c r="H389" s="678" t="s">
        <v>724</v>
      </c>
    </row>
    <row r="390" spans="1:11" ht="5.0999999999999996" customHeight="1">
      <c r="A390" s="673"/>
      <c r="C390" s="681">
        <v>0</v>
      </c>
      <c r="D390" s="682">
        <v>0</v>
      </c>
      <c r="E390" s="683">
        <v>0</v>
      </c>
      <c r="F390" s="689">
        <v>0</v>
      </c>
      <c r="G390" s="683">
        <v>0</v>
      </c>
      <c r="H390" s="678"/>
    </row>
    <row r="391" spans="1:11">
      <c r="A391" s="673" t="s">
        <v>959</v>
      </c>
      <c r="B391" s="654" t="s">
        <v>992</v>
      </c>
      <c r="C391" s="684">
        <f>SUM(C387:C390)</f>
        <v>0</v>
      </c>
      <c r="D391" s="677">
        <f>SUM(D388:D390)</f>
        <v>0</v>
      </c>
      <c r="E391" s="677">
        <f>SUM(E387:E390)</f>
        <v>41828.609999999986</v>
      </c>
      <c r="F391" s="684">
        <f>SUM(F387:F390)</f>
        <v>41828.609999999986</v>
      </c>
      <c r="G391" s="677">
        <f>SUM(G387:G390)</f>
        <v>0</v>
      </c>
      <c r="H391" s="678"/>
      <c r="J391" s="679">
        <v>126199.97000000002</v>
      </c>
      <c r="K391" s="679">
        <f>+E391-J391</f>
        <v>-84371.36000000003</v>
      </c>
    </row>
    <row r="392" spans="1:11">
      <c r="A392" s="673"/>
      <c r="C392" s="674"/>
      <c r="D392" s="675"/>
      <c r="E392" s="677"/>
      <c r="F392" s="684"/>
      <c r="G392" s="677"/>
      <c r="H392" s="678"/>
    </row>
    <row r="393" spans="1:11">
      <c r="A393" s="673">
        <v>5525</v>
      </c>
      <c r="B393" s="654" t="str">
        <f>INDEX('TB Clean'!$B$2:$B$464,MATCH('Linked TB'!A393,'TB Clean'!$A$2:$A$464,0))</f>
        <v xml:space="preserve">    BILL STOCK</v>
      </c>
      <c r="C393" s="674">
        <v>0</v>
      </c>
      <c r="D393" s="675">
        <v>0</v>
      </c>
      <c r="E393" s="677">
        <f>INDEX('TB Clean'!$D$2:$D$464,MATCH('Linked TB'!A393,'TB Clean'!$A$2:$A$464,0))</f>
        <v>718.45</v>
      </c>
      <c r="F393" s="684">
        <f>+IF(UPPER(H393)="ACTUAL",C393,INDEX(ALLOCATION_TABLE,MATCH(UPPER(H393),INDEX(ALLOCATION_TABLE,0,1),0),5)*E393)</f>
        <v>718.45</v>
      </c>
      <c r="G393" s="677">
        <f>+E393-F393</f>
        <v>0</v>
      </c>
      <c r="H393" s="678" t="s">
        <v>428</v>
      </c>
    </row>
    <row r="394" spans="1:11">
      <c r="A394" s="673">
        <v>5530</v>
      </c>
      <c r="B394" s="654" t="str">
        <f>INDEX('TB Clean'!$B$2:$B$464,MATCH('Linked TB'!A394,'TB Clean'!$A$2:$A$464,0))</f>
        <v xml:space="preserve">    BILLING COMPUTER SUPPLIES</v>
      </c>
      <c r="C394" s="674">
        <v>0</v>
      </c>
      <c r="D394" s="675">
        <v>0</v>
      </c>
      <c r="E394" s="677">
        <f>INDEX('TB Clean'!$D$2:$D$464,MATCH('Linked TB'!A394,'TB Clean'!$A$2:$A$464,0))</f>
        <v>0</v>
      </c>
      <c r="F394" s="684">
        <f>+IF(UPPER(H394)="ACTUAL",C394,INDEX(ALLOCATION_TABLE,MATCH(UPPER(H394),INDEX(ALLOCATION_TABLE,0,1),0),5)*E394)</f>
        <v>0</v>
      </c>
      <c r="G394" s="677">
        <f>+E394-F394</f>
        <v>0</v>
      </c>
      <c r="H394" s="678" t="s">
        <v>428</v>
      </c>
    </row>
    <row r="395" spans="1:11">
      <c r="A395" s="673">
        <v>5535</v>
      </c>
      <c r="B395" s="654" t="str">
        <f>INDEX('TB Clean'!$B$2:$B$464,MATCH('Linked TB'!A395,'TB Clean'!$A$2:$A$464,0))</f>
        <v xml:space="preserve">    BILLING ENVELOPES</v>
      </c>
      <c r="C395" s="674">
        <v>0</v>
      </c>
      <c r="D395" s="675">
        <v>0</v>
      </c>
      <c r="E395" s="677">
        <f>INDEX('TB Clean'!$D$2:$D$464,MATCH('Linked TB'!A395,'TB Clean'!$A$2:$A$464,0))</f>
        <v>1291.5700000000002</v>
      </c>
      <c r="F395" s="684">
        <f>+IF(UPPER(H395)="ACTUAL",C395,INDEX(ALLOCATION_TABLE,MATCH(UPPER(H395),INDEX(ALLOCATION_TABLE,0,1),0),5)*E395)</f>
        <v>1291.5700000000002</v>
      </c>
      <c r="G395" s="677">
        <f>+E395-F395</f>
        <v>0</v>
      </c>
      <c r="H395" s="678" t="s">
        <v>428</v>
      </c>
    </row>
    <row r="396" spans="1:11">
      <c r="A396" s="673">
        <v>5540</v>
      </c>
      <c r="B396" s="654" t="str">
        <f>INDEX('TB Clean'!$B$2:$B$464,MATCH('Linked TB'!A396,'TB Clean'!$A$2:$A$464,0))</f>
        <v xml:space="preserve">    BILLING POSTAGE</v>
      </c>
      <c r="C396" s="674">
        <v>0</v>
      </c>
      <c r="D396" s="675">
        <v>0</v>
      </c>
      <c r="E396" s="677">
        <f>INDEX('TB Clean'!$D$2:$D$464,MATCH('Linked TB'!A396,'TB Clean'!$A$2:$A$464,0))</f>
        <v>20179.309999999998</v>
      </c>
      <c r="F396" s="684">
        <f>+IF(UPPER(H396)="ACTUAL",C396,INDEX(ALLOCATION_TABLE,MATCH(UPPER(H396),INDEX(ALLOCATION_TABLE,0,1),0),5)*E396)</f>
        <v>20179.309999999998</v>
      </c>
      <c r="G396" s="677">
        <f>+E396-F396</f>
        <v>0</v>
      </c>
      <c r="H396" s="678" t="s">
        <v>428</v>
      </c>
    </row>
    <row r="397" spans="1:11">
      <c r="A397" s="673">
        <v>5545</v>
      </c>
      <c r="B397" s="654" t="str">
        <f>INDEX('TB Clean'!$B$2:$B$464,MATCH('Linked TB'!A397,'TB Clean'!$A$2:$A$464,0))</f>
        <v xml:space="preserve">    CUSTOMER SERVICE PRINTING</v>
      </c>
      <c r="C397" s="674">
        <v>0</v>
      </c>
      <c r="D397" s="675">
        <v>0</v>
      </c>
      <c r="E397" s="677">
        <f>INDEX('TB Clean'!$D$2:$D$464,MATCH('Linked TB'!A397,'TB Clean'!$A$2:$A$464,0))</f>
        <v>1377.8100000000002</v>
      </c>
      <c r="F397" s="684">
        <f>+IF(UPPER(H397)="ACTUAL",C397,INDEX(ALLOCATION_TABLE,MATCH(UPPER(H397),INDEX(ALLOCATION_TABLE,0,1),0),5)*E397)</f>
        <v>1377.8100000000002</v>
      </c>
      <c r="G397" s="677">
        <f>+E397-F397</f>
        <v>0</v>
      </c>
      <c r="H397" s="678" t="s">
        <v>428</v>
      </c>
    </row>
    <row r="398" spans="1:11" ht="5.0999999999999996" customHeight="1">
      <c r="A398" s="673"/>
      <c r="C398" s="681">
        <v>0</v>
      </c>
      <c r="D398" s="682">
        <v>0</v>
      </c>
      <c r="E398" s="683">
        <v>0</v>
      </c>
      <c r="F398" s="689">
        <v>0</v>
      </c>
      <c r="G398" s="683">
        <v>0</v>
      </c>
      <c r="H398" s="678"/>
    </row>
    <row r="399" spans="1:11">
      <c r="A399" s="673" t="s">
        <v>959</v>
      </c>
      <c r="B399" s="654" t="s">
        <v>993</v>
      </c>
      <c r="C399" s="684">
        <f>SUM(C393:C398)</f>
        <v>0</v>
      </c>
      <c r="D399" s="677">
        <f>SUM(D397:D398)</f>
        <v>0</v>
      </c>
      <c r="E399" s="677">
        <f>SUM(E393:E398)</f>
        <v>23567.14</v>
      </c>
      <c r="F399" s="684">
        <f>SUM(F393:F398)</f>
        <v>23567.14</v>
      </c>
      <c r="G399" s="677">
        <f>SUM(G393:G398)</f>
        <v>0</v>
      </c>
      <c r="H399" s="678"/>
      <c r="J399" s="679">
        <v>30567.059999999998</v>
      </c>
      <c r="K399" s="679">
        <f>+E399-J399</f>
        <v>-6999.9199999999983</v>
      </c>
    </row>
    <row r="400" spans="1:11">
      <c r="A400" s="673"/>
      <c r="C400" s="684"/>
      <c r="D400" s="677"/>
      <c r="E400" s="677"/>
      <c r="F400" s="684"/>
      <c r="G400" s="677"/>
      <c r="H400" s="678"/>
    </row>
    <row r="401" spans="1:11">
      <c r="A401" s="685">
        <v>5625</v>
      </c>
      <c r="B401" s="654" t="str">
        <f>INDEX('TB Clean'!$B$2:$B$464,MATCH('Linked TB'!A401,'TB Clean'!$A$2:$A$464,0))</f>
        <v xml:space="preserve">    401K PROFIT SHARING</v>
      </c>
      <c r="C401" s="674">
        <v>0</v>
      </c>
      <c r="D401" s="675">
        <v>0</v>
      </c>
      <c r="E401" s="677">
        <f>INDEX('TB Clean'!$D$2:$D$464,MATCH('Linked TB'!A401,'TB Clean'!$A$2:$A$464,0))</f>
        <v>25102.400000000001</v>
      </c>
      <c r="F401" s="684">
        <f t="shared" ref="F401:F412" si="67">+IF(UPPER(H401)="ACTUAL",C401,INDEX(ALLOCATION_TABLE,MATCH(UPPER(H401),INDEX(ALLOCATION_TABLE,0,1),0),5)*E401)</f>
        <v>25102.400000000001</v>
      </c>
      <c r="G401" s="677">
        <f t="shared" ref="G401:G412" si="68">+E401-F401</f>
        <v>0</v>
      </c>
      <c r="H401" s="678" t="s">
        <v>428</v>
      </c>
    </row>
    <row r="402" spans="1:11">
      <c r="A402" s="685">
        <v>5630</v>
      </c>
      <c r="B402" s="654" t="str">
        <f>INDEX('TB Clean'!$B$2:$B$464,MATCH('Linked TB'!A402,'TB Clean'!$A$2:$A$464,0))</f>
        <v xml:space="preserve">    HEALTH &amp; DENTAL PREMIUMS</v>
      </c>
      <c r="C402" s="674">
        <v>0</v>
      </c>
      <c r="D402" s="675">
        <v>0</v>
      </c>
      <c r="E402" s="677">
        <f>INDEX('TB Clean'!$D$2:$D$464,MATCH('Linked TB'!A402,'TB Clean'!$A$2:$A$464,0))</f>
        <v>17374.949999999997</v>
      </c>
      <c r="F402" s="684">
        <f t="shared" si="67"/>
        <v>17374.949999999997</v>
      </c>
      <c r="G402" s="677">
        <f t="shared" si="68"/>
        <v>0</v>
      </c>
      <c r="H402" s="678" t="s">
        <v>428</v>
      </c>
    </row>
    <row r="403" spans="1:11">
      <c r="A403" s="685">
        <v>5635</v>
      </c>
      <c r="B403" s="654" t="str">
        <f>INDEX('TB Clean'!$B$2:$B$464,MATCH('Linked TB'!A403,'TB Clean'!$A$2:$A$464,0))</f>
        <v xml:space="preserve">    DENTAL INS REIMBURSEMENTS</v>
      </c>
      <c r="C403" s="674">
        <v>0</v>
      </c>
      <c r="D403" s="675">
        <v>0</v>
      </c>
      <c r="E403" s="677">
        <f>INDEX('TB Clean'!$D$2:$D$464,MATCH('Linked TB'!A403,'TB Clean'!$A$2:$A$464,0))</f>
        <v>3395.4300000000003</v>
      </c>
      <c r="F403" s="684">
        <f t="shared" si="67"/>
        <v>3395.4300000000003</v>
      </c>
      <c r="G403" s="677">
        <f t="shared" si="68"/>
        <v>0</v>
      </c>
      <c r="H403" s="678" t="s">
        <v>428</v>
      </c>
    </row>
    <row r="404" spans="1:11">
      <c r="A404" s="685">
        <v>5645</v>
      </c>
      <c r="B404" s="654" t="str">
        <f>INDEX('TB Clean'!$B$2:$B$464,MATCH('Linked TB'!A404,'TB Clean'!$A$2:$A$464,0))</f>
        <v xml:space="preserve">    EMPLOYEE INS DEDUCTIONS</v>
      </c>
      <c r="C404" s="674">
        <v>0</v>
      </c>
      <c r="D404" s="675">
        <v>0</v>
      </c>
      <c r="E404" s="677">
        <f>INDEX('TB Clean'!$D$2:$D$464,MATCH('Linked TB'!A404,'TB Clean'!$A$2:$A$464,0))</f>
        <v>-26986.519999999997</v>
      </c>
      <c r="F404" s="684">
        <f t="shared" si="67"/>
        <v>-26986.519999999997</v>
      </c>
      <c r="G404" s="677">
        <f t="shared" si="68"/>
        <v>0</v>
      </c>
      <c r="H404" s="678" t="s">
        <v>428</v>
      </c>
    </row>
    <row r="405" spans="1:11">
      <c r="A405" s="685">
        <v>5650</v>
      </c>
      <c r="B405" s="654" t="str">
        <f>INDEX('TB Clean'!$B$2:$B$464,MATCH('Linked TB'!A405,'TB Clean'!$A$2:$A$464,0))</f>
        <v xml:space="preserve">    HEALTH COSTS &amp; OTHER</v>
      </c>
      <c r="C405" s="674">
        <v>0</v>
      </c>
      <c r="D405" s="675">
        <v>0</v>
      </c>
      <c r="E405" s="677">
        <f>INDEX('TB Clean'!$D$2:$D$464,MATCH('Linked TB'!A405,'TB Clean'!$A$2:$A$464,0))</f>
        <v>1902.1899999999998</v>
      </c>
      <c r="F405" s="684">
        <f t="shared" si="67"/>
        <v>1902.1899999999998</v>
      </c>
      <c r="G405" s="677">
        <f t="shared" si="68"/>
        <v>0</v>
      </c>
      <c r="H405" s="678" t="s">
        <v>428</v>
      </c>
    </row>
    <row r="406" spans="1:11">
      <c r="A406" s="685">
        <v>5655</v>
      </c>
      <c r="B406" s="654" t="str">
        <f>INDEX('TB Clean'!$B$2:$B$464,MATCH('Linked TB'!A406,'TB Clean'!$A$2:$A$464,0))</f>
        <v xml:space="preserve">    HEALTH INS REIMBURSEMENTS</v>
      </c>
      <c r="C406" s="674">
        <v>0</v>
      </c>
      <c r="D406" s="675">
        <v>0</v>
      </c>
      <c r="E406" s="677">
        <f>INDEX('TB Clean'!$D$2:$D$464,MATCH('Linked TB'!A406,'TB Clean'!$A$2:$A$464,0))</f>
        <v>124526.97</v>
      </c>
      <c r="F406" s="684">
        <f t="shared" si="67"/>
        <v>124526.97</v>
      </c>
      <c r="G406" s="677">
        <f t="shared" si="68"/>
        <v>0</v>
      </c>
      <c r="H406" s="678" t="s">
        <v>428</v>
      </c>
    </row>
    <row r="407" spans="1:11" ht="12" customHeight="1">
      <c r="A407" s="673">
        <v>5660</v>
      </c>
      <c r="B407" s="654" t="str">
        <f>INDEX('TB Clean'!$B$2:$B$464,MATCH('Linked TB'!A407,'TB Clean'!$A$2:$A$464,0))</f>
        <v xml:space="preserve">    OTHER EMP PENSION/BENEFITS</v>
      </c>
      <c r="C407" s="674">
        <v>0</v>
      </c>
      <c r="D407" s="675">
        <v>0</v>
      </c>
      <c r="E407" s="677">
        <f>INDEX('TB Clean'!$D$2:$D$464,MATCH('Linked TB'!A407,'TB Clean'!$A$2:$A$464,0))</f>
        <v>913.20999999999992</v>
      </c>
      <c r="F407" s="684">
        <f t="shared" si="67"/>
        <v>913.20999999999992</v>
      </c>
      <c r="G407" s="677">
        <f t="shared" si="68"/>
        <v>0</v>
      </c>
      <c r="H407" s="678" t="s">
        <v>428</v>
      </c>
    </row>
    <row r="408" spans="1:11">
      <c r="A408" s="685">
        <v>5665</v>
      </c>
      <c r="B408" s="654" t="str">
        <f>INDEX('TB Clean'!$B$2:$B$464,MATCH('Linked TB'!A408,'TB Clean'!$A$2:$A$464,0))</f>
        <v xml:space="preserve">    PENSION / 401K MATCH</v>
      </c>
      <c r="C408" s="674">
        <v>0</v>
      </c>
      <c r="D408" s="675">
        <v>0</v>
      </c>
      <c r="E408" s="677">
        <f>INDEX('TB Clean'!$D$2:$D$464,MATCH('Linked TB'!A408,'TB Clean'!$A$2:$A$464,0))</f>
        <v>9215.9599999999991</v>
      </c>
      <c r="F408" s="684">
        <f t="shared" si="67"/>
        <v>9215.9599999999991</v>
      </c>
      <c r="G408" s="677">
        <f t="shared" si="68"/>
        <v>0</v>
      </c>
      <c r="H408" s="678" t="s">
        <v>428</v>
      </c>
    </row>
    <row r="409" spans="1:11">
      <c r="A409" s="685">
        <v>5670</v>
      </c>
      <c r="B409" s="654" t="str">
        <f>INDEX('TB Clean'!$B$2:$B$464,MATCH('Linked TB'!A409,'TB Clean'!$A$2:$A$464,0))</f>
        <v xml:space="preserve">    TERM LIFE INS</v>
      </c>
      <c r="C409" s="674">
        <v>0</v>
      </c>
      <c r="D409" s="675">
        <v>0</v>
      </c>
      <c r="E409" s="677">
        <f>INDEX('TB Clean'!$D$2:$D$464,MATCH('Linked TB'!A409,'TB Clean'!$A$2:$A$464,0))</f>
        <v>4287.6499999999996</v>
      </c>
      <c r="F409" s="684">
        <f t="shared" si="67"/>
        <v>4287.6499999999996</v>
      </c>
      <c r="G409" s="677">
        <f t="shared" si="68"/>
        <v>0</v>
      </c>
      <c r="H409" s="678" t="s">
        <v>428</v>
      </c>
    </row>
    <row r="410" spans="1:11">
      <c r="A410" s="685">
        <v>5675</v>
      </c>
      <c r="B410" s="654" t="str">
        <f>INDEX('TB Clean'!$B$2:$B$464,MATCH('Linked TB'!A410,'TB Clean'!$A$2:$A$464,0))</f>
        <v xml:space="preserve">    TERM LIFE INS-OPT</v>
      </c>
      <c r="C410" s="674">
        <v>0</v>
      </c>
      <c r="D410" s="675">
        <v>0</v>
      </c>
      <c r="E410" s="677">
        <f>INDEX('TB Clean'!$D$2:$D$464,MATCH('Linked TB'!A410,'TB Clean'!$A$2:$A$464,0))</f>
        <v>-923.2600000000001</v>
      </c>
      <c r="F410" s="684">
        <f t="shared" si="67"/>
        <v>-923.2600000000001</v>
      </c>
      <c r="G410" s="677">
        <f t="shared" si="68"/>
        <v>0</v>
      </c>
      <c r="H410" s="678" t="s">
        <v>428</v>
      </c>
    </row>
    <row r="411" spans="1:11">
      <c r="A411" s="685">
        <v>5680</v>
      </c>
      <c r="B411" s="654" t="str">
        <f>INDEX('TB Clean'!$B$2:$B$464,MATCH('Linked TB'!A411,'TB Clean'!$A$2:$A$464,0))</f>
        <v xml:space="preserve">    DEPEND LIFE INS-OPT</v>
      </c>
      <c r="C411" s="674">
        <v>0</v>
      </c>
      <c r="D411" s="675">
        <v>0</v>
      </c>
      <c r="E411" s="677">
        <f>INDEX('TB Clean'!$D$2:$D$464,MATCH('Linked TB'!A411,'TB Clean'!$A$2:$A$464,0))</f>
        <v>-468.30999999999995</v>
      </c>
      <c r="F411" s="684">
        <f t="shared" si="67"/>
        <v>-468.30999999999995</v>
      </c>
      <c r="G411" s="677">
        <f t="shared" si="68"/>
        <v>0</v>
      </c>
      <c r="H411" s="678" t="s">
        <v>428</v>
      </c>
    </row>
    <row r="412" spans="1:11">
      <c r="A412" s="685">
        <v>5690</v>
      </c>
      <c r="B412" s="654" t="str">
        <f>INDEX('TB Clean'!$B$2:$B$464,MATCH('Linked TB'!A412,'TB Clean'!$A$2:$A$464,0))</f>
        <v xml:space="preserve">    TUITION</v>
      </c>
      <c r="C412" s="674">
        <v>0</v>
      </c>
      <c r="D412" s="675">
        <v>0</v>
      </c>
      <c r="E412" s="677">
        <f>INDEX('TB Clean'!$D$2:$D$464,MATCH('Linked TB'!A412,'TB Clean'!$A$2:$A$464,0))</f>
        <v>1.1100000000000001</v>
      </c>
      <c r="F412" s="684">
        <f t="shared" si="67"/>
        <v>1.1100000000000001</v>
      </c>
      <c r="G412" s="677">
        <f t="shared" si="68"/>
        <v>0</v>
      </c>
      <c r="H412" s="678" t="s">
        <v>428</v>
      </c>
    </row>
    <row r="413" spans="1:11" ht="5.0999999999999996" customHeight="1">
      <c r="A413" s="673"/>
      <c r="C413" s="681">
        <v>0</v>
      </c>
      <c r="D413" s="682">
        <v>0</v>
      </c>
      <c r="E413" s="683">
        <v>0</v>
      </c>
      <c r="F413" s="689">
        <v>0</v>
      </c>
      <c r="G413" s="683">
        <v>0</v>
      </c>
      <c r="H413" s="678"/>
    </row>
    <row r="414" spans="1:11">
      <c r="A414" s="673" t="s">
        <v>959</v>
      </c>
      <c r="B414" s="654" t="s">
        <v>994</v>
      </c>
      <c r="C414" s="684">
        <f>SUM(C401:C413)</f>
        <v>0</v>
      </c>
      <c r="D414" s="677">
        <f>SUM(D401:D413)</f>
        <v>0</v>
      </c>
      <c r="E414" s="677">
        <f>SUM(E401:E413)</f>
        <v>158341.77999999997</v>
      </c>
      <c r="F414" s="684">
        <f>SUM(F401:F413)</f>
        <v>158341.77999999997</v>
      </c>
      <c r="G414" s="677">
        <f>SUM(G401:G413)</f>
        <v>0</v>
      </c>
      <c r="H414" s="678"/>
      <c r="J414" s="679">
        <v>123344.14000000003</v>
      </c>
      <c r="K414" s="679">
        <f>+E414-J414</f>
        <v>34997.639999999941</v>
      </c>
    </row>
    <row r="415" spans="1:11">
      <c r="A415" s="673"/>
      <c r="C415" s="674"/>
      <c r="D415" s="675"/>
      <c r="E415" s="677"/>
      <c r="F415" s="684"/>
      <c r="G415" s="677"/>
      <c r="H415" s="678"/>
    </row>
    <row r="416" spans="1:11" s="1403" customFormat="1">
      <c r="A416" s="1408">
        <v>5705</v>
      </c>
      <c r="B416" s="1397" t="str">
        <f>INDEX('TB Clean'!$B$2:$B$464,MATCH('Linked TB'!A416,'TB Clean'!$A$2:$A$464,0))</f>
        <v xml:space="preserve">    INSURANCE-GEN LIAB</v>
      </c>
      <c r="C416" s="1398">
        <v>0</v>
      </c>
      <c r="D416" s="1399">
        <v>0</v>
      </c>
      <c r="E416" s="1400">
        <f>INDEX('TB Clean'!$D$2:$D$464,MATCH('Linked TB'!A416,'TB Clean'!$A$2:$A$464,0))</f>
        <v>60192.729999999996</v>
      </c>
      <c r="F416" s="1401">
        <f>+IF(UPPER(H416)="ACTUAL",C416,INDEX(ALLOCATION_TABLE,MATCH(UPPER(H416),INDEX(ALLOCATION_TABLE,0,1),0),5)*E416)</f>
        <v>60192.729999999996</v>
      </c>
      <c r="G416" s="1400">
        <f>+E416-F416</f>
        <v>0</v>
      </c>
      <c r="H416" s="1402" t="s">
        <v>428</v>
      </c>
    </row>
    <row r="417" spans="1:11">
      <c r="A417" s="685">
        <v>5715</v>
      </c>
      <c r="B417" s="654" t="str">
        <f>INDEX('TB Clean'!$B$2:$B$464,MATCH('Linked TB'!A417,'TB Clean'!$A$2:$A$464,0))</f>
        <v xml:space="preserve">    INSURANCE-OTHER</v>
      </c>
      <c r="C417" s="674">
        <v>0</v>
      </c>
      <c r="D417" s="675">
        <v>0</v>
      </c>
      <c r="E417" s="677">
        <f>INDEX('TB Clean'!$D$2:$D$464,MATCH('Linked TB'!A417,'TB Clean'!$A$2:$A$464,0))</f>
        <v>8899.9</v>
      </c>
      <c r="F417" s="684">
        <f>+IF(UPPER(H417)="ACTUAL",C417,INDEX(ALLOCATION_TABLE,MATCH(UPPER(H417),INDEX(ALLOCATION_TABLE,0,1),0),5)*E417)</f>
        <v>8899.9</v>
      </c>
      <c r="G417" s="677">
        <f>+E417-F417</f>
        <v>0</v>
      </c>
      <c r="H417" s="678" t="s">
        <v>428</v>
      </c>
    </row>
    <row r="418" spans="1:11" ht="5.0999999999999996" customHeight="1">
      <c r="A418" s="673"/>
      <c r="C418" s="681">
        <v>0</v>
      </c>
      <c r="D418" s="682">
        <v>0</v>
      </c>
      <c r="E418" s="683">
        <v>0</v>
      </c>
      <c r="F418" s="689">
        <v>0</v>
      </c>
      <c r="G418" s="683">
        <v>0</v>
      </c>
      <c r="H418" s="678"/>
    </row>
    <row r="419" spans="1:11">
      <c r="A419" s="673" t="s">
        <v>959</v>
      </c>
      <c r="B419" s="654" t="s">
        <v>995</v>
      </c>
      <c r="C419" s="684">
        <f>SUM(C416:C418)</f>
        <v>0</v>
      </c>
      <c r="D419" s="677">
        <f>SUM(D416:D418)</f>
        <v>0</v>
      </c>
      <c r="E419" s="677">
        <f>SUM(E416:E418)</f>
        <v>69092.62999999999</v>
      </c>
      <c r="F419" s="684">
        <f>SUM(F416:F418)</f>
        <v>69092.62999999999</v>
      </c>
      <c r="G419" s="677">
        <f>SUM(G416:G418)</f>
        <v>0</v>
      </c>
      <c r="H419" s="678"/>
      <c r="J419" s="679">
        <v>59054.22</v>
      </c>
      <c r="K419" s="679">
        <f>+E419-J419</f>
        <v>10038.409999999989</v>
      </c>
    </row>
    <row r="420" spans="1:11">
      <c r="A420" s="673"/>
      <c r="C420" s="684"/>
      <c r="D420" s="677"/>
      <c r="E420" s="677"/>
      <c r="F420" s="684"/>
      <c r="G420" s="677"/>
      <c r="H420" s="678"/>
    </row>
    <row r="421" spans="1:11">
      <c r="A421" s="685">
        <v>5735</v>
      </c>
      <c r="B421" s="654" t="str">
        <f>INDEX('TB Clean'!$B$2:$B$464,MATCH('Linked TB'!A421,'TB Clean'!$A$2:$A$464,0))</f>
        <v xml:space="preserve">    COMPUTER MAINTENANCE</v>
      </c>
      <c r="C421" s="674">
        <v>0</v>
      </c>
      <c r="D421" s="675">
        <v>0</v>
      </c>
      <c r="E421" s="677">
        <f>INDEX('TB Clean'!$D$2:$D$464,MATCH('Linked TB'!A421,'TB Clean'!$A$2:$A$464,0))</f>
        <v>20253.769999999997</v>
      </c>
      <c r="F421" s="684">
        <f>+IF(UPPER(H421)="ACTUAL",C421,INDEX(ALLOCATION_TABLE,MATCH(UPPER(H421),INDEX(ALLOCATION_TABLE,0,1),0),5)*E421)</f>
        <v>20253.769999999997</v>
      </c>
      <c r="G421" s="677">
        <f>+E421-F421</f>
        <v>0</v>
      </c>
      <c r="H421" s="678" t="s">
        <v>428</v>
      </c>
    </row>
    <row r="422" spans="1:11">
      <c r="A422" s="685">
        <v>5740</v>
      </c>
      <c r="B422" s="654" t="str">
        <f>INDEX('TB Clean'!$B$2:$B$464,MATCH('Linked TB'!A422,'TB Clean'!$A$2:$A$464,0))</f>
        <v xml:space="preserve">    COMPUTER SUPPLIES</v>
      </c>
      <c r="C422" s="674">
        <v>0</v>
      </c>
      <c r="D422" s="675">
        <v>0</v>
      </c>
      <c r="E422" s="677">
        <f>INDEX('TB Clean'!$D$2:$D$464,MATCH('Linked TB'!A422,'TB Clean'!$A$2:$A$464,0))</f>
        <v>0.59000000000000008</v>
      </c>
      <c r="F422" s="684">
        <f>+IF(UPPER(H422)="ACTUAL",C422,INDEX(ALLOCATION_TABLE,MATCH(UPPER(H422),INDEX(ALLOCATION_TABLE,0,1),0),5)*E422)</f>
        <v>0.59000000000000008</v>
      </c>
      <c r="G422" s="677">
        <f>+E422-F422</f>
        <v>0</v>
      </c>
      <c r="H422" s="678" t="s">
        <v>428</v>
      </c>
    </row>
    <row r="423" spans="1:11">
      <c r="A423" s="673">
        <v>5745</v>
      </c>
      <c r="B423" s="654" t="str">
        <f>INDEX('TB Clean'!$B$2:$B$464,MATCH('Linked TB'!A423,'TB Clean'!$A$2:$A$464,0))</f>
        <v xml:space="preserve">    COMPUTER AMORT &amp; PROG COST</v>
      </c>
      <c r="C423" s="674">
        <v>0</v>
      </c>
      <c r="D423" s="675">
        <v>0</v>
      </c>
      <c r="E423" s="677">
        <f>INDEX('TB Clean'!$D$2:$D$464,MATCH('Linked TB'!A423,'TB Clean'!$A$2:$A$464,0))</f>
        <v>-0.14000000000000057</v>
      </c>
      <c r="F423" s="684">
        <f>+IF(UPPER(H423)="ACTUAL",C423,INDEX(ALLOCATION_TABLE,MATCH(UPPER(H423),INDEX(ALLOCATION_TABLE,0,1),0),5)*E423)</f>
        <v>-0.14000000000000057</v>
      </c>
      <c r="G423" s="677">
        <f>+E423-F423</f>
        <v>0</v>
      </c>
      <c r="H423" s="678" t="s">
        <v>428</v>
      </c>
    </row>
    <row r="424" spans="1:11">
      <c r="A424" s="685">
        <v>5750</v>
      </c>
      <c r="B424" s="654" t="str">
        <f>INDEX('TB Clean'!$B$2:$B$464,MATCH('Linked TB'!A424,'TB Clean'!$A$2:$A$464,0))</f>
        <v xml:space="preserve">    INTERNET SUPPLIER</v>
      </c>
      <c r="C424" s="674">
        <v>0</v>
      </c>
      <c r="D424" s="675">
        <v>0</v>
      </c>
      <c r="E424" s="677">
        <f>INDEX('TB Clean'!$D$2:$D$464,MATCH('Linked TB'!A424,'TB Clean'!$A$2:$A$464,0))</f>
        <v>3003.9700000000003</v>
      </c>
      <c r="F424" s="684">
        <f>+IF(UPPER(H424)="ACTUAL",C424,INDEX(ALLOCATION_TABLE,MATCH(UPPER(H424),INDEX(ALLOCATION_TABLE,0,1),0),5)*E424)</f>
        <v>3003.9700000000003</v>
      </c>
      <c r="G424" s="677">
        <f>+E424-F424</f>
        <v>0</v>
      </c>
      <c r="H424" s="678" t="s">
        <v>428</v>
      </c>
    </row>
    <row r="425" spans="1:11">
      <c r="A425" s="685">
        <v>5755</v>
      </c>
      <c r="B425" s="654" t="str">
        <f>INDEX('TB Clean'!$B$2:$B$464,MATCH('Linked TB'!A425,'TB Clean'!$A$2:$A$464,0))</f>
        <v xml:space="preserve">    MICROFILMING</v>
      </c>
      <c r="C425" s="674">
        <f t="shared" ref="C425" si="69">E425</f>
        <v>0</v>
      </c>
      <c r="D425" s="675">
        <v>0</v>
      </c>
      <c r="E425" s="677">
        <f>INDEX('TB Clean'!$D$2:$D$464,MATCH('Linked TB'!A425,'TB Clean'!$A$2:$A$464,0))</f>
        <v>0</v>
      </c>
      <c r="F425" s="684">
        <f>+IF(UPPER(H425)="ACTUAL",C425,INDEX(ALLOCATION_TABLE,MATCH(UPPER(H425),INDEX(ALLOCATION_TABLE,0,1),0),5)*E425)</f>
        <v>0</v>
      </c>
      <c r="G425" s="677">
        <f>+E425-F425</f>
        <v>0</v>
      </c>
      <c r="H425" s="678" t="s">
        <v>428</v>
      </c>
    </row>
    <row r="426" spans="1:11" ht="5.0999999999999996" customHeight="1">
      <c r="A426" s="673"/>
      <c r="C426" s="681">
        <v>0</v>
      </c>
      <c r="D426" s="682">
        <v>0</v>
      </c>
      <c r="E426" s="683">
        <v>0</v>
      </c>
      <c r="F426" s="689">
        <v>0</v>
      </c>
      <c r="G426" s="683">
        <v>0</v>
      </c>
      <c r="H426" s="678"/>
    </row>
    <row r="427" spans="1:11">
      <c r="A427" s="673" t="s">
        <v>959</v>
      </c>
      <c r="B427" s="654" t="s">
        <v>996</v>
      </c>
      <c r="C427" s="684">
        <f>SUM(C421:C426)</f>
        <v>0</v>
      </c>
      <c r="D427" s="677">
        <f>SUM(D421:D426)</f>
        <v>0</v>
      </c>
      <c r="E427" s="677">
        <f>SUM(E421:E426)</f>
        <v>23258.19</v>
      </c>
      <c r="F427" s="684">
        <f>SUM(F421:F426)</f>
        <v>23258.19</v>
      </c>
      <c r="G427" s="677">
        <f>SUM(G421:G426)</f>
        <v>0</v>
      </c>
      <c r="H427" s="678"/>
      <c r="J427" s="679">
        <v>52512.359999999986</v>
      </c>
      <c r="K427" s="679">
        <f>+E427-J427</f>
        <v>-29254.169999999987</v>
      </c>
    </row>
    <row r="428" spans="1:11">
      <c r="A428" s="673"/>
      <c r="C428" s="684"/>
      <c r="D428" s="677"/>
      <c r="E428" s="677"/>
      <c r="F428" s="684"/>
      <c r="G428" s="677"/>
      <c r="H428" s="678"/>
    </row>
    <row r="429" spans="1:11">
      <c r="A429" s="673">
        <v>5785</v>
      </c>
      <c r="B429" s="654" t="str">
        <f>INDEX('TB Clean'!$B$2:$B$464,MATCH('Linked TB'!A429,'TB Clean'!$A$2:$A$464,0))</f>
        <v xml:space="preserve">    ADVERTISING/MARKETING</v>
      </c>
      <c r="C429" s="674">
        <v>0</v>
      </c>
      <c r="D429" s="675">
        <v>0</v>
      </c>
      <c r="E429" s="677">
        <f>INDEX('TB Clean'!$D$2:$D$464,MATCH('Linked TB'!A429,'TB Clean'!$A$2:$A$464,0))</f>
        <v>1001.8499999999999</v>
      </c>
      <c r="F429" s="684">
        <f>+IF(UPPER(H429)="ACTUAL",C429,INDEX(ALLOCATION_TABLE,MATCH(UPPER(H429),INDEX(ALLOCATION_TABLE,0,1),0),5)*E429)</f>
        <v>1001.8499999999999</v>
      </c>
      <c r="G429" s="677">
        <f t="shared" ref="G429:G437" si="70">+E429-F429</f>
        <v>0</v>
      </c>
      <c r="H429" s="678" t="s">
        <v>428</v>
      </c>
    </row>
    <row r="430" spans="1:11">
      <c r="A430" s="673">
        <v>5790</v>
      </c>
      <c r="B430" s="654" t="str">
        <f>INDEX('TB Clean'!$B$2:$B$464,MATCH('Linked TB'!A430,'TB Clean'!$A$2:$A$464,0))</f>
        <v xml:space="preserve">    BANK SERVICE CHARGE</v>
      </c>
      <c r="C430" s="674">
        <v>0</v>
      </c>
      <c r="D430" s="675">
        <v>0</v>
      </c>
      <c r="E430" s="677">
        <f>INDEX('TB Clean'!$D$2:$D$464,MATCH('Linked TB'!A430,'TB Clean'!$A$2:$A$464,0))</f>
        <v>2826.62</v>
      </c>
      <c r="F430" s="684">
        <f>+IF(UPPER(H430)="ACTUAL",C430,INDEX(ALLOCATION_TABLE,MATCH(UPPER(H430),INDEX(ALLOCATION_TABLE,0,1),0),5)*E430)</f>
        <v>2826.62</v>
      </c>
      <c r="G430" s="677">
        <f t="shared" si="70"/>
        <v>0</v>
      </c>
      <c r="H430" s="678" t="s">
        <v>428</v>
      </c>
    </row>
    <row r="431" spans="1:11">
      <c r="A431" s="673">
        <v>5795</v>
      </c>
      <c r="B431" s="654" t="str">
        <f>INDEX('TB Clean'!$B$2:$B$464,MATCH('Linked TB'!A431,'TB Clean'!$A$2:$A$464,0))</f>
        <v xml:space="preserve">    CONTRIBUTIONS</v>
      </c>
      <c r="C431" s="674">
        <v>0</v>
      </c>
      <c r="D431" s="675">
        <v>0</v>
      </c>
      <c r="E431" s="677">
        <f>INDEX('TB Clean'!$D$2:$D$464,MATCH('Linked TB'!A431,'TB Clean'!$A$2:$A$464,0))</f>
        <v>27.49</v>
      </c>
      <c r="F431" s="684">
        <f>+IF(UPPER(H431)="ACTUAL",C431,INDEX(ALLOCATION_TABLE,MATCH(UPPER(H431),INDEX(ALLOCATION_TABLE,0,1),0),5)*E431)</f>
        <v>27.49</v>
      </c>
      <c r="G431" s="677">
        <f t="shared" ref="G431" si="71">+E431-F431</f>
        <v>0</v>
      </c>
      <c r="H431" s="678" t="s">
        <v>428</v>
      </c>
    </row>
    <row r="432" spans="1:11">
      <c r="A432" s="673">
        <v>5800</v>
      </c>
      <c r="B432" s="654" t="str">
        <f>INDEX('TB Clean'!$B$2:$B$464,MATCH('Linked TB'!A432,'TB Clean'!$A$2:$A$464,0))</f>
        <v xml:space="preserve">    LETTER OF CREDIT FEE</v>
      </c>
      <c r="C432" s="674">
        <v>0</v>
      </c>
      <c r="D432" s="675">
        <v>0</v>
      </c>
      <c r="E432" s="677">
        <f>INDEX('TB Clean'!$D$2:$D$464,MATCH('Linked TB'!A432,'TB Clean'!$A$2:$A$464,0))</f>
        <v>0</v>
      </c>
      <c r="F432" s="684">
        <f t="shared" ref="F432:F437" si="72">+IF(UPPER(H432)="ACTUAL",C432,INDEX(ALLOCATION_TABLE,MATCH(UPPER(H432),INDEX(ALLOCATION_TABLE,0,1),0),5)*E432)</f>
        <v>0</v>
      </c>
      <c r="G432" s="677">
        <f t="shared" si="70"/>
        <v>0</v>
      </c>
      <c r="H432" s="678" t="s">
        <v>428</v>
      </c>
    </row>
    <row r="433" spans="1:11">
      <c r="A433" s="673">
        <v>5805</v>
      </c>
      <c r="B433" s="654" t="str">
        <f>INDEX('TB Clean'!$B$2:$B$464,MATCH('Linked TB'!A433,'TB Clean'!$A$2:$A$464,0))</f>
        <v xml:space="preserve">    LICENSE FEES</v>
      </c>
      <c r="C433" s="674">
        <v>0</v>
      </c>
      <c r="D433" s="675">
        <v>0</v>
      </c>
      <c r="E433" s="677">
        <f>INDEX('TB Clean'!$D$2:$D$464,MATCH('Linked TB'!A433,'TB Clean'!$A$2:$A$464,0))</f>
        <v>324.63</v>
      </c>
      <c r="F433" s="684">
        <f>+IF(UPPER(H433)="ACTUAL",C433,INDEX(ALLOCATION_TABLE,MATCH(UPPER(H433),INDEX(ALLOCATION_TABLE,0,1),0),5)*E433)</f>
        <v>324.63</v>
      </c>
      <c r="G433" s="677">
        <f t="shared" si="70"/>
        <v>0</v>
      </c>
      <c r="H433" s="678" t="s">
        <v>428</v>
      </c>
    </row>
    <row r="434" spans="1:11">
      <c r="A434" s="673">
        <v>5810</v>
      </c>
      <c r="B434" s="654" t="str">
        <f>INDEX('TB Clean'!$B$2:$B$464,MATCH('Linked TB'!A434,'TB Clean'!$A$2:$A$464,0))</f>
        <v xml:space="preserve">    MEMBERSHIPS</v>
      </c>
      <c r="C434" s="674">
        <v>0</v>
      </c>
      <c r="D434" s="675">
        <v>0</v>
      </c>
      <c r="E434" s="677">
        <f>INDEX('TB Clean'!$D$2:$D$464,MATCH('Linked TB'!A434,'TB Clean'!$A$2:$A$464,0))</f>
        <v>5560.51</v>
      </c>
      <c r="F434" s="684">
        <f t="shared" si="72"/>
        <v>5560.51</v>
      </c>
      <c r="G434" s="677">
        <f t="shared" si="70"/>
        <v>0</v>
      </c>
      <c r="H434" s="678" t="s">
        <v>428</v>
      </c>
    </row>
    <row r="435" spans="1:11">
      <c r="A435" s="673">
        <v>5815</v>
      </c>
      <c r="B435" s="654" t="str">
        <f>INDEX('TB Clean'!$B$2:$B$464,MATCH('Linked TB'!A435,'TB Clean'!$A$2:$A$464,0))</f>
        <v xml:space="preserve">    PENALTIES/FINES</v>
      </c>
      <c r="C435" s="674">
        <v>0</v>
      </c>
      <c r="D435" s="675">
        <v>0</v>
      </c>
      <c r="E435" s="677">
        <f>INDEX('TB Clean'!$D$2:$D$464,MATCH('Linked TB'!A435,'TB Clean'!$A$2:$A$464,0))</f>
        <v>2.7099999999998863</v>
      </c>
      <c r="F435" s="684">
        <f t="shared" si="72"/>
        <v>2.7099999999998863</v>
      </c>
      <c r="G435" s="677">
        <f t="shared" si="70"/>
        <v>0</v>
      </c>
      <c r="H435" s="678" t="s">
        <v>428</v>
      </c>
    </row>
    <row r="436" spans="1:11">
      <c r="A436" s="673">
        <v>5820</v>
      </c>
      <c r="B436" s="654" t="str">
        <f>INDEX('TB Clean'!$B$2:$B$464,MATCH('Linked TB'!A436,'TB Clean'!$A$2:$A$464,0))</f>
        <v xml:space="preserve">    TRAINING EXPENSE</v>
      </c>
      <c r="C436" s="674">
        <v>0</v>
      </c>
      <c r="D436" s="675">
        <v>0</v>
      </c>
      <c r="E436" s="677">
        <f>INDEX('TB Clean'!$D$2:$D$464,MATCH('Linked TB'!A436,'TB Clean'!$A$2:$A$464,0))</f>
        <v>913.08999999999992</v>
      </c>
      <c r="F436" s="684">
        <f t="shared" si="72"/>
        <v>913.08999999999992</v>
      </c>
      <c r="G436" s="677">
        <f t="shared" si="70"/>
        <v>0</v>
      </c>
      <c r="H436" s="678" t="s">
        <v>428</v>
      </c>
    </row>
    <row r="437" spans="1:11">
      <c r="A437" s="673">
        <v>5825</v>
      </c>
      <c r="B437" s="654" t="str">
        <f>INDEX('TB Clean'!$B$2:$B$464,MATCH('Linked TB'!A437,'TB Clean'!$A$2:$A$464,0))</f>
        <v xml:space="preserve">    OTHER MISC EXPENSE</v>
      </c>
      <c r="C437" s="674">
        <v>0</v>
      </c>
      <c r="D437" s="675">
        <v>0</v>
      </c>
      <c r="E437" s="677">
        <f>INDEX('TB Clean'!$D$2:$D$464,MATCH('Linked TB'!A437,'TB Clean'!$A$2:$A$464,0))</f>
        <v>310.44999999999993</v>
      </c>
      <c r="F437" s="684">
        <f t="shared" si="72"/>
        <v>310.44999999999993</v>
      </c>
      <c r="G437" s="677">
        <f t="shared" si="70"/>
        <v>0</v>
      </c>
      <c r="H437" s="678" t="s">
        <v>428</v>
      </c>
    </row>
    <row r="438" spans="1:11" ht="5.0999999999999996" customHeight="1">
      <c r="A438" s="673"/>
      <c r="C438" s="681">
        <v>0</v>
      </c>
      <c r="D438" s="682">
        <v>0</v>
      </c>
      <c r="E438" s="683">
        <v>0</v>
      </c>
      <c r="F438" s="689">
        <v>0</v>
      </c>
      <c r="G438" s="683">
        <v>0</v>
      </c>
      <c r="H438" s="678"/>
    </row>
    <row r="439" spans="1:11">
      <c r="A439" s="673" t="s">
        <v>959</v>
      </c>
      <c r="B439" s="654" t="s">
        <v>997</v>
      </c>
      <c r="C439" s="684">
        <f>SUM(C429:C438)</f>
        <v>0</v>
      </c>
      <c r="D439" s="677">
        <f>SUM(D432:D438)</f>
        <v>0</v>
      </c>
      <c r="E439" s="677">
        <f>SUM(E429:E438)</f>
        <v>10967.349999999999</v>
      </c>
      <c r="F439" s="684">
        <f>SUM(F429:F438)</f>
        <v>10967.349999999999</v>
      </c>
      <c r="G439" s="677">
        <f>SUM(G429:G438)</f>
        <v>0</v>
      </c>
      <c r="H439" s="678"/>
      <c r="J439" s="679">
        <v>19396.939999999999</v>
      </c>
      <c r="K439" s="679">
        <f>+E439-J439</f>
        <v>-8429.59</v>
      </c>
    </row>
    <row r="440" spans="1:11">
      <c r="A440" s="673"/>
      <c r="C440" s="674"/>
      <c r="D440" s="675"/>
      <c r="E440" s="677"/>
      <c r="F440" s="684"/>
      <c r="G440" s="677"/>
      <c r="H440" s="678"/>
    </row>
    <row r="441" spans="1:11">
      <c r="A441" s="673">
        <v>5855</v>
      </c>
      <c r="B441" s="654" t="str">
        <f>INDEX('TB Clean'!$B$2:$B$464,MATCH('Linked TB'!A441,'TB Clean'!$A$2:$A$464,0))</f>
        <v xml:space="preserve">    ANSWERING SERVICE</v>
      </c>
      <c r="C441" s="674">
        <v>0</v>
      </c>
      <c r="D441" s="675">
        <v>0</v>
      </c>
      <c r="E441" s="677">
        <f>INDEX('TB Clean'!$D$2:$D$464,MATCH('Linked TB'!A441,'TB Clean'!$A$2:$A$464,0))</f>
        <v>646.5</v>
      </c>
      <c r="F441" s="684">
        <f>+IF(UPPER(H441)="ACTUAL",C441,INDEX(ALLOCATION_TABLE,MATCH(UPPER(H441),INDEX(ALLOCATION_TABLE,0,1),0),5)*E441)</f>
        <v>646.5</v>
      </c>
      <c r="G441" s="677">
        <f>+E441-F441</f>
        <v>0</v>
      </c>
      <c r="H441" s="678" t="s">
        <v>428</v>
      </c>
    </row>
    <row r="442" spans="1:11">
      <c r="A442" s="673">
        <v>5860</v>
      </c>
      <c r="B442" s="654" t="str">
        <f>INDEX('TB Clean'!$B$2:$B$464,MATCH('Linked TB'!A442,'TB Clean'!$A$2:$A$464,0))</f>
        <v xml:space="preserve">    CLEANING SUPPLIES</v>
      </c>
      <c r="C442" s="674">
        <v>0</v>
      </c>
      <c r="D442" s="675">
        <v>0</v>
      </c>
      <c r="E442" s="677">
        <f>INDEX('TB Clean'!$D$2:$D$464,MATCH('Linked TB'!A442,'TB Clean'!$A$2:$A$464,0))</f>
        <v>1071.3200000000002</v>
      </c>
      <c r="F442" s="684">
        <f t="shared" ref="F442:F450" si="73">+IF(UPPER(H442)="ACTUAL",C442,INDEX(ALLOCATION_TABLE,MATCH(UPPER(H442),INDEX(ALLOCATION_TABLE,0,1),0),5)*E442)</f>
        <v>1071.3200000000002</v>
      </c>
      <c r="G442" s="677">
        <f>+E442-F442</f>
        <v>0</v>
      </c>
      <c r="H442" s="678" t="s">
        <v>428</v>
      </c>
    </row>
    <row r="443" spans="1:11">
      <c r="A443" s="673">
        <v>5865</v>
      </c>
      <c r="B443" s="654" t="str">
        <f>INDEX('TB Clean'!$B$2:$B$464,MATCH('Linked TB'!A443,'TB Clean'!$A$2:$A$464,0))</f>
        <v xml:space="preserve">    COPY MACHINE</v>
      </c>
      <c r="C443" s="674">
        <v>0</v>
      </c>
      <c r="D443" s="675">
        <v>0</v>
      </c>
      <c r="E443" s="677">
        <f>INDEX('TB Clean'!$D$2:$D$464,MATCH('Linked TB'!A443,'TB Clean'!$A$2:$A$464,0))</f>
        <v>1155.4299999999998</v>
      </c>
      <c r="F443" s="684">
        <f>+IF(UPPER(H443)="ACTUAL",C443,INDEX(ALLOCATION_TABLE,MATCH(UPPER(H443),INDEX(ALLOCATION_TABLE,0,1),0),5)*E443)</f>
        <v>1155.4299999999998</v>
      </c>
      <c r="G443" s="677">
        <f t="shared" ref="G443:G450" si="74">+E443-F443</f>
        <v>0</v>
      </c>
      <c r="H443" s="678" t="s">
        <v>428</v>
      </c>
    </row>
    <row r="444" spans="1:11">
      <c r="A444" s="673">
        <v>5870</v>
      </c>
      <c r="B444" s="654" t="str">
        <f>INDEX('TB Clean'!$B$2:$B$464,MATCH('Linked TB'!A444,'TB Clean'!$A$2:$A$464,0))</f>
        <v xml:space="preserve">    HOLIDAY EVENTS/PICNICS</v>
      </c>
      <c r="C444" s="674">
        <v>0</v>
      </c>
      <c r="D444" s="675">
        <v>0</v>
      </c>
      <c r="E444" s="677">
        <f>INDEX('TB Clean'!$D$2:$D$464,MATCH('Linked TB'!A444,'TB Clean'!$A$2:$A$464,0))</f>
        <v>407.09</v>
      </c>
      <c r="F444" s="684">
        <f>+IF(UPPER(H444)="ACTUAL",C444,INDEX(ALLOCATION_TABLE,MATCH(UPPER(H444),INDEX(ALLOCATION_TABLE,0,1),0),5)*E444)</f>
        <v>407.09</v>
      </c>
      <c r="G444" s="677">
        <f t="shared" si="74"/>
        <v>0</v>
      </c>
      <c r="H444" s="678" t="s">
        <v>428</v>
      </c>
    </row>
    <row r="445" spans="1:11">
      <c r="A445" s="673">
        <v>5875</v>
      </c>
      <c r="B445" s="654" t="str">
        <f>INDEX('TB Clean'!$B$2:$B$464,MATCH('Linked TB'!A445,'TB Clean'!$A$2:$A$464,0))</f>
        <v xml:space="preserve">    KITCHEN SUPPLIES</v>
      </c>
      <c r="C445" s="674">
        <v>0</v>
      </c>
      <c r="D445" s="675">
        <v>0</v>
      </c>
      <c r="E445" s="677">
        <f>INDEX('TB Clean'!$D$2:$D$464,MATCH('Linked TB'!A445,'TB Clean'!$A$2:$A$464,0))</f>
        <v>306.73</v>
      </c>
      <c r="F445" s="684">
        <f>+IF(UPPER(H445)="ACTUAL",C445,INDEX(ALLOCATION_TABLE,MATCH(UPPER(H445),INDEX(ALLOCATION_TABLE,0,1),0),5)*E445)</f>
        <v>306.73</v>
      </c>
      <c r="G445" s="677">
        <f t="shared" si="74"/>
        <v>0</v>
      </c>
      <c r="H445" s="678" t="s">
        <v>428</v>
      </c>
    </row>
    <row r="446" spans="1:11">
      <c r="A446" s="685">
        <v>5880</v>
      </c>
      <c r="B446" s="654" t="str">
        <f>INDEX('TB Clean'!$B$2:$B$464,MATCH('Linked TB'!A446,'TB Clean'!$A$2:$A$464,0))</f>
        <v xml:space="preserve">    OFFICE SUPPLY STORES</v>
      </c>
      <c r="C446" s="674">
        <v>0</v>
      </c>
      <c r="D446" s="675">
        <v>0</v>
      </c>
      <c r="E446" s="677">
        <f>INDEX('TB Clean'!$D$2:$D$464,MATCH('Linked TB'!A446,'TB Clean'!$A$2:$A$464,0))</f>
        <v>1070.0699999999997</v>
      </c>
      <c r="F446" s="684">
        <f t="shared" si="73"/>
        <v>1070.0699999999997</v>
      </c>
      <c r="G446" s="677">
        <f t="shared" si="74"/>
        <v>0</v>
      </c>
      <c r="H446" s="678" t="s">
        <v>428</v>
      </c>
    </row>
    <row r="447" spans="1:11">
      <c r="A447" s="685">
        <v>5885</v>
      </c>
      <c r="B447" s="654" t="str">
        <f>INDEX('TB Clean'!$B$2:$B$464,MATCH('Linked TB'!A447,'TB Clean'!$A$2:$A$464,0))</f>
        <v xml:space="preserve">    PRINTING/BLUEPRINTS</v>
      </c>
      <c r="C447" s="674">
        <v>0</v>
      </c>
      <c r="D447" s="675">
        <v>0</v>
      </c>
      <c r="E447" s="677">
        <f>INDEX('TB Clean'!$D$2:$D$464,MATCH('Linked TB'!A447,'TB Clean'!$A$2:$A$464,0))</f>
        <v>232.04000000000002</v>
      </c>
      <c r="F447" s="684">
        <f>+IF(UPPER(H447)="ACTUAL",C447,INDEX(ALLOCATION_TABLE,MATCH(UPPER(H447),INDEX(ALLOCATION_TABLE,0,1),0),5)*E447)</f>
        <v>232.04000000000002</v>
      </c>
      <c r="G447" s="677">
        <f t="shared" si="74"/>
        <v>0</v>
      </c>
      <c r="H447" s="678" t="s">
        <v>428</v>
      </c>
    </row>
    <row r="448" spans="1:11">
      <c r="A448" s="685">
        <v>5890</v>
      </c>
      <c r="B448" s="654" t="str">
        <f>INDEX('TB Clean'!$B$2:$B$464,MATCH('Linked TB'!A448,'TB Clean'!$A$2:$A$464,0))</f>
        <v xml:space="preserve">    PUBL SUBSCRIPTIONS/TAPES</v>
      </c>
      <c r="C448" s="674">
        <v>0</v>
      </c>
      <c r="D448" s="675">
        <v>0</v>
      </c>
      <c r="E448" s="677">
        <f>INDEX('TB Clean'!$D$2:$D$464,MATCH('Linked TB'!A448,'TB Clean'!$A$2:$A$464,0))</f>
        <v>7.42</v>
      </c>
      <c r="F448" s="684">
        <f>+IF(UPPER(H448)="ACTUAL",C448,INDEX(ALLOCATION_TABLE,MATCH(UPPER(H448),INDEX(ALLOCATION_TABLE,0,1),0),5)*E448)</f>
        <v>7.42</v>
      </c>
      <c r="G448" s="677">
        <f t="shared" si="74"/>
        <v>0</v>
      </c>
      <c r="H448" s="678" t="s">
        <v>428</v>
      </c>
    </row>
    <row r="449" spans="1:11">
      <c r="A449" s="673">
        <v>5895</v>
      </c>
      <c r="B449" s="654" t="str">
        <f>INDEX('TB Clean'!$B$2:$B$464,MATCH('Linked TB'!A449,'TB Clean'!$A$2:$A$464,0))</f>
        <v xml:space="preserve">    SHIPPING CHARGES</v>
      </c>
      <c r="C449" s="674">
        <v>0</v>
      </c>
      <c r="D449" s="675">
        <v>0</v>
      </c>
      <c r="E449" s="677">
        <f>INDEX('TB Clean'!$D$2:$D$464,MATCH('Linked TB'!A449,'TB Clean'!$A$2:$A$464,0))</f>
        <v>5252.3500000000022</v>
      </c>
      <c r="F449" s="684">
        <f t="shared" si="73"/>
        <v>5252.3500000000022</v>
      </c>
      <c r="G449" s="677">
        <f t="shared" si="74"/>
        <v>0</v>
      </c>
      <c r="H449" s="678" t="s">
        <v>428</v>
      </c>
    </row>
    <row r="450" spans="1:11">
      <c r="A450" s="673">
        <v>5900</v>
      </c>
      <c r="B450" s="654" t="str">
        <f>INDEX('TB Clean'!$B$2:$B$464,MATCH('Linked TB'!A450,'TB Clean'!$A$2:$A$464,0))</f>
        <v xml:space="preserve">    OTHER OFFICE EXPENSES</v>
      </c>
      <c r="C450" s="674">
        <v>0</v>
      </c>
      <c r="D450" s="675">
        <v>0</v>
      </c>
      <c r="E450" s="677">
        <f>INDEX('TB Clean'!$D$2:$D$464,MATCH('Linked TB'!A450,'TB Clean'!$A$2:$A$464,0))</f>
        <v>1024.8499999999999</v>
      </c>
      <c r="F450" s="684">
        <f t="shared" si="73"/>
        <v>1024.8499999999999</v>
      </c>
      <c r="G450" s="677">
        <f t="shared" si="74"/>
        <v>0</v>
      </c>
      <c r="H450" s="678" t="s">
        <v>428</v>
      </c>
    </row>
    <row r="451" spans="1:11" ht="5.0999999999999996" customHeight="1">
      <c r="A451" s="673"/>
      <c r="C451" s="681">
        <v>0</v>
      </c>
      <c r="D451" s="682">
        <v>0</v>
      </c>
      <c r="E451" s="683">
        <v>0</v>
      </c>
      <c r="F451" s="689">
        <v>0</v>
      </c>
      <c r="G451" s="683">
        <v>0</v>
      </c>
      <c r="H451" s="678"/>
    </row>
    <row r="452" spans="1:11">
      <c r="A452" s="673" t="s">
        <v>959</v>
      </c>
      <c r="B452" s="654" t="s">
        <v>998</v>
      </c>
      <c r="C452" s="684">
        <f>SUM(C441:C451)</f>
        <v>0</v>
      </c>
      <c r="D452" s="677">
        <f>SUM(D442:D451)</f>
        <v>0</v>
      </c>
      <c r="E452" s="677">
        <f>SUM(E441:E451)</f>
        <v>11173.800000000001</v>
      </c>
      <c r="F452" s="684">
        <f>SUM(F441:F451)</f>
        <v>11173.800000000001</v>
      </c>
      <c r="G452" s="677">
        <f>SUM(G441:G451)</f>
        <v>0</v>
      </c>
      <c r="H452" s="678"/>
      <c r="J452" s="679">
        <v>19162.830000000002</v>
      </c>
      <c r="K452" s="679">
        <f>+E452-J452</f>
        <v>-7989.0300000000007</v>
      </c>
    </row>
    <row r="453" spans="1:11">
      <c r="A453" s="673"/>
      <c r="C453" s="674"/>
      <c r="D453" s="675"/>
      <c r="E453" s="677"/>
      <c r="F453" s="684"/>
      <c r="G453" s="677"/>
      <c r="H453" s="678"/>
    </row>
    <row r="454" spans="1:11">
      <c r="A454" s="673">
        <v>5930</v>
      </c>
      <c r="B454" s="654" t="str">
        <f>INDEX('TB Clean'!$B$2:$B$464,MATCH('Linked TB'!A454,'TB Clean'!$A$2:$A$464,0))</f>
        <v xml:space="preserve">    OFFICE ELECTRIC</v>
      </c>
      <c r="C454" s="674">
        <v>0</v>
      </c>
      <c r="D454" s="675">
        <v>0</v>
      </c>
      <c r="E454" s="677">
        <f>INDEX('TB Clean'!$D$2:$D$464,MATCH('Linked TB'!A454,'TB Clean'!$A$2:$A$464,0))</f>
        <v>1456.05</v>
      </c>
      <c r="F454" s="684">
        <f t="shared" ref="F454:F465" si="75">+IF(UPPER(H454)="ACTUAL",C454,INDEX(ALLOCATION_TABLE,MATCH(UPPER(H454),INDEX(ALLOCATION_TABLE,0,1),0),5)*E454)</f>
        <v>1456.05</v>
      </c>
      <c r="G454" s="677">
        <f>+E454-F454</f>
        <v>0</v>
      </c>
      <c r="H454" s="678" t="s">
        <v>428</v>
      </c>
    </row>
    <row r="455" spans="1:11">
      <c r="A455" s="673">
        <v>5935</v>
      </c>
      <c r="B455" s="654" t="str">
        <f>INDEX('TB Clean'!$B$2:$B$464,MATCH('Linked TB'!A455,'TB Clean'!$A$2:$A$464,0))</f>
        <v xml:space="preserve">    OFFICE GAS</v>
      </c>
      <c r="C455" s="674">
        <v>0</v>
      </c>
      <c r="D455" s="675">
        <v>0</v>
      </c>
      <c r="E455" s="677">
        <f>INDEX('TB Clean'!$D$2:$D$464,MATCH('Linked TB'!A455,'TB Clean'!$A$2:$A$464,0))</f>
        <v>892.45</v>
      </c>
      <c r="F455" s="684">
        <f t="shared" si="75"/>
        <v>892.45</v>
      </c>
      <c r="G455" s="677">
        <f>+E455-F455</f>
        <v>0</v>
      </c>
      <c r="H455" s="678" t="s">
        <v>428</v>
      </c>
    </row>
    <row r="456" spans="1:11">
      <c r="A456" s="673">
        <v>5940</v>
      </c>
      <c r="B456" s="654" t="str">
        <f>INDEX('TB Clean'!$B$2:$B$464,MATCH('Linked TB'!A456,'TB Clean'!$A$2:$A$464,0))</f>
        <v xml:space="preserve">    OFFICE WATER</v>
      </c>
      <c r="C456" s="674">
        <v>0</v>
      </c>
      <c r="D456" s="675">
        <v>0</v>
      </c>
      <c r="E456" s="677">
        <f>INDEX('TB Clean'!$D$2:$D$464,MATCH('Linked TB'!A456,'TB Clean'!$A$2:$A$464,0))</f>
        <v>1054.5499999999997</v>
      </c>
      <c r="F456" s="684">
        <f t="shared" si="75"/>
        <v>1054.5499999999997</v>
      </c>
      <c r="G456" s="677">
        <f>+E456-F456</f>
        <v>0</v>
      </c>
      <c r="H456" s="678" t="s">
        <v>428</v>
      </c>
    </row>
    <row r="457" spans="1:11">
      <c r="A457" s="673">
        <v>5945</v>
      </c>
      <c r="B457" s="654" t="str">
        <f>INDEX('TB Clean'!$B$2:$B$464,MATCH('Linked TB'!A457,'TB Clean'!$A$2:$A$464,0))</f>
        <v xml:space="preserve">    OFFICE TELECOM</v>
      </c>
      <c r="C457" s="674">
        <v>0</v>
      </c>
      <c r="D457" s="675">
        <v>0</v>
      </c>
      <c r="E457" s="677">
        <f>INDEX('TB Clean'!$D$2:$D$464,MATCH('Linked TB'!A457,'TB Clean'!$A$2:$A$464,0))</f>
        <v>33287.329999999994</v>
      </c>
      <c r="F457" s="684">
        <f t="shared" si="75"/>
        <v>33287.329999999994</v>
      </c>
      <c r="G457" s="677">
        <f>+E457-F457</f>
        <v>0</v>
      </c>
      <c r="H457" s="678" t="s">
        <v>428</v>
      </c>
    </row>
    <row r="458" spans="1:11">
      <c r="A458" s="673">
        <v>5950</v>
      </c>
      <c r="B458" s="654" t="str">
        <f>INDEX('TB Clean'!$B$2:$B$464,MATCH('Linked TB'!A458,'TB Clean'!$A$2:$A$464,0))</f>
        <v xml:space="preserve">    OFFICE GARBAGE REMOVAL</v>
      </c>
      <c r="C458" s="674">
        <v>0</v>
      </c>
      <c r="D458" s="675">
        <v>0</v>
      </c>
      <c r="E458" s="677">
        <f>INDEX('TB Clean'!$D$2:$D$464,MATCH('Linked TB'!A458,'TB Clean'!$A$2:$A$464,0))</f>
        <v>1088.8899999999999</v>
      </c>
      <c r="F458" s="684">
        <f t="shared" si="75"/>
        <v>1088.8899999999999</v>
      </c>
      <c r="G458" s="677">
        <f>+E458-F458</f>
        <v>0</v>
      </c>
      <c r="H458" s="678" t="s">
        <v>428</v>
      </c>
    </row>
    <row r="459" spans="1:11">
      <c r="A459" s="673">
        <v>5955</v>
      </c>
      <c r="B459" s="654" t="str">
        <f>INDEX('TB Clean'!$B$2:$B$464,MATCH('Linked TB'!A459,'TB Clean'!$A$2:$A$464,0))</f>
        <v xml:space="preserve">    OFFICE LANDSCAPE / MOW / P</v>
      </c>
      <c r="C459" s="674">
        <v>0</v>
      </c>
      <c r="D459" s="675">
        <v>0</v>
      </c>
      <c r="E459" s="677">
        <f>INDEX('TB Clean'!$D$2:$D$464,MATCH('Linked TB'!A459,'TB Clean'!$A$2:$A$464,0))</f>
        <v>7343.2800000000007</v>
      </c>
      <c r="F459" s="684">
        <f t="shared" si="75"/>
        <v>7343.2800000000007</v>
      </c>
      <c r="G459" s="677">
        <f t="shared" ref="G459:G464" si="76">+E459-F459</f>
        <v>0</v>
      </c>
      <c r="H459" s="678" t="s">
        <v>428</v>
      </c>
    </row>
    <row r="460" spans="1:11">
      <c r="A460" s="673">
        <v>5960</v>
      </c>
      <c r="B460" s="654" t="str">
        <f>INDEX('TB Clean'!$B$2:$B$464,MATCH('Linked TB'!A460,'TB Clean'!$A$2:$A$464,0))</f>
        <v xml:space="preserve">    OFFICE ALARM SYS PHONE EXP</v>
      </c>
      <c r="C460" s="674">
        <v>0</v>
      </c>
      <c r="D460" s="675">
        <v>0</v>
      </c>
      <c r="E460" s="677">
        <f>INDEX('TB Clean'!$D$2:$D$464,MATCH('Linked TB'!A460,'TB Clean'!$A$2:$A$464,0))</f>
        <v>2305.1999999999994</v>
      </c>
      <c r="F460" s="684">
        <f t="shared" si="75"/>
        <v>2305.1999999999994</v>
      </c>
      <c r="G460" s="677">
        <f t="shared" si="76"/>
        <v>0</v>
      </c>
      <c r="H460" s="678" t="s">
        <v>428</v>
      </c>
    </row>
    <row r="461" spans="1:11">
      <c r="A461" s="673">
        <v>5965</v>
      </c>
      <c r="B461" s="654" t="str">
        <f>INDEX('TB Clean'!$B$2:$B$464,MATCH('Linked TB'!A461,'TB Clean'!$A$2:$A$464,0))</f>
        <v xml:space="preserve">    OFFICE MAINTENANCE</v>
      </c>
      <c r="C461" s="674">
        <v>0</v>
      </c>
      <c r="D461" s="675">
        <v>0</v>
      </c>
      <c r="E461" s="677">
        <f>INDEX('TB Clean'!$D$2:$D$464,MATCH('Linked TB'!A461,'TB Clean'!$A$2:$A$464,0))</f>
        <v>1365.25</v>
      </c>
      <c r="F461" s="684">
        <f t="shared" si="75"/>
        <v>1365.25</v>
      </c>
      <c r="G461" s="677">
        <f t="shared" si="76"/>
        <v>0</v>
      </c>
      <c r="H461" s="678" t="s">
        <v>428</v>
      </c>
    </row>
    <row r="462" spans="1:11">
      <c r="A462" s="673">
        <v>5970</v>
      </c>
      <c r="B462" s="654" t="str">
        <f>INDEX('TB Clean'!$B$2:$B$464,MATCH('Linked TB'!A462,'TB Clean'!$A$2:$A$464,0))</f>
        <v xml:space="preserve">    OFFICE CLEANING SERVICE</v>
      </c>
      <c r="C462" s="674">
        <v>0</v>
      </c>
      <c r="D462" s="675">
        <v>0</v>
      </c>
      <c r="E462" s="677">
        <f>INDEX('TB Clean'!$D$2:$D$464,MATCH('Linked TB'!A462,'TB Clean'!$A$2:$A$464,0))</f>
        <v>3097.9700000000003</v>
      </c>
      <c r="F462" s="684">
        <f t="shared" si="75"/>
        <v>3097.9700000000003</v>
      </c>
      <c r="G462" s="677">
        <f t="shared" si="76"/>
        <v>0</v>
      </c>
      <c r="H462" s="678" t="s">
        <v>428</v>
      </c>
    </row>
    <row r="463" spans="1:11">
      <c r="A463" s="673">
        <v>5975</v>
      </c>
      <c r="B463" s="654" t="str">
        <f>INDEX('TB Clean'!$B$2:$B$464,MATCH('Linked TB'!A463,'TB Clean'!$A$2:$A$464,0))</f>
        <v xml:space="preserve">    OFFICE MACHINE/HEAT&amp;COOL</v>
      </c>
      <c r="C463" s="674">
        <v>0</v>
      </c>
      <c r="D463" s="675">
        <v>0</v>
      </c>
      <c r="E463" s="677">
        <f>INDEX('TB Clean'!$D$2:$D$464,MATCH('Linked TB'!A463,'TB Clean'!$A$2:$A$464,0))</f>
        <v>456.63</v>
      </c>
      <c r="F463" s="684">
        <f t="shared" si="75"/>
        <v>456.63</v>
      </c>
      <c r="G463" s="677">
        <f t="shared" si="76"/>
        <v>0</v>
      </c>
      <c r="H463" s="678" t="s">
        <v>428</v>
      </c>
    </row>
    <row r="464" spans="1:11">
      <c r="A464" s="673">
        <v>5980</v>
      </c>
      <c r="B464" s="654" t="str">
        <f>INDEX('TB Clean'!$B$2:$B$464,MATCH('Linked TB'!A464,'TB Clean'!$A$2:$A$464,0))</f>
        <v xml:space="preserve">    OTHER OFFICE UTILITIES</v>
      </c>
      <c r="C464" s="674">
        <v>0</v>
      </c>
      <c r="D464" s="675">
        <v>0</v>
      </c>
      <c r="E464" s="677">
        <f>INDEX('TB Clean'!$D$2:$D$464,MATCH('Linked TB'!A464,'TB Clean'!$A$2:$A$464,0))</f>
        <v>4.33</v>
      </c>
      <c r="F464" s="684">
        <f t="shared" si="75"/>
        <v>4.33</v>
      </c>
      <c r="G464" s="677">
        <f t="shared" si="76"/>
        <v>0</v>
      </c>
      <c r="H464" s="678" t="s">
        <v>428</v>
      </c>
    </row>
    <row r="465" spans="1:11">
      <c r="A465" s="673">
        <v>5985</v>
      </c>
      <c r="B465" s="654" t="str">
        <f>INDEX('TB Clean'!$B$2:$B$464,MATCH('Linked TB'!A465,'TB Clean'!$A$2:$A$464,0))</f>
        <v xml:space="preserve">    TELEMETERING PHONE EXPENSE</v>
      </c>
      <c r="C465" s="674">
        <f t="shared" ref="C465" si="77">E465</f>
        <v>0</v>
      </c>
      <c r="D465" s="675">
        <v>0</v>
      </c>
      <c r="E465" s="677">
        <f>INDEX('TB Clean'!$D$2:$D$464,MATCH('Linked TB'!A465,'TB Clean'!$A$2:$A$464,0))</f>
        <v>0</v>
      </c>
      <c r="F465" s="684">
        <f t="shared" si="75"/>
        <v>0</v>
      </c>
      <c r="G465" s="677">
        <f>+E465-F465</f>
        <v>0</v>
      </c>
      <c r="H465" s="678" t="s">
        <v>428</v>
      </c>
    </row>
    <row r="466" spans="1:11" ht="5.0999999999999996" customHeight="1">
      <c r="A466" s="673"/>
      <c r="C466" s="681">
        <v>0</v>
      </c>
      <c r="D466" s="682">
        <v>0</v>
      </c>
      <c r="E466" s="683">
        <v>0</v>
      </c>
      <c r="F466" s="689">
        <v>0</v>
      </c>
      <c r="G466" s="683">
        <v>0</v>
      </c>
      <c r="H466" s="678"/>
    </row>
    <row r="467" spans="1:11">
      <c r="A467" s="673" t="s">
        <v>959</v>
      </c>
      <c r="B467" s="654" t="s">
        <v>999</v>
      </c>
      <c r="C467" s="684">
        <f>SUM(C454:C466)</f>
        <v>0</v>
      </c>
      <c r="D467" s="677">
        <f>SUM(D457:D466)</f>
        <v>0</v>
      </c>
      <c r="E467" s="677">
        <f>SUM(E454:E466)</f>
        <v>52351.929999999993</v>
      </c>
      <c r="F467" s="684">
        <f>SUM(F454:F466)</f>
        <v>52351.929999999993</v>
      </c>
      <c r="G467" s="677">
        <f>SUM(G454:G466)</f>
        <v>0</v>
      </c>
      <c r="H467" s="678"/>
      <c r="J467" s="679">
        <v>53824.87999999999</v>
      </c>
      <c r="K467" s="679">
        <f>+E467-J467</f>
        <v>-1472.9499999999971</v>
      </c>
    </row>
    <row r="468" spans="1:11">
      <c r="A468" s="673"/>
      <c r="C468" s="674"/>
      <c r="D468" s="675"/>
      <c r="E468" s="677"/>
      <c r="F468" s="684"/>
      <c r="G468" s="677"/>
      <c r="H468" s="678"/>
    </row>
    <row r="469" spans="1:11">
      <c r="A469" s="673">
        <v>6010</v>
      </c>
      <c r="B469" s="654" t="str">
        <f>INDEX('TB Clean'!$B$2:$B$464,MATCH('Linked TB'!A469,'TB Clean'!$A$2:$A$464,0))</f>
        <v xml:space="preserve">    AUDIT FEES</v>
      </c>
      <c r="C469" s="674">
        <v>0</v>
      </c>
      <c r="D469" s="675">
        <v>0</v>
      </c>
      <c r="E469" s="677">
        <f>INDEX('TB Clean'!$D$2:$D$464,MATCH('Linked TB'!A469,'TB Clean'!$A$2:$A$464,0))</f>
        <v>9427.02</v>
      </c>
      <c r="F469" s="684">
        <f t="shared" ref="F469:F476" si="78">+IF(UPPER(H469)="ACTUAL",C469,INDEX(ALLOCATION_TABLE,MATCH(UPPER(H469),INDEX(ALLOCATION_TABLE,0,1),0),5)*E469)</f>
        <v>9427.02</v>
      </c>
      <c r="G469" s="677">
        <f t="shared" ref="G469:G476" si="79">+E469-F469</f>
        <v>0</v>
      </c>
      <c r="H469" s="678" t="s">
        <v>428</v>
      </c>
    </row>
    <row r="470" spans="1:11">
      <c r="A470" s="673">
        <v>6015</v>
      </c>
      <c r="B470" s="654" t="str">
        <f>INDEX('TB Clean'!$B$2:$B$464,MATCH('Linked TB'!A470,'TB Clean'!$A$2:$A$464,0))</f>
        <v xml:space="preserve">    EMPLOY FINDER FEES</v>
      </c>
      <c r="C470" s="674">
        <v>0</v>
      </c>
      <c r="D470" s="675">
        <v>0</v>
      </c>
      <c r="E470" s="677">
        <f>INDEX('TB Clean'!$D$2:$D$464,MATCH('Linked TB'!A470,'TB Clean'!$A$2:$A$464,0))</f>
        <v>60.110000000000014</v>
      </c>
      <c r="F470" s="684">
        <f t="shared" si="78"/>
        <v>60.110000000000014</v>
      </c>
      <c r="G470" s="677">
        <f t="shared" si="79"/>
        <v>0</v>
      </c>
      <c r="H470" s="678" t="s">
        <v>428</v>
      </c>
    </row>
    <row r="471" spans="1:11">
      <c r="A471" s="673">
        <v>6020</v>
      </c>
      <c r="B471" s="654" t="str">
        <f>INDEX('TB Clean'!$B$2:$B$464,MATCH('Linked TB'!A471,'TB Clean'!$A$2:$A$464,0))</f>
        <v xml:space="preserve">    ENGINEERING FEES</v>
      </c>
      <c r="C471" s="674">
        <v>0</v>
      </c>
      <c r="D471" s="675">
        <v>0</v>
      </c>
      <c r="E471" s="677">
        <f>INDEX('TB Clean'!$D$2:$D$464,MATCH('Linked TB'!A471,'TB Clean'!$A$2:$A$464,0))</f>
        <v>0</v>
      </c>
      <c r="F471" s="684">
        <f t="shared" si="78"/>
        <v>0</v>
      </c>
      <c r="G471" s="677">
        <f t="shared" si="79"/>
        <v>0</v>
      </c>
      <c r="H471" s="678" t="s">
        <v>428</v>
      </c>
    </row>
    <row r="472" spans="1:11">
      <c r="A472" s="673">
        <v>6025</v>
      </c>
      <c r="B472" s="654" t="str">
        <f>INDEX('TB Clean'!$B$2:$B$464,MATCH('Linked TB'!A472,'TB Clean'!$A$2:$A$464,0))</f>
        <v xml:space="preserve">    LEGAL FEES</v>
      </c>
      <c r="C472" s="674">
        <v>0</v>
      </c>
      <c r="D472" s="675">
        <v>0</v>
      </c>
      <c r="E472" s="677">
        <f>INDEX('TB Clean'!$D$2:$D$464,MATCH('Linked TB'!A472,'TB Clean'!$A$2:$A$464,0))</f>
        <v>12783.08</v>
      </c>
      <c r="F472" s="684">
        <f t="shared" si="78"/>
        <v>12783.08</v>
      </c>
      <c r="G472" s="677">
        <f t="shared" si="79"/>
        <v>0</v>
      </c>
      <c r="H472" s="678" t="s">
        <v>428</v>
      </c>
    </row>
    <row r="473" spans="1:11">
      <c r="A473" s="673">
        <v>6035</v>
      </c>
      <c r="B473" s="654" t="str">
        <f>INDEX('TB Clean'!$B$2:$B$464,MATCH('Linked TB'!A473,'TB Clean'!$A$2:$A$464,0))</f>
        <v xml:space="preserve">    PAYROLL SERVICES</v>
      </c>
      <c r="C473" s="674">
        <v>0</v>
      </c>
      <c r="D473" s="675">
        <v>0</v>
      </c>
      <c r="E473" s="677">
        <f>INDEX('TB Clean'!$D$2:$D$464,MATCH('Linked TB'!A473,'TB Clean'!$A$2:$A$464,0))</f>
        <v>2645.3</v>
      </c>
      <c r="F473" s="684">
        <f t="shared" si="78"/>
        <v>2645.3</v>
      </c>
      <c r="G473" s="677">
        <f t="shared" si="79"/>
        <v>0</v>
      </c>
      <c r="H473" s="678" t="s">
        <v>428</v>
      </c>
    </row>
    <row r="474" spans="1:11">
      <c r="A474" s="673">
        <v>6040</v>
      </c>
      <c r="B474" s="654" t="str">
        <f>INDEX('TB Clean'!$B$2:$B$464,MATCH('Linked TB'!A474,'TB Clean'!$A$2:$A$464,0))</f>
        <v xml:space="preserve">    TAX RETURN REVIEW</v>
      </c>
      <c r="C474" s="674">
        <v>0</v>
      </c>
      <c r="D474" s="675">
        <v>0</v>
      </c>
      <c r="E474" s="677">
        <f>INDEX('TB Clean'!$D$2:$D$464,MATCH('Linked TB'!A474,'TB Clean'!$A$2:$A$464,0))</f>
        <v>28799.350000000002</v>
      </c>
      <c r="F474" s="684">
        <f t="shared" si="78"/>
        <v>28799.350000000002</v>
      </c>
      <c r="G474" s="677">
        <f t="shared" si="79"/>
        <v>0</v>
      </c>
      <c r="H474" s="678" t="s">
        <v>428</v>
      </c>
    </row>
    <row r="475" spans="1:11">
      <c r="A475" s="673">
        <v>6045</v>
      </c>
      <c r="B475" s="654" t="str">
        <f>INDEX('TB Clean'!$B$2:$B$464,MATCH('Linked TB'!A475,'TB Clean'!$A$2:$A$464,0))</f>
        <v xml:space="preserve">    TEMP EMPLOY - CLERICAL</v>
      </c>
      <c r="C475" s="674">
        <v>0</v>
      </c>
      <c r="D475" s="675">
        <v>0</v>
      </c>
      <c r="E475" s="677">
        <f>INDEX('TB Clean'!$D$2:$D$464,MATCH('Linked TB'!A475,'TB Clean'!$A$2:$A$464,0))</f>
        <v>348.26</v>
      </c>
      <c r="F475" s="684">
        <f t="shared" si="78"/>
        <v>348.26</v>
      </c>
      <c r="G475" s="677">
        <f t="shared" si="79"/>
        <v>0</v>
      </c>
      <c r="H475" s="678" t="s">
        <v>428</v>
      </c>
    </row>
    <row r="476" spans="1:11">
      <c r="A476" s="673">
        <v>6050</v>
      </c>
      <c r="B476" s="654" t="str">
        <f>INDEX('TB Clean'!$B$2:$B$464,MATCH('Linked TB'!A476,'TB Clean'!$A$2:$A$464,0))</f>
        <v xml:space="preserve">    OTHER OUTSIDE SERVICES</v>
      </c>
      <c r="C476" s="674">
        <v>0</v>
      </c>
      <c r="D476" s="675">
        <v>0</v>
      </c>
      <c r="E476" s="677">
        <f>INDEX('TB Clean'!$D$2:$D$464,MATCH('Linked TB'!A476,'TB Clean'!$A$2:$A$464,0))</f>
        <v>11932.849999999999</v>
      </c>
      <c r="F476" s="684">
        <f t="shared" si="78"/>
        <v>11932.849999999999</v>
      </c>
      <c r="G476" s="677">
        <f t="shared" si="79"/>
        <v>0</v>
      </c>
      <c r="H476" s="678" t="s">
        <v>428</v>
      </c>
    </row>
    <row r="477" spans="1:11" ht="5.0999999999999996" customHeight="1">
      <c r="A477" s="673"/>
      <c r="C477" s="681">
        <v>0</v>
      </c>
      <c r="D477" s="682">
        <v>0</v>
      </c>
      <c r="E477" s="683">
        <v>0</v>
      </c>
      <c r="F477" s="689">
        <v>0</v>
      </c>
      <c r="G477" s="683">
        <v>0</v>
      </c>
      <c r="H477" s="678"/>
    </row>
    <row r="478" spans="1:11">
      <c r="A478" s="673" t="s">
        <v>959</v>
      </c>
      <c r="B478" s="654" t="s">
        <v>1000</v>
      </c>
      <c r="C478" s="684">
        <f>SUM(C469:C477)</f>
        <v>0</v>
      </c>
      <c r="D478" s="677">
        <f>SUM(D471:D477)</f>
        <v>0</v>
      </c>
      <c r="E478" s="677">
        <f>SUM(E469:E477)</f>
        <v>65995.97</v>
      </c>
      <c r="F478" s="684">
        <f>SUM(F469:F477)</f>
        <v>65995.97</v>
      </c>
      <c r="G478" s="677">
        <f>SUM(G469:G477)</f>
        <v>0</v>
      </c>
      <c r="H478" s="678"/>
      <c r="J478" s="679">
        <v>30721.279999999999</v>
      </c>
      <c r="K478" s="679">
        <f>+E478-J478</f>
        <v>35274.69</v>
      </c>
    </row>
    <row r="479" spans="1:11">
      <c r="A479" s="673"/>
      <c r="C479" s="674"/>
      <c r="D479" s="675"/>
      <c r="E479" s="677"/>
      <c r="F479" s="684"/>
      <c r="G479" s="677"/>
      <c r="H479" s="678"/>
    </row>
    <row r="480" spans="1:11">
      <c r="A480" s="673">
        <v>6065</v>
      </c>
      <c r="B480" s="654" t="str">
        <f>INDEX('TB Clean'!$B$2:$B$464,MATCH('Linked TB'!A480,'TB Clean'!$A$2:$A$464,0))</f>
        <v xml:space="preserve">    RATE CASE AMORT EXPENSE</v>
      </c>
      <c r="C480" s="674">
        <v>0</v>
      </c>
      <c r="D480" s="675">
        <v>0</v>
      </c>
      <c r="E480" s="677">
        <f>INDEX('TB Clean'!$D$2:$D$464,MATCH('Linked TB'!A480,'TB Clean'!$A$2:$A$464,0))</f>
        <v>89438.599999999991</v>
      </c>
      <c r="F480" s="684">
        <f>+IF(UPPER(H480)="ACTUAL",C480,INDEX(ALLOCATION_TABLE,MATCH(UPPER(H480),INDEX(ALLOCATION_TABLE,0,1),0),5)*E480)</f>
        <v>89438.599999999991</v>
      </c>
      <c r="G480" s="677">
        <f>+E480-F480</f>
        <v>0</v>
      </c>
      <c r="H480" s="678" t="s">
        <v>428</v>
      </c>
    </row>
    <row r="481" spans="1:11">
      <c r="A481" s="673">
        <v>6070</v>
      </c>
      <c r="B481" s="654" t="str">
        <f>INDEX('TB Clean'!$B$2:$B$464,MATCH('Linked TB'!A481,'TB Clean'!$A$2:$A$464,0))</f>
        <v xml:space="preserve">    MISC REG MATTERS COMM EXP</v>
      </c>
      <c r="C481" s="674">
        <v>0</v>
      </c>
      <c r="D481" s="675">
        <v>0</v>
      </c>
      <c r="E481" s="677">
        <f>INDEX('TB Clean'!$D$2:$D$464,MATCH('Linked TB'!A481,'TB Clean'!$A$2:$A$464,0))</f>
        <v>1799.9999999999998</v>
      </c>
      <c r="F481" s="684">
        <f>+IF(UPPER(H481)="ACTUAL",C481,INDEX(ALLOCATION_TABLE,MATCH(UPPER(H481),INDEX(ALLOCATION_TABLE,0,1),0),5)*E481)</f>
        <v>1799.9999999999998</v>
      </c>
      <c r="G481" s="677">
        <f>+E481-F481</f>
        <v>0</v>
      </c>
      <c r="H481" s="678" t="s">
        <v>428</v>
      </c>
    </row>
    <row r="482" spans="1:11">
      <c r="A482" s="673">
        <v>6080</v>
      </c>
      <c r="B482" s="654" t="str">
        <f>INDEX('TB Clean'!$B$2:$B$464,MATCH('Linked TB'!A482,'TB Clean'!$A$2:$A$464,0))</f>
        <v xml:space="preserve">    MISC RATE CASE EXPENSES</v>
      </c>
      <c r="C482" s="674">
        <v>0</v>
      </c>
      <c r="D482" s="675">
        <v>0</v>
      </c>
      <c r="E482" s="677">
        <f>INDEX('TB Clean'!$D$2:$D$464,MATCH('Linked TB'!A482,'TB Clean'!$A$2:$A$464,0))</f>
        <v>23077.62</v>
      </c>
      <c r="F482" s="684">
        <f>+IF(UPPER(H482)="ACTUAL",C482,INDEX(ALLOCATION_TABLE,MATCH(UPPER(H482),INDEX(ALLOCATION_TABLE,0,1),0),5)*E482)</f>
        <v>23077.62</v>
      </c>
      <c r="G482" s="677">
        <f>+E482-F482</f>
        <v>0</v>
      </c>
      <c r="H482" s="678" t="s">
        <v>428</v>
      </c>
    </row>
    <row r="483" spans="1:11" ht="5.0999999999999996" customHeight="1">
      <c r="A483" s="673"/>
      <c r="C483" s="681">
        <v>0</v>
      </c>
      <c r="D483" s="682">
        <v>0</v>
      </c>
      <c r="E483" s="683">
        <v>0</v>
      </c>
      <c r="F483" s="689">
        <v>0</v>
      </c>
      <c r="G483" s="683">
        <v>0</v>
      </c>
      <c r="H483" s="678"/>
    </row>
    <row r="484" spans="1:11">
      <c r="A484" s="673" t="s">
        <v>959</v>
      </c>
      <c r="B484" s="654" t="s">
        <v>1001</v>
      </c>
      <c r="C484" s="684">
        <f>SUM(C480:C483)</f>
        <v>0</v>
      </c>
      <c r="D484" s="677">
        <f>SUM(D480:D483)</f>
        <v>0</v>
      </c>
      <c r="E484" s="677">
        <f>SUM(E480:E483)</f>
        <v>114316.21999999999</v>
      </c>
      <c r="F484" s="684">
        <f>SUM(F480:F483)</f>
        <v>114316.21999999999</v>
      </c>
      <c r="G484" s="677">
        <f>SUM(G480:G483)</f>
        <v>0</v>
      </c>
      <c r="H484" s="678"/>
      <c r="J484" s="679">
        <v>55884.98000000001</v>
      </c>
      <c r="K484" s="679">
        <f>+E484-J484</f>
        <v>58431.239999999976</v>
      </c>
    </row>
    <row r="485" spans="1:11">
      <c r="A485" s="673"/>
      <c r="C485" s="674"/>
      <c r="D485" s="675"/>
      <c r="E485" s="677"/>
      <c r="F485" s="684"/>
      <c r="G485" s="677"/>
      <c r="H485" s="678"/>
    </row>
    <row r="486" spans="1:11">
      <c r="A486" s="673">
        <v>6090</v>
      </c>
      <c r="B486" s="654" t="str">
        <f>INDEX('TB Clean'!$B$2:$B$464,MATCH('Linked TB'!A486,'TB Clean'!$A$2:$A$464,0))</f>
        <v xml:space="preserve">    RENT</v>
      </c>
      <c r="C486" s="674">
        <v>0</v>
      </c>
      <c r="D486" s="675">
        <v>0</v>
      </c>
      <c r="E486" s="677">
        <f>INDEX('TB Clean'!$D$2:$D$464,MATCH('Linked TB'!A486,'TB Clean'!$A$2:$A$464,0))</f>
        <v>8209.66</v>
      </c>
      <c r="F486" s="684">
        <f>+IF(UPPER(H486)="ACTUAL",C486,INDEX(ALLOCATION_TABLE,MATCH(UPPER(H486),INDEX(ALLOCATION_TABLE,0,1),0),5)*E486)</f>
        <v>8209.66</v>
      </c>
      <c r="G486" s="677">
        <f>+E486-F486</f>
        <v>0</v>
      </c>
      <c r="H486" s="678" t="s">
        <v>428</v>
      </c>
    </row>
    <row r="487" spans="1:11" ht="5.0999999999999996" customHeight="1">
      <c r="A487" s="673"/>
      <c r="C487" s="681">
        <v>0</v>
      </c>
      <c r="D487" s="682">
        <v>0</v>
      </c>
      <c r="E487" s="683">
        <v>0</v>
      </c>
      <c r="F487" s="689">
        <v>0</v>
      </c>
      <c r="G487" s="683">
        <v>0</v>
      </c>
      <c r="H487" s="678"/>
    </row>
    <row r="488" spans="1:11">
      <c r="A488" s="673" t="s">
        <v>959</v>
      </c>
      <c r="B488" s="654" t="s">
        <v>1002</v>
      </c>
      <c r="C488" s="684">
        <f>SUM(C486:C487)</f>
        <v>0</v>
      </c>
      <c r="D488" s="677">
        <f>SUM(D486:D487)</f>
        <v>0</v>
      </c>
      <c r="E488" s="677">
        <f>SUM(E486:E487)</f>
        <v>8209.66</v>
      </c>
      <c r="F488" s="684">
        <f>SUM(F486:F487)</f>
        <v>8209.66</v>
      </c>
      <c r="G488" s="677">
        <f>SUM(G486:G487)</f>
        <v>0</v>
      </c>
      <c r="H488" s="678"/>
    </row>
    <row r="489" spans="1:11">
      <c r="A489" s="673"/>
      <c r="C489" s="674"/>
      <c r="D489" s="675"/>
      <c r="E489" s="677"/>
      <c r="F489" s="684"/>
      <c r="G489" s="677"/>
      <c r="H489" s="678"/>
    </row>
    <row r="490" spans="1:11">
      <c r="A490" s="685">
        <v>6110</v>
      </c>
      <c r="B490" s="654" t="str">
        <f>INDEX('TB Clean'!$B$2:$B$464,MATCH('Linked TB'!A490,'TB Clean'!$A$2:$A$464,0))</f>
        <v xml:space="preserve">    SALARIES-ACCTG/FINANCE</v>
      </c>
      <c r="C490" s="674">
        <v>0</v>
      </c>
      <c r="D490" s="675">
        <v>0</v>
      </c>
      <c r="E490" s="677">
        <f>INDEX('TB Clean'!$D$2:$D$464,MATCH('Linked TB'!A490,'TB Clean'!$A$2:$A$464,0))</f>
        <v>28277.84</v>
      </c>
      <c r="F490" s="684">
        <f t="shared" ref="F490:F503" si="80">+IF(UPPER(H490)="ACTUAL",C490,INDEX(ALLOCATION_TABLE,MATCH(UPPER(H490),INDEX(ALLOCATION_TABLE,0,1),0),5)*E490)</f>
        <v>28277.84</v>
      </c>
      <c r="G490" s="677">
        <f t="shared" ref="G490:G503" si="81">+E490-F490</f>
        <v>0</v>
      </c>
      <c r="H490" s="678" t="s">
        <v>428</v>
      </c>
    </row>
    <row r="491" spans="1:11">
      <c r="A491" s="685">
        <v>6115</v>
      </c>
      <c r="B491" s="654" t="str">
        <f>INDEX('TB Clean'!$B$2:$B$464,MATCH('Linked TB'!A491,'TB Clean'!$A$2:$A$464,0))</f>
        <v xml:space="preserve">    SALARIES-ADMIN</v>
      </c>
      <c r="C491" s="674">
        <v>0</v>
      </c>
      <c r="D491" s="675">
        <v>0</v>
      </c>
      <c r="E491" s="677">
        <f>INDEX('TB Clean'!$D$2:$D$464,MATCH('Linked TB'!A491,'TB Clean'!$A$2:$A$464,0))</f>
        <v>4468.05</v>
      </c>
      <c r="F491" s="684">
        <f t="shared" ref="F491" si="82">+IF(UPPER(H491)="ACTUAL",C491,INDEX(ALLOCATION_TABLE,MATCH(UPPER(H491),INDEX(ALLOCATION_TABLE,0,1),0),5)*E491)</f>
        <v>4468.05</v>
      </c>
      <c r="G491" s="677">
        <f t="shared" ref="G491" si="83">+E491-F491</f>
        <v>0</v>
      </c>
      <c r="H491" s="678" t="s">
        <v>428</v>
      </c>
    </row>
    <row r="492" spans="1:11">
      <c r="A492" s="685">
        <v>6120</v>
      </c>
      <c r="B492" s="654" t="str">
        <f>INDEX('TB Clean'!$B$2:$B$464,MATCH('Linked TB'!A492,'TB Clean'!$A$2:$A$464,0))</f>
        <v xml:space="preserve">    SALARIES-OFFICERS/STKHLDR</v>
      </c>
      <c r="C492" s="674">
        <v>0</v>
      </c>
      <c r="D492" s="675">
        <v>0</v>
      </c>
      <c r="E492" s="677">
        <f>INDEX('TB Clean'!$D$2:$D$464,MATCH('Linked TB'!A492,'TB Clean'!$A$2:$A$464,0))</f>
        <v>18459.129999999997</v>
      </c>
      <c r="F492" s="684">
        <f>+IF(UPPER(H492)="ACTUAL",C492,INDEX(ALLOCATION_TABLE,MATCH(UPPER(H492),INDEX(ALLOCATION_TABLE,0,1),0),5)*E492)</f>
        <v>18459.129999999997</v>
      </c>
      <c r="G492" s="677">
        <f t="shared" si="81"/>
        <v>0</v>
      </c>
      <c r="H492" s="678" t="s">
        <v>428</v>
      </c>
    </row>
    <row r="493" spans="1:11">
      <c r="A493" s="685">
        <v>6125</v>
      </c>
      <c r="B493" s="654" t="str">
        <f>INDEX('TB Clean'!$B$2:$B$464,MATCH('Linked TB'!A493,'TB Clean'!$A$2:$A$464,0))</f>
        <v xml:space="preserve">    SALARIES-HR</v>
      </c>
      <c r="C493" s="674">
        <v>0</v>
      </c>
      <c r="D493" s="675">
        <v>0</v>
      </c>
      <c r="E493" s="677">
        <f>INDEX('TB Clean'!$D$2:$D$464,MATCH('Linked TB'!A493,'TB Clean'!$A$2:$A$464,0))</f>
        <v>4225.5199999999995</v>
      </c>
      <c r="F493" s="684">
        <f>+IF(UPPER(H493)="ACTUAL",C493,INDEX(ALLOCATION_TABLE,MATCH(UPPER(H493),INDEX(ALLOCATION_TABLE,0,1),0),5)*E493)</f>
        <v>4225.5199999999995</v>
      </c>
      <c r="G493" s="677">
        <f t="shared" si="81"/>
        <v>0</v>
      </c>
      <c r="H493" s="678" t="s">
        <v>428</v>
      </c>
    </row>
    <row r="494" spans="1:11">
      <c r="A494" s="685">
        <v>6130</v>
      </c>
      <c r="B494" s="654" t="str">
        <f>INDEX('TB Clean'!$B$2:$B$464,MATCH('Linked TB'!A494,'TB Clean'!$A$2:$A$464,0))</f>
        <v xml:space="preserve">    SALARIES-MIS</v>
      </c>
      <c r="C494" s="674">
        <v>0</v>
      </c>
      <c r="D494" s="675">
        <v>0</v>
      </c>
      <c r="E494" s="677">
        <f>INDEX('TB Clean'!$D$2:$D$464,MATCH('Linked TB'!A494,'TB Clean'!$A$2:$A$464,0))</f>
        <v>9798.2900000000009</v>
      </c>
      <c r="F494" s="684">
        <f>+IF(UPPER(H494)="ACTUAL",C494,INDEX(ALLOCATION_TABLE,MATCH(UPPER(H494),INDEX(ALLOCATION_TABLE,0,1),0),5)*E494)</f>
        <v>9798.2900000000009</v>
      </c>
      <c r="G494" s="677">
        <f t="shared" si="81"/>
        <v>0</v>
      </c>
      <c r="H494" s="678" t="s">
        <v>428</v>
      </c>
    </row>
    <row r="495" spans="1:11">
      <c r="A495" s="685">
        <v>6135</v>
      </c>
      <c r="B495" s="654" t="str">
        <f>INDEX('TB Clean'!$B$2:$B$464,MATCH('Linked TB'!A495,'TB Clean'!$A$2:$A$464,0))</f>
        <v xml:space="preserve">    SALARIES-LEADERSHIP OPS</v>
      </c>
      <c r="C495" s="674">
        <v>0</v>
      </c>
      <c r="D495" s="675">
        <v>0</v>
      </c>
      <c r="E495" s="677">
        <f>INDEX('TB Clean'!$D$2:$D$464,MATCH('Linked TB'!A495,'TB Clean'!$A$2:$A$464,0))</f>
        <v>65862.959999999992</v>
      </c>
      <c r="F495" s="684">
        <f t="shared" si="80"/>
        <v>65862.959999999992</v>
      </c>
      <c r="G495" s="677">
        <f t="shared" si="81"/>
        <v>0</v>
      </c>
      <c r="H495" s="678" t="s">
        <v>428</v>
      </c>
    </row>
    <row r="496" spans="1:11">
      <c r="A496" s="685">
        <v>6140</v>
      </c>
      <c r="B496" s="654" t="str">
        <f>INDEX('TB Clean'!$B$2:$B$464,MATCH('Linked TB'!A496,'TB Clean'!$A$2:$A$464,0))</f>
        <v xml:space="preserve">    SALARIES-REGULATORY</v>
      </c>
      <c r="C496" s="674">
        <v>0</v>
      </c>
      <c r="D496" s="675">
        <v>0</v>
      </c>
      <c r="E496" s="677">
        <f>INDEX('TB Clean'!$D$2:$D$464,MATCH('Linked TB'!A496,'TB Clean'!$A$2:$A$464,0))</f>
        <v>9369.7899999999991</v>
      </c>
      <c r="F496" s="684">
        <f>+IF(UPPER(H496)="ACTUAL",C496,INDEX(ALLOCATION_TABLE,MATCH(UPPER(H496),INDEX(ALLOCATION_TABLE,0,1),0),5)*E496)</f>
        <v>9369.7899999999991</v>
      </c>
      <c r="G496" s="677">
        <f t="shared" si="81"/>
        <v>0</v>
      </c>
      <c r="H496" s="678" t="s">
        <v>428</v>
      </c>
    </row>
    <row r="497" spans="1:11">
      <c r="A497" s="685">
        <v>6145</v>
      </c>
      <c r="B497" s="654" t="str">
        <f>INDEX('TB Clean'!$B$2:$B$464,MATCH('Linked TB'!A497,'TB Clean'!$A$2:$A$464,0))</f>
        <v xml:space="preserve">    SALARIES-CUSTOMER SERVICE</v>
      </c>
      <c r="C497" s="674">
        <v>0</v>
      </c>
      <c r="D497" s="675">
        <v>0</v>
      </c>
      <c r="E497" s="677">
        <f>INDEX('TB Clean'!$D$2:$D$464,MATCH('Linked TB'!A497,'TB Clean'!$A$2:$A$464,0))</f>
        <v>27578.94</v>
      </c>
      <c r="F497" s="684">
        <f t="shared" si="80"/>
        <v>27578.94</v>
      </c>
      <c r="G497" s="677">
        <f t="shared" si="81"/>
        <v>0</v>
      </c>
      <c r="H497" s="678" t="s">
        <v>428</v>
      </c>
      <c r="I497" s="1175">
        <f>E497/E505</f>
        <v>5.3359050365875689E-2</v>
      </c>
    </row>
    <row r="498" spans="1:11">
      <c r="A498" s="685">
        <v>6146</v>
      </c>
      <c r="B498" s="654" t="str">
        <f>INDEX('TB Clean'!$B$2:$B$464,MATCH('Linked TB'!A498,'TB Clean'!$A$2:$A$464,0))</f>
        <v xml:space="preserve">    SALARIES-BILLING</v>
      </c>
      <c r="C498" s="674">
        <v>0</v>
      </c>
      <c r="D498" s="675">
        <v>0</v>
      </c>
      <c r="E498" s="677">
        <f>INDEX('TB Clean'!$D$2:$D$464,MATCH('Linked TB'!A498,'TB Clean'!$A$2:$A$464,0))</f>
        <v>11893.780000000002</v>
      </c>
      <c r="F498" s="684">
        <f>+IF(UPPER(H498)="ACTUAL",C498,INDEX(ALLOCATION_TABLE,MATCH(UPPER(H498),INDEX(ALLOCATION_TABLE,0,1),0),5)*E498)</f>
        <v>11893.780000000002</v>
      </c>
      <c r="G498" s="677">
        <f t="shared" si="81"/>
        <v>0</v>
      </c>
      <c r="H498" s="678" t="s">
        <v>428</v>
      </c>
      <c r="I498" s="1175">
        <f>F498/F505</f>
        <v>2.3011791100769105E-2</v>
      </c>
    </row>
    <row r="499" spans="1:11">
      <c r="A499" s="685">
        <v>6147</v>
      </c>
      <c r="B499" s="654" t="str">
        <f>INDEX('TB Clean'!$B$2:$B$464,MATCH('Linked TB'!A499,'TB Clean'!$A$2:$A$464,0))</f>
        <v xml:space="preserve">    SALARIES-CORP SERVICE ADMI</v>
      </c>
      <c r="C499" s="674">
        <v>0</v>
      </c>
      <c r="D499" s="675">
        <v>0</v>
      </c>
      <c r="E499" s="677">
        <f>INDEX('TB Clean'!$D$2:$D$464,MATCH('Linked TB'!A499,'TB Clean'!$A$2:$A$464,0))</f>
        <v>0</v>
      </c>
      <c r="F499" s="684">
        <f>+IF(UPPER(H499)="ACTUAL",C499,INDEX(ALLOCATION_TABLE,MATCH(UPPER(H499),INDEX(ALLOCATION_TABLE,0,1),0),5)*E499)</f>
        <v>0</v>
      </c>
      <c r="G499" s="677">
        <f t="shared" si="81"/>
        <v>0</v>
      </c>
      <c r="H499" s="678" t="s">
        <v>428</v>
      </c>
    </row>
    <row r="500" spans="1:11">
      <c r="A500" s="685">
        <v>6150</v>
      </c>
      <c r="B500" s="654" t="str">
        <f>INDEX('TB Clean'!$B$2:$B$464,MATCH('Linked TB'!A500,'TB Clean'!$A$2:$A$464,0))</f>
        <v xml:space="preserve">    SALARIES-OPERATIONS FIELD</v>
      </c>
      <c r="C500" s="674">
        <v>0</v>
      </c>
      <c r="D500" s="675">
        <v>0</v>
      </c>
      <c r="E500" s="677">
        <f>INDEX('TB Clean'!$D$2:$D$464,MATCH('Linked TB'!A500,'TB Clean'!$A$2:$A$464,0))</f>
        <v>444959.46000000049</v>
      </c>
      <c r="F500" s="684">
        <f t="shared" si="80"/>
        <v>444959.46000000049</v>
      </c>
      <c r="G500" s="677">
        <f t="shared" si="81"/>
        <v>0</v>
      </c>
      <c r="H500" s="678" t="s">
        <v>428</v>
      </c>
    </row>
    <row r="501" spans="1:11">
      <c r="A501" s="685">
        <v>6155</v>
      </c>
      <c r="B501" s="654" t="str">
        <f>INDEX('TB Clean'!$B$2:$B$464,MATCH('Linked TB'!A501,'TB Clean'!$A$2:$A$464,0))</f>
        <v xml:space="preserve">    SALARIES-OPERATIONS OFFICE</v>
      </c>
      <c r="C501" s="674">
        <v>0</v>
      </c>
      <c r="D501" s="675">
        <v>0</v>
      </c>
      <c r="E501" s="677">
        <f>INDEX('TB Clean'!$D$2:$D$464,MATCH('Linked TB'!A501,'TB Clean'!$A$2:$A$464,0))</f>
        <v>44883.149999999987</v>
      </c>
      <c r="F501" s="684">
        <f t="shared" si="80"/>
        <v>44883.149999999987</v>
      </c>
      <c r="G501" s="677">
        <f t="shared" si="81"/>
        <v>0</v>
      </c>
      <c r="H501" s="678" t="s">
        <v>428</v>
      </c>
    </row>
    <row r="502" spans="1:11" s="1403" customFormat="1">
      <c r="A502" s="1408">
        <v>6160</v>
      </c>
      <c r="B502" s="1397" t="str">
        <f>INDEX('TB Clean'!$B$2:$B$464,MATCH('Linked TB'!A502,'TB Clean'!$A$2:$A$464,0))</f>
        <v xml:space="preserve">    SALARIES-CHGD TO PLT-WS</v>
      </c>
      <c r="C502" s="1398">
        <v>0</v>
      </c>
      <c r="D502" s="1399">
        <v>0</v>
      </c>
      <c r="E502" s="1400">
        <f>INDEX('TB Clean'!$D$2:$D$464,MATCH('Linked TB'!A502,'TB Clean'!$A$2:$A$464,0))</f>
        <v>6776.66</v>
      </c>
      <c r="F502" s="1401">
        <f t="shared" ref="F502" si="84">+IF(UPPER(H502)="ACTUAL",C502,INDEX(ALLOCATION_TABLE,MATCH(UPPER(H502),INDEX(ALLOCATION_TABLE,0,1),0),5)*E502)</f>
        <v>6776.66</v>
      </c>
      <c r="G502" s="1400">
        <f t="shared" ref="G502" si="85">+E502-F502</f>
        <v>0</v>
      </c>
      <c r="H502" s="1402" t="s">
        <v>428</v>
      </c>
    </row>
    <row r="503" spans="1:11">
      <c r="A503" s="673">
        <v>6165</v>
      </c>
      <c r="B503" s="654" t="str">
        <f>INDEX('TB Clean'!$B$2:$B$464,MATCH('Linked TB'!A503,'TB Clean'!$A$2:$A$464,0))</f>
        <v xml:space="preserve">    CAPITALIZED TIME ADJUSTMEN</v>
      </c>
      <c r="C503" s="674">
        <v>0</v>
      </c>
      <c r="D503" s="675">
        <v>0</v>
      </c>
      <c r="E503" s="677">
        <f>INDEX('TB Clean'!$D$2:$D$464,MATCH('Linked TB'!A503,'TB Clean'!$A$2:$A$464,0))</f>
        <v>-159697.67000000077</v>
      </c>
      <c r="F503" s="684">
        <f t="shared" si="80"/>
        <v>-159697.67000000077</v>
      </c>
      <c r="G503" s="677">
        <f t="shared" si="81"/>
        <v>0</v>
      </c>
      <c r="H503" s="678" t="s">
        <v>428</v>
      </c>
    </row>
    <row r="504" spans="1:11" ht="5.0999999999999996" customHeight="1">
      <c r="A504" s="673"/>
      <c r="C504" s="681">
        <v>0</v>
      </c>
      <c r="D504" s="682">
        <v>0</v>
      </c>
      <c r="E504" s="683">
        <v>0</v>
      </c>
      <c r="F504" s="689">
        <v>0</v>
      </c>
      <c r="G504" s="683">
        <v>0</v>
      </c>
      <c r="H504" s="678"/>
    </row>
    <row r="505" spans="1:11">
      <c r="A505" s="673" t="s">
        <v>959</v>
      </c>
      <c r="B505" s="654" t="s">
        <v>1003</v>
      </c>
      <c r="C505" s="684">
        <f>SUM(C490:C504)</f>
        <v>0</v>
      </c>
      <c r="D505" s="677">
        <f>SUM(D490:D504)</f>
        <v>0</v>
      </c>
      <c r="E505" s="677">
        <f>SUM(E490:E504)</f>
        <v>516855.89999999979</v>
      </c>
      <c r="F505" s="684">
        <f>SUM(F490:F504)</f>
        <v>516855.89999999979</v>
      </c>
      <c r="G505" s="677">
        <f>SUM(G490:G504)</f>
        <v>0</v>
      </c>
      <c r="H505" s="678"/>
      <c r="J505" s="679">
        <v>582494.1</v>
      </c>
      <c r="K505" s="679">
        <f>+E505-J505</f>
        <v>-65638.200000000186</v>
      </c>
    </row>
    <row r="506" spans="1:11">
      <c r="A506" s="673"/>
      <c r="C506" s="674"/>
      <c r="D506" s="675"/>
      <c r="E506" s="677"/>
      <c r="F506" s="684"/>
      <c r="G506" s="677"/>
      <c r="H506" s="678"/>
    </row>
    <row r="507" spans="1:11">
      <c r="A507" s="673">
        <v>6185</v>
      </c>
      <c r="B507" s="654" t="str">
        <f>INDEX('TB Clean'!$B$2:$B$464,MATCH('Linked TB'!A507,'TB Clean'!$A$2:$A$464,0))</f>
        <v xml:space="preserve">    TRAVEL LODGING</v>
      </c>
      <c r="C507" s="674">
        <v>0</v>
      </c>
      <c r="D507" s="675">
        <v>0</v>
      </c>
      <c r="E507" s="677">
        <f>INDEX('TB Clean'!$D$2:$D$464,MATCH('Linked TB'!A507,'TB Clean'!$A$2:$A$464,0))</f>
        <v>5531.87</v>
      </c>
      <c r="F507" s="684">
        <f t="shared" ref="F507:F512" si="86">+IF(UPPER(H507)="ACTUAL",C507,INDEX(ALLOCATION_TABLE,MATCH(UPPER(H507),INDEX(ALLOCATION_TABLE,0,1),0),5)*E507)</f>
        <v>5531.87</v>
      </c>
      <c r="G507" s="677">
        <f t="shared" ref="G507:G512" si="87">+E507-F507</f>
        <v>0</v>
      </c>
      <c r="H507" s="678" t="s">
        <v>428</v>
      </c>
    </row>
    <row r="508" spans="1:11">
      <c r="A508" s="673">
        <v>6190</v>
      </c>
      <c r="B508" s="654" t="str">
        <f>INDEX('TB Clean'!$B$2:$B$464,MATCH('Linked TB'!A508,'TB Clean'!$A$2:$A$464,0))</f>
        <v xml:space="preserve">    TRAVEL AIRFARE</v>
      </c>
      <c r="C508" s="674">
        <v>0</v>
      </c>
      <c r="D508" s="675">
        <v>0</v>
      </c>
      <c r="E508" s="677">
        <f>INDEX('TB Clean'!$D$2:$D$464,MATCH('Linked TB'!A508,'TB Clean'!$A$2:$A$464,0))</f>
        <v>2752.8</v>
      </c>
      <c r="F508" s="684">
        <f t="shared" si="86"/>
        <v>2752.8</v>
      </c>
      <c r="G508" s="677">
        <f t="shared" si="87"/>
        <v>0</v>
      </c>
      <c r="H508" s="678" t="s">
        <v>428</v>
      </c>
    </row>
    <row r="509" spans="1:11">
      <c r="A509" s="673">
        <v>6195</v>
      </c>
      <c r="B509" s="654" t="str">
        <f>INDEX('TB Clean'!$B$2:$B$464,MATCH('Linked TB'!A509,'TB Clean'!$A$2:$A$464,0))</f>
        <v xml:space="preserve">    TRAVEL TRANSPORTATION</v>
      </c>
      <c r="C509" s="674">
        <v>0</v>
      </c>
      <c r="D509" s="675">
        <v>0</v>
      </c>
      <c r="E509" s="677">
        <f>INDEX('TB Clean'!$D$2:$D$464,MATCH('Linked TB'!A509,'TB Clean'!$A$2:$A$464,0))</f>
        <v>696.32</v>
      </c>
      <c r="F509" s="684">
        <f t="shared" si="86"/>
        <v>696.32</v>
      </c>
      <c r="G509" s="677">
        <f t="shared" si="87"/>
        <v>0</v>
      </c>
      <c r="H509" s="678" t="s">
        <v>428</v>
      </c>
    </row>
    <row r="510" spans="1:11">
      <c r="A510" s="673">
        <v>6200</v>
      </c>
      <c r="B510" s="654" t="str">
        <f>INDEX('TB Clean'!$B$2:$B$464,MATCH('Linked TB'!A510,'TB Clean'!$A$2:$A$464,0))</f>
        <v xml:space="preserve">    TRAVEL MEALS</v>
      </c>
      <c r="C510" s="674">
        <v>0</v>
      </c>
      <c r="D510" s="675">
        <v>0</v>
      </c>
      <c r="E510" s="677">
        <f>INDEX('TB Clean'!$D$2:$D$464,MATCH('Linked TB'!A510,'TB Clean'!$A$2:$A$464,0))</f>
        <v>2637.65</v>
      </c>
      <c r="F510" s="684">
        <f t="shared" si="86"/>
        <v>2637.65</v>
      </c>
      <c r="G510" s="677">
        <f t="shared" si="87"/>
        <v>0</v>
      </c>
      <c r="H510" s="678" t="s">
        <v>428</v>
      </c>
    </row>
    <row r="511" spans="1:11">
      <c r="A511" s="673">
        <v>6205</v>
      </c>
      <c r="B511" s="654" t="str">
        <f>INDEX('TB Clean'!$B$2:$B$464,MATCH('Linked TB'!A511,'TB Clean'!$A$2:$A$464,0))</f>
        <v xml:space="preserve">    TRAVEL ENTERTAINMENT</v>
      </c>
      <c r="C511" s="674">
        <v>0</v>
      </c>
      <c r="D511" s="675">
        <v>0</v>
      </c>
      <c r="E511" s="677">
        <f>INDEX('TB Clean'!$D$2:$D$464,MATCH('Linked TB'!A511,'TB Clean'!$A$2:$A$464,0))</f>
        <v>57.199999999999996</v>
      </c>
      <c r="F511" s="684">
        <f t="shared" si="86"/>
        <v>57.199999999999996</v>
      </c>
      <c r="G511" s="677">
        <f t="shared" si="87"/>
        <v>0</v>
      </c>
      <c r="H511" s="678" t="s">
        <v>428</v>
      </c>
    </row>
    <row r="512" spans="1:11">
      <c r="A512" s="673">
        <v>6207</v>
      </c>
      <c r="B512" s="654" t="str">
        <f>INDEX('TB Clean'!$B$2:$B$464,MATCH('Linked TB'!A512,'TB Clean'!$A$2:$A$464,0))</f>
        <v xml:space="preserve">    TRAVEL OTHER</v>
      </c>
      <c r="C512" s="674">
        <v>0</v>
      </c>
      <c r="D512" s="675">
        <v>0</v>
      </c>
      <c r="E512" s="677">
        <f>INDEX('TB Clean'!$D$2:$D$464,MATCH('Linked TB'!A512,'TB Clean'!$A$2:$A$464,0))</f>
        <v>183.42999999999998</v>
      </c>
      <c r="F512" s="684">
        <f t="shared" si="86"/>
        <v>183.42999999999998</v>
      </c>
      <c r="G512" s="677">
        <f t="shared" si="87"/>
        <v>0</v>
      </c>
      <c r="H512" s="678" t="s">
        <v>428</v>
      </c>
    </row>
    <row r="513" spans="1:11" ht="5.0999999999999996" customHeight="1">
      <c r="A513" s="673"/>
      <c r="C513" s="681">
        <v>0</v>
      </c>
      <c r="D513" s="682">
        <v>0</v>
      </c>
      <c r="E513" s="683">
        <v>0</v>
      </c>
      <c r="F513" s="689">
        <v>0</v>
      </c>
      <c r="G513" s="683">
        <v>0</v>
      </c>
      <c r="H513" s="678"/>
    </row>
    <row r="514" spans="1:11">
      <c r="A514" s="673" t="s">
        <v>959</v>
      </c>
      <c r="B514" s="654" t="s">
        <v>1004</v>
      </c>
      <c r="C514" s="684">
        <f>SUM(C507:C513)</f>
        <v>0</v>
      </c>
      <c r="D514" s="677">
        <f>SUM(D510:D513)</f>
        <v>0</v>
      </c>
      <c r="E514" s="677">
        <f>SUM(E507:E513)</f>
        <v>11859.27</v>
      </c>
      <c r="F514" s="684">
        <f>SUM(F507:F513)</f>
        <v>11859.27</v>
      </c>
      <c r="G514" s="677">
        <f>SUM(G507:G513)</f>
        <v>0</v>
      </c>
      <c r="H514" s="678"/>
      <c r="J514" s="679">
        <v>6886.17</v>
      </c>
      <c r="K514" s="679">
        <f>+E514-J514</f>
        <v>4973.1000000000004</v>
      </c>
    </row>
    <row r="515" spans="1:11">
      <c r="A515" s="673"/>
      <c r="C515" s="674"/>
      <c r="D515" s="675"/>
      <c r="E515" s="677"/>
      <c r="F515" s="684"/>
      <c r="G515" s="677"/>
      <c r="H515" s="678"/>
    </row>
    <row r="516" spans="1:11">
      <c r="A516" s="673">
        <v>6215</v>
      </c>
      <c r="B516" s="654" t="str">
        <f>INDEX('TB Clean'!$B$2:$B$464,MATCH('Linked TB'!A516,'TB Clean'!$A$2:$A$464,0))</f>
        <v xml:space="preserve">    FUEL</v>
      </c>
      <c r="C516" s="674">
        <v>0</v>
      </c>
      <c r="D516" s="675">
        <v>0</v>
      </c>
      <c r="E516" s="677">
        <f>INDEX('TB Clean'!$D$2:$D$464,MATCH('Linked TB'!A516,'TB Clean'!$A$2:$A$464,0))</f>
        <v>24772.33</v>
      </c>
      <c r="F516" s="684">
        <f>+IF(UPPER(H516)="ACTUAL",C516,INDEX(ALLOCATION_TABLE,MATCH(UPPER(H516),INDEX(ALLOCATION_TABLE,0,1),0),5)*E516)</f>
        <v>24772.33</v>
      </c>
      <c r="G516" s="677">
        <f>+E516-F516</f>
        <v>0</v>
      </c>
      <c r="H516" s="678" t="s">
        <v>428</v>
      </c>
    </row>
    <row r="517" spans="1:11">
      <c r="A517" s="673">
        <v>6220</v>
      </c>
      <c r="B517" s="654" t="str">
        <f>INDEX('TB Clean'!$B$2:$B$464,MATCH('Linked TB'!A517,'TB Clean'!$A$2:$A$464,0))</f>
        <v xml:space="preserve">    AUTO REPAIR/TIRES</v>
      </c>
      <c r="C517" s="674">
        <v>0</v>
      </c>
      <c r="D517" s="675">
        <v>0</v>
      </c>
      <c r="E517" s="677">
        <f>INDEX('TB Clean'!$D$2:$D$464,MATCH('Linked TB'!A517,'TB Clean'!$A$2:$A$464,0))</f>
        <v>11426.15</v>
      </c>
      <c r="F517" s="684">
        <f>+IF(UPPER(H517)="ACTUAL",C517,INDEX(ALLOCATION_TABLE,MATCH(UPPER(H517),INDEX(ALLOCATION_TABLE,0,1),0),5)*E517)</f>
        <v>11426.15</v>
      </c>
      <c r="G517" s="677">
        <f>+E517-F517</f>
        <v>0</v>
      </c>
      <c r="H517" s="678" t="s">
        <v>428</v>
      </c>
    </row>
    <row r="518" spans="1:11">
      <c r="A518" s="673">
        <v>6225</v>
      </c>
      <c r="B518" s="654" t="str">
        <f>INDEX('TB Clean'!$B$2:$B$464,MATCH('Linked TB'!A518,'TB Clean'!$A$2:$A$464,0))</f>
        <v xml:space="preserve">    AUTO LICENSES</v>
      </c>
      <c r="C518" s="674">
        <v>0</v>
      </c>
      <c r="D518" s="675">
        <v>0</v>
      </c>
      <c r="E518" s="677">
        <f>INDEX('TB Clean'!$D$2:$D$464,MATCH('Linked TB'!A518,'TB Clean'!$A$2:$A$464,0))</f>
        <v>709.77</v>
      </c>
      <c r="F518" s="684">
        <f>+IF(UPPER(H518)="ACTUAL",C518,INDEX(ALLOCATION_TABLE,MATCH(UPPER(H518),INDEX(ALLOCATION_TABLE,0,1),0),5)*E518)</f>
        <v>709.77</v>
      </c>
      <c r="G518" s="677">
        <f>+E518-F518</f>
        <v>0</v>
      </c>
      <c r="H518" s="678" t="s">
        <v>428</v>
      </c>
    </row>
    <row r="519" spans="1:11">
      <c r="A519" s="673">
        <v>6230</v>
      </c>
      <c r="B519" s="654" t="str">
        <f>INDEX('TB Clean'!$B$2:$B$464,MATCH('Linked TB'!A519,'TB Clean'!$A$2:$A$464,0))</f>
        <v xml:space="preserve">    OTHER TRANS EXPENSES</v>
      </c>
      <c r="C519" s="674">
        <v>0</v>
      </c>
      <c r="D519" s="675">
        <v>0</v>
      </c>
      <c r="E519" s="677">
        <f>INDEX('TB Clean'!$D$2:$D$464,MATCH('Linked TB'!A519,'TB Clean'!$A$2:$A$464,0))</f>
        <v>2135.2199999999998</v>
      </c>
      <c r="F519" s="684">
        <f>+IF(UPPER(H519)="ACTUAL",C519,INDEX(ALLOCATION_TABLE,MATCH(UPPER(H519),INDEX(ALLOCATION_TABLE,0,1),0),5)*E519)</f>
        <v>2135.2199999999998</v>
      </c>
      <c r="G519" s="677">
        <f>+E519-F519</f>
        <v>0</v>
      </c>
      <c r="H519" s="678" t="s">
        <v>428</v>
      </c>
    </row>
    <row r="520" spans="1:11" ht="5.0999999999999996" customHeight="1">
      <c r="A520" s="673"/>
      <c r="C520" s="681">
        <v>0</v>
      </c>
      <c r="D520" s="682">
        <v>0</v>
      </c>
      <c r="E520" s="683">
        <v>0</v>
      </c>
      <c r="F520" s="689">
        <v>0</v>
      </c>
      <c r="G520" s="683">
        <v>0</v>
      </c>
      <c r="H520" s="678"/>
    </row>
    <row r="521" spans="1:11">
      <c r="A521" s="673" t="s">
        <v>959</v>
      </c>
      <c r="B521" s="654" t="s">
        <v>1005</v>
      </c>
      <c r="C521" s="684">
        <f>SUM(C516:C520)</f>
        <v>0</v>
      </c>
      <c r="D521" s="677">
        <f>SUM(D516:D520)</f>
        <v>0</v>
      </c>
      <c r="E521" s="677">
        <f>SUM(E516:E520)</f>
        <v>39043.47</v>
      </c>
      <c r="F521" s="684">
        <f>SUM(F516:F520)</f>
        <v>39043.47</v>
      </c>
      <c r="G521" s="677">
        <f>SUM(G516:G520)</f>
        <v>0</v>
      </c>
      <c r="H521" s="678"/>
      <c r="J521" s="679">
        <v>47173.159999999996</v>
      </c>
      <c r="K521" s="679">
        <f>+E521-J521</f>
        <v>-8129.6899999999951</v>
      </c>
    </row>
    <row r="522" spans="1:11">
      <c r="A522" s="673"/>
      <c r="C522" s="674"/>
      <c r="D522" s="675"/>
      <c r="E522" s="677"/>
      <c r="F522" s="684"/>
      <c r="G522" s="677"/>
      <c r="H522" s="678"/>
    </row>
    <row r="523" spans="1:11">
      <c r="A523" s="673">
        <v>6255</v>
      </c>
      <c r="B523" s="654" t="str">
        <f>INDEX('TB Clean'!$B$2:$B$464,MATCH('Linked TB'!A523,'TB Clean'!$A$2:$A$464,0))</f>
        <v xml:space="preserve">    TEST-WATER</v>
      </c>
      <c r="C523" s="674">
        <f>E523</f>
        <v>19573.230000000003</v>
      </c>
      <c r="D523" s="675">
        <v>0</v>
      </c>
      <c r="E523" s="677">
        <f>INDEX('TB Clean'!$D$2:$D$464,MATCH('Linked TB'!A523,'TB Clean'!$A$2:$A$464,0))</f>
        <v>19573.230000000003</v>
      </c>
      <c r="F523" s="684">
        <f>+IF(UPPER(H523)="ACTUAL",C523,INDEX(ALLOCATION_TABLE,MATCH(UPPER(H523),INDEX(ALLOCATION_TABLE,0,1),0),5)*E523)</f>
        <v>19573.230000000003</v>
      </c>
      <c r="G523" s="677">
        <f>+E523-F523</f>
        <v>0</v>
      </c>
      <c r="H523" s="678" t="s">
        <v>427</v>
      </c>
    </row>
    <row r="524" spans="1:11">
      <c r="A524" s="673">
        <v>6260</v>
      </c>
      <c r="B524" s="654" t="str">
        <f>INDEX('TB Clean'!$B$2:$B$464,MATCH('Linked TB'!A524,'TB Clean'!$A$2:$A$464,0))</f>
        <v xml:space="preserve">    TEST-EQUIP/CHEMICAL</v>
      </c>
      <c r="C524" s="674">
        <f t="shared" ref="C524:C525" si="88">E524</f>
        <v>9638.18</v>
      </c>
      <c r="D524" s="675">
        <v>0</v>
      </c>
      <c r="E524" s="677">
        <f>INDEX('TB Clean'!$D$2:$D$464,MATCH('Linked TB'!A524,'TB Clean'!$A$2:$A$464,0))</f>
        <v>9638.18</v>
      </c>
      <c r="F524" s="684">
        <f>+IF(UPPER(H524)="ACTUAL",C524,INDEX(ALLOCATION_TABLE,MATCH(UPPER(H524),INDEX(ALLOCATION_TABLE,0,1),0),5)*E524)</f>
        <v>9638.18</v>
      </c>
      <c r="G524" s="677">
        <f>+E524-F524</f>
        <v>0</v>
      </c>
      <c r="H524" s="678" t="s">
        <v>428</v>
      </c>
    </row>
    <row r="525" spans="1:11">
      <c r="A525" s="673">
        <v>6265</v>
      </c>
      <c r="B525" s="654" t="str">
        <f>INDEX('TB Clean'!$B$2:$B$464,MATCH('Linked TB'!A525,'TB Clean'!$A$2:$A$464,0))</f>
        <v xml:space="preserve">    TEST-SAFE WATER DRINKING</v>
      </c>
      <c r="C525" s="674">
        <f t="shared" si="88"/>
        <v>203.26</v>
      </c>
      <c r="D525" s="675">
        <v>0</v>
      </c>
      <c r="E525" s="677">
        <f>INDEX('TB Clean'!$D$2:$D$464,MATCH('Linked TB'!A525,'TB Clean'!$A$2:$A$464,0))</f>
        <v>203.26</v>
      </c>
      <c r="F525" s="684">
        <f>+IF(UPPER(H525)="ACTUAL",C525,INDEX(ALLOCATION_TABLE,MATCH(UPPER(H525),INDEX(ALLOCATION_TABLE,0,1),0),5)*E525)</f>
        <v>203.26</v>
      </c>
      <c r="G525" s="677">
        <f>+E525-F525</f>
        <v>0</v>
      </c>
      <c r="H525" s="678" t="s">
        <v>428</v>
      </c>
    </row>
    <row r="526" spans="1:11">
      <c r="A526" s="673">
        <v>6270</v>
      </c>
      <c r="B526" s="654" t="str">
        <f>INDEX('TB Clean'!$B$2:$B$464,MATCH('Linked TB'!A526,'TB Clean'!$A$2:$A$464,0))</f>
        <v xml:space="preserve">    TEST-SEWER</v>
      </c>
      <c r="C526" s="674">
        <v>0</v>
      </c>
      <c r="D526" s="675">
        <f>+E526</f>
        <v>8187.69</v>
      </c>
      <c r="E526" s="677">
        <f>INDEX('TB Clean'!$D$2:$D$464,MATCH('Linked TB'!A526,'TB Clean'!$A$2:$A$464,0))</f>
        <v>8187.69</v>
      </c>
      <c r="F526" s="684">
        <f>+IF(UPPER(H526)="ACTUAL",C526,INDEX(ALLOCATION_TABLE,MATCH(UPPER(H526),INDEX(ALLOCATION_TABLE,0,1),0),5)*E526)</f>
        <v>0</v>
      </c>
      <c r="G526" s="677">
        <f>+E526-F526</f>
        <v>8187.69</v>
      </c>
      <c r="H526" s="678" t="s">
        <v>427</v>
      </c>
    </row>
    <row r="527" spans="1:11" ht="5.0999999999999996" customHeight="1">
      <c r="A527" s="673"/>
      <c r="C527" s="681">
        <v>0</v>
      </c>
      <c r="D527" s="682">
        <v>0</v>
      </c>
      <c r="E527" s="683">
        <v>0</v>
      </c>
      <c r="F527" s="689">
        <v>0</v>
      </c>
      <c r="G527" s="683">
        <v>0</v>
      </c>
      <c r="H527" s="678"/>
    </row>
    <row r="528" spans="1:11">
      <c r="A528" s="673" t="s">
        <v>959</v>
      </c>
      <c r="B528" s="654" t="s">
        <v>1006</v>
      </c>
      <c r="C528" s="684">
        <f>SUM(C523:C527)</f>
        <v>29414.670000000002</v>
      </c>
      <c r="D528" s="677">
        <f>SUM(D523:D527)</f>
        <v>8187.69</v>
      </c>
      <c r="E528" s="677">
        <f>SUM(E523:E527)</f>
        <v>37602.36</v>
      </c>
      <c r="F528" s="684">
        <f>SUM(F523:F527)</f>
        <v>29414.670000000002</v>
      </c>
      <c r="G528" s="677">
        <f>SUM(G523:G527)</f>
        <v>8187.69</v>
      </c>
      <c r="H528" s="678"/>
      <c r="J528" s="679">
        <v>24880.35</v>
      </c>
      <c r="K528" s="679">
        <f>+E528-J528</f>
        <v>12722.010000000002</v>
      </c>
    </row>
    <row r="529" spans="1:8">
      <c r="A529" s="673"/>
      <c r="C529" s="674"/>
      <c r="D529" s="675"/>
      <c r="E529" s="677"/>
      <c r="F529" s="684"/>
      <c r="G529" s="677"/>
      <c r="H529" s="678"/>
    </row>
    <row r="530" spans="1:8">
      <c r="A530" s="673">
        <v>6285</v>
      </c>
      <c r="B530" s="654" t="str">
        <f>INDEX('TB Clean'!$B$2:$B$464,MATCH('Linked TB'!A530,'TB Clean'!$A$2:$A$464,0))</f>
        <v xml:space="preserve">    WATER-MAINT SUPPLIES</v>
      </c>
      <c r="C530" s="674">
        <f>+E530</f>
        <v>8071.6799999999985</v>
      </c>
      <c r="D530" s="675">
        <v>0</v>
      </c>
      <c r="E530" s="677">
        <f>INDEX('TB Clean'!$D$2:$D$464,MATCH('Linked TB'!A530,'TB Clean'!$A$2:$A$464,0))</f>
        <v>8071.6799999999985</v>
      </c>
      <c r="F530" s="684">
        <f t="shared" ref="F530:F548" si="89">+IF(UPPER(H530)="ACTUAL",C530,INDEX(ALLOCATION_TABLE,MATCH(UPPER(H530),INDEX(ALLOCATION_TABLE,0,1),0),5)*E530)</f>
        <v>8071.6799999999985</v>
      </c>
      <c r="G530" s="677">
        <f t="shared" ref="G530:G548" si="90">+E530-F530</f>
        <v>0</v>
      </c>
      <c r="H530" s="678" t="s">
        <v>427</v>
      </c>
    </row>
    <row r="531" spans="1:8">
      <c r="A531" s="673">
        <v>6290</v>
      </c>
      <c r="B531" s="654" t="str">
        <f>INDEX('TB Clean'!$B$2:$B$464,MATCH('Linked TB'!A531,'TB Clean'!$A$2:$A$464,0))</f>
        <v xml:space="preserve">    WATER-MAINT REPAIRS</v>
      </c>
      <c r="C531" s="674">
        <f>+E531</f>
        <v>9888.02</v>
      </c>
      <c r="D531" s="675">
        <v>0</v>
      </c>
      <c r="E531" s="677">
        <f>INDEX('TB Clean'!$D$2:$D$464,MATCH('Linked TB'!A531,'TB Clean'!$A$2:$A$464,0))</f>
        <v>9888.02</v>
      </c>
      <c r="F531" s="684">
        <f t="shared" si="89"/>
        <v>9888.02</v>
      </c>
      <c r="G531" s="677">
        <f t="shared" si="90"/>
        <v>0</v>
      </c>
      <c r="H531" s="678" t="s">
        <v>427</v>
      </c>
    </row>
    <row r="532" spans="1:8">
      <c r="A532" s="673">
        <v>6295</v>
      </c>
      <c r="B532" s="654" t="str">
        <f>INDEX('TB Clean'!$B$2:$B$464,MATCH('Linked TB'!A532,'TB Clean'!$A$2:$A$464,0))</f>
        <v xml:space="preserve">    WATER-MAIN BREAKS</v>
      </c>
      <c r="C532" s="674">
        <f>+E532</f>
        <v>10643.11</v>
      </c>
      <c r="D532" s="675">
        <v>0</v>
      </c>
      <c r="E532" s="677">
        <f>INDEX('TB Clean'!$D$2:$D$464,MATCH('Linked TB'!A532,'TB Clean'!$A$2:$A$464,0))</f>
        <v>10643.11</v>
      </c>
      <c r="F532" s="684">
        <f t="shared" si="89"/>
        <v>10643.11</v>
      </c>
      <c r="G532" s="677">
        <f t="shared" si="90"/>
        <v>0</v>
      </c>
      <c r="H532" s="678" t="s">
        <v>427</v>
      </c>
    </row>
    <row r="533" spans="1:8">
      <c r="A533" s="673">
        <v>6300</v>
      </c>
      <c r="B533" s="654" t="str">
        <f>INDEX('TB Clean'!$B$2:$B$464,MATCH('Linked TB'!A533,'TB Clean'!$A$2:$A$464,0))</f>
        <v xml:space="preserve">    WATER-ELEC EQUIPT REPAIR</v>
      </c>
      <c r="C533" s="674">
        <f>+E533</f>
        <v>90.1</v>
      </c>
      <c r="D533" s="675">
        <v>0</v>
      </c>
      <c r="E533" s="677">
        <f>INDEX('TB Clean'!$D$2:$D$464,MATCH('Linked TB'!A533,'TB Clean'!$A$2:$A$464,0))</f>
        <v>90.1</v>
      </c>
      <c r="F533" s="684">
        <f t="shared" si="89"/>
        <v>90.1</v>
      </c>
      <c r="G533" s="677">
        <f t="shared" si="90"/>
        <v>0</v>
      </c>
      <c r="H533" s="678" t="s">
        <v>427</v>
      </c>
    </row>
    <row r="534" spans="1:8">
      <c r="A534" s="673">
        <v>6310</v>
      </c>
      <c r="B534" s="654" t="str">
        <f>INDEX('TB Clean'!$B$2:$B$464,MATCH('Linked TB'!A534,'TB Clean'!$A$2:$A$464,0))</f>
        <v xml:space="preserve">    WATER-OTHER MAINT EXP</v>
      </c>
      <c r="C534" s="674">
        <f>+E534</f>
        <v>26047.65</v>
      </c>
      <c r="D534" s="675">
        <v>0</v>
      </c>
      <c r="E534" s="677">
        <f>INDEX('TB Clean'!$D$2:$D$464,MATCH('Linked TB'!A534,'TB Clean'!$A$2:$A$464,0))</f>
        <v>26047.65</v>
      </c>
      <c r="F534" s="684">
        <f t="shared" si="89"/>
        <v>26047.65</v>
      </c>
      <c r="G534" s="677">
        <f t="shared" si="90"/>
        <v>0</v>
      </c>
      <c r="H534" s="678" t="s">
        <v>427</v>
      </c>
    </row>
    <row r="535" spans="1:8">
      <c r="A535" s="673">
        <v>6320</v>
      </c>
      <c r="B535" s="654" t="str">
        <f>INDEX('TB Clean'!$B$2:$B$464,MATCH('Linked TB'!A535,'TB Clean'!$A$2:$A$464,0))</f>
        <v xml:space="preserve">    SEWER-MAINT SUPPLIES</v>
      </c>
      <c r="C535" s="674">
        <v>0</v>
      </c>
      <c r="D535" s="675">
        <f t="shared" ref="D535:D540" si="91">+E535</f>
        <v>1752.5500000000002</v>
      </c>
      <c r="E535" s="677">
        <f>INDEX('TB Clean'!$D$2:$D$464,MATCH('Linked TB'!A535,'TB Clean'!$A$2:$A$464,0))</f>
        <v>1752.5500000000002</v>
      </c>
      <c r="F535" s="684">
        <f t="shared" si="89"/>
        <v>0</v>
      </c>
      <c r="G535" s="677">
        <f t="shared" si="90"/>
        <v>1752.5500000000002</v>
      </c>
      <c r="H535" s="678" t="s">
        <v>427</v>
      </c>
    </row>
    <row r="536" spans="1:8">
      <c r="A536" s="673">
        <v>6325</v>
      </c>
      <c r="B536" s="654" t="str">
        <f>INDEX('TB Clean'!$B$2:$B$464,MATCH('Linked TB'!A536,'TB Clean'!$A$2:$A$464,0))</f>
        <v xml:space="preserve">    SEWER-MAINT REPAIRS</v>
      </c>
      <c r="C536" s="674">
        <v>0</v>
      </c>
      <c r="D536" s="675">
        <f t="shared" si="91"/>
        <v>1500</v>
      </c>
      <c r="E536" s="677">
        <f>INDEX('TB Clean'!$D$2:$D$464,MATCH('Linked TB'!A536,'TB Clean'!$A$2:$A$464,0))</f>
        <v>1500</v>
      </c>
      <c r="F536" s="684">
        <f t="shared" si="89"/>
        <v>0</v>
      </c>
      <c r="G536" s="677">
        <f t="shared" si="90"/>
        <v>1500</v>
      </c>
      <c r="H536" s="678" t="s">
        <v>427</v>
      </c>
    </row>
    <row r="537" spans="1:8">
      <c r="A537" s="673">
        <v>6330</v>
      </c>
      <c r="B537" s="654" t="str">
        <f>INDEX('TB Clean'!$B$2:$B$464,MATCH('Linked TB'!A537,'TB Clean'!$A$2:$A$464,0))</f>
        <v xml:space="preserve">    SEWER-MAIN BREAKS</v>
      </c>
      <c r="C537" s="674">
        <v>0</v>
      </c>
      <c r="D537" s="675">
        <f t="shared" si="91"/>
        <v>0</v>
      </c>
      <c r="E537" s="677">
        <f>INDEX('TB Clean'!$D$2:$D$464,MATCH('Linked TB'!A537,'TB Clean'!$A$2:$A$464,0))</f>
        <v>0</v>
      </c>
      <c r="F537" s="684">
        <f>+IF(UPPER(H537)="ACTUAL",C537,INDEX(ALLOCATION_TABLE,MATCH(UPPER(H537),INDEX(ALLOCATION_TABLE,0,1),0),5)*E537)</f>
        <v>0</v>
      </c>
      <c r="G537" s="677">
        <f>+E537-F537</f>
        <v>0</v>
      </c>
      <c r="H537" s="678" t="s">
        <v>427</v>
      </c>
    </row>
    <row r="538" spans="1:8">
      <c r="A538" s="673">
        <v>6335</v>
      </c>
      <c r="B538" s="654" t="str">
        <f>INDEX('TB Clean'!$B$2:$B$464,MATCH('Linked TB'!A538,'TB Clean'!$A$2:$A$464,0))</f>
        <v xml:space="preserve">    SEWER-ELEC EQUIPT REPAIR</v>
      </c>
      <c r="C538" s="674">
        <v>0</v>
      </c>
      <c r="D538" s="675">
        <f t="shared" si="91"/>
        <v>7721.1200000000008</v>
      </c>
      <c r="E538" s="677">
        <f>INDEX('TB Clean'!$D$2:$D$464,MATCH('Linked TB'!A538,'TB Clean'!$A$2:$A$464,0))</f>
        <v>7721.1200000000008</v>
      </c>
      <c r="F538" s="684">
        <f t="shared" si="89"/>
        <v>0</v>
      </c>
      <c r="G538" s="677">
        <f t="shared" si="90"/>
        <v>7721.1200000000008</v>
      </c>
      <c r="H538" s="678" t="s">
        <v>427</v>
      </c>
    </row>
    <row r="539" spans="1:8">
      <c r="A539" s="673">
        <v>6340</v>
      </c>
      <c r="B539" s="654" t="str">
        <f>INDEX('TB Clean'!$B$2:$B$464,MATCH('Linked TB'!A539,'TB Clean'!$A$2:$A$464,0))</f>
        <v xml:space="preserve">    SEWER-PERMITS</v>
      </c>
      <c r="C539" s="674">
        <v>0</v>
      </c>
      <c r="D539" s="675">
        <f t="shared" si="91"/>
        <v>0</v>
      </c>
      <c r="E539" s="677">
        <f>INDEX('TB Clean'!$D$2:$D$464,MATCH('Linked TB'!A539,'TB Clean'!$A$2:$A$464,0))</f>
        <v>0</v>
      </c>
      <c r="F539" s="684">
        <f t="shared" si="89"/>
        <v>0</v>
      </c>
      <c r="G539" s="677">
        <f t="shared" si="90"/>
        <v>0</v>
      </c>
      <c r="H539" s="678" t="s">
        <v>427</v>
      </c>
    </row>
    <row r="540" spans="1:8">
      <c r="A540" s="673">
        <v>6345</v>
      </c>
      <c r="B540" s="654" t="str">
        <f>INDEX('TB Clean'!$B$2:$B$464,MATCH('Linked TB'!A540,'TB Clean'!$A$2:$A$464,0))</f>
        <v xml:space="preserve">    SEWER-OTHER MAINT EXP</v>
      </c>
      <c r="C540" s="674">
        <v>0</v>
      </c>
      <c r="D540" s="675">
        <f t="shared" si="91"/>
        <v>3710.18</v>
      </c>
      <c r="E540" s="677">
        <f>INDEX('TB Clean'!$D$2:$D$464,MATCH('Linked TB'!A540,'TB Clean'!$A$2:$A$464,0))</f>
        <v>3710.18</v>
      </c>
      <c r="F540" s="684">
        <f t="shared" si="89"/>
        <v>0</v>
      </c>
      <c r="G540" s="677">
        <f t="shared" si="90"/>
        <v>3710.18</v>
      </c>
      <c r="H540" s="678" t="s">
        <v>427</v>
      </c>
    </row>
    <row r="541" spans="1:8">
      <c r="A541" s="673">
        <v>6355</v>
      </c>
      <c r="B541" s="654" t="str">
        <f>INDEX('TB Clean'!$B$2:$B$464,MATCH('Linked TB'!A541,'TB Clean'!$A$2:$A$464,0))</f>
        <v xml:space="preserve">    DEFERRED MAINT EXPENSE</v>
      </c>
      <c r="C541" s="674">
        <f>E541</f>
        <v>19977.39</v>
      </c>
      <c r="D541" s="675">
        <v>0</v>
      </c>
      <c r="E541" s="677">
        <f>INDEX('TB Clean'!$D$2:$D$464,MATCH('Linked TB'!A541,'TB Clean'!$A$2:$A$464,0))</f>
        <v>19977.39</v>
      </c>
      <c r="F541" s="684">
        <f t="shared" si="89"/>
        <v>19977.39</v>
      </c>
      <c r="G541" s="677">
        <f t="shared" si="90"/>
        <v>0</v>
      </c>
      <c r="H541" s="678" t="s">
        <v>428</v>
      </c>
    </row>
    <row r="542" spans="1:8">
      <c r="A542" s="673">
        <v>6360</v>
      </c>
      <c r="B542" s="654" t="str">
        <f>INDEX('TB Clean'!$B$2:$B$464,MATCH('Linked TB'!A542,'TB Clean'!$A$2:$A$464,0))</f>
        <v xml:space="preserve">    COMMUNICATION EXPENSE</v>
      </c>
      <c r="C542" s="674">
        <f t="shared" ref="C542:C548" si="92">E542</f>
        <v>187.89</v>
      </c>
      <c r="D542" s="675">
        <v>0</v>
      </c>
      <c r="E542" s="677">
        <f>INDEX('TB Clean'!$D$2:$D$464,MATCH('Linked TB'!A542,'TB Clean'!$A$2:$A$464,0))</f>
        <v>187.89</v>
      </c>
      <c r="F542" s="684">
        <f>+IF(UPPER(H542)="ACTUAL",C542,INDEX(ALLOCATION_TABLE,MATCH(UPPER(H542),INDEX(ALLOCATION_TABLE,0,1),0),5)*E542)</f>
        <v>187.89</v>
      </c>
      <c r="G542" s="677">
        <f t="shared" si="90"/>
        <v>0</v>
      </c>
      <c r="H542" s="678" t="s">
        <v>428</v>
      </c>
    </row>
    <row r="543" spans="1:8">
      <c r="A543" s="673">
        <v>6370</v>
      </c>
      <c r="B543" s="654" t="str">
        <f>INDEX('TB Clean'!$B$2:$B$464,MATCH('Linked TB'!A543,'TB Clean'!$A$2:$A$464,0))</f>
        <v xml:space="preserve">    OPER CONTRACTED WORKERS</v>
      </c>
      <c r="C543" s="674">
        <f t="shared" si="92"/>
        <v>7200</v>
      </c>
      <c r="D543" s="675">
        <v>0</v>
      </c>
      <c r="E543" s="677">
        <f>INDEX('TB Clean'!$D$2:$D$464,MATCH('Linked TB'!A543,'TB Clean'!$A$2:$A$464,0))</f>
        <v>7200</v>
      </c>
      <c r="F543" s="684">
        <f>+IF(UPPER(H543)="ACTUAL",C543,INDEX(ALLOCATION_TABLE,MATCH(UPPER(H543),INDEX(ALLOCATION_TABLE,0,1),0),5)*E543)</f>
        <v>7200</v>
      </c>
      <c r="G543" s="677">
        <f t="shared" si="90"/>
        <v>0</v>
      </c>
      <c r="H543" s="678" t="s">
        <v>428</v>
      </c>
    </row>
    <row r="544" spans="1:8">
      <c r="A544" s="673">
        <v>6380</v>
      </c>
      <c r="B544" s="654" t="str">
        <f>INDEX('TB Clean'!$B$2:$B$464,MATCH('Linked TB'!A544,'TB Clean'!$A$2:$A$464,0))</f>
        <v xml:space="preserve">    REPAIRS &amp; MAINT-MAINT,LAND</v>
      </c>
      <c r="C544" s="674">
        <f t="shared" si="92"/>
        <v>0</v>
      </c>
      <c r="D544" s="675">
        <v>0</v>
      </c>
      <c r="E544" s="677">
        <f>INDEX('TB Clean'!$D$2:$D$464,MATCH('Linked TB'!A544,'TB Clean'!$A$2:$A$464,0))</f>
        <v>0</v>
      </c>
      <c r="F544" s="684">
        <f>+IF(UPPER(H544)="ACTUAL",C544,INDEX(ALLOCATION_TABLE,MATCH(UPPER(H544),INDEX(ALLOCATION_TABLE,0,1),0),5)*E544)</f>
        <v>0</v>
      </c>
      <c r="G544" s="677">
        <f t="shared" si="90"/>
        <v>0</v>
      </c>
      <c r="H544" s="678" t="s">
        <v>428</v>
      </c>
    </row>
    <row r="545" spans="1:11">
      <c r="A545" s="673">
        <v>6385</v>
      </c>
      <c r="B545" s="654" t="str">
        <f>INDEX('TB Clean'!$B$2:$B$464,MATCH('Linked TB'!A545,'TB Clean'!$A$2:$A$464,0))</f>
        <v xml:space="preserve">    UNIFORMS</v>
      </c>
      <c r="C545" s="674">
        <f t="shared" si="92"/>
        <v>2595.16</v>
      </c>
      <c r="D545" s="675">
        <v>0</v>
      </c>
      <c r="E545" s="677">
        <f>INDEX('TB Clean'!$D$2:$D$464,MATCH('Linked TB'!A545,'TB Clean'!$A$2:$A$464,0))</f>
        <v>2595.16</v>
      </c>
      <c r="F545" s="684">
        <f t="shared" si="89"/>
        <v>2595.16</v>
      </c>
      <c r="G545" s="677">
        <f t="shared" si="90"/>
        <v>0</v>
      </c>
      <c r="H545" s="678" t="s">
        <v>428</v>
      </c>
    </row>
    <row r="546" spans="1:11">
      <c r="A546" s="673">
        <v>6390</v>
      </c>
      <c r="B546" s="654" t="str">
        <f>INDEX('TB Clean'!$B$2:$B$464,MATCH('Linked TB'!A546,'TB Clean'!$A$2:$A$464,0))</f>
        <v xml:space="preserve">    WEATHER/HURRICANE/FUEL EXP</v>
      </c>
      <c r="C546" s="674">
        <f t="shared" si="92"/>
        <v>2067.4500000000003</v>
      </c>
      <c r="D546" s="675">
        <v>0</v>
      </c>
      <c r="E546" s="677">
        <f>INDEX('TB Clean'!$D$2:$D$464,MATCH('Linked TB'!A546,'TB Clean'!$A$2:$A$464,0))</f>
        <v>2067.4500000000003</v>
      </c>
      <c r="F546" s="684">
        <f>+IF(UPPER(H546)="ACTUAL",C546,INDEX(ALLOCATION_TABLE,MATCH(UPPER(H546),INDEX(ALLOCATION_TABLE,0,1),0),5)*E546)</f>
        <v>2067.4500000000003</v>
      </c>
      <c r="G546" s="677">
        <f t="shared" si="90"/>
        <v>0</v>
      </c>
      <c r="H546" s="678" t="s">
        <v>428</v>
      </c>
    </row>
    <row r="547" spans="1:11">
      <c r="A547" s="673">
        <v>6400</v>
      </c>
      <c r="B547" s="654" t="str">
        <f>INDEX('TB Clean'!$B$2:$B$464,MATCH('Linked TB'!A547,'TB Clean'!$A$2:$A$464,0))</f>
        <v xml:space="preserve">   SEWER RODDING</v>
      </c>
      <c r="C547" s="674">
        <f t="shared" si="92"/>
        <v>0</v>
      </c>
      <c r="D547" s="675">
        <f>+E547</f>
        <v>0</v>
      </c>
      <c r="E547" s="677">
        <f>INDEX('TB Clean'!$D$2:$D$464,MATCH('Linked TB'!A547,'TB Clean'!$A$2:$A$464,0))</f>
        <v>0</v>
      </c>
      <c r="F547" s="684">
        <f t="shared" si="89"/>
        <v>0</v>
      </c>
      <c r="G547" s="677">
        <f t="shared" si="90"/>
        <v>0</v>
      </c>
      <c r="H547" s="678" t="s">
        <v>427</v>
      </c>
    </row>
    <row r="548" spans="1:11">
      <c r="A548" s="673">
        <v>6410</v>
      </c>
      <c r="B548" s="654" t="str">
        <f>INDEX('TB Clean'!$B$2:$B$464,MATCH('Linked TB'!A548,'TB Clean'!$A$2:$A$464,0))</f>
        <v xml:space="preserve">   SLUDGE HAULING</v>
      </c>
      <c r="C548" s="674">
        <f t="shared" si="92"/>
        <v>0</v>
      </c>
      <c r="D548" s="675">
        <f>+E548</f>
        <v>0</v>
      </c>
      <c r="E548" s="677">
        <f>INDEX('TB Clean'!$D$2:$D$464,MATCH('Linked TB'!A548,'TB Clean'!$A$2:$A$464,0))</f>
        <v>0</v>
      </c>
      <c r="F548" s="684">
        <f t="shared" si="89"/>
        <v>0</v>
      </c>
      <c r="G548" s="677">
        <f t="shared" si="90"/>
        <v>0</v>
      </c>
      <c r="H548" s="678" t="s">
        <v>427</v>
      </c>
    </row>
    <row r="549" spans="1:11" ht="5.0999999999999996" customHeight="1">
      <c r="A549" s="673"/>
      <c r="C549" s="681">
        <v>0</v>
      </c>
      <c r="D549" s="682">
        <v>0</v>
      </c>
      <c r="E549" s="683">
        <v>0</v>
      </c>
      <c r="F549" s="689">
        <v>0</v>
      </c>
      <c r="G549" s="683">
        <v>0</v>
      </c>
      <c r="H549" s="678"/>
    </row>
    <row r="550" spans="1:11">
      <c r="A550" s="673" t="s">
        <v>959</v>
      </c>
      <c r="B550" s="654" t="s">
        <v>1007</v>
      </c>
      <c r="C550" s="684">
        <f>SUM(C530:C549)</f>
        <v>86768.45</v>
      </c>
      <c r="D550" s="677">
        <f>SUM(D530:D549)</f>
        <v>14683.850000000002</v>
      </c>
      <c r="E550" s="677">
        <f>SUM(E530:E549)</f>
        <v>101452.29999999999</v>
      </c>
      <c r="F550" s="684">
        <f>SUM(F530:F549)</f>
        <v>86768.45</v>
      </c>
      <c r="G550" s="677">
        <f>SUM(G530:G549)</f>
        <v>14683.850000000002</v>
      </c>
      <c r="H550" s="678"/>
      <c r="J550" s="679">
        <v>87087.489999999991</v>
      </c>
      <c r="K550" s="679">
        <f>+E550-J550</f>
        <v>14364.809999999998</v>
      </c>
    </row>
    <row r="551" spans="1:11">
      <c r="A551" s="673"/>
      <c r="C551" s="674"/>
      <c r="D551" s="675"/>
      <c r="E551" s="677"/>
      <c r="F551" s="684"/>
      <c r="G551" s="677"/>
      <c r="H551" s="678"/>
    </row>
    <row r="552" spans="1:11">
      <c r="A552" s="673">
        <v>6445</v>
      </c>
      <c r="B552" s="654" t="str">
        <f>INDEX('TB Clean'!$B$2:$B$464,MATCH('Linked TB'!A552,'TB Clean'!$A$2:$A$464,0))</f>
        <v xml:space="preserve">    DEPREC-ORGANIZATION</v>
      </c>
      <c r="C552" s="674">
        <f t="shared" ref="C552:C576" si="93">+E552</f>
        <v>3287.8799999999987</v>
      </c>
      <c r="D552" s="675">
        <v>0</v>
      </c>
      <c r="E552" s="677">
        <f>INDEX('TB Clean'!$D$2:$D$464,MATCH('Linked TB'!A552,'TB Clean'!$A$2:$A$464,0))</f>
        <v>3287.8799999999987</v>
      </c>
      <c r="F552" s="684">
        <f>+IF(UPPER(H552)="ACTUAL",C552,INDEX(ALLOCATION_TABLE,MATCH(UPPER(H552),INDEX(ALLOCATION_TABLE,0,1),0),5)*E552)</f>
        <v>3287.8799999999987</v>
      </c>
      <c r="G552" s="677">
        <f t="shared" ref="G552:G603" si="94">+E552-F552</f>
        <v>0</v>
      </c>
      <c r="H552" s="678" t="s">
        <v>427</v>
      </c>
    </row>
    <row r="553" spans="1:11">
      <c r="A553" s="685">
        <v>6455</v>
      </c>
      <c r="B553" s="654" t="str">
        <f>INDEX('TB Clean'!$B$2:$B$464,MATCH('Linked TB'!A553,'TB Clean'!$A$2:$A$464,0))</f>
        <v xml:space="preserve">    DEPREC-STRUCT &amp; IMPRV SRC</v>
      </c>
      <c r="C553" s="674">
        <f t="shared" si="93"/>
        <v>2384.2599999999998</v>
      </c>
      <c r="D553" s="675">
        <v>0</v>
      </c>
      <c r="E553" s="677">
        <f>INDEX('TB Clean'!$D$2:$D$464,MATCH('Linked TB'!A553,'TB Clean'!$A$2:$A$464,0))</f>
        <v>2384.2599999999998</v>
      </c>
      <c r="F553" s="684">
        <f t="shared" ref="F553:F580" si="95">+IF(UPPER(H553)="ACTUAL",C553,INDEX(ALLOCATION_TABLE,MATCH(UPPER(H553),INDEX(ALLOCATION_TABLE,0,1),0),5)*E553)</f>
        <v>2384.2599999999998</v>
      </c>
      <c r="G553" s="677">
        <f t="shared" si="94"/>
        <v>0</v>
      </c>
      <c r="H553" s="678" t="s">
        <v>427</v>
      </c>
    </row>
    <row r="554" spans="1:11">
      <c r="A554" s="685">
        <v>6460</v>
      </c>
      <c r="B554" s="654" t="str">
        <f>INDEX('TB Clean'!$B$2:$B$464,MATCH('Linked TB'!A554,'TB Clean'!$A$2:$A$464,0))</f>
        <v xml:space="preserve">    DEPREC-STRUCT &amp; IMPRV WTP</v>
      </c>
      <c r="C554" s="674">
        <f t="shared" si="93"/>
        <v>9330.5399999999991</v>
      </c>
      <c r="D554" s="675">
        <v>0</v>
      </c>
      <c r="E554" s="677">
        <f>INDEX('TB Clean'!$D$2:$D$464,MATCH('Linked TB'!A554,'TB Clean'!$A$2:$A$464,0))</f>
        <v>9330.5399999999991</v>
      </c>
      <c r="F554" s="684">
        <f t="shared" si="95"/>
        <v>9330.5399999999991</v>
      </c>
      <c r="G554" s="677">
        <f t="shared" si="94"/>
        <v>0</v>
      </c>
      <c r="H554" s="678" t="s">
        <v>427</v>
      </c>
    </row>
    <row r="555" spans="1:11">
      <c r="A555" s="673">
        <v>6465</v>
      </c>
      <c r="B555" s="654" t="str">
        <f>INDEX('TB Clean'!$B$2:$B$464,MATCH('Linked TB'!A555,'TB Clean'!$A$2:$A$464,0))</f>
        <v xml:space="preserve">    DEPREC-STRUCT &amp; IMPRV DIST</v>
      </c>
      <c r="C555" s="674">
        <f>+E555</f>
        <v>2.31</v>
      </c>
      <c r="D555" s="675">
        <v>0</v>
      </c>
      <c r="E555" s="677">
        <f>INDEX('TB Clean'!$D$2:$D$464,MATCH('Linked TB'!A555,'TB Clean'!$A$2:$A$464,0))</f>
        <v>2.31</v>
      </c>
      <c r="F555" s="684">
        <f>+IF(UPPER(H555)="ACTUAL",C555,INDEX(ALLOCATION_TABLE,MATCH(UPPER(H555),INDEX(ALLOCATION_TABLE,0,1),0),5)*E555)</f>
        <v>2.31</v>
      </c>
      <c r="G555" s="677">
        <f>+E555-F555</f>
        <v>0</v>
      </c>
      <c r="H555" s="678" t="s">
        <v>427</v>
      </c>
    </row>
    <row r="556" spans="1:11">
      <c r="A556" s="673">
        <v>6470</v>
      </c>
      <c r="B556" s="654" t="str">
        <f>INDEX('TB Clean'!$B$2:$B$464,MATCH('Linked TB'!A556,'TB Clean'!$A$2:$A$464,0))</f>
        <v xml:space="preserve">    DEPREC-STRUCT &amp; IMPRV GEN</v>
      </c>
      <c r="C556" s="674">
        <f>+E556</f>
        <v>2592</v>
      </c>
      <c r="D556" s="675">
        <v>0</v>
      </c>
      <c r="E556" s="677">
        <f>INDEX('TB Clean'!$D$2:$D$464,MATCH('Linked TB'!A556,'TB Clean'!$A$2:$A$464,0))</f>
        <v>2592</v>
      </c>
      <c r="F556" s="684">
        <f>+IF(UPPER(H556)="ACTUAL",C556,INDEX(ALLOCATION_TABLE,MATCH(UPPER(H556),INDEX(ALLOCATION_TABLE,0,1),0),5)*E556)</f>
        <v>2592</v>
      </c>
      <c r="G556" s="677">
        <f>+E556-F556</f>
        <v>0</v>
      </c>
      <c r="H556" s="678" t="s">
        <v>427</v>
      </c>
    </row>
    <row r="557" spans="1:11">
      <c r="A557" s="685">
        <v>6485</v>
      </c>
      <c r="B557" s="654" t="str">
        <f>INDEX('TB Clean'!$B$2:$B$464,MATCH('Linked TB'!A557,'TB Clean'!$A$2:$A$464,0))</f>
        <v xml:space="preserve">    DEPREC-WELLS &amp; SPRINGS</v>
      </c>
      <c r="C557" s="674">
        <f t="shared" si="93"/>
        <v>9528.4299999999985</v>
      </c>
      <c r="D557" s="675">
        <v>0</v>
      </c>
      <c r="E557" s="677">
        <f>INDEX('TB Clean'!$D$2:$D$464,MATCH('Linked TB'!A557,'TB Clean'!$A$2:$A$464,0))</f>
        <v>9528.4299999999985</v>
      </c>
      <c r="F557" s="684">
        <f t="shared" si="95"/>
        <v>9528.4299999999985</v>
      </c>
      <c r="G557" s="677">
        <f t="shared" si="94"/>
        <v>0</v>
      </c>
      <c r="H557" s="678" t="s">
        <v>427</v>
      </c>
    </row>
    <row r="558" spans="1:11">
      <c r="A558" s="673">
        <v>6495</v>
      </c>
      <c r="B558" s="654" t="str">
        <f>INDEX('TB Clean'!$B$2:$B$464,MATCH('Linked TB'!A558,'TB Clean'!$A$2:$A$464,0))</f>
        <v xml:space="preserve">    DEPREC-SUPPLY MAINS</v>
      </c>
      <c r="C558" s="674">
        <f>+E558</f>
        <v>142.32000000000002</v>
      </c>
      <c r="D558" s="675">
        <v>0</v>
      </c>
      <c r="E558" s="677">
        <f>INDEX('TB Clean'!$D$2:$D$464,MATCH('Linked TB'!A558,'TB Clean'!$A$2:$A$464,0))</f>
        <v>142.32000000000002</v>
      </c>
      <c r="F558" s="684">
        <f>+IF(UPPER(H558)="ACTUAL",C558,INDEX(ALLOCATION_TABLE,MATCH(UPPER(H558),INDEX(ALLOCATION_TABLE,0,1),0),5)*E558)</f>
        <v>142.32000000000002</v>
      </c>
      <c r="G558" s="677">
        <f>+E558-F558</f>
        <v>0</v>
      </c>
      <c r="H558" s="678" t="s">
        <v>427</v>
      </c>
    </row>
    <row r="559" spans="1:11">
      <c r="A559" s="673">
        <v>6505</v>
      </c>
      <c r="B559" s="654" t="str">
        <f>INDEX('TB Clean'!$B$2:$B$464,MATCH('Linked TB'!A559,'TB Clean'!$A$2:$A$464,0))</f>
        <v xml:space="preserve">    DEPREC-ELEC PUMP EQP SRC P</v>
      </c>
      <c r="C559" s="674">
        <f>+E559</f>
        <v>167.81000000000003</v>
      </c>
      <c r="D559" s="675">
        <v>0</v>
      </c>
      <c r="E559" s="677">
        <f>INDEX('TB Clean'!$D$2:$D$464,MATCH('Linked TB'!A559,'TB Clean'!$A$2:$A$464,0))</f>
        <v>167.81000000000003</v>
      </c>
      <c r="F559" s="684">
        <f>+IF(UPPER(H559)="ACTUAL",C559,INDEX(ALLOCATION_TABLE,MATCH(UPPER(H559),INDEX(ALLOCATION_TABLE,0,1),0),5)*E559)</f>
        <v>167.81000000000003</v>
      </c>
      <c r="G559" s="677">
        <f>+E559-F559</f>
        <v>0</v>
      </c>
      <c r="H559" s="678" t="s">
        <v>427</v>
      </c>
    </row>
    <row r="560" spans="1:11">
      <c r="A560" s="673">
        <v>6510</v>
      </c>
      <c r="B560" s="654" t="str">
        <f>INDEX('TB Clean'!$B$2:$B$464,MATCH('Linked TB'!A560,'TB Clean'!$A$2:$A$464,0))</f>
        <v xml:space="preserve">    DEPREC-ELEC PUMP EQP WTP</v>
      </c>
      <c r="C560" s="674">
        <f>+E560</f>
        <v>13849.8</v>
      </c>
      <c r="D560" s="675">
        <v>0</v>
      </c>
      <c r="E560" s="677">
        <f>INDEX('TB Clean'!$D$2:$D$464,MATCH('Linked TB'!A560,'TB Clean'!$A$2:$A$464,0))</f>
        <v>13849.8</v>
      </c>
      <c r="F560" s="684">
        <f>+IF(UPPER(H560)="ACTUAL",C560,INDEX(ALLOCATION_TABLE,MATCH(UPPER(H560),INDEX(ALLOCATION_TABLE,0,1),0),5)*E560)</f>
        <v>13849.8</v>
      </c>
      <c r="G560" s="677">
        <f>+E560-F560</f>
        <v>0</v>
      </c>
      <c r="H560" s="678" t="s">
        <v>427</v>
      </c>
    </row>
    <row r="561" spans="1:8">
      <c r="A561" s="673">
        <v>6515</v>
      </c>
      <c r="B561" s="654" t="str">
        <f>INDEX('TB Clean'!$B$2:$B$464,MATCH('Linked TB'!A561,'TB Clean'!$A$2:$A$464,0))</f>
        <v xml:space="preserve">    DEPREC-ELEC PUMP EQP TRANS</v>
      </c>
      <c r="C561" s="674">
        <f>+E561</f>
        <v>146.28</v>
      </c>
      <c r="D561" s="675">
        <v>0</v>
      </c>
      <c r="E561" s="677">
        <f>INDEX('TB Clean'!$D$2:$D$464,MATCH('Linked TB'!A561,'TB Clean'!$A$2:$A$464,0))</f>
        <v>146.28</v>
      </c>
      <c r="F561" s="684">
        <f>+IF(UPPER(H561)="ACTUAL",C561,INDEX(ALLOCATION_TABLE,MATCH(UPPER(H561),INDEX(ALLOCATION_TABLE,0,1),0),5)*E561)</f>
        <v>146.28</v>
      </c>
      <c r="G561" s="677">
        <f>+E561-F561</f>
        <v>0</v>
      </c>
      <c r="H561" s="678" t="s">
        <v>427</v>
      </c>
    </row>
    <row r="562" spans="1:8">
      <c r="A562" s="685">
        <v>6520</v>
      </c>
      <c r="B562" s="654" t="str">
        <f>INDEX('TB Clean'!$B$2:$B$464,MATCH('Linked TB'!A562,'TB Clean'!$A$2:$A$464,0))</f>
        <v xml:space="preserve">    DEPREC-WATER TREATMENT EQP</v>
      </c>
      <c r="C562" s="674">
        <f t="shared" si="93"/>
        <v>12764.800000000001</v>
      </c>
      <c r="D562" s="675">
        <v>0</v>
      </c>
      <c r="E562" s="677">
        <f>INDEX('TB Clean'!$D$2:$D$464,MATCH('Linked TB'!A562,'TB Clean'!$A$2:$A$464,0))</f>
        <v>12764.800000000001</v>
      </c>
      <c r="F562" s="684">
        <f t="shared" si="95"/>
        <v>12764.800000000001</v>
      </c>
      <c r="G562" s="677">
        <f t="shared" si="94"/>
        <v>0</v>
      </c>
      <c r="H562" s="678" t="s">
        <v>427</v>
      </c>
    </row>
    <row r="563" spans="1:8">
      <c r="A563" s="685">
        <v>6525</v>
      </c>
      <c r="B563" s="654" t="str">
        <f>INDEX('TB Clean'!$B$2:$B$464,MATCH('Linked TB'!A563,'TB Clean'!$A$2:$A$464,0))</f>
        <v xml:space="preserve">    DEPREC-DIST RESV &amp; STANDPI</v>
      </c>
      <c r="C563" s="674">
        <f t="shared" si="93"/>
        <v>10566.990000000002</v>
      </c>
      <c r="D563" s="675">
        <v>0</v>
      </c>
      <c r="E563" s="677">
        <f>INDEX('TB Clean'!$D$2:$D$464,MATCH('Linked TB'!A563,'TB Clean'!$A$2:$A$464,0))</f>
        <v>10566.990000000002</v>
      </c>
      <c r="F563" s="684">
        <f t="shared" si="95"/>
        <v>10566.990000000002</v>
      </c>
      <c r="G563" s="677">
        <f t="shared" si="94"/>
        <v>0</v>
      </c>
      <c r="H563" s="678" t="s">
        <v>427</v>
      </c>
    </row>
    <row r="564" spans="1:8">
      <c r="A564" s="685">
        <v>6530</v>
      </c>
      <c r="B564" s="654" t="str">
        <f>INDEX('TB Clean'!$B$2:$B$464,MATCH('Linked TB'!A564,'TB Clean'!$A$2:$A$464,0))</f>
        <v xml:space="preserve">    DEPREC-TRANS &amp; DISTR MAINS</v>
      </c>
      <c r="C564" s="674">
        <f t="shared" si="93"/>
        <v>67759.309999999983</v>
      </c>
      <c r="D564" s="675">
        <v>0</v>
      </c>
      <c r="E564" s="677">
        <f>INDEX('TB Clean'!$D$2:$D$464,MATCH('Linked TB'!A564,'TB Clean'!$A$2:$A$464,0))</f>
        <v>67759.309999999983</v>
      </c>
      <c r="F564" s="684">
        <f t="shared" si="95"/>
        <v>67759.309999999983</v>
      </c>
      <c r="G564" s="677">
        <f t="shared" si="94"/>
        <v>0</v>
      </c>
      <c r="H564" s="678" t="s">
        <v>427</v>
      </c>
    </row>
    <row r="565" spans="1:8">
      <c r="A565" s="685">
        <v>6535</v>
      </c>
      <c r="B565" s="654" t="str">
        <f>INDEX('TB Clean'!$B$2:$B$464,MATCH('Linked TB'!A565,'TB Clean'!$A$2:$A$464,0))</f>
        <v xml:space="preserve">    DEPREC-SERVICE LINES</v>
      </c>
      <c r="C565" s="674">
        <f t="shared" si="93"/>
        <v>17099.259999999998</v>
      </c>
      <c r="D565" s="675">
        <v>0</v>
      </c>
      <c r="E565" s="677">
        <f>INDEX('TB Clean'!$D$2:$D$464,MATCH('Linked TB'!A565,'TB Clean'!$A$2:$A$464,0))</f>
        <v>17099.259999999998</v>
      </c>
      <c r="F565" s="684">
        <f t="shared" si="95"/>
        <v>17099.259999999998</v>
      </c>
      <c r="G565" s="677">
        <f t="shared" si="94"/>
        <v>0</v>
      </c>
      <c r="H565" s="678" t="s">
        <v>427</v>
      </c>
    </row>
    <row r="566" spans="1:8">
      <c r="A566" s="685">
        <v>6540</v>
      </c>
      <c r="B566" s="654" t="str">
        <f>INDEX('TB Clean'!$B$2:$B$464,MATCH('Linked TB'!A566,'TB Clean'!$A$2:$A$464,0))</f>
        <v xml:space="preserve">    DEPREC-METERS</v>
      </c>
      <c r="C566" s="674">
        <f t="shared" si="93"/>
        <v>14678.11</v>
      </c>
      <c r="D566" s="675">
        <v>0</v>
      </c>
      <c r="E566" s="677">
        <f>INDEX('TB Clean'!$D$2:$D$464,MATCH('Linked TB'!A566,'TB Clean'!$A$2:$A$464,0))</f>
        <v>14678.11</v>
      </c>
      <c r="F566" s="684">
        <f t="shared" si="95"/>
        <v>14678.11</v>
      </c>
      <c r="G566" s="677">
        <f t="shared" si="94"/>
        <v>0</v>
      </c>
      <c r="H566" s="678" t="s">
        <v>427</v>
      </c>
    </row>
    <row r="567" spans="1:8">
      <c r="A567" s="685">
        <v>6545</v>
      </c>
      <c r="B567" s="654" t="str">
        <f>INDEX('TB Clean'!$B$2:$B$464,MATCH('Linked TB'!A567,'TB Clean'!$A$2:$A$464,0))</f>
        <v xml:space="preserve">    DEPREC-METER INSTALLS</v>
      </c>
      <c r="C567" s="674">
        <f t="shared" si="93"/>
        <v>11743.849999999997</v>
      </c>
      <c r="D567" s="675">
        <v>0</v>
      </c>
      <c r="E567" s="677">
        <f>INDEX('TB Clean'!$D$2:$D$464,MATCH('Linked TB'!A567,'TB Clean'!$A$2:$A$464,0))</f>
        <v>11743.849999999997</v>
      </c>
      <c r="F567" s="684">
        <f t="shared" si="95"/>
        <v>11743.849999999997</v>
      </c>
      <c r="G567" s="677">
        <f t="shared" si="94"/>
        <v>0</v>
      </c>
      <c r="H567" s="678" t="s">
        <v>427</v>
      </c>
    </row>
    <row r="568" spans="1:8">
      <c r="A568" s="673">
        <v>6550</v>
      </c>
      <c r="B568" s="654" t="str">
        <f>INDEX('TB Clean'!$B$2:$B$464,MATCH('Linked TB'!A568,'TB Clean'!$A$2:$A$464,0))</f>
        <v xml:space="preserve">    DEPREC-HYDRANTS</v>
      </c>
      <c r="C568" s="674">
        <f>+E568</f>
        <v>8125.0700000000015</v>
      </c>
      <c r="D568" s="675">
        <v>0</v>
      </c>
      <c r="E568" s="677">
        <f>INDEX('TB Clean'!$D$2:$D$464,MATCH('Linked TB'!A568,'TB Clean'!$A$2:$A$464,0))</f>
        <v>8125.0700000000015</v>
      </c>
      <c r="F568" s="684">
        <f>+IF(UPPER(H568)="ACTUAL",C568,INDEX(ALLOCATION_TABLE,MATCH(UPPER(H568),INDEX(ALLOCATION_TABLE,0,1),0),5)*E568)</f>
        <v>8125.0700000000015</v>
      </c>
      <c r="G568" s="677">
        <f>+E568-F568</f>
        <v>0</v>
      </c>
      <c r="H568" s="678" t="s">
        <v>427</v>
      </c>
    </row>
    <row r="569" spans="1:8">
      <c r="A569" s="673">
        <v>6555</v>
      </c>
      <c r="B569" s="654" t="str">
        <f>INDEX('TB Clean'!$B$2:$B$464,MATCH('Linked TB'!A569,'TB Clean'!$A$2:$A$464,0))</f>
        <v xml:space="preserve">    DEPREC-BACKFLOW PREVENT DE</v>
      </c>
      <c r="C569" s="674">
        <f>+E569</f>
        <v>0</v>
      </c>
      <c r="D569" s="675">
        <v>0</v>
      </c>
      <c r="E569" s="677">
        <f>INDEX('TB Clean'!$D$2:$D$464,MATCH('Linked TB'!A569,'TB Clean'!$A$2:$A$464,0))</f>
        <v>0</v>
      </c>
      <c r="F569" s="684">
        <f>+IF(UPPER(H569)="ACTUAL",C569,INDEX(ALLOCATION_TABLE,MATCH(UPPER(H569),INDEX(ALLOCATION_TABLE,0,1),0),5)*E569)</f>
        <v>0</v>
      </c>
      <c r="G569" s="677">
        <f>+E569-F569</f>
        <v>0</v>
      </c>
      <c r="H569" s="678" t="s">
        <v>427</v>
      </c>
    </row>
    <row r="570" spans="1:8">
      <c r="A570" s="673">
        <v>6575</v>
      </c>
      <c r="B570" s="654" t="str">
        <f>INDEX('TB Clean'!$B$2:$B$464,MATCH('Linked TB'!A570,'TB Clean'!$A$2:$A$464,0))</f>
        <v xml:space="preserve">    DEPREC-OTH PLT&amp;MISC EQP DI</v>
      </c>
      <c r="C570" s="674">
        <f>+E570</f>
        <v>0</v>
      </c>
      <c r="D570" s="675">
        <v>0</v>
      </c>
      <c r="E570" s="677">
        <f>INDEX('TB Clean'!$D$2:$D$464,MATCH('Linked TB'!A570,'TB Clean'!$A$2:$A$464,0))</f>
        <v>0</v>
      </c>
      <c r="F570" s="684">
        <f>+IF(UPPER(H570)="ACTUAL",C570,INDEX(ALLOCATION_TABLE,MATCH(UPPER(H570),INDEX(ALLOCATION_TABLE,0,1),0),5)*E570)</f>
        <v>0</v>
      </c>
      <c r="G570" s="677">
        <f>+E570-F570</f>
        <v>0</v>
      </c>
      <c r="H570" s="678" t="s">
        <v>427</v>
      </c>
    </row>
    <row r="571" spans="1:8">
      <c r="A571" s="673">
        <v>6580</v>
      </c>
      <c r="B571" s="654" t="str">
        <f>INDEX('TB Clean'!$B$2:$B$464,MATCH('Linked TB'!A571,'TB Clean'!$A$2:$A$464,0))</f>
        <v xml:space="preserve">    DEPREC-OFFICE STRUCTURE</v>
      </c>
      <c r="C571" s="674">
        <f>+E571</f>
        <v>3390.2699999999991</v>
      </c>
      <c r="D571" s="675">
        <v>0</v>
      </c>
      <c r="E571" s="677">
        <f>INDEX('TB Clean'!$D$2:$D$464,MATCH('Linked TB'!A571,'TB Clean'!$A$2:$A$464,0))</f>
        <v>3390.2699999999991</v>
      </c>
      <c r="F571" s="684">
        <f>+IF(UPPER(H571)="ACTUAL",C571,INDEX(ALLOCATION_TABLE,MATCH(UPPER(H571),INDEX(ALLOCATION_TABLE,0,1),0),5)*E571)</f>
        <v>3390.2699999999991</v>
      </c>
      <c r="G571" s="677">
        <f>+E571-F571</f>
        <v>0</v>
      </c>
      <c r="H571" s="678" t="s">
        <v>427</v>
      </c>
    </row>
    <row r="572" spans="1:8">
      <c r="A572" s="685">
        <v>6585</v>
      </c>
      <c r="B572" s="654" t="str">
        <f>INDEX('TB Clean'!$B$2:$B$464,MATCH('Linked TB'!A572,'TB Clean'!$A$2:$A$464,0))</f>
        <v xml:space="preserve">    DEPREC-OFFICE FURN/EQPT</v>
      </c>
      <c r="C572" s="674">
        <f t="shared" si="93"/>
        <v>2353.0800000000008</v>
      </c>
      <c r="D572" s="675">
        <v>0</v>
      </c>
      <c r="E572" s="677">
        <f>INDEX('TB Clean'!$D$2:$D$464,MATCH('Linked TB'!A572,'TB Clean'!$A$2:$A$464,0))</f>
        <v>2353.0800000000008</v>
      </c>
      <c r="F572" s="684">
        <f t="shared" si="95"/>
        <v>2353.0800000000008</v>
      </c>
      <c r="G572" s="677">
        <f t="shared" si="94"/>
        <v>0</v>
      </c>
      <c r="H572" s="678" t="s">
        <v>427</v>
      </c>
    </row>
    <row r="573" spans="1:8">
      <c r="A573" s="685">
        <v>6595</v>
      </c>
      <c r="B573" s="654" t="str">
        <f>INDEX('TB Clean'!$B$2:$B$464,MATCH('Linked TB'!A573,'TB Clean'!$A$2:$A$464,0))</f>
        <v xml:space="preserve">    DEPREC-TOOL SHOP &amp; MISC EQ</v>
      </c>
      <c r="C573" s="674">
        <f t="shared" si="93"/>
        <v>5308.010000000002</v>
      </c>
      <c r="D573" s="675">
        <v>0</v>
      </c>
      <c r="E573" s="677">
        <f>INDEX('TB Clean'!$D$2:$D$464,MATCH('Linked TB'!A573,'TB Clean'!$A$2:$A$464,0))</f>
        <v>5308.010000000002</v>
      </c>
      <c r="F573" s="684">
        <f t="shared" si="95"/>
        <v>5308.010000000002</v>
      </c>
      <c r="G573" s="677">
        <f t="shared" si="94"/>
        <v>0</v>
      </c>
      <c r="H573" s="678" t="s">
        <v>427</v>
      </c>
    </row>
    <row r="574" spans="1:8">
      <c r="A574" s="685">
        <v>6600</v>
      </c>
      <c r="B574" s="654" t="str">
        <f>INDEX('TB Clean'!$B$2:$B$464,MATCH('Linked TB'!A574,'TB Clean'!$A$2:$A$464,0))</f>
        <v xml:space="preserve">    DEPREC-LABORATORY EQUIPMEN</v>
      </c>
      <c r="C574" s="674">
        <f t="shared" si="93"/>
        <v>1482.0300000000002</v>
      </c>
      <c r="D574" s="675">
        <v>0</v>
      </c>
      <c r="E574" s="677">
        <f>INDEX('TB Clean'!$D$2:$D$464,MATCH('Linked TB'!A574,'TB Clean'!$A$2:$A$464,0))</f>
        <v>1482.0300000000002</v>
      </c>
      <c r="F574" s="684">
        <f>+IF(UPPER(H574)="ACTUAL",C574,INDEX(ALLOCATION_TABLE,MATCH(UPPER(H574),INDEX(ALLOCATION_TABLE,0,1),0),5)*E574)</f>
        <v>1482.0300000000002</v>
      </c>
      <c r="G574" s="677">
        <f t="shared" si="94"/>
        <v>0</v>
      </c>
      <c r="H574" s="678" t="s">
        <v>427</v>
      </c>
    </row>
    <row r="575" spans="1:8">
      <c r="A575" s="685">
        <v>6605</v>
      </c>
      <c r="B575" s="654" t="str">
        <f>INDEX('TB Clean'!$B$2:$B$464,MATCH('Linked TB'!A575,'TB Clean'!$A$2:$A$464,0))</f>
        <v xml:space="preserve">    DEPREC-POWER OPERATED EQUIP</v>
      </c>
      <c r="C575" s="674">
        <f t="shared" ref="C575" si="96">+E575</f>
        <v>257.04000000000008</v>
      </c>
      <c r="D575" s="675">
        <v>0</v>
      </c>
      <c r="E575" s="677">
        <f>INDEX('TB Clean'!$D$2:$D$464,MATCH('Linked TB'!A575,'TB Clean'!$A$2:$A$464,0))</f>
        <v>257.04000000000008</v>
      </c>
      <c r="F575" s="684">
        <f>+IF(UPPER(H575)="ACTUAL",C575,INDEX(ALLOCATION_TABLE,MATCH(UPPER(H575),INDEX(ALLOCATION_TABLE,0,1),0),5)*E575)</f>
        <v>257.04000000000008</v>
      </c>
      <c r="G575" s="677">
        <f t="shared" ref="G575" si="97">+E575-F575</f>
        <v>0</v>
      </c>
      <c r="H575" s="678" t="s">
        <v>427</v>
      </c>
    </row>
    <row r="576" spans="1:8">
      <c r="A576" s="685">
        <v>6610</v>
      </c>
      <c r="B576" s="654" t="str">
        <f>INDEX('TB Clean'!$B$2:$B$464,MATCH('Linked TB'!A576,'TB Clean'!$A$2:$A$464,0))</f>
        <v xml:space="preserve">    DEPREC-COMMUNICATION EQPT</v>
      </c>
      <c r="C576" s="674">
        <f t="shared" si="93"/>
        <v>2596.5899999999997</v>
      </c>
      <c r="D576" s="675">
        <v>0</v>
      </c>
      <c r="E576" s="677">
        <f>INDEX('TB Clean'!$D$2:$D$464,MATCH('Linked TB'!A576,'TB Clean'!$A$2:$A$464,0))</f>
        <v>2596.5899999999997</v>
      </c>
      <c r="F576" s="684">
        <f t="shared" si="95"/>
        <v>2596.5899999999997</v>
      </c>
      <c r="G576" s="677">
        <f t="shared" si="94"/>
        <v>0</v>
      </c>
      <c r="H576" s="678" t="s">
        <v>427</v>
      </c>
    </row>
    <row r="577" spans="1:8">
      <c r="A577" s="673">
        <v>6615</v>
      </c>
      <c r="B577" s="654" t="str">
        <f>INDEX('TB Clean'!$B$2:$B$464,MATCH('Linked TB'!A577,'TB Clean'!$A$2:$A$464,0))</f>
        <v xml:space="preserve">    DEPREC-MISC EQUIPMENT</v>
      </c>
      <c r="C577" s="674">
        <f>+E577</f>
        <v>0</v>
      </c>
      <c r="D577" s="675">
        <v>0</v>
      </c>
      <c r="E577" s="677">
        <f>INDEX('TB Clean'!$D$2:$D$464,MATCH('Linked TB'!A577,'TB Clean'!$A$2:$A$464,0))</f>
        <v>0</v>
      </c>
      <c r="F577" s="684">
        <f t="shared" si="95"/>
        <v>0</v>
      </c>
      <c r="G577" s="677">
        <f t="shared" si="94"/>
        <v>0</v>
      </c>
      <c r="H577" s="678" t="s">
        <v>427</v>
      </c>
    </row>
    <row r="578" spans="1:8">
      <c r="A578" s="673">
        <v>6620</v>
      </c>
      <c r="B578" s="654" t="str">
        <f>INDEX('TB Clean'!$B$2:$B$464,MATCH('Linked TB'!A578,'TB Clean'!$A$2:$A$464,0))</f>
        <v xml:space="preserve">    DEPREC-OTHER TANG PLT WATE</v>
      </c>
      <c r="C578" s="674">
        <f>+E578</f>
        <v>1399.5600000000004</v>
      </c>
      <c r="D578" s="675">
        <v>0</v>
      </c>
      <c r="E578" s="677">
        <f>INDEX('TB Clean'!$D$2:$D$464,MATCH('Linked TB'!A578,'TB Clean'!$A$2:$A$464,0))</f>
        <v>1399.5600000000004</v>
      </c>
      <c r="F578" s="684">
        <f>+IF(UPPER(H578)="ACTUAL",C578,INDEX(ALLOCATION_TABLE,MATCH(UPPER(H578),INDEX(ALLOCATION_TABLE,0,1),0),5)*E578)</f>
        <v>1399.5600000000004</v>
      </c>
      <c r="G578" s="677">
        <f>+E578-F578</f>
        <v>0</v>
      </c>
      <c r="H578" s="678" t="s">
        <v>427</v>
      </c>
    </row>
    <row r="579" spans="1:8">
      <c r="A579" s="673">
        <v>6655</v>
      </c>
      <c r="B579" s="654" t="str">
        <f>INDEX('TB Clean'!$B$2:$B$464,MATCH('Linked TB'!A579,'TB Clean'!$A$2:$A$464,0))</f>
        <v xml:space="preserve">    DEPREC-STRUCT/IMPRV COLL P</v>
      </c>
      <c r="C579" s="674">
        <v>0</v>
      </c>
      <c r="D579" s="675">
        <f>+E579</f>
        <v>0</v>
      </c>
      <c r="E579" s="677">
        <f>INDEX('TB Clean'!$D$2:$D$464,MATCH('Linked TB'!A579,'TB Clean'!$A$2:$A$464,0))</f>
        <v>0</v>
      </c>
      <c r="F579" s="684">
        <f>+IF(UPPER(H579)="ACTUAL",C579,INDEX(ALLOCATION_TABLE,MATCH(UPPER(H579),INDEX(ALLOCATION_TABLE,0,1),0),5)*E579)</f>
        <v>0</v>
      </c>
      <c r="G579" s="677">
        <f>+E579-F579</f>
        <v>0</v>
      </c>
      <c r="H579" s="678" t="s">
        <v>427</v>
      </c>
    </row>
    <row r="580" spans="1:8">
      <c r="A580" s="685">
        <v>6660</v>
      </c>
      <c r="B580" s="654" t="str">
        <f>INDEX('TB Clean'!$B$2:$B$464,MATCH('Linked TB'!A580,'TB Clean'!$A$2:$A$464,0))</f>
        <v xml:space="preserve">    DEPREC-STRUCT/IMPRV PUMP</v>
      </c>
      <c r="C580" s="674">
        <v>0</v>
      </c>
      <c r="D580" s="675">
        <f>+E580</f>
        <v>0</v>
      </c>
      <c r="E580" s="677">
        <f>INDEX('TB Clean'!$D$2:$D$464,MATCH('Linked TB'!A580,'TB Clean'!$A$2:$A$464,0))</f>
        <v>0</v>
      </c>
      <c r="F580" s="684">
        <f t="shared" si="95"/>
        <v>0</v>
      </c>
      <c r="G580" s="677">
        <f t="shared" si="94"/>
        <v>0</v>
      </c>
      <c r="H580" s="678" t="s">
        <v>427</v>
      </c>
    </row>
    <row r="581" spans="1:8">
      <c r="A581" s="673">
        <v>6670</v>
      </c>
      <c r="B581" s="654" t="str">
        <f>INDEX('TB Clean'!$B$2:$B$464,MATCH('Linked TB'!A581,'TB Clean'!$A$2:$A$464,0))</f>
        <v xml:space="preserve">    DEPREC-STRUCT/IMPRV RCLM W</v>
      </c>
      <c r="C581" s="674">
        <v>0</v>
      </c>
      <c r="D581" s="675">
        <f t="shared" ref="D581:D603" si="98">+E581</f>
        <v>0</v>
      </c>
      <c r="E581" s="677">
        <f>INDEX('TB Clean'!$D$2:$D$464,MATCH('Linked TB'!A581,'TB Clean'!$A$2:$A$464,0))</f>
        <v>0</v>
      </c>
      <c r="F581" s="684">
        <f t="shared" ref="F581:F603" si="99">+IF(UPPER(H581)="ACTUAL",C581,INDEX(ALLOCATION_TABLE,MATCH(UPPER(H581),INDEX(ALLOCATION_TABLE,0,1),0),5)*E581)</f>
        <v>0</v>
      </c>
      <c r="G581" s="677">
        <f t="shared" si="94"/>
        <v>0</v>
      </c>
      <c r="H581" s="678" t="s">
        <v>427</v>
      </c>
    </row>
    <row r="582" spans="1:8" s="1403" customFormat="1">
      <c r="A582" s="1408">
        <v>6675</v>
      </c>
      <c r="B582" s="1397" t="str">
        <f>INDEX('TB Clean'!$B$2:$B$464,MATCH('Linked TB'!A582,'TB Clean'!$A$2:$A$464,0))</f>
        <v xml:space="preserve">    DEPREC-STRUCT/IMPRV RCL</v>
      </c>
      <c r="C582" s="1398">
        <v>0</v>
      </c>
      <c r="D582" s="1399">
        <f t="shared" ref="D582" si="100">+E582</f>
        <v>0</v>
      </c>
      <c r="E582" s="1400">
        <f>INDEX('TB Clean'!$D$2:$D$464,MATCH('Linked TB'!A582,'TB Clean'!$A$2:$A$464,0))</f>
        <v>0</v>
      </c>
      <c r="F582" s="1401">
        <f t="shared" ref="F582" si="101">+IF(UPPER(H582)="ACTUAL",C582,INDEX(ALLOCATION_TABLE,MATCH(UPPER(H582),INDEX(ALLOCATION_TABLE,0,1),0),5)*E582)</f>
        <v>0</v>
      </c>
      <c r="G582" s="1400">
        <f t="shared" ref="G582" si="102">+E582-F582</f>
        <v>0</v>
      </c>
      <c r="H582" s="1402" t="s">
        <v>427</v>
      </c>
    </row>
    <row r="583" spans="1:8">
      <c r="A583" s="685">
        <v>6680</v>
      </c>
      <c r="B583" s="654" t="str">
        <f>INDEX('TB Clean'!$B$2:$B$464,MATCH('Linked TB'!A583,'TB Clean'!$A$2:$A$464,0))</f>
        <v xml:space="preserve">    DEPREC-STRUCT/IMPRV GEN PL</v>
      </c>
      <c r="C583" s="674">
        <v>0</v>
      </c>
      <c r="D583" s="675">
        <f t="shared" si="98"/>
        <v>0</v>
      </c>
      <c r="E583" s="677">
        <f>INDEX('TB Clean'!$D$2:$D$464,MATCH('Linked TB'!A583,'TB Clean'!$A$2:$A$464,0))</f>
        <v>0</v>
      </c>
      <c r="F583" s="684">
        <f t="shared" si="99"/>
        <v>0</v>
      </c>
      <c r="G583" s="677">
        <f t="shared" si="94"/>
        <v>0</v>
      </c>
      <c r="H583" s="678" t="s">
        <v>427</v>
      </c>
    </row>
    <row r="584" spans="1:8">
      <c r="A584" s="673">
        <v>6695</v>
      </c>
      <c r="B584" s="654" t="str">
        <f>INDEX('TB Clean'!$B$2:$B$464,MATCH('Linked TB'!A584,'TB Clean'!$A$2:$A$464,0))</f>
        <v xml:space="preserve">    DEPREC-POWER GEN EQUIP TRE</v>
      </c>
      <c r="C584" s="674">
        <v>0</v>
      </c>
      <c r="D584" s="675">
        <f t="shared" si="98"/>
        <v>0</v>
      </c>
      <c r="E584" s="677">
        <f>INDEX('TB Clean'!$D$2:$D$464,MATCH('Linked TB'!A584,'TB Clean'!$A$2:$A$464,0))</f>
        <v>0</v>
      </c>
      <c r="F584" s="684">
        <f t="shared" si="99"/>
        <v>0</v>
      </c>
      <c r="G584" s="677">
        <f t="shared" si="94"/>
        <v>0</v>
      </c>
      <c r="H584" s="678" t="s">
        <v>427</v>
      </c>
    </row>
    <row r="585" spans="1:8">
      <c r="A585" s="685">
        <v>6710</v>
      </c>
      <c r="B585" s="654" t="str">
        <f>INDEX('TB Clean'!$B$2:$B$464,MATCH('Linked TB'!A585,'TB Clean'!$A$2:$A$464,0))</f>
        <v xml:space="preserve">    DEPREC-SEWER FORCE MAIN/SR</v>
      </c>
      <c r="C585" s="674">
        <v>0</v>
      </c>
      <c r="D585" s="675">
        <f t="shared" si="98"/>
        <v>0</v>
      </c>
      <c r="E585" s="677">
        <f>INDEX('TB Clean'!$D$2:$D$464,MATCH('Linked TB'!A585,'TB Clean'!$A$2:$A$464,0))</f>
        <v>0</v>
      </c>
      <c r="F585" s="684">
        <f t="shared" si="99"/>
        <v>0</v>
      </c>
      <c r="G585" s="677">
        <f t="shared" si="94"/>
        <v>0</v>
      </c>
      <c r="H585" s="678" t="s">
        <v>427</v>
      </c>
    </row>
    <row r="586" spans="1:8">
      <c r="A586" s="685">
        <v>6715</v>
      </c>
      <c r="B586" s="654" t="str">
        <f>INDEX('TB Clean'!$B$2:$B$464,MATCH('Linked TB'!A586,'TB Clean'!$A$2:$A$464,0))</f>
        <v xml:space="preserve">    DEPREC-SEWER GRAVITY MAIN/</v>
      </c>
      <c r="C586" s="674">
        <v>0</v>
      </c>
      <c r="D586" s="675">
        <f t="shared" si="98"/>
        <v>0</v>
      </c>
      <c r="E586" s="677">
        <f>INDEX('TB Clean'!$D$2:$D$464,MATCH('Linked TB'!A586,'TB Clean'!$A$2:$A$464,0))</f>
        <v>0</v>
      </c>
      <c r="F586" s="684">
        <f t="shared" si="99"/>
        <v>0</v>
      </c>
      <c r="G586" s="677">
        <f t="shared" si="94"/>
        <v>0</v>
      </c>
      <c r="H586" s="678" t="s">
        <v>427</v>
      </c>
    </row>
    <row r="587" spans="1:8">
      <c r="A587" s="673">
        <v>6725</v>
      </c>
      <c r="B587" s="654" t="str">
        <f>INDEX('TB Clean'!$B$2:$B$464,MATCH('Linked TB'!A587,'TB Clean'!$A$2:$A$464,0))</f>
        <v xml:space="preserve">    DEPREC-SERVICES TO CUSTOME</v>
      </c>
      <c r="C587" s="674">
        <v>0</v>
      </c>
      <c r="D587" s="675">
        <f t="shared" si="98"/>
        <v>0</v>
      </c>
      <c r="E587" s="677">
        <f>INDEX('TB Clean'!$D$2:$D$464,MATCH('Linked TB'!A587,'TB Clean'!$A$2:$A$464,0))</f>
        <v>0</v>
      </c>
      <c r="F587" s="684">
        <f t="shared" si="99"/>
        <v>0</v>
      </c>
      <c r="G587" s="677">
        <f t="shared" si="94"/>
        <v>0</v>
      </c>
      <c r="H587" s="678" t="s">
        <v>427</v>
      </c>
    </row>
    <row r="588" spans="1:8">
      <c r="A588" s="673">
        <v>6730</v>
      </c>
      <c r="B588" s="654" t="str">
        <f>INDEX('TB Clean'!$B$2:$B$464,MATCH('Linked TB'!A588,'TB Clean'!$A$2:$A$464,0))</f>
        <v xml:space="preserve">    DEPREC-FLOW MEASURE DEVICE</v>
      </c>
      <c r="C588" s="674">
        <v>0</v>
      </c>
      <c r="D588" s="675">
        <f t="shared" si="98"/>
        <v>0</v>
      </c>
      <c r="E588" s="677">
        <f>INDEX('TB Clean'!$D$2:$D$464,MATCH('Linked TB'!A588,'TB Clean'!$A$2:$A$464,0))</f>
        <v>0</v>
      </c>
      <c r="F588" s="684">
        <f t="shared" si="99"/>
        <v>0</v>
      </c>
      <c r="G588" s="677">
        <f t="shared" si="94"/>
        <v>0</v>
      </c>
      <c r="H588" s="678" t="s">
        <v>427</v>
      </c>
    </row>
    <row r="589" spans="1:8">
      <c r="A589" s="673">
        <v>6735</v>
      </c>
      <c r="B589" s="654" t="str">
        <f>INDEX('TB Clean'!$B$2:$B$464,MATCH('Linked TB'!A589,'TB Clean'!$A$2:$A$464,0))</f>
        <v xml:space="preserve">    DEPREC-FLOW MEASURE INSTAL</v>
      </c>
      <c r="C589" s="674">
        <v>0</v>
      </c>
      <c r="D589" s="675">
        <f t="shared" si="98"/>
        <v>0</v>
      </c>
      <c r="E589" s="677">
        <f>INDEX('TB Clean'!$D$2:$D$464,MATCH('Linked TB'!A589,'TB Clean'!$A$2:$A$464,0))</f>
        <v>0</v>
      </c>
      <c r="F589" s="684">
        <f t="shared" si="99"/>
        <v>0</v>
      </c>
      <c r="G589" s="677">
        <f t="shared" si="94"/>
        <v>0</v>
      </c>
      <c r="H589" s="678" t="s">
        <v>427</v>
      </c>
    </row>
    <row r="590" spans="1:8">
      <c r="A590" s="673">
        <v>6745</v>
      </c>
      <c r="B590" s="654" t="str">
        <f>INDEX('TB Clean'!$B$2:$B$464,MATCH('Linked TB'!A590,'TB Clean'!$A$2:$A$464,0))</f>
        <v xml:space="preserve">    DEPREC-PUMP EQP PUMP PLT</v>
      </c>
      <c r="C590" s="674">
        <v>0</v>
      </c>
      <c r="D590" s="675">
        <f t="shared" si="98"/>
        <v>0</v>
      </c>
      <c r="E590" s="677">
        <f>INDEX('TB Clean'!$D$2:$D$464,MATCH('Linked TB'!A590,'TB Clean'!$A$2:$A$464,0))</f>
        <v>0</v>
      </c>
      <c r="F590" s="684">
        <f t="shared" si="99"/>
        <v>0</v>
      </c>
      <c r="G590" s="677">
        <f t="shared" si="94"/>
        <v>0</v>
      </c>
      <c r="H590" s="678" t="s">
        <v>427</v>
      </c>
    </row>
    <row r="591" spans="1:8">
      <c r="A591" s="673">
        <v>6750</v>
      </c>
      <c r="B591" s="654" t="str">
        <f>INDEX('TB Clean'!$B$2:$B$464,MATCH('Linked TB'!A591,'TB Clean'!$A$2:$A$464,0))</f>
        <v xml:space="preserve">    DEPREC-PUMP EQP RCLM WTP</v>
      </c>
      <c r="C591" s="674">
        <v>0</v>
      </c>
      <c r="D591" s="675">
        <f t="shared" si="98"/>
        <v>0</v>
      </c>
      <c r="E591" s="677">
        <f>INDEX('TB Clean'!$D$2:$D$464,MATCH('Linked TB'!A591,'TB Clean'!$A$2:$A$464,0))</f>
        <v>0</v>
      </c>
      <c r="F591" s="684">
        <f t="shared" si="99"/>
        <v>0</v>
      </c>
      <c r="G591" s="677">
        <f t="shared" si="94"/>
        <v>0</v>
      </c>
      <c r="H591" s="678" t="s">
        <v>427</v>
      </c>
    </row>
    <row r="592" spans="1:8">
      <c r="A592" s="673">
        <v>6760</v>
      </c>
      <c r="B592" s="654" t="str">
        <f>INDEX('TB Clean'!$B$2:$B$464,MATCH('Linked TB'!A592,'TB Clean'!$A$2:$A$464,0))</f>
        <v xml:space="preserve">    DEPREC-TREAT/DISP EQUIP LA</v>
      </c>
      <c r="C592" s="674"/>
      <c r="D592" s="675">
        <f t="shared" si="98"/>
        <v>0</v>
      </c>
      <c r="E592" s="677">
        <f>INDEX('TB Clean'!$D$2:$D$464,MATCH('Linked TB'!A592,'TB Clean'!$A$2:$A$464,0))</f>
        <v>0</v>
      </c>
      <c r="F592" s="684">
        <f>+IF(UPPER(H592)="ACTUAL",C592,INDEX(ALLOCATION_TABLE,MATCH(UPPER(H592),INDEX(ALLOCATION_TABLE,0,1),0),5)*E592)</f>
        <v>0</v>
      </c>
      <c r="G592" s="677">
        <f t="shared" si="94"/>
        <v>0</v>
      </c>
      <c r="H592" s="678" t="s">
        <v>427</v>
      </c>
    </row>
    <row r="593" spans="1:11">
      <c r="A593" s="685">
        <v>6765</v>
      </c>
      <c r="B593" s="654" t="str">
        <f>INDEX('TB Clean'!$B$2:$B$464,MATCH('Linked TB'!A593,'TB Clean'!$A$2:$A$464,0))</f>
        <v xml:space="preserve">    DEPREC-TREAT/DISP EQ TRT P</v>
      </c>
      <c r="C593" s="674">
        <v>0</v>
      </c>
      <c r="D593" s="675">
        <f t="shared" si="98"/>
        <v>0</v>
      </c>
      <c r="E593" s="677">
        <f>INDEX('TB Clean'!$D$2:$D$464,MATCH('Linked TB'!A593,'TB Clean'!$A$2:$A$464,0))</f>
        <v>0</v>
      </c>
      <c r="F593" s="684">
        <f t="shared" si="99"/>
        <v>0</v>
      </c>
      <c r="G593" s="677">
        <f t="shared" si="94"/>
        <v>0</v>
      </c>
      <c r="H593" s="678" t="s">
        <v>427</v>
      </c>
    </row>
    <row r="594" spans="1:11">
      <c r="A594" s="673">
        <v>6775</v>
      </c>
      <c r="B594" s="654" t="str">
        <f>INDEX('TB Clean'!$B$2:$B$464,MATCH('Linked TB'!A594,'TB Clean'!$A$2:$A$464,0))</f>
        <v xml:space="preserve">    DEPREC-PLANT SEWERS TRTMT</v>
      </c>
      <c r="C594" s="674">
        <v>0</v>
      </c>
      <c r="D594" s="675">
        <f t="shared" si="98"/>
        <v>0</v>
      </c>
      <c r="E594" s="677">
        <f>INDEX('TB Clean'!$D$2:$D$464,MATCH('Linked TB'!A594,'TB Clean'!$A$2:$A$464,0))</f>
        <v>0</v>
      </c>
      <c r="F594" s="684">
        <f t="shared" si="99"/>
        <v>0</v>
      </c>
      <c r="G594" s="677">
        <f t="shared" si="94"/>
        <v>0</v>
      </c>
      <c r="H594" s="678" t="s">
        <v>427</v>
      </c>
    </row>
    <row r="595" spans="1:11">
      <c r="A595" s="673">
        <v>6800</v>
      </c>
      <c r="B595" s="654" t="str">
        <f>INDEX('TB Clean'!$B$2:$B$464,MATCH('Linked TB'!A595,'TB Clean'!$A$2:$A$464,0))</f>
        <v xml:space="preserve">    DEPREC-OTHER PLT PUMP</v>
      </c>
      <c r="C595" s="674">
        <v>0</v>
      </c>
      <c r="D595" s="675">
        <f t="shared" si="98"/>
        <v>0</v>
      </c>
      <c r="E595" s="677">
        <f>INDEX('TB Clean'!$D$2:$D$464,MATCH('Linked TB'!A595,'TB Clean'!$A$2:$A$464,0))</f>
        <v>0</v>
      </c>
      <c r="F595" s="684">
        <f t="shared" si="99"/>
        <v>0</v>
      </c>
      <c r="G595" s="677">
        <f t="shared" si="94"/>
        <v>0</v>
      </c>
      <c r="H595" s="678" t="s">
        <v>427</v>
      </c>
    </row>
    <row r="596" spans="1:11">
      <c r="A596" s="673">
        <v>6830</v>
      </c>
      <c r="B596" s="654" t="str">
        <f>INDEX('TB Clean'!$B$2:$B$464,MATCH('Linked TB'!A596,'TB Clean'!$A$2:$A$464,0))</f>
        <v xml:space="preserve">    DEPREC-STORES EQUIPMENT</v>
      </c>
      <c r="C596" s="674">
        <v>0</v>
      </c>
      <c r="D596" s="675">
        <f t="shared" si="98"/>
        <v>0</v>
      </c>
      <c r="E596" s="677">
        <f>INDEX('TB Clean'!$D$2:$D$464,MATCH('Linked TB'!A596,'TB Clean'!$A$2:$A$464,0))</f>
        <v>0</v>
      </c>
      <c r="F596" s="684">
        <f t="shared" si="99"/>
        <v>0</v>
      </c>
      <c r="G596" s="677">
        <f t="shared" si="94"/>
        <v>0</v>
      </c>
      <c r="H596" s="678" t="s">
        <v>427</v>
      </c>
    </row>
    <row r="597" spans="1:11">
      <c r="A597" s="673">
        <v>6835</v>
      </c>
      <c r="B597" s="654" t="str">
        <f>INDEX('TB Clean'!$B$2:$B$464,MATCH('Linked TB'!A597,'TB Clean'!$A$2:$A$464,0))</f>
        <v xml:space="preserve">    DEPREC-TOOL SHOP &amp; MISC EQ</v>
      </c>
      <c r="C597" s="674">
        <v>0</v>
      </c>
      <c r="D597" s="675">
        <f t="shared" si="98"/>
        <v>0</v>
      </c>
      <c r="E597" s="677">
        <f>INDEX('TB Clean'!$D$2:$D$464,MATCH('Linked TB'!A597,'TB Clean'!$A$2:$A$464,0))</f>
        <v>0</v>
      </c>
      <c r="F597" s="684">
        <f t="shared" si="99"/>
        <v>0</v>
      </c>
      <c r="G597" s="677">
        <f t="shared" si="94"/>
        <v>0</v>
      </c>
      <c r="H597" s="678" t="s">
        <v>427</v>
      </c>
    </row>
    <row r="598" spans="1:11">
      <c r="A598" s="673">
        <v>6840</v>
      </c>
      <c r="B598" s="654" t="str">
        <f>INDEX('TB Clean'!$B$2:$B$464,MATCH('Linked TB'!A598,'TB Clean'!$A$2:$A$464,0))</f>
        <v xml:space="preserve">    DEPREC-LABORATORY EQPT</v>
      </c>
      <c r="C598" s="674">
        <v>0</v>
      </c>
      <c r="D598" s="675">
        <f t="shared" si="98"/>
        <v>0</v>
      </c>
      <c r="E598" s="677">
        <f>INDEX('TB Clean'!$D$2:$D$464,MATCH('Linked TB'!A598,'TB Clean'!$A$2:$A$464,0))</f>
        <v>0</v>
      </c>
      <c r="F598" s="684">
        <f t="shared" si="99"/>
        <v>0</v>
      </c>
      <c r="G598" s="677">
        <f t="shared" si="94"/>
        <v>0</v>
      </c>
      <c r="H598" s="678" t="s">
        <v>427</v>
      </c>
    </row>
    <row r="599" spans="1:11">
      <c r="A599" s="673">
        <v>6845</v>
      </c>
      <c r="B599" s="654" t="str">
        <f>INDEX('TB Clean'!$B$2:$B$464,MATCH('Linked TB'!A599,'TB Clean'!$A$2:$A$464,0))</f>
        <v xml:space="preserve">    DEPREC-POWER OPERATED EQUI</v>
      </c>
      <c r="C599" s="674">
        <v>0</v>
      </c>
      <c r="D599" s="675">
        <f t="shared" si="98"/>
        <v>0</v>
      </c>
      <c r="E599" s="677">
        <f>INDEX('TB Clean'!$D$2:$D$464,MATCH('Linked TB'!A599,'TB Clean'!$A$2:$A$464,0))</f>
        <v>0</v>
      </c>
      <c r="F599" s="684">
        <f t="shared" si="99"/>
        <v>0</v>
      </c>
      <c r="G599" s="677">
        <f t="shared" si="94"/>
        <v>0</v>
      </c>
      <c r="H599" s="678" t="s">
        <v>427</v>
      </c>
    </row>
    <row r="600" spans="1:11">
      <c r="A600" s="673">
        <v>6850</v>
      </c>
      <c r="B600" s="654" t="str">
        <f>INDEX('TB Clean'!$B$2:$B$464,MATCH('Linked TB'!A600,'TB Clean'!$A$2:$A$464,0))</f>
        <v xml:space="preserve">    DEPREC-COMMUNICATION EQPT</v>
      </c>
      <c r="C600" s="674">
        <v>0</v>
      </c>
      <c r="D600" s="675">
        <f t="shared" si="98"/>
        <v>0</v>
      </c>
      <c r="E600" s="677">
        <f>INDEX('TB Clean'!$D$2:$D$464,MATCH('Linked TB'!A600,'TB Clean'!$A$2:$A$464,0))</f>
        <v>0</v>
      </c>
      <c r="F600" s="684">
        <f t="shared" si="99"/>
        <v>0</v>
      </c>
      <c r="G600" s="677">
        <f t="shared" si="94"/>
        <v>0</v>
      </c>
      <c r="H600" s="678" t="s">
        <v>427</v>
      </c>
    </row>
    <row r="601" spans="1:11">
      <c r="A601" s="673">
        <v>6855</v>
      </c>
      <c r="B601" s="654" t="str">
        <f>INDEX('TB Clean'!$B$2:$B$464,MATCH('Linked TB'!A601,'TB Clean'!$A$2:$A$464,0))</f>
        <v xml:space="preserve">    DEPREC-MISC EQUIP SEWER</v>
      </c>
      <c r="C601" s="674">
        <v>0</v>
      </c>
      <c r="D601" s="675">
        <f t="shared" si="98"/>
        <v>0</v>
      </c>
      <c r="E601" s="677">
        <f>INDEX('TB Clean'!$D$2:$D$464,MATCH('Linked TB'!A601,'TB Clean'!$A$2:$A$464,0))</f>
        <v>0</v>
      </c>
      <c r="F601" s="684">
        <f t="shared" si="99"/>
        <v>0</v>
      </c>
      <c r="G601" s="677">
        <f t="shared" si="94"/>
        <v>0</v>
      </c>
      <c r="H601" s="678" t="s">
        <v>427</v>
      </c>
    </row>
    <row r="602" spans="1:11">
      <c r="A602" s="673">
        <v>6885</v>
      </c>
      <c r="B602" s="654" t="str">
        <f>INDEX('TB Clean'!$B$2:$B$464,MATCH('Linked TB'!A602,'TB Clean'!$A$2:$A$464,0))</f>
        <v xml:space="preserve">    DEPREC-REUSE DIST RESERVOI</v>
      </c>
      <c r="C602" s="674">
        <v>0</v>
      </c>
      <c r="D602" s="675">
        <f t="shared" si="98"/>
        <v>0</v>
      </c>
      <c r="E602" s="677">
        <f>INDEX('TB Clean'!$D$2:$D$464,MATCH('Linked TB'!A602,'TB Clean'!$A$2:$A$464,0))</f>
        <v>0</v>
      </c>
      <c r="F602" s="684">
        <f t="shared" si="99"/>
        <v>0</v>
      </c>
      <c r="G602" s="677">
        <f t="shared" si="94"/>
        <v>0</v>
      </c>
      <c r="H602" s="678" t="s">
        <v>427</v>
      </c>
    </row>
    <row r="603" spans="1:11">
      <c r="A603" s="673">
        <v>6890</v>
      </c>
      <c r="B603" s="654" t="str">
        <f>INDEX('TB Clean'!$B$2:$B$464,MATCH('Linked TB'!A603,'TB Clean'!$A$2:$A$464,0))</f>
        <v xml:space="preserve">    DEPREC-REUSE TRANSM / DIST</v>
      </c>
      <c r="C603" s="674">
        <v>0</v>
      </c>
      <c r="D603" s="675">
        <f t="shared" si="98"/>
        <v>0</v>
      </c>
      <c r="E603" s="677">
        <f>INDEX('TB Clean'!$D$2:$D$464,MATCH('Linked TB'!A603,'TB Clean'!$A$2:$A$464,0))</f>
        <v>0</v>
      </c>
      <c r="F603" s="684">
        <f t="shared" si="99"/>
        <v>0</v>
      </c>
      <c r="G603" s="677">
        <f t="shared" si="94"/>
        <v>0</v>
      </c>
      <c r="H603" s="678" t="s">
        <v>427</v>
      </c>
    </row>
    <row r="604" spans="1:11" ht="5.0999999999999996" customHeight="1">
      <c r="A604" s="673"/>
      <c r="C604" s="681">
        <v>0</v>
      </c>
      <c r="D604" s="682">
        <v>0</v>
      </c>
      <c r="E604" s="683">
        <v>0</v>
      </c>
      <c r="F604" s="689">
        <v>0</v>
      </c>
      <c r="G604" s="683">
        <v>0</v>
      </c>
      <c r="H604" s="678"/>
    </row>
    <row r="605" spans="1:11">
      <c r="A605" s="673" t="s">
        <v>959</v>
      </c>
      <c r="B605" s="654" t="s">
        <v>1008</v>
      </c>
      <c r="C605" s="684">
        <f>SUM(C552:C604)</f>
        <v>200955.59999999998</v>
      </c>
      <c r="D605" s="677">
        <f>SUM(D552:D604)</f>
        <v>0</v>
      </c>
      <c r="E605" s="677">
        <f>SUM(E552:E604)</f>
        <v>200955.59999999998</v>
      </c>
      <c r="F605" s="684">
        <f>SUM(F552:F604)</f>
        <v>200955.59999999998</v>
      </c>
      <c r="G605" s="677">
        <f>SUM(G552:G604)</f>
        <v>0</v>
      </c>
      <c r="H605" s="678"/>
      <c r="J605" s="679">
        <v>175832.35999999996</v>
      </c>
      <c r="K605" s="679">
        <f>+E605-J605</f>
        <v>25123.24000000002</v>
      </c>
    </row>
    <row r="606" spans="1:11">
      <c r="A606" s="673"/>
      <c r="C606" s="684"/>
      <c r="D606" s="677"/>
      <c r="E606" s="677"/>
      <c r="F606" s="684"/>
      <c r="G606" s="677"/>
      <c r="H606" s="678"/>
    </row>
    <row r="607" spans="1:11">
      <c r="A607" s="673">
        <v>6905</v>
      </c>
      <c r="B607" s="654" t="str">
        <f>INDEX('TB Clean'!$B$2:$B$464,MATCH('Linked TB'!A607,'TB Clean'!$A$2:$A$464,0))</f>
        <v xml:space="preserve">    DEPREC-AUTO TRANS</v>
      </c>
      <c r="C607" s="674">
        <f t="shared" ref="C607" si="103">+E607</f>
        <v>32420.880000000005</v>
      </c>
      <c r="D607" s="675">
        <v>0</v>
      </c>
      <c r="E607" s="677">
        <f>INDEX('TB Clean'!$D$2:$D$464,MATCH('Linked TB'!A607,'TB Clean'!$A$2:$A$464,0))</f>
        <v>32420.880000000005</v>
      </c>
      <c r="F607" s="684">
        <f>+IF(UPPER(H607)="ACTUAL",C607,INDEX(ALLOCATION_TABLE,MATCH(UPPER(H607),INDEX(ALLOCATION_TABLE,0,1),0),5)*E607)</f>
        <v>32420.880000000005</v>
      </c>
      <c r="G607" s="677">
        <f>+E607-F607</f>
        <v>0</v>
      </c>
      <c r="H607" s="678" t="s">
        <v>427</v>
      </c>
    </row>
    <row r="608" spans="1:11" ht="4.5" customHeight="1">
      <c r="A608" s="673"/>
      <c r="C608" s="681">
        <v>0</v>
      </c>
      <c r="D608" s="682">
        <v>0</v>
      </c>
      <c r="E608" s="683">
        <v>0</v>
      </c>
      <c r="F608" s="689">
        <v>0</v>
      </c>
      <c r="G608" s="683">
        <v>0</v>
      </c>
      <c r="H608" s="678"/>
    </row>
    <row r="609" spans="1:11">
      <c r="A609" s="673" t="s">
        <v>959</v>
      </c>
      <c r="C609" s="684">
        <f>SUM(C607:C608)</f>
        <v>32420.880000000005</v>
      </c>
      <c r="D609" s="677">
        <f>SUM(D607:D608)</f>
        <v>0</v>
      </c>
      <c r="E609" s="677">
        <f>SUM(E607:E608)</f>
        <v>32420.880000000005</v>
      </c>
      <c r="F609" s="684">
        <f>SUM(F607:F608)</f>
        <v>32420.880000000005</v>
      </c>
      <c r="G609" s="677">
        <f>SUM(G607:G608)</f>
        <v>0</v>
      </c>
      <c r="H609" s="676"/>
      <c r="J609" s="679">
        <v>28594.620000000003</v>
      </c>
      <c r="K609" s="679">
        <f>+E609-J609</f>
        <v>3826.260000000002</v>
      </c>
    </row>
    <row r="610" spans="1:11">
      <c r="A610" s="673"/>
      <c r="C610" s="684"/>
      <c r="D610" s="677"/>
      <c r="E610" s="677"/>
      <c r="F610" s="684"/>
      <c r="G610" s="677"/>
      <c r="H610" s="676"/>
    </row>
    <row r="611" spans="1:11">
      <c r="A611" s="673">
        <v>6920</v>
      </c>
      <c r="B611" s="654" t="str">
        <f>INDEX('TB Clean'!$B$2:$B$464,MATCH('Linked TB'!A611,'TB Clean'!$A$2:$A$464,0))</f>
        <v xml:space="preserve">    DEPREC-COMPUTER</v>
      </c>
      <c r="C611" s="674">
        <f t="shared" ref="C611" si="104">+E611</f>
        <v>102346.62</v>
      </c>
      <c r="D611" s="675">
        <v>0</v>
      </c>
      <c r="E611" s="677">
        <f>INDEX('TB Clean'!$D$2:$D$464,MATCH('Linked TB'!A611,'TB Clean'!$A$2:$A$464,0))</f>
        <v>102346.62</v>
      </c>
      <c r="F611" s="684">
        <f>+IF(UPPER(H611)="ACTUAL",C611,INDEX(ALLOCATION_TABLE,MATCH(UPPER(H611),INDEX(ALLOCATION_TABLE,0,1),0),5)*E611)</f>
        <v>102346.62</v>
      </c>
      <c r="G611" s="677">
        <f>+E611-F611</f>
        <v>0</v>
      </c>
      <c r="H611" s="678" t="s">
        <v>427</v>
      </c>
    </row>
    <row r="612" spans="1:11" ht="4.5" customHeight="1">
      <c r="A612" s="673"/>
      <c r="C612" s="681">
        <v>0</v>
      </c>
      <c r="D612" s="682">
        <v>0</v>
      </c>
      <c r="E612" s="683">
        <v>0</v>
      </c>
      <c r="F612" s="689">
        <v>0</v>
      </c>
      <c r="G612" s="683">
        <v>0</v>
      </c>
      <c r="H612" s="678"/>
    </row>
    <row r="613" spans="1:11">
      <c r="A613" s="673" t="s">
        <v>959</v>
      </c>
      <c r="C613" s="684">
        <f>SUM(C611:C612)</f>
        <v>102346.62</v>
      </c>
      <c r="D613" s="677">
        <f>SUM(D611:D612)</f>
        <v>0</v>
      </c>
      <c r="E613" s="677">
        <f>SUM(E611:E612)</f>
        <v>102346.62</v>
      </c>
      <c r="F613" s="684">
        <f>SUM(F611:F612)</f>
        <v>102346.62</v>
      </c>
      <c r="G613" s="677">
        <f>SUM(G611:G612)</f>
        <v>0</v>
      </c>
      <c r="H613" s="676"/>
      <c r="J613" s="679">
        <v>86070.079999999987</v>
      </c>
      <c r="K613" s="679">
        <f>+E613-J613</f>
        <v>16276.540000000008</v>
      </c>
    </row>
    <row r="614" spans="1:11">
      <c r="A614" s="673"/>
      <c r="C614" s="684"/>
      <c r="D614" s="677"/>
      <c r="E614" s="677"/>
      <c r="F614" s="684"/>
      <c r="G614" s="677"/>
      <c r="H614" s="676"/>
    </row>
    <row r="615" spans="1:11">
      <c r="A615" s="673">
        <v>6960</v>
      </c>
      <c r="B615" s="654" t="str">
        <f>INDEX('TB Clean'!$B$2:$B$464,MATCH('Linked TB'!A615,'TB Clean'!$A$2:$A$464,0))</f>
        <v xml:space="preserve">   AMORT OF UTIL PAA-WATER</v>
      </c>
      <c r="C615" s="674">
        <f t="shared" ref="C615" si="105">+E615</f>
        <v>-3660.48</v>
      </c>
      <c r="D615" s="675">
        <v>0</v>
      </c>
      <c r="E615" s="677">
        <f>INDEX('TB Clean'!$D$2:$D$464,MATCH('Linked TB'!A615,'TB Clean'!$A$2:$A$464,0))</f>
        <v>-3660.48</v>
      </c>
      <c r="F615" s="684">
        <f>+IF(UPPER(H615)="ACTUAL",C615,INDEX(ALLOCATION_TABLE,MATCH(UPPER(H615),INDEX(ALLOCATION_TABLE,0,1),0),5)*E615)</f>
        <v>-3660.48</v>
      </c>
      <c r="G615" s="677">
        <f>+E615-F615</f>
        <v>0</v>
      </c>
      <c r="H615" s="678" t="s">
        <v>427</v>
      </c>
    </row>
    <row r="616" spans="1:11" ht="4.5" customHeight="1">
      <c r="A616" s="673"/>
      <c r="C616" s="681">
        <v>0</v>
      </c>
      <c r="D616" s="682">
        <v>0</v>
      </c>
      <c r="E616" s="683">
        <v>0</v>
      </c>
      <c r="F616" s="689">
        <v>0</v>
      </c>
      <c r="G616" s="683">
        <v>0</v>
      </c>
      <c r="H616" s="678"/>
    </row>
    <row r="617" spans="1:11">
      <c r="A617" s="673" t="s">
        <v>959</v>
      </c>
      <c r="C617" s="684">
        <f>SUM(C615:C616)</f>
        <v>-3660.48</v>
      </c>
      <c r="D617" s="677">
        <f>SUM(D615:D616)</f>
        <v>0</v>
      </c>
      <c r="E617" s="677">
        <f>SUM(E615:E616)</f>
        <v>-3660.48</v>
      </c>
      <c r="F617" s="684">
        <f>SUM(F615:F616)</f>
        <v>-3660.48</v>
      </c>
      <c r="G617" s="677">
        <f>SUM(G615:G616)</f>
        <v>0</v>
      </c>
      <c r="H617" s="676"/>
      <c r="J617" s="679">
        <v>-3660.48</v>
      </c>
      <c r="K617" s="679">
        <f>+E617-J617</f>
        <v>0</v>
      </c>
    </row>
    <row r="618" spans="1:11">
      <c r="A618" s="673"/>
      <c r="C618" s="674"/>
      <c r="D618" s="675"/>
      <c r="E618" s="677"/>
      <c r="F618" s="684"/>
      <c r="G618" s="677"/>
      <c r="H618" s="678"/>
    </row>
    <row r="619" spans="1:11" s="1403" customFormat="1">
      <c r="A619" s="1408">
        <v>7080</v>
      </c>
      <c r="B619" s="1397" t="str">
        <f>INDEX('TB Clean'!$B$2:$B$464,MATCH('Linked TB'!A619,'TB Clean'!$A$2:$A$464,0))</f>
        <v xml:space="preserve">    AMORT-METERS</v>
      </c>
      <c r="C619" s="1398">
        <f>+E619</f>
        <v>-1662.8399999999995</v>
      </c>
      <c r="D619" s="1399">
        <v>0</v>
      </c>
      <c r="E619" s="1400">
        <f>INDEX('TB Clean'!$D$2:$D$464,MATCH('Linked TB'!A619,'TB Clean'!$A$2:$A$464,0))</f>
        <v>-1662.8399999999995</v>
      </c>
      <c r="F619" s="1401">
        <f>+IF(UPPER(H619)="ACTUAL",C619,INDEX(ALLOCATION_TABLE,MATCH(UPPER(H619),INDEX(ALLOCATION_TABLE,0,1),0),5)*E619)</f>
        <v>-1662.8399999999995</v>
      </c>
      <c r="G619" s="1400">
        <f>+E619-F619</f>
        <v>0</v>
      </c>
      <c r="H619" s="1402" t="s">
        <v>427</v>
      </c>
    </row>
    <row r="620" spans="1:11">
      <c r="A620" s="685">
        <v>7160</v>
      </c>
      <c r="B620" s="654" t="str">
        <f>INDEX('TB Clean'!$B$2:$B$464,MATCH('Linked TB'!A620,'TB Clean'!$A$2:$A$464,0))</f>
        <v xml:space="preserve">    AMORT-OTHER TANGIBLE PLT W</v>
      </c>
      <c r="C620" s="674">
        <f>+E620</f>
        <v>-2087.2799999999997</v>
      </c>
      <c r="D620" s="675">
        <v>0</v>
      </c>
      <c r="E620" s="677">
        <f>INDEX('TB Clean'!$D$2:$D$464,MATCH('Linked TB'!A620,'TB Clean'!$A$2:$A$464,0))</f>
        <v>-2087.2799999999997</v>
      </c>
      <c r="F620" s="684">
        <f>+IF(UPPER(H620)="ACTUAL",C620,INDEX(ALLOCATION_TABLE,MATCH(UPPER(H620),INDEX(ALLOCATION_TABLE,0,1),0),5)*E620)</f>
        <v>-2087.2799999999997</v>
      </c>
      <c r="G620" s="677">
        <f>+E620-F620</f>
        <v>0</v>
      </c>
      <c r="H620" s="678" t="s">
        <v>427</v>
      </c>
    </row>
    <row r="621" spans="1:11">
      <c r="A621" s="673">
        <v>7165</v>
      </c>
      <c r="B621" s="654" t="str">
        <f>INDEX('TB Clean'!$B$2:$B$464,MATCH('Linked TB'!A621,'TB Clean'!$A$2:$A$464,0))</f>
        <v xml:space="preserve">    AMORT-WATER-TAP</v>
      </c>
      <c r="C621" s="674">
        <f>+E621</f>
        <v>-877.6600000000002</v>
      </c>
      <c r="D621" s="675">
        <v>0</v>
      </c>
      <c r="E621" s="677">
        <f>INDEX('TB Clean'!$D$2:$D$464,MATCH('Linked TB'!A621,'TB Clean'!$A$2:$A$464,0))</f>
        <v>-877.6600000000002</v>
      </c>
      <c r="F621" s="684">
        <f t="shared" ref="F621:F626" si="106">+IF(UPPER(H621)="ACTUAL",C621,INDEX(ALLOCATION_TABLE,MATCH(UPPER(H621),INDEX(ALLOCATION_TABLE,0,1),0),5)*E621)</f>
        <v>-877.6600000000002</v>
      </c>
      <c r="G621" s="677">
        <f t="shared" ref="G621:G626" si="107">+E621-F621</f>
        <v>0</v>
      </c>
      <c r="H621" s="678" t="s">
        <v>427</v>
      </c>
    </row>
    <row r="622" spans="1:11">
      <c r="A622" s="673">
        <v>7185</v>
      </c>
      <c r="B622" s="654" t="str">
        <f>INDEX('TB Clean'!$B$2:$B$464,MATCH('Linked TB'!A622,'TB Clean'!$A$2:$A$464,0))</f>
        <v xml:space="preserve">    AMORT-WTR PLT MTR FEE</v>
      </c>
      <c r="C622" s="674">
        <f>+E622</f>
        <v>0</v>
      </c>
      <c r="D622" s="675">
        <v>0</v>
      </c>
      <c r="E622" s="677">
        <f>INDEX('TB Clean'!$D$2:$D$464,MATCH('Linked TB'!A622,'TB Clean'!$A$2:$A$464,0))</f>
        <v>0</v>
      </c>
      <c r="F622" s="684">
        <f t="shared" si="106"/>
        <v>0</v>
      </c>
      <c r="G622" s="677">
        <f t="shared" si="107"/>
        <v>0</v>
      </c>
      <c r="H622" s="678" t="s">
        <v>427</v>
      </c>
    </row>
    <row r="623" spans="1:11">
      <c r="A623" s="673">
        <v>7225</v>
      </c>
      <c r="B623" s="654" t="str">
        <f>INDEX('TB Clean'!$B$2:$B$464,MATCH('Linked TB'!A623,'TB Clean'!$A$2:$A$464,0))</f>
        <v xml:space="preserve">    AMORT-STRUCT/IMPRV PUMP PL</v>
      </c>
      <c r="C623" s="674">
        <v>0</v>
      </c>
      <c r="D623" s="675">
        <f>+E623</f>
        <v>0</v>
      </c>
      <c r="E623" s="677">
        <f>INDEX('TB Clean'!$D$2:$D$464,MATCH('Linked TB'!A623,'TB Clean'!$A$2:$A$464,0))</f>
        <v>0</v>
      </c>
      <c r="F623" s="684">
        <f t="shared" si="106"/>
        <v>0</v>
      </c>
      <c r="G623" s="677">
        <f t="shared" si="107"/>
        <v>0</v>
      </c>
      <c r="H623" s="678" t="s">
        <v>427</v>
      </c>
    </row>
    <row r="624" spans="1:11">
      <c r="A624" s="673">
        <v>7245</v>
      </c>
      <c r="B624" s="654" t="str">
        <f>INDEX('TB Clean'!$B$2:$B$464,MATCH('Linked TB'!A624,'TB Clean'!$A$2:$A$464,0))</f>
        <v xml:space="preserve">    AMORT-STRUCT/IMPRV GEN PLT</v>
      </c>
      <c r="C624" s="674">
        <v>0</v>
      </c>
      <c r="D624" s="675">
        <f>+E624</f>
        <v>0</v>
      </c>
      <c r="E624" s="677">
        <f>INDEX('TB Clean'!$D$2:$D$464,MATCH('Linked TB'!A624,'TB Clean'!$A$2:$A$464,0))</f>
        <v>0</v>
      </c>
      <c r="F624" s="684">
        <f t="shared" si="106"/>
        <v>0</v>
      </c>
      <c r="G624" s="677">
        <f t="shared" si="107"/>
        <v>0</v>
      </c>
      <c r="H624" s="678" t="s">
        <v>427</v>
      </c>
    </row>
    <row r="625" spans="1:19">
      <c r="A625" s="673">
        <v>7275</v>
      </c>
      <c r="B625" s="654" t="str">
        <f>INDEX('TB Clean'!$B$2:$B$464,MATCH('Linked TB'!A625,'TB Clean'!$A$2:$A$464,0))</f>
        <v xml:space="preserve">    AMORT-SEWER FORCE MAIN/SRV</v>
      </c>
      <c r="C625" s="674">
        <v>0</v>
      </c>
      <c r="D625" s="675">
        <f>+E625</f>
        <v>0</v>
      </c>
      <c r="E625" s="677">
        <f>INDEX('TB Clean'!$D$2:$D$464,MATCH('Linked TB'!A625,'TB Clean'!$A$2:$A$464,0))</f>
        <v>0</v>
      </c>
      <c r="F625" s="684">
        <f t="shared" si="106"/>
        <v>0</v>
      </c>
      <c r="G625" s="677">
        <f t="shared" si="107"/>
        <v>0</v>
      </c>
      <c r="H625" s="678" t="s">
        <v>427</v>
      </c>
    </row>
    <row r="626" spans="1:19">
      <c r="A626" s="673">
        <v>7280</v>
      </c>
      <c r="B626" s="654" t="str">
        <f>INDEX('TB Clean'!$B$2:$B$464,MATCH('Linked TB'!A626,'TB Clean'!$A$2:$A$464,0))</f>
        <v xml:space="preserve">    AMORT-SEWER GRAVITY MAIN</v>
      </c>
      <c r="C626" s="674">
        <v>0</v>
      </c>
      <c r="D626" s="675">
        <f>+E626</f>
        <v>0</v>
      </c>
      <c r="E626" s="677">
        <f>INDEX('TB Clean'!$D$2:$D$464,MATCH('Linked TB'!A626,'TB Clean'!$A$2:$A$464,0))</f>
        <v>0</v>
      </c>
      <c r="F626" s="684">
        <f t="shared" si="106"/>
        <v>0</v>
      </c>
      <c r="G626" s="677">
        <f t="shared" si="107"/>
        <v>0</v>
      </c>
      <c r="H626" s="678" t="s">
        <v>427</v>
      </c>
    </row>
    <row r="627" spans="1:19" ht="5.0999999999999996" customHeight="1">
      <c r="A627" s="673"/>
      <c r="C627" s="681">
        <v>0</v>
      </c>
      <c r="D627" s="682">
        <v>0</v>
      </c>
      <c r="E627" s="683">
        <v>0</v>
      </c>
      <c r="F627" s="689">
        <v>0</v>
      </c>
      <c r="G627" s="683">
        <v>0</v>
      </c>
      <c r="H627" s="678"/>
    </row>
    <row r="628" spans="1:19">
      <c r="A628" s="673" t="s">
        <v>959</v>
      </c>
      <c r="B628" s="654" t="s">
        <v>1009</v>
      </c>
      <c r="C628" s="684">
        <f>SUM(C619:C627)</f>
        <v>-4627.7799999999988</v>
      </c>
      <c r="D628" s="677">
        <f>SUM(D619:D627)</f>
        <v>0</v>
      </c>
      <c r="E628" s="677">
        <f>SUM(E619:E627)</f>
        <v>-4627.7799999999988</v>
      </c>
      <c r="F628" s="684">
        <f>SUM(F619:F627)</f>
        <v>-4627.7799999999988</v>
      </c>
      <c r="G628" s="677">
        <f>SUM(G619:G627)</f>
        <v>0</v>
      </c>
      <c r="H628" s="678"/>
      <c r="J628" s="679">
        <v>-1536.46</v>
      </c>
      <c r="K628" s="679">
        <f>+E628-J628</f>
        <v>-3091.3199999999988</v>
      </c>
    </row>
    <row r="629" spans="1:19">
      <c r="A629" s="673"/>
      <c r="C629" s="674"/>
      <c r="D629" s="675"/>
      <c r="E629" s="677"/>
      <c r="F629" s="684"/>
      <c r="G629" s="677"/>
      <c r="H629" s="678"/>
    </row>
    <row r="630" spans="1:19">
      <c r="A630" s="685">
        <v>7510</v>
      </c>
      <c r="B630" s="654" t="str">
        <f>INDEX('TB Clean'!$B$2:$B$464,MATCH('Linked TB'!A630,'TB Clean'!$A$2:$A$464,0))</f>
        <v xml:space="preserve">    FICA EXPENSE</v>
      </c>
      <c r="C630" s="674">
        <v>0</v>
      </c>
      <c r="D630" s="675">
        <v>0</v>
      </c>
      <c r="E630" s="677">
        <f>INDEX('TB Clean'!$D$2:$D$464,MATCH('Linked TB'!A630,'TB Clean'!$A$2:$A$464,0))</f>
        <v>49829.779999999992</v>
      </c>
      <c r="F630" s="684">
        <f>+IF(UPPER(H630)="ACTUAL",C630,INDEX(ALLOCATION_TABLE,MATCH(UPPER(H630),INDEX(ALLOCATION_TABLE,0,1),0),5)*E630)</f>
        <v>49829.779999999992</v>
      </c>
      <c r="G630" s="677">
        <f>+E630-F630</f>
        <v>0</v>
      </c>
      <c r="H630" s="678" t="s">
        <v>724</v>
      </c>
    </row>
    <row r="631" spans="1:19">
      <c r="A631" s="685">
        <v>7515</v>
      </c>
      <c r="B631" s="654" t="str">
        <f>INDEX('TB Clean'!$B$2:$B$464,MATCH('Linked TB'!A631,'TB Clean'!$A$2:$A$464,0))</f>
        <v xml:space="preserve">    FEDERAL UNEMPLOYMENT TAX</v>
      </c>
      <c r="C631" s="674">
        <v>0</v>
      </c>
      <c r="D631" s="675">
        <v>0</v>
      </c>
      <c r="E631" s="677">
        <f>INDEX('TB Clean'!$D$2:$D$464,MATCH('Linked TB'!A631,'TB Clean'!$A$2:$A$464,0))</f>
        <v>1429.0700000000002</v>
      </c>
      <c r="F631" s="684">
        <f>+IF(UPPER(H631)="ACTUAL",C631,INDEX(ALLOCATION_TABLE,MATCH(UPPER(H631),INDEX(ALLOCATION_TABLE,0,1),0),5)*E631)</f>
        <v>1429.0700000000002</v>
      </c>
      <c r="G631" s="677">
        <f>+E631-F631</f>
        <v>0</v>
      </c>
      <c r="H631" s="678" t="s">
        <v>724</v>
      </c>
    </row>
    <row r="632" spans="1:19">
      <c r="A632" s="685">
        <v>7520</v>
      </c>
      <c r="B632" s="654" t="str">
        <f>INDEX('TB Clean'!$B$2:$B$464,MATCH('Linked TB'!A632,'TB Clean'!$A$2:$A$464,0))</f>
        <v xml:space="preserve">    STATE UNEMPLOYMENT TAX</v>
      </c>
      <c r="C632" s="674">
        <v>0</v>
      </c>
      <c r="D632" s="675">
        <v>0</v>
      </c>
      <c r="E632" s="677">
        <f>INDEX('TB Clean'!$D$2:$D$464,MATCH('Linked TB'!A632,'TB Clean'!$A$2:$A$464,0))</f>
        <v>4770.37</v>
      </c>
      <c r="F632" s="684">
        <f>+IF(UPPER(H632)="ACTUAL",C632,INDEX(ALLOCATION_TABLE,MATCH(UPPER(H632),INDEX(ALLOCATION_TABLE,0,1),0),5)*E632)</f>
        <v>4770.37</v>
      </c>
      <c r="G632" s="677">
        <f>+E632-F632</f>
        <v>0</v>
      </c>
      <c r="H632" s="678" t="s">
        <v>724</v>
      </c>
    </row>
    <row r="633" spans="1:19" ht="5.0999999999999996" customHeight="1">
      <c r="A633" s="673"/>
      <c r="C633" s="681">
        <v>0</v>
      </c>
      <c r="D633" s="682">
        <v>0</v>
      </c>
      <c r="E633" s="683">
        <v>0</v>
      </c>
      <c r="F633" s="689">
        <v>0</v>
      </c>
      <c r="G633" s="683">
        <v>0</v>
      </c>
      <c r="H633" s="678"/>
    </row>
    <row r="634" spans="1:19">
      <c r="A634" s="673" t="s">
        <v>959</v>
      </c>
      <c r="B634" s="654" t="s">
        <v>1010</v>
      </c>
      <c r="C634" s="684">
        <f>SUM(C630:C633)</f>
        <v>0</v>
      </c>
      <c r="D634" s="677">
        <f>SUM(D630:D633)</f>
        <v>0</v>
      </c>
      <c r="E634" s="677">
        <f>SUM(E630:E633)</f>
        <v>56029.219999999994</v>
      </c>
      <c r="F634" s="684">
        <f>SUM(F630:F633)</f>
        <v>56029.219999999994</v>
      </c>
      <c r="G634" s="677">
        <f>SUM(G630:G633)</f>
        <v>0</v>
      </c>
      <c r="H634" s="678"/>
      <c r="J634" s="679">
        <v>51022.630000000005</v>
      </c>
      <c r="K634" s="679">
        <f>+E634-J634</f>
        <v>5006.5899999999892</v>
      </c>
    </row>
    <row r="635" spans="1:19" ht="13.5">
      <c r="A635" s="673"/>
      <c r="C635" s="674"/>
      <c r="D635" s="675"/>
      <c r="E635" s="677"/>
      <c r="F635" s="684"/>
      <c r="G635" s="677"/>
      <c r="H635" s="678"/>
      <c r="M635" s="1382"/>
      <c r="N635" s="423"/>
      <c r="O635" s="423"/>
      <c r="P635" s="423"/>
      <c r="Q635" s="1383"/>
      <c r="R635" s="1384"/>
      <c r="S635" s="1384"/>
    </row>
    <row r="636" spans="1:19" ht="13.5">
      <c r="A636" s="673">
        <v>7535</v>
      </c>
      <c r="B636" s="654" t="str">
        <f>INDEX('TB Clean'!$B$2:$B$464,MATCH('Linked TB'!A636,'TB Clean'!$A$2:$A$464,0))</f>
        <v xml:space="preserve">    FRANCHISE TAX</v>
      </c>
      <c r="C636" s="674">
        <v>0</v>
      </c>
      <c r="D636" s="675">
        <v>0</v>
      </c>
      <c r="E636" s="677">
        <f>INDEX('TB Clean'!$D$2:$D$464,MATCH('Linked TB'!A636,'TB Clean'!$A$2:$A$464,0))</f>
        <v>45.6</v>
      </c>
      <c r="F636" s="684">
        <f t="shared" ref="F636:F641" si="108">+IF(UPPER(H636)="ACTUAL",C636,INDEX(ALLOCATION_TABLE,MATCH(UPPER(H636),INDEX(ALLOCATION_TABLE,0,1),0),5)*E636)</f>
        <v>45.6</v>
      </c>
      <c r="G636" s="677">
        <f t="shared" ref="G636:G641" si="109">+E636-F636</f>
        <v>0</v>
      </c>
      <c r="H636" s="678" t="s">
        <v>724</v>
      </c>
      <c r="M636" s="1382"/>
      <c r="N636" s="423"/>
      <c r="O636" s="423"/>
      <c r="P636" s="423"/>
      <c r="Q636" s="1383"/>
      <c r="R636" s="1384"/>
      <c r="S636" s="1384"/>
    </row>
    <row r="637" spans="1:19" ht="13.5">
      <c r="A637" s="673">
        <v>7540</v>
      </c>
      <c r="B637" s="654" t="str">
        <f>INDEX('TB Clean'!$B$2:$B$464,MATCH('Linked TB'!A637,'TB Clean'!$A$2:$A$464,0))</f>
        <v xml:space="preserve">    GROSS RECEIPTS TAX</v>
      </c>
      <c r="C637" s="674">
        <v>0</v>
      </c>
      <c r="D637" s="675">
        <v>0</v>
      </c>
      <c r="E637" s="677">
        <f>INDEX('TB Clean'!$D$2:$D$464,MATCH('Linked TB'!A637,'TB Clean'!$A$2:$A$464,0))</f>
        <v>0</v>
      </c>
      <c r="F637" s="684">
        <f t="shared" si="108"/>
        <v>0</v>
      </c>
      <c r="G637" s="677">
        <f t="shared" si="109"/>
        <v>0</v>
      </c>
      <c r="H637" s="678" t="s">
        <v>428</v>
      </c>
      <c r="M637" s="1382"/>
      <c r="N637" s="423"/>
      <c r="O637" s="423"/>
      <c r="P637" s="423"/>
      <c r="Q637" s="1384"/>
      <c r="R637" s="1383"/>
      <c r="S637" s="1384"/>
    </row>
    <row r="638" spans="1:19" ht="13.5">
      <c r="A638" s="673">
        <v>7545</v>
      </c>
      <c r="B638" s="654" t="str">
        <f>INDEX('TB Clean'!$B$2:$B$464,MATCH('Linked TB'!A638,'TB Clean'!$A$2:$A$464,0))</f>
        <v xml:space="preserve">    PERSONAL PROPERTY/ICT TAX</v>
      </c>
      <c r="C638" s="674">
        <v>0</v>
      </c>
      <c r="D638" s="675">
        <v>0</v>
      </c>
      <c r="E638" s="677">
        <f>INDEX('TB Clean'!$D$2:$D$464,MATCH('Linked TB'!A638,'TB Clean'!$A$2:$A$464,0))</f>
        <v>15051</v>
      </c>
      <c r="F638" s="684">
        <f t="shared" si="108"/>
        <v>15051</v>
      </c>
      <c r="G638" s="677">
        <f t="shared" si="109"/>
        <v>0</v>
      </c>
      <c r="H638" s="678" t="s">
        <v>428</v>
      </c>
      <c r="M638" s="1382"/>
      <c r="N638" s="423"/>
      <c r="O638" s="423"/>
      <c r="P638" s="423"/>
      <c r="Q638" s="1384"/>
      <c r="R638" s="1383"/>
      <c r="S638" s="1384"/>
    </row>
    <row r="639" spans="1:19" ht="13.5">
      <c r="A639" s="673">
        <v>7550</v>
      </c>
      <c r="B639" s="654" t="str">
        <f>INDEX('TB Clean'!$B$2:$B$464,MATCH('Linked TB'!A639,'TB Clean'!$A$2:$A$464,0))</f>
        <v xml:space="preserve">    PROPERTY/OTHER GENERAL TAX</v>
      </c>
      <c r="C639" s="674">
        <v>0</v>
      </c>
      <c r="D639" s="675">
        <v>0</v>
      </c>
      <c r="E639" s="677">
        <f>INDEX('TB Clean'!$D$2:$D$464,MATCH('Linked TB'!A639,'TB Clean'!$A$2:$A$464,0))</f>
        <v>5504.85</v>
      </c>
      <c r="F639" s="684">
        <f t="shared" si="108"/>
        <v>5504.85</v>
      </c>
      <c r="G639" s="677">
        <f t="shared" si="109"/>
        <v>0</v>
      </c>
      <c r="H639" s="678" t="s">
        <v>428</v>
      </c>
      <c r="M639" s="1382"/>
      <c r="N639" s="423"/>
      <c r="O639" s="423"/>
      <c r="P639" s="423"/>
      <c r="Q639" s="1384"/>
      <c r="R639" s="1383"/>
      <c r="S639" s="1384"/>
    </row>
    <row r="640" spans="1:19" ht="13.5">
      <c r="A640" s="673">
        <v>7555</v>
      </c>
      <c r="B640" s="654" t="str">
        <f>INDEX('TB Clean'!$B$2:$B$464,MATCH('Linked TB'!A640,'TB Clean'!$A$2:$A$464,0))</f>
        <v xml:space="preserve">    REAL ESTATE TAX</v>
      </c>
      <c r="C640" s="674">
        <v>0</v>
      </c>
      <c r="D640" s="675">
        <v>0</v>
      </c>
      <c r="E640" s="677">
        <f>INDEX('TB Clean'!$D$2:$D$464,MATCH('Linked TB'!A640,'TB Clean'!$A$2:$A$464,0))</f>
        <v>56189.9</v>
      </c>
      <c r="F640" s="684">
        <f t="shared" si="108"/>
        <v>56189.9</v>
      </c>
      <c r="G640" s="677">
        <f t="shared" si="109"/>
        <v>0</v>
      </c>
      <c r="H640" s="678" t="s">
        <v>428</v>
      </c>
      <c r="M640" s="1382"/>
      <c r="N640" s="423"/>
      <c r="O640" s="423"/>
      <c r="P640" s="423"/>
      <c r="Q640" s="1384"/>
      <c r="R640" s="1384"/>
      <c r="S640" s="1383"/>
    </row>
    <row r="641" spans="1:19" ht="13.5">
      <c r="A641" s="673">
        <v>7570</v>
      </c>
      <c r="B641" s="654" t="str">
        <f>INDEX('TB Clean'!$B$2:$B$464,MATCH('Linked TB'!A641,'TB Clean'!$A$2:$A$464,0))</f>
        <v xml:space="preserve">    UTILITY/COMMISSION TAX</v>
      </c>
      <c r="C641" s="674">
        <v>0</v>
      </c>
      <c r="D641" s="675">
        <v>0</v>
      </c>
      <c r="E641" s="677">
        <f>INDEX('TB Clean'!$D$2:$D$464,MATCH('Linked TB'!A641,'TB Clean'!$A$2:$A$464,0))</f>
        <v>7990.19</v>
      </c>
      <c r="F641" s="684">
        <f t="shared" si="108"/>
        <v>7990.19</v>
      </c>
      <c r="G641" s="677">
        <f t="shared" si="109"/>
        <v>0</v>
      </c>
      <c r="H641" s="678" t="s">
        <v>724</v>
      </c>
      <c r="M641" s="1382"/>
      <c r="N641" s="423"/>
      <c r="O641" s="423"/>
      <c r="P641" s="423"/>
      <c r="Q641" s="1384"/>
      <c r="R641" s="1383"/>
      <c r="S641" s="1384"/>
    </row>
    <row r="642" spans="1:19" ht="5.0999999999999996" customHeight="1">
      <c r="A642" s="673"/>
      <c r="C642" s="681">
        <v>0</v>
      </c>
      <c r="D642" s="682">
        <v>0</v>
      </c>
      <c r="E642" s="683">
        <v>0</v>
      </c>
      <c r="F642" s="689">
        <v>0</v>
      </c>
      <c r="G642" s="683">
        <v>0</v>
      </c>
      <c r="H642" s="678"/>
      <c r="M642" s="1382"/>
      <c r="N642" s="423"/>
      <c r="O642" s="423"/>
      <c r="P642" s="423"/>
      <c r="Q642" s="1384"/>
      <c r="R642" s="1383"/>
      <c r="S642" s="1384"/>
    </row>
    <row r="643" spans="1:19" ht="13.5">
      <c r="A643" s="673" t="s">
        <v>959</v>
      </c>
      <c r="B643" s="654" t="s">
        <v>1011</v>
      </c>
      <c r="C643" s="684">
        <f>SUM(C636:C642)</f>
        <v>0</v>
      </c>
      <c r="D643" s="677">
        <f>SUM(D636:D642)</f>
        <v>0</v>
      </c>
      <c r="E643" s="677">
        <f>SUM(E636:E642)</f>
        <v>84781.540000000008</v>
      </c>
      <c r="F643" s="684">
        <f>SUM(F636:F642)</f>
        <v>84781.540000000008</v>
      </c>
      <c r="G643" s="677">
        <f>SUM(G636:G642)</f>
        <v>0</v>
      </c>
      <c r="H643" s="678"/>
      <c r="J643" s="679">
        <v>94427.38</v>
      </c>
      <c r="K643" s="679">
        <f>+E643-J643</f>
        <v>-9645.8399999999965</v>
      </c>
      <c r="M643" s="1385"/>
      <c r="N643" s="423"/>
      <c r="O643" s="423"/>
      <c r="P643" s="423"/>
      <c r="Q643" s="1384"/>
      <c r="R643" s="1384"/>
    </row>
    <row r="644" spans="1:19">
      <c r="A644" s="673"/>
      <c r="C644" s="674"/>
      <c r="D644" s="675"/>
      <c r="E644" s="677"/>
      <c r="F644" s="684"/>
      <c r="G644" s="677"/>
      <c r="H644" s="678"/>
    </row>
    <row r="645" spans="1:19">
      <c r="A645" s="685">
        <v>7595</v>
      </c>
      <c r="B645" s="654" t="str">
        <f>INDEX('TB Clean'!$B$2:$B$464,MATCH('Linked TB'!A645,'TB Clean'!$A$2:$A$464,0))</f>
        <v xml:space="preserve">   DEF INCOME TAX-FEDERAL</v>
      </c>
      <c r="C645" s="674">
        <v>0</v>
      </c>
      <c r="D645" s="675">
        <v>0</v>
      </c>
      <c r="E645" s="677">
        <f>INDEX('TB Clean'!$D$2:$D$464,MATCH('Linked TB'!A645,'TB Clean'!$A$2:$A$464,0))</f>
        <v>99758.42</v>
      </c>
      <c r="F645" s="684">
        <f>+IF(UPPER(H645)="ACTUAL",C645,INDEX(ALLOCATION_TABLE,MATCH(UPPER(H645),INDEX(ALLOCATION_TABLE,0,1),0),5)*E645)</f>
        <v>99758.42</v>
      </c>
      <c r="G645" s="677">
        <f>+E645-F645</f>
        <v>0</v>
      </c>
      <c r="H645" s="678" t="s">
        <v>724</v>
      </c>
    </row>
    <row r="646" spans="1:19">
      <c r="A646" s="685">
        <v>7600</v>
      </c>
      <c r="B646" s="654" t="str">
        <f>INDEX('TB Clean'!$B$2:$B$464,MATCH('Linked TB'!A646,'TB Clean'!$A$2:$A$464,0))</f>
        <v xml:space="preserve">   DEF INCOME TAXES-STATE</v>
      </c>
      <c r="C646" s="674">
        <v>0</v>
      </c>
      <c r="D646" s="675">
        <v>0</v>
      </c>
      <c r="E646" s="677">
        <f>INDEX('TB Clean'!$D$2:$D$464,MATCH('Linked TB'!A646,'TB Clean'!$A$2:$A$464,0))</f>
        <v>-217638.81</v>
      </c>
      <c r="F646" s="684">
        <f>+IF(UPPER(H646)="ACTUAL",C646,INDEX(ALLOCATION_TABLE,MATCH(UPPER(H646),INDEX(ALLOCATION_TABLE,0,1),0),5)*E646)</f>
        <v>-217638.81</v>
      </c>
      <c r="G646" s="677">
        <f>+E646-F646</f>
        <v>0</v>
      </c>
      <c r="H646" s="678" t="s">
        <v>724</v>
      </c>
    </row>
    <row r="647" spans="1:19">
      <c r="A647" s="685">
        <v>7605</v>
      </c>
      <c r="B647" s="654" t="str">
        <f>INDEX('TB Clean'!$B$2:$B$464,MATCH('Linked TB'!A647,'TB Clean'!$A$2:$A$464,0))</f>
        <v xml:space="preserve">   INCOME TAXES-FEDERAL</v>
      </c>
      <c r="C647" s="674">
        <v>0</v>
      </c>
      <c r="D647" s="675">
        <v>0</v>
      </c>
      <c r="E647" s="677">
        <f>INDEX('TB Clean'!$D$2:$D$464,MATCH('Linked TB'!A647,'TB Clean'!$A$2:$A$464,0))</f>
        <v>0</v>
      </c>
      <c r="F647" s="684">
        <f>+IF(UPPER(H647)="ACTUAL",C647,INDEX(ALLOCATION_TABLE,MATCH(UPPER(H647),INDEX(ALLOCATION_TABLE,0,1),0),5)*E647)</f>
        <v>0</v>
      </c>
      <c r="G647" s="677">
        <f>+E647-F647</f>
        <v>0</v>
      </c>
      <c r="H647" s="678" t="s">
        <v>724</v>
      </c>
    </row>
    <row r="648" spans="1:19">
      <c r="A648" s="685">
        <v>7610</v>
      </c>
      <c r="B648" s="654" t="str">
        <f>INDEX('TB Clean'!$B$2:$B$464,MATCH('Linked TB'!A648,'TB Clean'!$A$2:$A$464,0))</f>
        <v xml:space="preserve">   INCOME TAXES-STATE</v>
      </c>
      <c r="C648" s="674">
        <f t="shared" ref="C648" si="110">E648</f>
        <v>-10239.349999999999</v>
      </c>
      <c r="D648" s="675">
        <v>0</v>
      </c>
      <c r="E648" s="677">
        <f>INDEX('TB Clean'!$D$2:$D$464,MATCH('Linked TB'!A648,'TB Clean'!$A$2:$A$464,0))</f>
        <v>-10239.349999999999</v>
      </c>
      <c r="F648" s="684">
        <f>+IF(UPPER(H648)="ACTUAL",C648,INDEX(ALLOCATION_TABLE,MATCH(UPPER(H648),INDEX(ALLOCATION_TABLE,0,1),0),5)*E648)</f>
        <v>-10239.349999999999</v>
      </c>
      <c r="G648" s="677">
        <f>+E648-F648</f>
        <v>0</v>
      </c>
      <c r="H648" s="678" t="s">
        <v>724</v>
      </c>
    </row>
    <row r="649" spans="1:19">
      <c r="A649" s="673">
        <v>7775</v>
      </c>
      <c r="B649" s="654" t="str">
        <f>INDEX('TB Clean'!$B$2:$B$464,MATCH('Linked TB'!A649,'TB Clean'!$A$2:$A$464,0))</f>
        <v xml:space="preserve">   CURRENT TAX-FIT-SOLD CO</v>
      </c>
      <c r="C649" s="674">
        <v>0</v>
      </c>
      <c r="D649" s="675">
        <v>0</v>
      </c>
      <c r="E649" s="677">
        <f>INDEX('TB Clean'!$D$2:$D$464,MATCH('Linked TB'!A649,'TB Clean'!$A$2:$A$464,0))</f>
        <v>0</v>
      </c>
      <c r="F649" s="684">
        <f>+IF(UPPER(H649)="ACTUAL",C649,INDEX(ALLOCATION_TABLE,MATCH(UPPER(H649),INDEX(ALLOCATION_TABLE,0,1),0),5)*E649)</f>
        <v>0</v>
      </c>
      <c r="G649" s="677">
        <f>+E649-F649</f>
        <v>0</v>
      </c>
      <c r="H649" s="678" t="s">
        <v>724</v>
      </c>
    </row>
    <row r="650" spans="1:19" ht="5.0999999999999996" customHeight="1">
      <c r="A650" s="673"/>
      <c r="C650" s="681">
        <v>0</v>
      </c>
      <c r="D650" s="682">
        <v>0</v>
      </c>
      <c r="E650" s="683">
        <v>0</v>
      </c>
      <c r="F650" s="689">
        <v>0</v>
      </c>
      <c r="G650" s="683">
        <v>0</v>
      </c>
      <c r="H650" s="678"/>
    </row>
    <row r="651" spans="1:19">
      <c r="A651" s="673" t="s">
        <v>959</v>
      </c>
      <c r="B651" s="654" t="s">
        <v>1012</v>
      </c>
      <c r="C651" s="684">
        <f>SUM(C645:C650)</f>
        <v>-10239.349999999999</v>
      </c>
      <c r="D651" s="677">
        <f>SUM(D645:D650)</f>
        <v>0</v>
      </c>
      <c r="E651" s="677">
        <f>SUM(E645:E650)</f>
        <v>-128119.73999999999</v>
      </c>
      <c r="F651" s="684">
        <f>SUM(F645:F650)</f>
        <v>-128119.73999999999</v>
      </c>
      <c r="G651" s="677">
        <f>SUM(G645:G650)</f>
        <v>0</v>
      </c>
      <c r="H651" s="678"/>
      <c r="J651" s="679">
        <v>-97435.77</v>
      </c>
      <c r="K651" s="679">
        <f>+E651-J651</f>
        <v>-30683.969999999987</v>
      </c>
    </row>
    <row r="652" spans="1:19">
      <c r="A652" s="673"/>
      <c r="C652" s="674"/>
      <c r="D652" s="675"/>
      <c r="E652" s="677"/>
      <c r="F652" s="684"/>
      <c r="G652" s="677"/>
      <c r="H652" s="678"/>
    </row>
    <row r="653" spans="1:19" ht="5.0999999999999996" customHeight="1">
      <c r="A653" s="673"/>
      <c r="C653" s="681"/>
      <c r="D653" s="682"/>
      <c r="E653" s="683"/>
      <c r="F653" s="689"/>
      <c r="G653" s="683"/>
      <c r="H653" s="678"/>
    </row>
    <row r="654" spans="1:19" ht="15">
      <c r="A654" s="673" t="s">
        <v>959</v>
      </c>
      <c r="B654" s="654" t="s">
        <v>1013</v>
      </c>
      <c r="C654" s="689">
        <f>+SUMIF($A$368:$A$653,$A654,C$368:C$653)</f>
        <v>768627.79999999993</v>
      </c>
      <c r="D654" s="683">
        <f>+SUMIF($A$368:$A$653,$A654,D$368:D$653)</f>
        <v>33263.360000000001</v>
      </c>
      <c r="E654" s="683">
        <f>+SUMIF($A$368:$A$653,$A654,E$368:E$653)</f>
        <v>1971683.45</v>
      </c>
      <c r="F654" s="689">
        <f>+SUMIF($A$368:$A$653,$A654,F$368:F$653)</f>
        <v>1938420.0899999996</v>
      </c>
      <c r="G654" s="683">
        <f>+SUMIF($A$368:$A$653,$A654,G$368:G$653)</f>
        <v>33263.360000000001</v>
      </c>
      <c r="H654" s="678">
        <f>+F654+G654-E654</f>
        <v>0</v>
      </c>
      <c r="J654" s="679">
        <v>1930802.9499999997</v>
      </c>
      <c r="K654" s="679">
        <f>+J654-E654</f>
        <v>-40880.500000000233</v>
      </c>
    </row>
    <row r="655" spans="1:19" ht="15">
      <c r="A655" s="673"/>
      <c r="C655" s="689"/>
      <c r="D655" s="683"/>
      <c r="E655" s="683"/>
      <c r="F655" s="689"/>
      <c r="G655" s="683"/>
      <c r="H655" s="678"/>
    </row>
    <row r="656" spans="1:19" ht="15">
      <c r="A656" s="673"/>
      <c r="C656" s="689"/>
      <c r="D656" s="683"/>
      <c r="E656" s="683"/>
      <c r="F656" s="689"/>
      <c r="G656" s="683"/>
      <c r="H656" s="678"/>
    </row>
    <row r="657" spans="1:11">
      <c r="A657" s="673">
        <v>7655</v>
      </c>
      <c r="B657" s="654" t="str">
        <f>INDEX('TB Clean'!$B$2:$B$464,MATCH('Linked TB'!A657,'TB Clean'!$A$2:$A$464,0))</f>
        <v xml:space="preserve">    MISCELLANEOUS INC NON-UTIL</v>
      </c>
      <c r="C657" s="674">
        <v>0</v>
      </c>
      <c r="D657" s="675">
        <v>0</v>
      </c>
      <c r="E657" s="677">
        <f>INDEX('TB Clean'!$D$2:$D$464,MATCH('Linked TB'!A657,'TB Clean'!$A$2:$A$464,0))</f>
        <v>0</v>
      </c>
      <c r="F657" s="684">
        <f>+IF(UPPER(H657)="ACTUAL",C657,INDEX(ALLOCATION_TABLE,MATCH(UPPER(H657),INDEX(ALLOCATION_TABLE,0,1),0),5)*E657)</f>
        <v>0</v>
      </c>
      <c r="G657" s="677">
        <f>+E657-F657</f>
        <v>0</v>
      </c>
      <c r="H657" s="678" t="s">
        <v>724</v>
      </c>
    </row>
    <row r="658" spans="1:11">
      <c r="A658" s="673">
        <v>7660</v>
      </c>
      <c r="B658" s="654" t="str">
        <f>INDEX('TB Clean'!$B$2:$B$464,MATCH('Linked TB'!A658,'TB Clean'!$A$2:$A$464,0))</f>
        <v xml:space="preserve">    MISCELLANEOUS EXP NON-UTIL</v>
      </c>
      <c r="C658" s="674">
        <v>0</v>
      </c>
      <c r="D658" s="675">
        <v>0</v>
      </c>
      <c r="E658" s="677">
        <f>INDEX('TB Clean'!$D$2:$D$464,MATCH('Linked TB'!A658,'TB Clean'!$A$2:$A$464,0))</f>
        <v>0</v>
      </c>
      <c r="F658" s="684">
        <f>+IF(UPPER(H658)="ACTUAL",C658,INDEX(ALLOCATION_TABLE,MATCH(UPPER(H658),INDEX(ALLOCATION_TABLE,0,1),0),5)*E658)</f>
        <v>0</v>
      </c>
      <c r="G658" s="677">
        <f>+E658-F658</f>
        <v>0</v>
      </c>
      <c r="H658" s="678" t="s">
        <v>724</v>
      </c>
    </row>
    <row r="659" spans="1:11" ht="4.5" customHeight="1">
      <c r="A659" s="673"/>
      <c r="C659" s="681">
        <v>0</v>
      </c>
      <c r="D659" s="682">
        <v>0</v>
      </c>
      <c r="E659" s="683">
        <v>0</v>
      </c>
      <c r="F659" s="689">
        <v>0</v>
      </c>
      <c r="G659" s="683">
        <v>0</v>
      </c>
      <c r="H659" s="678"/>
    </row>
    <row r="660" spans="1:11" ht="15">
      <c r="A660" s="673" t="s">
        <v>959</v>
      </c>
      <c r="B660" s="654" t="s">
        <v>1014</v>
      </c>
      <c r="C660" s="689">
        <f>SUM(C657:C658)</f>
        <v>0</v>
      </c>
      <c r="D660" s="683">
        <f>SUM(D657:D658)</f>
        <v>0</v>
      </c>
      <c r="E660" s="683">
        <f>SUM(E657:E658)</f>
        <v>0</v>
      </c>
      <c r="F660" s="689">
        <f>SUM(F657:F658)</f>
        <v>0</v>
      </c>
      <c r="G660" s="683">
        <f>SUM(G657:G658)</f>
        <v>0</v>
      </c>
      <c r="H660" s="678"/>
      <c r="J660" s="679">
        <v>-4032.7200000000003</v>
      </c>
      <c r="K660" s="679">
        <f>+J660-E660</f>
        <v>-4032.7200000000003</v>
      </c>
    </row>
    <row r="661" spans="1:11">
      <c r="A661" s="673"/>
      <c r="C661" s="674"/>
      <c r="D661" s="675"/>
      <c r="E661" s="677"/>
      <c r="F661" s="684"/>
      <c r="G661" s="677"/>
      <c r="H661" s="678"/>
    </row>
    <row r="662" spans="1:11">
      <c r="A662" s="673">
        <v>7680</v>
      </c>
      <c r="B662" s="654" t="str">
        <f>INDEX('TB Clean'!$B$2:$B$464,MATCH('Linked TB'!A662,'TB Clean'!$A$2:$A$464,0))</f>
        <v xml:space="preserve">    RENTAL INCOME</v>
      </c>
      <c r="C662" s="674">
        <v>0</v>
      </c>
      <c r="D662" s="675">
        <v>0</v>
      </c>
      <c r="E662" s="677">
        <f>INDEX('TB Clean'!$D$2:$D$464,MATCH('Linked TB'!A662,'TB Clean'!$A$2:$A$464,0))</f>
        <v>-1800</v>
      </c>
      <c r="F662" s="684">
        <f>+IF(UPPER(H662)="ACTUAL",C662,INDEX(ALLOCATION_TABLE,MATCH(UPPER(H662),INDEX(ALLOCATION_TABLE,0,1),0),5)*E662)</f>
        <v>-1800</v>
      </c>
      <c r="G662" s="677">
        <f>+E662-F662</f>
        <v>0</v>
      </c>
      <c r="H662" s="678" t="s">
        <v>724</v>
      </c>
    </row>
    <row r="663" spans="1:11">
      <c r="A663" s="673">
        <v>7685</v>
      </c>
      <c r="B663" s="654" t="str">
        <f>INDEX('TB Clean'!$B$2:$B$464,MATCH('Linked TB'!A663,'TB Clean'!$A$2:$A$464,0))</f>
        <v xml:space="preserve">    INTEREST INCOME</v>
      </c>
      <c r="C663" s="674">
        <v>0</v>
      </c>
      <c r="D663" s="675">
        <v>0</v>
      </c>
      <c r="E663" s="677">
        <f>INDEX('TB Clean'!$D$2:$D$464,MATCH('Linked TB'!A663,'TB Clean'!$A$2:$A$464,0))</f>
        <v>0</v>
      </c>
      <c r="F663" s="684">
        <f>+IF(UPPER(H663)="ACTUAL",C663,INDEX(ALLOCATION_TABLE,MATCH(UPPER(H663),INDEX(ALLOCATION_TABLE,0,1),0),5)*E663)</f>
        <v>0</v>
      </c>
      <c r="G663" s="677">
        <f>+E663-F663</f>
        <v>0</v>
      </c>
      <c r="H663" s="678" t="s">
        <v>724</v>
      </c>
    </row>
    <row r="664" spans="1:11">
      <c r="A664" s="673">
        <v>7691</v>
      </c>
      <c r="B664" s="654" t="str">
        <f>INDEX('TB Clean'!$B$2:$B$464,MATCH('Linked TB'!A664,'TB Clean'!$A$2:$A$464,0))</f>
        <v xml:space="preserve">    NET BOOK VALUE-DISPOSAL</v>
      </c>
      <c r="C664" s="674">
        <v>0</v>
      </c>
      <c r="D664" s="675">
        <v>0</v>
      </c>
      <c r="E664" s="677">
        <f>INDEX('TB Clean'!$D$2:$D$464,MATCH('Linked TB'!A664,'TB Clean'!$A$2:$A$464,0))</f>
        <v>0</v>
      </c>
      <c r="F664" s="684">
        <f>+IF(UPPER(H664)="ACTUAL",C664,INDEX(ALLOCATION_TABLE,MATCH(UPPER(H664),INDEX(ALLOCATION_TABLE,0,1),0),5)*E664)</f>
        <v>0</v>
      </c>
      <c r="G664" s="677">
        <f>+E664-F664</f>
        <v>0</v>
      </c>
      <c r="H664" s="678" t="s">
        <v>724</v>
      </c>
    </row>
    <row r="665" spans="1:11">
      <c r="A665" s="673">
        <v>7765</v>
      </c>
      <c r="B665" s="654" t="str">
        <f>INDEX('TB Clean'!$B$2:$B$464,MATCH('Linked TB'!A665,'TB Clean'!$A$2:$A$464,0))</f>
        <v xml:space="preserve">   SALE OF UTILITY PROPERTY</v>
      </c>
      <c r="C665" s="674">
        <v>0</v>
      </c>
      <c r="D665" s="675">
        <v>0</v>
      </c>
      <c r="E665" s="677">
        <f>INDEX('TB Clean'!$D$2:$D$464,MATCH('Linked TB'!A665,'TB Clean'!$A$2:$A$464,0))</f>
        <v>0</v>
      </c>
      <c r="F665" s="684">
        <f>+IF(UPPER(H665)="ACTUAL",C665,INDEX(ALLOCATION_TABLE,MATCH(UPPER(H665),INDEX(ALLOCATION_TABLE,0,1),0),5)*E665)</f>
        <v>0</v>
      </c>
      <c r="G665" s="677">
        <f>+E665-F665</f>
        <v>0</v>
      </c>
      <c r="H665" s="678" t="s">
        <v>724</v>
      </c>
    </row>
    <row r="666" spans="1:11" ht="5.0999999999999996" customHeight="1">
      <c r="A666" s="673"/>
      <c r="C666" s="681">
        <v>0</v>
      </c>
      <c r="D666" s="682">
        <v>0</v>
      </c>
      <c r="E666" s="683">
        <v>0</v>
      </c>
      <c r="F666" s="689">
        <v>0</v>
      </c>
      <c r="G666" s="683">
        <v>0</v>
      </c>
      <c r="H666" s="678"/>
    </row>
    <row r="667" spans="1:11">
      <c r="A667" s="673" t="s">
        <v>959</v>
      </c>
      <c r="B667" s="654" t="s">
        <v>1015</v>
      </c>
      <c r="C667" s="684">
        <f>SUM(C662:C666)</f>
        <v>0</v>
      </c>
      <c r="D667" s="677">
        <f>SUM(D662:D666)</f>
        <v>0</v>
      </c>
      <c r="E667" s="677">
        <f>SUM(E662:E666)</f>
        <v>-1800</v>
      </c>
      <c r="F667" s="684">
        <f>SUM(F662:F666)</f>
        <v>-1800</v>
      </c>
      <c r="G667" s="677">
        <f>SUM(G662:G666)</f>
        <v>0</v>
      </c>
      <c r="H667" s="678"/>
    </row>
    <row r="668" spans="1:11">
      <c r="A668" s="673"/>
      <c r="C668" s="674"/>
      <c r="D668" s="675"/>
      <c r="E668" s="677"/>
      <c r="F668" s="684"/>
      <c r="G668" s="677"/>
      <c r="H668" s="678"/>
    </row>
    <row r="669" spans="1:11" ht="5.0999999999999996" customHeight="1">
      <c r="A669" s="673"/>
      <c r="C669" s="681"/>
      <c r="D669" s="682"/>
      <c r="E669" s="683"/>
      <c r="F669" s="689"/>
      <c r="G669" s="683"/>
      <c r="H669" s="678"/>
    </row>
    <row r="670" spans="1:11" ht="15">
      <c r="A670" s="673" t="s">
        <v>959</v>
      </c>
      <c r="B670" s="654" t="s">
        <v>1016</v>
      </c>
      <c r="C670" s="689">
        <f>+SUMIF($A$657:$A$669,$A670,C$657:C$669)</f>
        <v>0</v>
      </c>
      <c r="D670" s="683">
        <f>+SUMIF($A$657:$A$669,$A670,D$657:D$669)</f>
        <v>0</v>
      </c>
      <c r="E670" s="683">
        <f>+SUMIF($A$657:$A$669,$A670,E$657:E$669)</f>
        <v>-1800</v>
      </c>
      <c r="F670" s="689">
        <f>+SUMIF($A$657:$A$669,$A670,F$657:F$669)</f>
        <v>-1800</v>
      </c>
      <c r="G670" s="683">
        <f>+SUMIF($A$657:$A$669,$A670,G$657:G$669)</f>
        <v>0</v>
      </c>
      <c r="H670" s="678"/>
    </row>
    <row r="671" spans="1:11">
      <c r="A671" s="673"/>
      <c r="C671" s="674"/>
      <c r="D671" s="675"/>
      <c r="E671" s="677"/>
      <c r="F671" s="684"/>
      <c r="G671" s="677"/>
      <c r="H671" s="678"/>
    </row>
    <row r="672" spans="1:11">
      <c r="A672" s="685">
        <v>7710</v>
      </c>
      <c r="B672" s="654" t="str">
        <f>INDEX('TB Clean'!$B$2:$B$464,MATCH('Linked TB'!A672,'TB Clean'!$A$2:$A$464,0))</f>
        <v xml:space="preserve">   INTEREST EXPENSE-INTERCO</v>
      </c>
      <c r="C672" s="674">
        <f>+E672</f>
        <v>175550.73999999996</v>
      </c>
      <c r="D672" s="675">
        <v>0</v>
      </c>
      <c r="E672" s="677">
        <f>INDEX('TB Clean'!$D$2:$D$464,MATCH('Linked TB'!A672,'TB Clean'!$A$2:$A$464,0))</f>
        <v>175550.73999999996</v>
      </c>
      <c r="F672" s="684">
        <f>+IF(UPPER(H672)="ACTUAL",C672,INDEX(ALLOCATION_TABLE,MATCH(UPPER(H672),INDEX(ALLOCATION_TABLE,0,1),0),5)*E672)</f>
        <v>9762.4721379838265</v>
      </c>
      <c r="G672" s="677">
        <f>+E672-F672</f>
        <v>165788.26786201613</v>
      </c>
      <c r="H672" s="678" t="s">
        <v>1017</v>
      </c>
    </row>
    <row r="673" spans="1:8" ht="5.0999999999999996" customHeight="1">
      <c r="A673" s="673"/>
      <c r="C673" s="681">
        <v>0</v>
      </c>
      <c r="D673" s="682">
        <v>0</v>
      </c>
      <c r="E673" s="683">
        <v>0</v>
      </c>
      <c r="F673" s="689">
        <v>0</v>
      </c>
      <c r="G673" s="683">
        <v>0</v>
      </c>
      <c r="H673" s="678"/>
    </row>
    <row r="674" spans="1:8">
      <c r="A674" s="673" t="s">
        <v>959</v>
      </c>
      <c r="B674" s="654" t="s">
        <v>1018</v>
      </c>
      <c r="C674" s="684">
        <f>SUM(C672:C673)</f>
        <v>175550.73999999996</v>
      </c>
      <c r="D674" s="677">
        <f>SUM(D672:D673)</f>
        <v>0</v>
      </c>
      <c r="E674" s="677">
        <f>SUM(E672:E673)</f>
        <v>175550.73999999996</v>
      </c>
      <c r="F674" s="684">
        <f>SUM(F672:F673)</f>
        <v>9762.4721379838265</v>
      </c>
      <c r="G674" s="677">
        <f>SUM(G672:G673)</f>
        <v>165788.26786201613</v>
      </c>
      <c r="H674" s="678"/>
    </row>
    <row r="675" spans="1:8">
      <c r="A675" s="673"/>
      <c r="C675" s="674"/>
      <c r="D675" s="675"/>
      <c r="E675" s="677"/>
      <c r="F675" s="684"/>
      <c r="G675" s="677"/>
      <c r="H675" s="678"/>
    </row>
    <row r="676" spans="1:8">
      <c r="A676" s="673">
        <v>7735</v>
      </c>
      <c r="B676" s="654" t="str">
        <f>INDEX('TB Clean'!$B$2:$B$464,MATCH('Linked TB'!A676,'TB Clean'!$A$2:$A$464,0))</f>
        <v xml:space="preserve">    S/T INT EXP BANK ONE</v>
      </c>
      <c r="C676" s="674">
        <f>+E676</f>
        <v>-38.100000000000009</v>
      </c>
      <c r="D676" s="675">
        <v>0</v>
      </c>
      <c r="E676" s="677">
        <f>INDEX('TB Clean'!$D$2:$D$464,MATCH('Linked TB'!A676,'TB Clean'!$A$2:$A$464,0))</f>
        <v>-38.100000000000009</v>
      </c>
      <c r="F676" s="684">
        <f>+IF(UPPER(H676)="ACTUAL",C676,INDEX(ALLOCATION_TABLE,MATCH(UPPER(H676),INDEX(ALLOCATION_TABLE,0,1),0),5)*E676)</f>
        <v>-2.1187617235745289</v>
      </c>
      <c r="G676" s="677">
        <f>+E676-F676</f>
        <v>-35.981238276425479</v>
      </c>
      <c r="H676" s="678" t="s">
        <v>1017</v>
      </c>
    </row>
    <row r="677" spans="1:8" ht="5.0999999999999996" customHeight="1">
      <c r="A677" s="673"/>
      <c r="C677" s="681">
        <v>0</v>
      </c>
      <c r="D677" s="682">
        <v>0</v>
      </c>
      <c r="E677" s="683">
        <v>0</v>
      </c>
      <c r="F677" s="689">
        <v>0</v>
      </c>
      <c r="G677" s="683">
        <v>0</v>
      </c>
      <c r="H677" s="678"/>
    </row>
    <row r="678" spans="1:8">
      <c r="A678" s="673" t="s">
        <v>959</v>
      </c>
      <c r="B678" s="654" t="s">
        <v>1019</v>
      </c>
      <c r="C678" s="684">
        <f>SUM(C676:C677)</f>
        <v>-38.100000000000009</v>
      </c>
      <c r="D678" s="677">
        <f>SUM(D676:D677)</f>
        <v>0</v>
      </c>
      <c r="E678" s="677">
        <f>SUM(E676:E677)</f>
        <v>-38.100000000000009</v>
      </c>
      <c r="F678" s="684">
        <f>SUM(F676:F677)</f>
        <v>-2.1187617235745289</v>
      </c>
      <c r="G678" s="677">
        <f>SUM(G676:G677)</f>
        <v>-35.981238276425479</v>
      </c>
      <c r="H678" s="678"/>
    </row>
    <row r="679" spans="1:8">
      <c r="A679" s="673"/>
      <c r="C679" s="674"/>
      <c r="D679" s="675"/>
      <c r="E679" s="677"/>
      <c r="F679" s="684"/>
      <c r="G679" s="677"/>
      <c r="H679" s="678"/>
    </row>
    <row r="680" spans="1:8">
      <c r="A680" s="673">
        <v>7750</v>
      </c>
      <c r="B680" s="654" t="str">
        <f>INDEX('TB Clean'!$B$2:$B$464,MATCH('Linked TB'!A680,'TB Clean'!$A$2:$A$464,0))</f>
        <v xml:space="preserve">   INTEREST DURING CONSTRUCTIO</v>
      </c>
      <c r="C680" s="674">
        <f>+E680</f>
        <v>-5026.3200000000006</v>
      </c>
      <c r="D680" s="675">
        <v>0</v>
      </c>
      <c r="E680" s="677">
        <f>INDEX('TB Clean'!$D$2:$D$464,MATCH('Linked TB'!A680,'TB Clean'!$A$2:$A$464,0))</f>
        <v>-5026.3200000000006</v>
      </c>
      <c r="F680" s="684">
        <f>+IF(UPPER(H680)="ACTUAL",C680,INDEX(ALLOCATION_TABLE,MATCH(UPPER(H680),INDEX(ALLOCATION_TABLE,0,1),0),5)*E680)</f>
        <v>-5026.3200000000006</v>
      </c>
      <c r="G680" s="677">
        <f>+E680-F680</f>
        <v>0</v>
      </c>
      <c r="H680" s="678" t="s">
        <v>714</v>
      </c>
    </row>
    <row r="681" spans="1:8" ht="5.0999999999999996" customHeight="1">
      <c r="A681" s="690"/>
      <c r="C681" s="682">
        <v>0</v>
      </c>
      <c r="D681" s="682">
        <v>0</v>
      </c>
      <c r="E681" s="683">
        <v>0</v>
      </c>
      <c r="F681" s="689">
        <v>0</v>
      </c>
      <c r="G681" s="683">
        <v>0</v>
      </c>
      <c r="H681" s="678"/>
    </row>
    <row r="682" spans="1:8">
      <c r="A682" s="690" t="s">
        <v>959</v>
      </c>
      <c r="B682" s="654" t="s">
        <v>1020</v>
      </c>
      <c r="C682" s="684">
        <f>SUM(C680:C681)</f>
        <v>-5026.3200000000006</v>
      </c>
      <c r="D682" s="677">
        <f>SUM(D680:D681)</f>
        <v>0</v>
      </c>
      <c r="E682" s="677">
        <f>SUM(E680:E681)</f>
        <v>-5026.3200000000006</v>
      </c>
      <c r="F682" s="684">
        <f>SUM(F680:F681)</f>
        <v>-5026.3200000000006</v>
      </c>
      <c r="G682" s="677">
        <f>SUM(G680:G681)</f>
        <v>0</v>
      </c>
      <c r="H682" s="678"/>
    </row>
    <row r="683" spans="1:8">
      <c r="C683" s="674"/>
      <c r="D683" s="675"/>
      <c r="E683" s="675"/>
      <c r="F683" s="674"/>
      <c r="G683" s="675"/>
      <c r="H683" s="678"/>
    </row>
    <row r="684" spans="1:8" ht="5.0999999999999996" customHeight="1">
      <c r="A684" s="690"/>
      <c r="C684" s="681"/>
      <c r="D684" s="682"/>
      <c r="E684" s="683"/>
      <c r="F684" s="689"/>
      <c r="G684" s="683"/>
      <c r="H684" s="678"/>
    </row>
    <row r="685" spans="1:8" ht="15">
      <c r="A685" s="654" t="s">
        <v>959</v>
      </c>
      <c r="B685" s="654" t="s">
        <v>1021</v>
      </c>
      <c r="C685" s="681">
        <f>+SUMIF($A$672:$A$684,$A685,C$672:C$684)</f>
        <v>170486.31999999995</v>
      </c>
      <c r="D685" s="682">
        <f>+SUMIF($A$672:$A$684,$A685,D$672:D$684)</f>
        <v>0</v>
      </c>
      <c r="E685" s="682">
        <f>+SUMIF($A$672:$A$684,$A685,E$672:E$684)</f>
        <v>170486.31999999995</v>
      </c>
      <c r="F685" s="681">
        <f>+SUMIF($A$672:$A$684,$A685,F$672:F$684)</f>
        <v>4734.0333762602522</v>
      </c>
      <c r="G685" s="682">
        <f>+SUMIF($A$672:$A$684,$A685,G$672:G$684)</f>
        <v>165752.2866237397</v>
      </c>
      <c r="H685" s="678"/>
    </row>
    <row r="686" spans="1:8">
      <c r="C686" s="674"/>
      <c r="D686" s="675"/>
      <c r="E686" s="675"/>
      <c r="F686" s="674"/>
      <c r="G686" s="675"/>
      <c r="H686" s="678"/>
    </row>
    <row r="687" spans="1:8" ht="5.0999999999999996" customHeight="1">
      <c r="A687" s="690"/>
      <c r="C687" s="681"/>
      <c r="D687" s="682"/>
      <c r="E687" s="683"/>
      <c r="F687" s="689"/>
      <c r="G687" s="683"/>
      <c r="H687" s="678"/>
    </row>
    <row r="688" spans="1:8" ht="15">
      <c r="A688" s="654" t="s">
        <v>959</v>
      </c>
      <c r="B688" s="654" t="s">
        <v>1022</v>
      </c>
      <c r="C688" s="694">
        <f>+C685+C654+C358+C670</f>
        <v>-1388693.4700000014</v>
      </c>
      <c r="D688" s="695">
        <f>+D685+D654+D358+D670</f>
        <v>33263.360000000001</v>
      </c>
      <c r="E688" s="695">
        <f>+E685+E654+E358+E670+E362+E366</f>
        <v>-187437.82000000123</v>
      </c>
      <c r="F688" s="694">
        <f>+F685+F654+F358+F670+F362+F366</f>
        <v>-386453.46662374143</v>
      </c>
      <c r="G688" s="695">
        <f>+G685+G654+G358+G670+G362+G366</f>
        <v>199015.64662373968</v>
      </c>
      <c r="H688" s="678">
        <f>+E688-F688-G688</f>
        <v>5.2386894822120667E-10</v>
      </c>
    </row>
    <row r="689" spans="1:8" ht="13.5" thickBot="1">
      <c r="C689" s="696"/>
      <c r="D689" s="697"/>
      <c r="E689" s="697"/>
      <c r="F689" s="696"/>
      <c r="G689" s="697"/>
      <c r="H689" s="698"/>
    </row>
    <row r="691" spans="1:8" ht="15.75" thickBot="1">
      <c r="A691" s="2128" t="s">
        <v>85</v>
      </c>
      <c r="B691" s="2128"/>
      <c r="C691" s="2128"/>
      <c r="D691" s="2128"/>
      <c r="E691" s="2128"/>
    </row>
    <row r="692" spans="1:8">
      <c r="A692" s="688" t="s">
        <v>959</v>
      </c>
      <c r="B692" s="688" t="s">
        <v>958</v>
      </c>
      <c r="C692" s="700"/>
      <c r="D692" s="701"/>
      <c r="E692" s="702">
        <f>+E335</f>
        <v>187437.82000000216</v>
      </c>
    </row>
    <row r="693" spans="1:8" ht="15">
      <c r="A693" s="688" t="s">
        <v>959</v>
      </c>
      <c r="B693" s="688" t="s">
        <v>986</v>
      </c>
      <c r="C693" s="674"/>
      <c r="D693" s="675"/>
      <c r="E693" s="693">
        <f>+E688</f>
        <v>-187437.82000000123</v>
      </c>
      <c r="G693" s="703"/>
    </row>
    <row r="694" spans="1:8" ht="15.75" thickBot="1">
      <c r="A694" s="688" t="s">
        <v>959</v>
      </c>
      <c r="B694" s="688" t="s">
        <v>1023</v>
      </c>
      <c r="C694" s="696"/>
      <c r="D694" s="697"/>
      <c r="E694" s="704">
        <f>SUM(E692:E693)</f>
        <v>9.3132257461547852E-10</v>
      </c>
      <c r="F694" s="705"/>
      <c r="G694" s="705"/>
    </row>
    <row r="696" spans="1:8" ht="15.75" thickBot="1">
      <c r="B696" s="2123" t="s">
        <v>1024</v>
      </c>
      <c r="C696" s="2123"/>
      <c r="D696" s="2123"/>
      <c r="E696" s="2123"/>
      <c r="F696" s="2123"/>
      <c r="G696" s="2123"/>
      <c r="H696" s="2123"/>
    </row>
    <row r="697" spans="1:8">
      <c r="B697" s="688"/>
      <c r="C697" s="706" t="s">
        <v>536</v>
      </c>
      <c r="D697" s="707" t="s">
        <v>536</v>
      </c>
      <c r="E697" s="707" t="s">
        <v>536</v>
      </c>
      <c r="F697" s="707" t="s">
        <v>1025</v>
      </c>
      <c r="G697" s="707" t="s">
        <v>1025</v>
      </c>
      <c r="H697" s="708" t="s">
        <v>1025</v>
      </c>
    </row>
    <row r="698" spans="1:8" ht="15">
      <c r="B698" s="709" t="s">
        <v>1026</v>
      </c>
      <c r="C698" s="710" t="s">
        <v>671</v>
      </c>
      <c r="D698" s="711" t="s">
        <v>92</v>
      </c>
      <c r="E698" s="711" t="s">
        <v>956</v>
      </c>
      <c r="F698" s="711" t="s">
        <v>671</v>
      </c>
      <c r="G698" s="711" t="s">
        <v>92</v>
      </c>
      <c r="H698" s="712" t="s">
        <v>956</v>
      </c>
    </row>
    <row r="699" spans="1:8">
      <c r="B699" s="688"/>
      <c r="C699" s="674"/>
      <c r="D699" s="675"/>
      <c r="E699" s="675"/>
      <c r="F699" s="675"/>
      <c r="G699" s="675"/>
      <c r="H699" s="678"/>
    </row>
    <row r="700" spans="1:8">
      <c r="B700" s="688" t="s">
        <v>1027</v>
      </c>
      <c r="C700" s="674">
        <f>+'Input Schedule'!C7</f>
        <v>7204.4000000000005</v>
      </c>
      <c r="D700" s="675">
        <f>+'Input Schedule'!C10</f>
        <v>0</v>
      </c>
      <c r="E700" s="675">
        <f t="shared" ref="E700:E706" si="111">SUM(C700:D700)</f>
        <v>7204.4000000000005</v>
      </c>
      <c r="F700" s="713">
        <f>+C700/$E700</f>
        <v>1</v>
      </c>
      <c r="G700" s="713">
        <f>+D700/$E700</f>
        <v>0</v>
      </c>
      <c r="H700" s="714">
        <f t="shared" ref="H700:H706" si="112">SUM(F700:G700)</f>
        <v>1</v>
      </c>
    </row>
    <row r="701" spans="1:8">
      <c r="B701" s="688" t="s">
        <v>1028</v>
      </c>
      <c r="C701" s="674">
        <f>+C358</f>
        <v>-2327807.5900000012</v>
      </c>
      <c r="D701" s="675">
        <f>+D358</f>
        <v>0</v>
      </c>
      <c r="E701" s="675">
        <f t="shared" si="111"/>
        <v>-2327807.5900000012</v>
      </c>
      <c r="F701" s="713">
        <f t="shared" ref="F701:G706" si="113">+C701/$E701</f>
        <v>1</v>
      </c>
      <c r="G701" s="713">
        <f t="shared" si="113"/>
        <v>0</v>
      </c>
      <c r="H701" s="714">
        <f t="shared" si="112"/>
        <v>1</v>
      </c>
    </row>
    <row r="702" spans="1:8">
      <c r="B702" s="688" t="s">
        <v>960</v>
      </c>
      <c r="C702" s="674">
        <f>+C69+C73+C80</f>
        <v>11829534.330000002</v>
      </c>
      <c r="D702" s="674">
        <f>+D69+D73+D80</f>
        <v>0</v>
      </c>
      <c r="E702" s="675">
        <f t="shared" si="111"/>
        <v>11829534.330000002</v>
      </c>
      <c r="F702" s="713">
        <f>+C702/$E702</f>
        <v>1</v>
      </c>
      <c r="G702" s="713">
        <f t="shared" si="113"/>
        <v>0</v>
      </c>
      <c r="H702" s="714">
        <f t="shared" si="112"/>
        <v>1</v>
      </c>
    </row>
    <row r="703" spans="1:8">
      <c r="B703" s="688" t="s">
        <v>1029</v>
      </c>
      <c r="C703" s="674">
        <f>+C69+C73+C80+C161</f>
        <v>6648357.3100000015</v>
      </c>
      <c r="D703" s="674">
        <f>+D69+D73+D80+D161</f>
        <v>0</v>
      </c>
      <c r="E703" s="675">
        <f t="shared" si="111"/>
        <v>6648357.3100000015</v>
      </c>
      <c r="F703" s="713">
        <f t="shared" si="113"/>
        <v>1</v>
      </c>
      <c r="G703" s="713">
        <f t="shared" si="113"/>
        <v>0</v>
      </c>
      <c r="H703" s="714">
        <f t="shared" si="112"/>
        <v>1</v>
      </c>
    </row>
    <row r="704" spans="1:8">
      <c r="B704" s="688" t="s">
        <v>1030</v>
      </c>
      <c r="C704" s="674">
        <f>+F208+F223</f>
        <v>224616.64999999997</v>
      </c>
      <c r="D704" s="675">
        <f>+G208+G223</f>
        <v>0</v>
      </c>
      <c r="E704" s="675">
        <f t="shared" si="111"/>
        <v>224616.64999999997</v>
      </c>
      <c r="F704" s="713">
        <f t="shared" si="113"/>
        <v>1</v>
      </c>
      <c r="G704" s="713">
        <f t="shared" si="113"/>
        <v>0</v>
      </c>
      <c r="H704" s="714">
        <f t="shared" si="112"/>
        <v>1</v>
      </c>
    </row>
    <row r="705" spans="1:8">
      <c r="B705" s="688" t="s">
        <v>723</v>
      </c>
      <c r="C705" s="674">
        <f>+F252</f>
        <v>-188653.95</v>
      </c>
      <c r="D705" s="675">
        <f>+G252</f>
        <v>0</v>
      </c>
      <c r="E705" s="675">
        <f t="shared" si="111"/>
        <v>-188653.95</v>
      </c>
      <c r="F705" s="713">
        <f t="shared" si="113"/>
        <v>1</v>
      </c>
      <c r="G705" s="713">
        <f t="shared" si="113"/>
        <v>0</v>
      </c>
      <c r="H705" s="714">
        <f t="shared" si="112"/>
        <v>1</v>
      </c>
    </row>
    <row r="706" spans="1:8">
      <c r="A706" s="679"/>
      <c r="B706" s="688" t="s">
        <v>1031</v>
      </c>
      <c r="C706" s="1388">
        <v>33123.9845027626</v>
      </c>
      <c r="D706" s="1389">
        <v>562518.17549723748</v>
      </c>
      <c r="E706" s="675">
        <f t="shared" si="111"/>
        <v>595642.16</v>
      </c>
      <c r="F706" s="713">
        <f t="shared" si="113"/>
        <v>5.5610543925840639E-2</v>
      </c>
      <c r="G706" s="713">
        <f t="shared" si="113"/>
        <v>0.94438945607415947</v>
      </c>
      <c r="H706" s="714">
        <f t="shared" si="112"/>
        <v>1</v>
      </c>
    </row>
    <row r="707" spans="1:8" ht="13.5" thickBot="1">
      <c r="A707" s="679"/>
      <c r="B707" s="688"/>
      <c r="C707" s="696"/>
      <c r="D707" s="697"/>
      <c r="E707" s="697"/>
      <c r="F707" s="697"/>
      <c r="G707" s="697"/>
      <c r="H707" s="698"/>
    </row>
    <row r="708" spans="1:8">
      <c r="A708" s="679"/>
      <c r="B708" s="688"/>
      <c r="C708" s="675"/>
      <c r="D708" s="675"/>
      <c r="E708" s="675"/>
      <c r="F708" s="675"/>
      <c r="G708" s="675"/>
      <c r="H708" s="715"/>
    </row>
  </sheetData>
  <mergeCells count="6">
    <mergeCell ref="B696:H696"/>
    <mergeCell ref="A1:C1"/>
    <mergeCell ref="A2:C2"/>
    <mergeCell ref="A7:B7"/>
    <mergeCell ref="A337:B337"/>
    <mergeCell ref="A691:E69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"/>
  <sheetViews>
    <sheetView showGridLines="0" workbookViewId="0">
      <selection sqref="A1:XFD1048576"/>
    </sheetView>
  </sheetViews>
  <sheetFormatPr defaultRowHeight="12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51"/>
  <sheetViews>
    <sheetView showGridLines="0" view="pageBreakPreview" zoomScaleNormal="100" zoomScaleSheetLayoutView="100" workbookViewId="0"/>
  </sheetViews>
  <sheetFormatPr defaultColWidth="12.5" defaultRowHeight="12.75"/>
  <cols>
    <col min="1" max="1" width="6.5" style="896" bestFit="1" customWidth="1"/>
    <col min="2" max="2" width="3.375" style="944" customWidth="1"/>
    <col min="3" max="3" width="34.125" style="944" customWidth="1"/>
    <col min="4" max="4" width="1.875" style="944" customWidth="1"/>
    <col min="5" max="5" width="4.375" style="944" customWidth="1"/>
    <col min="6" max="6" width="1.875" style="944" customWidth="1"/>
    <col min="7" max="7" width="14" style="947" customWidth="1"/>
    <col min="8" max="8" width="6.125" style="944" customWidth="1"/>
    <col min="9" max="9" width="3.375" style="944" customWidth="1"/>
    <col min="10" max="10" width="34.125" style="944" customWidth="1"/>
    <col min="11" max="11" width="1.875" style="944" customWidth="1"/>
    <col min="12" max="12" width="5.625" style="944" customWidth="1"/>
    <col min="13" max="13" width="1.625" style="944" bestFit="1" customWidth="1"/>
    <col min="14" max="14" width="17.375" style="947" customWidth="1"/>
    <col min="15" max="15" width="12.5" style="896" customWidth="1"/>
    <col min="16" max="17" width="18.25" style="896" hidden="1" customWidth="1"/>
    <col min="18" max="18" width="0" style="896" hidden="1" customWidth="1"/>
    <col min="19" max="16384" width="12.5" style="896"/>
  </cols>
  <sheetData>
    <row r="1" spans="1:18" ht="15">
      <c r="C1" s="2129" t="str">
        <f>Company_Name</f>
        <v>WATER SERVICE CORPORATION OF KENTUCKY</v>
      </c>
      <c r="D1" s="2129"/>
      <c r="E1" s="2129"/>
      <c r="F1" s="2129"/>
      <c r="G1" s="2129"/>
      <c r="H1" s="2129"/>
      <c r="I1" s="2129"/>
      <c r="J1" s="2129"/>
      <c r="N1" s="1030" t="s">
        <v>674</v>
      </c>
      <c r="P1" s="946" t="s">
        <v>671</v>
      </c>
      <c r="Q1" s="946" t="s">
        <v>92</v>
      </c>
    </row>
    <row r="2" spans="1:18" ht="15">
      <c r="B2" s="896"/>
      <c r="C2" s="1020"/>
      <c r="D2" s="2130" t="str">
        <f>Docket</f>
        <v>Case No. 2015 - 00382</v>
      </c>
      <c r="E2" s="2130"/>
      <c r="F2" s="2130"/>
      <c r="G2" s="2130"/>
      <c r="H2" s="2130"/>
      <c r="I2" s="2130"/>
      <c r="J2" s="1020"/>
      <c r="N2" s="945"/>
      <c r="P2" s="946"/>
      <c r="Q2" s="946"/>
    </row>
    <row r="3" spans="1:18">
      <c r="C3" s="896"/>
      <c r="D3" s="2130" t="s">
        <v>666</v>
      </c>
      <c r="E3" s="2130"/>
      <c r="F3" s="2130"/>
      <c r="G3" s="2130"/>
      <c r="H3" s="2130"/>
      <c r="I3" s="2130"/>
      <c r="P3" s="889">
        <v>0.80953457796476469</v>
      </c>
      <c r="Q3" s="889">
        <v>0.19046542203523537</v>
      </c>
    </row>
    <row r="4" spans="1:18">
      <c r="C4" s="896"/>
      <c r="D4" s="2131" t="str">
        <f>TestYearEnded</f>
        <v>Test Year Ended 6/30/2015</v>
      </c>
      <c r="E4" s="2131"/>
      <c r="F4" s="2131"/>
      <c r="G4" s="2131"/>
      <c r="H4" s="2131"/>
      <c r="I4" s="2131"/>
    </row>
    <row r="5" spans="1:18">
      <c r="C5" s="896"/>
      <c r="D5" s="896"/>
      <c r="G5" s="948"/>
      <c r="H5" s="949"/>
    </row>
    <row r="6" spans="1:18" s="1485" customFormat="1">
      <c r="B6" s="1409"/>
      <c r="C6" s="1485" t="s">
        <v>235</v>
      </c>
      <c r="E6" s="1409"/>
      <c r="F6" s="1409"/>
      <c r="G6" s="1021" t="s">
        <v>236</v>
      </c>
      <c r="H6" s="1409"/>
      <c r="I6" s="1409"/>
      <c r="J6" s="1409" t="s">
        <v>237</v>
      </c>
      <c r="K6" s="1409"/>
      <c r="L6" s="1409"/>
      <c r="M6" s="1409"/>
      <c r="N6" s="1021" t="s">
        <v>238</v>
      </c>
    </row>
    <row r="7" spans="1:18">
      <c r="C7" s="896"/>
      <c r="D7" s="949"/>
      <c r="G7" s="948"/>
    </row>
    <row r="8" spans="1:18">
      <c r="A8" s="1487" t="s">
        <v>1786</v>
      </c>
      <c r="C8" s="950" t="s">
        <v>972</v>
      </c>
      <c r="G8" s="948"/>
      <c r="J8" s="950" t="s">
        <v>1032</v>
      </c>
    </row>
    <row r="9" spans="1:18">
      <c r="G9" s="951"/>
    </row>
    <row r="10" spans="1:18">
      <c r="A10" s="1488">
        <v>1</v>
      </c>
      <c r="B10" s="944" t="s">
        <v>654</v>
      </c>
      <c r="G10" s="951"/>
      <c r="I10" s="944" t="s">
        <v>140</v>
      </c>
    </row>
    <row r="11" spans="1:18">
      <c r="A11" s="1488">
        <v>2</v>
      </c>
      <c r="C11" s="944" t="s">
        <v>671</v>
      </c>
      <c r="F11" s="944" t="s">
        <v>646</v>
      </c>
      <c r="G11" s="952">
        <f>'Linked TB'!E69+'Linked TB'!E73+'Linked TB'!E80</f>
        <v>11829534.330000002</v>
      </c>
    </row>
    <row r="12" spans="1:18">
      <c r="A12" s="1488">
        <v>3</v>
      </c>
      <c r="C12" s="944" t="s">
        <v>92</v>
      </c>
      <c r="G12" s="740">
        <v>0</v>
      </c>
      <c r="J12" s="944" t="s">
        <v>433</v>
      </c>
      <c r="M12" s="944" t="s">
        <v>646</v>
      </c>
      <c r="N12" s="947">
        <f>-'Linked TB'!E326-'Linked TB'!E327-'Linked TB'!E328</f>
        <v>5068438.26</v>
      </c>
      <c r="P12" s="953">
        <f>$N12*P$3</f>
        <v>4103076.0277495659</v>
      </c>
      <c r="Q12" s="953">
        <f>$N12*Q$3</f>
        <v>965362.232250434</v>
      </c>
      <c r="R12" s="954">
        <f>P12+Q12-N12</f>
        <v>0</v>
      </c>
    </row>
    <row r="13" spans="1:18">
      <c r="A13" s="1488">
        <v>4</v>
      </c>
      <c r="G13" s="951"/>
      <c r="J13" s="944" t="s">
        <v>650</v>
      </c>
      <c r="N13" s="947">
        <f>-'Linked TB'!E329-'Linked TB'!E330-'Linked TB'!E693</f>
        <v>-161551.90000000014</v>
      </c>
      <c r="P13" s="953">
        <f>$N13*P$3</f>
        <v>-130781.84918590599</v>
      </c>
      <c r="Q13" s="953">
        <f>$N13*Q$3</f>
        <v>-30770.050814094167</v>
      </c>
      <c r="R13" s="954">
        <f>P13+Q13-N13</f>
        <v>0</v>
      </c>
    </row>
    <row r="14" spans="1:18">
      <c r="A14" s="1488">
        <v>5</v>
      </c>
      <c r="C14" s="944" t="s">
        <v>314</v>
      </c>
      <c r="F14" s="944" t="s">
        <v>646</v>
      </c>
      <c r="G14" s="740">
        <f>SUM(G10:G13)</f>
        <v>11829534.330000002</v>
      </c>
      <c r="N14" s="955"/>
    </row>
    <row r="15" spans="1:18">
      <c r="A15" s="1488">
        <v>6</v>
      </c>
      <c r="G15" s="951"/>
      <c r="J15" s="944" t="s">
        <v>314</v>
      </c>
      <c r="M15" s="944" t="s">
        <v>646</v>
      </c>
      <c r="N15" s="956">
        <f>SUM(N12:N14)</f>
        <v>4906886.3599999994</v>
      </c>
      <c r="P15" s="957">
        <f>SUM(P12:P14)</f>
        <v>3972294.17856366</v>
      </c>
      <c r="Q15" s="957">
        <f>SUM(Q12:Q14)</f>
        <v>934592.18143633986</v>
      </c>
      <c r="R15" s="954">
        <f>P15+Q15-N15</f>
        <v>0</v>
      </c>
    </row>
    <row r="16" spans="1:18">
      <c r="A16" s="1488">
        <v>7</v>
      </c>
      <c r="B16" s="944" t="s">
        <v>728</v>
      </c>
      <c r="G16" s="952">
        <f>'Linked TB'!E161</f>
        <v>-5181177.0200000005</v>
      </c>
      <c r="N16" s="958"/>
    </row>
    <row r="17" spans="1:18">
      <c r="A17" s="1488">
        <v>8</v>
      </c>
      <c r="B17" s="944" t="s">
        <v>509</v>
      </c>
      <c r="G17" s="952">
        <v>0</v>
      </c>
      <c r="I17" s="944" t="s">
        <v>311</v>
      </c>
    </row>
    <row r="18" spans="1:18">
      <c r="A18" s="1488">
        <v>9</v>
      </c>
      <c r="G18" s="951"/>
      <c r="J18" s="944" t="s">
        <v>521</v>
      </c>
      <c r="N18" s="947">
        <f>-SUM('Linked TB'!E275:E278,'Linked TB'!E280)</f>
        <v>354067.01</v>
      </c>
      <c r="P18" s="953">
        <f t="shared" ref="P18:Q23" si="0">$N18*P$3</f>
        <v>286629.48751159612</v>
      </c>
      <c r="Q18" s="953">
        <f t="shared" si="0"/>
        <v>67437.522488403905</v>
      </c>
      <c r="R18" s="954">
        <f t="shared" ref="R18:R23" si="1">P18+Q18-N18</f>
        <v>0</v>
      </c>
    </row>
    <row r="19" spans="1:18">
      <c r="A19" s="1488">
        <v>10</v>
      </c>
      <c r="C19" s="944" t="s">
        <v>314</v>
      </c>
      <c r="F19" s="944" t="s">
        <v>646</v>
      </c>
      <c r="G19" s="740">
        <f>SUM(G16:G18)</f>
        <v>-5181177.0200000005</v>
      </c>
      <c r="J19" s="944" t="s">
        <v>644</v>
      </c>
      <c r="N19" s="947">
        <f>-'Linked TB'!E297-'Linked TB'!E310</f>
        <v>-25639.18</v>
      </c>
      <c r="P19" s="953">
        <f t="shared" si="0"/>
        <v>-20755.802760662635</v>
      </c>
      <c r="Q19" s="953">
        <f t="shared" si="0"/>
        <v>-4883.3772393373656</v>
      </c>
      <c r="R19" s="954">
        <f t="shared" si="1"/>
        <v>0</v>
      </c>
    </row>
    <row r="20" spans="1:18">
      <c r="A20" s="1488">
        <v>11</v>
      </c>
      <c r="G20" s="951"/>
      <c r="J20" s="944" t="s">
        <v>1033</v>
      </c>
      <c r="N20" s="947">
        <f>-'Linked TB'!E291</f>
        <v>35468.68</v>
      </c>
      <c r="P20" s="953">
        <f t="shared" si="0"/>
        <v>28713.12289476729</v>
      </c>
      <c r="Q20" s="953">
        <f t="shared" si="0"/>
        <v>6755.5571052327123</v>
      </c>
      <c r="R20" s="954">
        <f t="shared" si="1"/>
        <v>0</v>
      </c>
    </row>
    <row r="21" spans="1:18">
      <c r="A21" s="1488">
        <v>12</v>
      </c>
      <c r="G21" s="952"/>
      <c r="J21" s="944" t="s">
        <v>633</v>
      </c>
      <c r="N21" s="947">
        <f>-'Linked TB'!E314</f>
        <v>901.23</v>
      </c>
      <c r="P21" s="953">
        <f t="shared" si="0"/>
        <v>729.5768476991849</v>
      </c>
      <c r="Q21" s="953">
        <f t="shared" si="0"/>
        <v>171.65315230081518</v>
      </c>
      <c r="R21" s="954">
        <f t="shared" si="1"/>
        <v>0</v>
      </c>
    </row>
    <row r="22" spans="1:18">
      <c r="A22" s="1488">
        <v>13</v>
      </c>
      <c r="B22" s="944" t="s">
        <v>634</v>
      </c>
      <c r="F22" s="944" t="s">
        <v>646</v>
      </c>
      <c r="G22" s="740">
        <f>G14+G19</f>
        <v>6648357.3100000015</v>
      </c>
      <c r="J22" s="944" t="s">
        <v>662</v>
      </c>
      <c r="N22" s="947">
        <f>-'Linked TB'!E279-'Linked TB'!E286</f>
        <v>1209997.23</v>
      </c>
      <c r="P22" s="953">
        <f t="shared" si="0"/>
        <v>979534.59692658426</v>
      </c>
      <c r="Q22" s="953">
        <f t="shared" si="0"/>
        <v>230462.63307341575</v>
      </c>
      <c r="R22" s="954">
        <f t="shared" si="1"/>
        <v>0</v>
      </c>
    </row>
    <row r="23" spans="1:18">
      <c r="A23" s="1488">
        <v>14</v>
      </c>
      <c r="G23" s="951"/>
      <c r="J23" s="944" t="s">
        <v>1034</v>
      </c>
      <c r="N23" s="959">
        <v>0</v>
      </c>
      <c r="P23" s="953">
        <f t="shared" si="0"/>
        <v>0</v>
      </c>
      <c r="Q23" s="953">
        <f t="shared" si="0"/>
        <v>0</v>
      </c>
      <c r="R23" s="954">
        <f t="shared" si="1"/>
        <v>0</v>
      </c>
    </row>
    <row r="24" spans="1:18">
      <c r="A24" s="1488">
        <v>15</v>
      </c>
      <c r="G24" s="951"/>
      <c r="N24" s="955"/>
    </row>
    <row r="25" spans="1:18">
      <c r="A25" s="1488">
        <v>16</v>
      </c>
      <c r="G25" s="952"/>
      <c r="J25" s="944" t="s">
        <v>314</v>
      </c>
      <c r="M25" s="944" t="s">
        <v>646</v>
      </c>
      <c r="N25" s="956">
        <f>SUM(N18:N23)</f>
        <v>1574794.97</v>
      </c>
      <c r="P25" s="957">
        <f>SUM(P18:P23)</f>
        <v>1274850.9814199843</v>
      </c>
      <c r="Q25" s="957">
        <f>SUM(Q18:Q23)</f>
        <v>299943.98858001584</v>
      </c>
      <c r="R25" s="954">
        <f>P25+Q25-N25</f>
        <v>0</v>
      </c>
    </row>
    <row r="26" spans="1:18">
      <c r="A26" s="1488">
        <v>17</v>
      </c>
      <c r="B26" s="944" t="s">
        <v>945</v>
      </c>
      <c r="G26" s="952">
        <f>'Linked TB'!E166</f>
        <v>-137268.54</v>
      </c>
      <c r="N26" s="955"/>
    </row>
    <row r="27" spans="1:18">
      <c r="A27" s="1488">
        <v>18</v>
      </c>
      <c r="B27" s="944" t="s">
        <v>458</v>
      </c>
      <c r="G27" s="740">
        <v>0</v>
      </c>
      <c r="I27" s="944" t="s">
        <v>322</v>
      </c>
    </row>
    <row r="28" spans="1:18">
      <c r="A28" s="1488">
        <v>19</v>
      </c>
      <c r="G28" s="951"/>
      <c r="J28" s="944" t="s">
        <v>671</v>
      </c>
      <c r="N28" s="947">
        <f>-'Linked TB'!E232</f>
        <v>73375.75</v>
      </c>
      <c r="P28" s="953">
        <f>$N28*P$3</f>
        <v>59400.206809098083</v>
      </c>
      <c r="Q28" s="953">
        <f>$N28*Q$3</f>
        <v>13975.543190901921</v>
      </c>
      <c r="R28" s="954">
        <f>P28+Q28-N28</f>
        <v>0</v>
      </c>
    </row>
    <row r="29" spans="1:18">
      <c r="A29" s="1488">
        <v>20</v>
      </c>
      <c r="C29" s="944" t="s">
        <v>314</v>
      </c>
      <c r="F29" s="944" t="s">
        <v>646</v>
      </c>
      <c r="G29" s="740">
        <f>SUM(G26:G28)</f>
        <v>-137268.54</v>
      </c>
      <c r="J29" s="944" t="s">
        <v>92</v>
      </c>
      <c r="N29" s="929">
        <v>0</v>
      </c>
      <c r="P29" s="953">
        <f>$N29*P$3</f>
        <v>0</v>
      </c>
      <c r="Q29" s="953">
        <f>$N29*Q$3</f>
        <v>0</v>
      </c>
      <c r="R29" s="954">
        <f>P29+Q29-N29</f>
        <v>0</v>
      </c>
    </row>
    <row r="30" spans="1:18">
      <c r="A30" s="1488">
        <v>21</v>
      </c>
      <c r="G30" s="951"/>
      <c r="N30" s="955"/>
    </row>
    <row r="31" spans="1:18">
      <c r="A31" s="1488">
        <v>22</v>
      </c>
      <c r="G31" s="951"/>
      <c r="J31" s="944" t="s">
        <v>314</v>
      </c>
      <c r="M31" s="944" t="s">
        <v>646</v>
      </c>
      <c r="N31" s="956">
        <f>SUM(N28:N30)</f>
        <v>73375.75</v>
      </c>
      <c r="P31" s="957">
        <f>SUM(P28:P30)</f>
        <v>59400.206809098083</v>
      </c>
      <c r="Q31" s="957">
        <f>SUM(Q28:Q30)</f>
        <v>13975.543190901921</v>
      </c>
      <c r="R31" s="954">
        <f>P31+Q31-N31</f>
        <v>0</v>
      </c>
    </row>
    <row r="32" spans="1:18">
      <c r="A32" s="1488">
        <v>23</v>
      </c>
      <c r="B32" s="944" t="s">
        <v>715</v>
      </c>
      <c r="G32" s="952">
        <f>'Linked TB'!E98</f>
        <v>0</v>
      </c>
      <c r="N32" s="955"/>
    </row>
    <row r="33" spans="1:18">
      <c r="A33" s="1488">
        <v>24</v>
      </c>
      <c r="B33" s="944" t="s">
        <v>745</v>
      </c>
      <c r="G33" s="740">
        <v>0</v>
      </c>
      <c r="I33" s="944" t="s">
        <v>684</v>
      </c>
    </row>
    <row r="34" spans="1:18">
      <c r="A34" s="1488">
        <v>25</v>
      </c>
      <c r="G34" s="951"/>
      <c r="J34" s="944" t="s">
        <v>671</v>
      </c>
      <c r="N34" s="947">
        <f>-'Linked TB'!E252</f>
        <v>188653.95</v>
      </c>
      <c r="P34" s="953">
        <f>$N34*P$3</f>
        <v>152721.89579463584</v>
      </c>
      <c r="Q34" s="953">
        <f>$N34*Q$3</f>
        <v>35932.054205364191</v>
      </c>
      <c r="R34" s="954">
        <f>P34+Q34-N34</f>
        <v>0</v>
      </c>
    </row>
    <row r="35" spans="1:18">
      <c r="A35" s="1488">
        <v>26</v>
      </c>
      <c r="C35" s="944" t="s">
        <v>314</v>
      </c>
      <c r="F35" s="944" t="s">
        <v>646</v>
      </c>
      <c r="G35" s="740">
        <f>SUM(G32:G34)</f>
        <v>0</v>
      </c>
      <c r="J35" s="944" t="s">
        <v>92</v>
      </c>
      <c r="N35" s="929">
        <v>0</v>
      </c>
      <c r="P35" s="953">
        <f>$N35*P$3</f>
        <v>0</v>
      </c>
      <c r="Q35" s="953">
        <f>$N35*Q$3</f>
        <v>0</v>
      </c>
      <c r="R35" s="954">
        <f>P35+Q35-N35</f>
        <v>0</v>
      </c>
    </row>
    <row r="36" spans="1:18">
      <c r="A36" s="1488">
        <v>27</v>
      </c>
      <c r="G36" s="951"/>
      <c r="N36" s="955"/>
    </row>
    <row r="37" spans="1:18">
      <c r="A37" s="1488">
        <v>28</v>
      </c>
      <c r="B37" s="944" t="s">
        <v>103</v>
      </c>
      <c r="G37" s="952"/>
      <c r="J37" s="944" t="s">
        <v>314</v>
      </c>
      <c r="M37" s="944" t="s">
        <v>646</v>
      </c>
      <c r="N37" s="956">
        <f>SUM(N34:N36)</f>
        <v>188653.95</v>
      </c>
      <c r="P37" s="957">
        <f>SUM(P34:P36)</f>
        <v>152721.89579463584</v>
      </c>
      <c r="Q37" s="957">
        <f>SUM(Q34:Q36)</f>
        <v>35932.054205364191</v>
      </c>
      <c r="R37" s="954">
        <f>P37+Q37-N37</f>
        <v>0</v>
      </c>
    </row>
    <row r="38" spans="1:18">
      <c r="A38" s="1488">
        <v>29</v>
      </c>
      <c r="C38" s="944" t="s">
        <v>0</v>
      </c>
      <c r="G38" s="952">
        <f>'Linked TB'!E171</f>
        <v>104802.78</v>
      </c>
      <c r="N38" s="955"/>
    </row>
    <row r="39" spans="1:18">
      <c r="A39" s="1488">
        <v>30</v>
      </c>
      <c r="C39" s="944" t="s">
        <v>951</v>
      </c>
      <c r="G39" s="952">
        <f>'Linked TB'!E180</f>
        <v>725575.09</v>
      </c>
      <c r="I39" s="944" t="s">
        <v>735</v>
      </c>
    </row>
    <row r="40" spans="1:18">
      <c r="A40" s="1488">
        <v>31</v>
      </c>
      <c r="C40" s="944" t="s">
        <v>116</v>
      </c>
      <c r="G40" s="740">
        <f>'Linked TB'!E185+'Linked TB'!E189</f>
        <v>13800</v>
      </c>
      <c r="J40" s="944" t="s">
        <v>756</v>
      </c>
      <c r="N40" s="929">
        <v>0</v>
      </c>
      <c r="P40" s="953">
        <f t="shared" ref="P40:Q42" si="2">$N40*P$3</f>
        <v>0</v>
      </c>
      <c r="Q40" s="953">
        <f t="shared" si="2"/>
        <v>0</v>
      </c>
      <c r="R40" s="954">
        <f>P40+Q40-N40</f>
        <v>0</v>
      </c>
    </row>
    <row r="41" spans="1:18">
      <c r="A41" s="1488">
        <v>32</v>
      </c>
      <c r="G41" s="951"/>
      <c r="J41" s="944" t="s">
        <v>529</v>
      </c>
      <c r="N41" s="947">
        <f>-'Linked TB'!E262</f>
        <v>757921.46</v>
      </c>
      <c r="P41" s="953">
        <f t="shared" si="2"/>
        <v>613563.62925153831</v>
      </c>
      <c r="Q41" s="953">
        <f t="shared" si="2"/>
        <v>144357.83074846174</v>
      </c>
      <c r="R41" s="954">
        <f>P41+Q41-N41</f>
        <v>0</v>
      </c>
    </row>
    <row r="42" spans="1:18">
      <c r="A42" s="1488">
        <v>33</v>
      </c>
      <c r="C42" s="944" t="s">
        <v>314</v>
      </c>
      <c r="F42" s="944" t="s">
        <v>646</v>
      </c>
      <c r="G42" s="740">
        <f>SUM(G38:G41)</f>
        <v>844177.87</v>
      </c>
      <c r="J42" s="944" t="s">
        <v>741</v>
      </c>
      <c r="N42" s="947">
        <f>-'Linked TB'!E273</f>
        <v>78250.8</v>
      </c>
      <c r="P42" s="953">
        <f t="shared" si="2"/>
        <v>63346.728353405211</v>
      </c>
      <c r="Q42" s="953">
        <f t="shared" si="2"/>
        <v>14904.071646594795</v>
      </c>
      <c r="R42" s="954">
        <f>P42+Q42-N42</f>
        <v>0</v>
      </c>
    </row>
    <row r="43" spans="1:18">
      <c r="A43" s="1488">
        <v>34</v>
      </c>
      <c r="G43" s="951"/>
    </row>
    <row r="44" spans="1:18">
      <c r="A44" s="1488">
        <v>35</v>
      </c>
      <c r="G44" s="951"/>
      <c r="N44" s="955"/>
    </row>
    <row r="45" spans="1:18">
      <c r="A45" s="1488">
        <v>36</v>
      </c>
      <c r="B45" s="944" t="s">
        <v>111</v>
      </c>
      <c r="G45" s="740">
        <f>'Linked TB'!E208+'Linked TB'!E223</f>
        <v>224616.64999999997</v>
      </c>
      <c r="J45" s="944" t="s">
        <v>314</v>
      </c>
      <c r="M45" s="944" t="s">
        <v>646</v>
      </c>
      <c r="N45" s="956">
        <f>SUM(N39:N44)</f>
        <v>836172.26</v>
      </c>
      <c r="P45" s="957">
        <f>SUM(P39:P44)</f>
        <v>676910.35760494357</v>
      </c>
      <c r="Q45" s="957">
        <f>SUM(Q39:Q44)</f>
        <v>159261.90239505653</v>
      </c>
      <c r="R45" s="954">
        <f>P45+Q45-N45</f>
        <v>0</v>
      </c>
    </row>
    <row r="46" spans="1:18">
      <c r="A46" s="1488">
        <v>37</v>
      </c>
      <c r="G46" s="951"/>
      <c r="N46" s="955"/>
    </row>
    <row r="47" spans="1:18" ht="13.5" thickBot="1">
      <c r="A47" s="1488">
        <v>38</v>
      </c>
      <c r="B47" s="944" t="s">
        <v>885</v>
      </c>
      <c r="F47" s="944" t="s">
        <v>646</v>
      </c>
      <c r="G47" s="960">
        <f>G22+G29+G35+G42+G45</f>
        <v>7579883.2900000019</v>
      </c>
      <c r="I47" s="944" t="s">
        <v>683</v>
      </c>
      <c r="M47" s="944" t="s">
        <v>646</v>
      </c>
      <c r="N47" s="961">
        <f>N15+N25+N31+N37+N45</f>
        <v>7579883.2899999991</v>
      </c>
      <c r="P47" s="962">
        <f>P15+P25+P31+P37+P45</f>
        <v>6136177.620192321</v>
      </c>
      <c r="Q47" s="962">
        <f>Q15+Q25+Q31+Q37+Q45</f>
        <v>1443705.6698076783</v>
      </c>
      <c r="R47" s="954">
        <f>P47+Q47-N47</f>
        <v>0</v>
      </c>
    </row>
    <row r="48" spans="1:18" ht="13.5" thickTop="1">
      <c r="G48" s="951">
        <f>G47-'Linked TB'!E226</f>
        <v>0</v>
      </c>
      <c r="N48" s="947">
        <f>N47+'Linked TB'!E324+'Linked TB'!E332-'Linked TB'!E335</f>
        <v>-2.7939677238464355E-9</v>
      </c>
      <c r="P48" s="963"/>
      <c r="Q48" s="963"/>
      <c r="R48" s="964"/>
    </row>
    <row r="49" spans="2:15">
      <c r="N49" s="929">
        <f>G47-N47</f>
        <v>0</v>
      </c>
      <c r="O49" s="896" t="s">
        <v>1035</v>
      </c>
    </row>
    <row r="50" spans="2:15" hidden="1">
      <c r="B50" s="965"/>
      <c r="N50" s="947">
        <f>G47-N47</f>
        <v>0</v>
      </c>
    </row>
    <row r="51" spans="2:15">
      <c r="B51" s="965"/>
      <c r="C51" s="896"/>
      <c r="D51" s="896"/>
      <c r="E51" s="896"/>
      <c r="F51" s="896"/>
      <c r="G51" s="896"/>
      <c r="H51" s="896"/>
      <c r="I51" s="896"/>
      <c r="J51" s="896"/>
      <c r="K51" s="896"/>
      <c r="L51" s="896"/>
      <c r="M51" s="896"/>
      <c r="N51" s="896"/>
    </row>
  </sheetData>
  <mergeCells count="4">
    <mergeCell ref="C1:J1"/>
    <mergeCell ref="D2:I2"/>
    <mergeCell ref="D3:I3"/>
    <mergeCell ref="D4:I4"/>
  </mergeCells>
  <phoneticPr fontId="28" type="noConversion"/>
  <printOptions horizontalCentered="1"/>
  <pageMargins left="0.25" right="0" top="0.25" bottom="0" header="0.5" footer="0.5"/>
  <pageSetup scale="80" orientation="landscape" horizontalDpi="4294967292" vertic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239"/>
  <sheetViews>
    <sheetView showGridLines="0" view="pageBreakPreview" zoomScaleNormal="100" zoomScaleSheetLayoutView="100" workbookViewId="0">
      <pane ySplit="4" topLeftCell="A5" activePane="bottomLeft" state="frozen"/>
      <selection pane="bottomLeft" activeCell="J11" sqref="J11"/>
    </sheetView>
  </sheetViews>
  <sheetFormatPr defaultColWidth="10.875" defaultRowHeight="12.75"/>
  <cols>
    <col min="1" max="1" width="7.625" style="892" customWidth="1"/>
    <col min="2" max="2" width="3.125" style="967" customWidth="1"/>
    <col min="3" max="3" width="2.75" style="967" customWidth="1"/>
    <col min="4" max="4" width="34.625" style="967" customWidth="1"/>
    <col min="5" max="5" width="1.875" style="967" customWidth="1"/>
    <col min="6" max="6" width="14" style="968" customWidth="1"/>
    <col min="7" max="7" width="2.875" style="967" customWidth="1"/>
    <col min="8" max="8" width="14" style="968" bestFit="1" customWidth="1"/>
    <col min="9" max="9" width="4.875" style="967" customWidth="1"/>
    <col min="10" max="10" width="16" style="968" bestFit="1" customWidth="1"/>
    <col min="11" max="11" width="2.5" style="967" customWidth="1"/>
    <col min="12" max="12" width="15" style="968" bestFit="1" customWidth="1"/>
    <col min="13" max="13" width="2.75" style="967" customWidth="1"/>
    <col min="14" max="14" width="16" style="968" bestFit="1" customWidth="1"/>
    <col min="15" max="15" width="13.5" style="967" customWidth="1"/>
    <col min="16" max="16" width="14.5" style="970" customWidth="1"/>
    <col min="17" max="18" width="9" style="892" customWidth="1"/>
    <col min="19" max="16384" width="10.875" style="892"/>
  </cols>
  <sheetData>
    <row r="1" spans="1:19">
      <c r="A1" s="966" t="str">
        <f>Company_Name</f>
        <v>WATER SERVICE CORPORATION OF KENTUCKY</v>
      </c>
      <c r="C1" s="966"/>
      <c r="N1" s="969" t="s">
        <v>526</v>
      </c>
    </row>
    <row r="2" spans="1:19">
      <c r="A2" s="966" t="str">
        <f>Docket</f>
        <v>Case No. 2015 - 00382</v>
      </c>
      <c r="C2" s="966"/>
      <c r="N2" s="969"/>
    </row>
    <row r="3" spans="1:19">
      <c r="A3" s="966" t="s">
        <v>1036</v>
      </c>
      <c r="H3" s="971"/>
      <c r="L3" s="971"/>
      <c r="N3" s="969" t="s">
        <v>1095</v>
      </c>
    </row>
    <row r="4" spans="1:19">
      <c r="A4" s="966" t="str">
        <f>TestYearEnded</f>
        <v>Test Year Ended 6/30/2015</v>
      </c>
      <c r="B4" s="892"/>
      <c r="I4" s="971"/>
      <c r="J4" s="972"/>
    </row>
    <row r="5" spans="1:19">
      <c r="B5" s="966"/>
      <c r="I5" s="971"/>
      <c r="J5" s="972"/>
    </row>
    <row r="6" spans="1:19" s="1489" customFormat="1">
      <c r="B6" s="1490"/>
      <c r="C6" s="1490"/>
      <c r="D6" s="1490" t="s">
        <v>235</v>
      </c>
      <c r="E6" s="1490"/>
      <c r="F6" s="1491" t="s">
        <v>236</v>
      </c>
      <c r="G6" s="1490"/>
      <c r="H6" s="1491" t="s">
        <v>237</v>
      </c>
      <c r="I6" s="1492"/>
      <c r="J6" s="1493" t="s">
        <v>238</v>
      </c>
      <c r="K6" s="1490"/>
      <c r="L6" s="1491" t="s">
        <v>239</v>
      </c>
      <c r="M6" s="1490"/>
      <c r="N6" s="1491" t="s">
        <v>869</v>
      </c>
      <c r="O6" s="1490"/>
      <c r="P6" s="1494"/>
    </row>
    <row r="7" spans="1:19">
      <c r="B7" s="966"/>
      <c r="I7" s="971"/>
      <c r="J7" s="972"/>
    </row>
    <row r="8" spans="1:19">
      <c r="B8" s="973"/>
      <c r="C8" s="973"/>
      <c r="D8" s="973"/>
      <c r="E8" s="973"/>
      <c r="F8" s="974" t="s">
        <v>410</v>
      </c>
      <c r="G8" s="973"/>
      <c r="H8" s="974" t="s">
        <v>454</v>
      </c>
      <c r="I8" s="973"/>
      <c r="J8" s="974" t="s">
        <v>454</v>
      </c>
      <c r="K8" s="973"/>
      <c r="L8" s="974" t="s">
        <v>139</v>
      </c>
      <c r="M8" s="973"/>
      <c r="N8" s="974" t="s">
        <v>454</v>
      </c>
    </row>
    <row r="9" spans="1:19">
      <c r="A9" s="975" t="s">
        <v>1786</v>
      </c>
      <c r="B9" s="973"/>
      <c r="C9" s="973"/>
      <c r="D9" s="973"/>
      <c r="E9" s="973"/>
      <c r="F9" s="975" t="s">
        <v>495</v>
      </c>
      <c r="G9" s="973"/>
      <c r="H9" s="975" t="s">
        <v>3993</v>
      </c>
      <c r="I9" s="973"/>
      <c r="J9" s="975" t="s">
        <v>446</v>
      </c>
      <c r="K9" s="973"/>
      <c r="L9" s="975" t="s">
        <v>453</v>
      </c>
      <c r="M9" s="973"/>
      <c r="N9" s="975" t="s">
        <v>139</v>
      </c>
    </row>
    <row r="10" spans="1:19">
      <c r="A10" s="1495">
        <v>1</v>
      </c>
      <c r="B10" s="976" t="s">
        <v>452</v>
      </c>
      <c r="C10" s="976"/>
      <c r="D10" s="976"/>
    </row>
    <row r="11" spans="1:19">
      <c r="A11" s="1495">
        <v>2</v>
      </c>
      <c r="B11" s="892"/>
      <c r="C11" s="892"/>
      <c r="D11" s="967" t="s">
        <v>145</v>
      </c>
      <c r="E11" s="977"/>
      <c r="F11" s="968">
        <f>F73+F135</f>
        <v>2107764.9900000007</v>
      </c>
      <c r="G11" s="977"/>
      <c r="H11" s="968">
        <f>H73+H135</f>
        <v>-7503.4157128133811</v>
      </c>
      <c r="I11" s="978" t="s">
        <v>736</v>
      </c>
      <c r="J11" s="968">
        <f>J73+J135</f>
        <v>2100261.5742871873</v>
      </c>
      <c r="K11" s="977"/>
      <c r="L11" s="968">
        <f ca="1">L73+L135</f>
        <v>516989.18519833224</v>
      </c>
      <c r="M11" s="978" t="s">
        <v>669</v>
      </c>
      <c r="N11" s="968">
        <f ca="1">N73+N135</f>
        <v>2617250.7594855195</v>
      </c>
      <c r="O11" s="971"/>
      <c r="P11" s="1600">
        <f ca="1">+L11/J11</f>
        <v>0.24615466546056028</v>
      </c>
      <c r="R11" s="971"/>
      <c r="S11" s="970"/>
    </row>
    <row r="12" spans="1:19">
      <c r="A12" s="1495">
        <v>3</v>
      </c>
      <c r="B12" s="892"/>
      <c r="C12" s="892"/>
      <c r="D12" s="967" t="s">
        <v>282</v>
      </c>
      <c r="E12" s="977"/>
      <c r="F12" s="968">
        <f>F74+F136</f>
        <v>0</v>
      </c>
      <c r="G12" s="977"/>
      <c r="H12" s="968">
        <f>H74+H136</f>
        <v>0</v>
      </c>
      <c r="I12" s="978"/>
      <c r="J12" s="968">
        <f>J74+J136</f>
        <v>0</v>
      </c>
      <c r="K12" s="977"/>
      <c r="L12" s="968">
        <f>L74+L136</f>
        <v>0</v>
      </c>
      <c r="M12" s="978"/>
      <c r="N12" s="968">
        <f>N74+N136</f>
        <v>0</v>
      </c>
      <c r="O12" s="968"/>
      <c r="P12" s="979"/>
      <c r="S12" s="970"/>
    </row>
    <row r="13" spans="1:19">
      <c r="A13" s="1495">
        <v>4</v>
      </c>
      <c r="B13" s="892"/>
      <c r="C13" s="892"/>
      <c r="D13" s="967" t="s">
        <v>283</v>
      </c>
      <c r="F13" s="968">
        <f>F75+F137</f>
        <v>67498.580000000642</v>
      </c>
      <c r="H13" s="968">
        <f>H75+H137</f>
        <v>0</v>
      </c>
      <c r="J13" s="968">
        <f>J75+J137</f>
        <v>67498.580000000642</v>
      </c>
      <c r="L13" s="968">
        <f>L75+L137</f>
        <v>0</v>
      </c>
      <c r="N13" s="968">
        <f>N75+N137</f>
        <v>67498.580000000642</v>
      </c>
      <c r="O13" s="968"/>
      <c r="P13" s="979"/>
    </row>
    <row r="14" spans="1:19">
      <c r="A14" s="1495">
        <v>5</v>
      </c>
      <c r="F14" s="980"/>
      <c r="H14" s="980"/>
      <c r="J14" s="980"/>
      <c r="L14" s="980"/>
      <c r="N14" s="980"/>
      <c r="O14" s="970"/>
    </row>
    <row r="15" spans="1:19">
      <c r="A15" s="1495">
        <v>6</v>
      </c>
      <c r="B15" s="967" t="s">
        <v>525</v>
      </c>
      <c r="E15" s="977"/>
      <c r="F15" s="981">
        <f>SUM(F10:F13)</f>
        <v>2175263.5700000012</v>
      </c>
      <c r="G15" s="977"/>
      <c r="H15" s="981">
        <f>SUM(H10:H13)</f>
        <v>-7503.4157128133811</v>
      </c>
      <c r="I15" s="977"/>
      <c r="J15" s="981">
        <f>SUM(J10:J13)</f>
        <v>2167760.1542871878</v>
      </c>
      <c r="K15" s="977"/>
      <c r="L15" s="981">
        <f ca="1">SUM(L10:L13)</f>
        <v>516989.18519833224</v>
      </c>
      <c r="M15" s="977"/>
      <c r="N15" s="981">
        <f ca="1">SUM(N10:N13)</f>
        <v>2684749.33948552</v>
      </c>
      <c r="O15" s="968"/>
    </row>
    <row r="16" spans="1:19">
      <c r="A16" s="1495">
        <v>7</v>
      </c>
      <c r="F16" s="1032">
        <f>+F15-F77-F139</f>
        <v>0</v>
      </c>
      <c r="O16" s="968"/>
    </row>
    <row r="17" spans="1:19">
      <c r="A17" s="1495">
        <v>8</v>
      </c>
      <c r="B17" s="976" t="s">
        <v>418</v>
      </c>
      <c r="C17" s="976"/>
      <c r="D17" s="976"/>
      <c r="H17" s="971"/>
      <c r="O17" s="892"/>
    </row>
    <row r="18" spans="1:19">
      <c r="A18" s="1495">
        <v>9</v>
      </c>
      <c r="C18" s="892"/>
      <c r="D18" s="967" t="s">
        <v>419</v>
      </c>
      <c r="F18" s="968">
        <f t="shared" ref="F18:F27" si="0">F80+F142</f>
        <v>510822.42000000051</v>
      </c>
      <c r="H18" s="968">
        <f t="shared" ref="H18:H25" si="1">H80+H142</f>
        <v>27338.587799999514</v>
      </c>
      <c r="I18" s="967" t="s">
        <v>700</v>
      </c>
      <c r="J18" s="968">
        <f t="shared" ref="J18:J27" si="2">J80+J142</f>
        <v>538161.00780000002</v>
      </c>
      <c r="L18" s="968">
        <f t="shared" ref="L18:L27" si="3">L80+L142</f>
        <v>0</v>
      </c>
      <c r="N18" s="968">
        <f t="shared" ref="N18:N27" si="4">N80+N142</f>
        <v>538161.00780000002</v>
      </c>
      <c r="O18" s="968"/>
      <c r="S18" s="970"/>
    </row>
    <row r="19" spans="1:19">
      <c r="A19" s="1495">
        <v>10</v>
      </c>
      <c r="C19" s="892"/>
      <c r="D19" s="967" t="s">
        <v>1037</v>
      </c>
      <c r="F19" s="968">
        <f t="shared" si="0"/>
        <v>123204</v>
      </c>
      <c r="H19" s="968">
        <f t="shared" si="1"/>
        <v>0</v>
      </c>
      <c r="J19" s="968">
        <f t="shared" si="2"/>
        <v>123204</v>
      </c>
      <c r="L19" s="968">
        <f t="shared" si="3"/>
        <v>0</v>
      </c>
      <c r="N19" s="968">
        <f t="shared" si="4"/>
        <v>123204</v>
      </c>
      <c r="O19" s="968"/>
      <c r="S19" s="970"/>
    </row>
    <row r="20" spans="1:19">
      <c r="A20" s="1495">
        <v>11</v>
      </c>
      <c r="C20" s="892"/>
      <c r="D20" s="967" t="s">
        <v>317</v>
      </c>
      <c r="F20" s="968">
        <f t="shared" si="0"/>
        <v>89772.75</v>
      </c>
      <c r="H20" s="968">
        <f t="shared" si="1"/>
        <v>0</v>
      </c>
      <c r="J20" s="968">
        <f t="shared" si="2"/>
        <v>89772.75</v>
      </c>
      <c r="L20" s="968">
        <f t="shared" si="3"/>
        <v>0</v>
      </c>
      <c r="N20" s="968">
        <f t="shared" si="4"/>
        <v>89772.75</v>
      </c>
      <c r="O20" s="968"/>
      <c r="S20" s="970"/>
    </row>
    <row r="21" spans="1:19">
      <c r="A21" s="1495">
        <v>12</v>
      </c>
      <c r="C21" s="892"/>
      <c r="D21" s="967" t="s">
        <v>313</v>
      </c>
      <c r="F21" s="968">
        <f t="shared" si="0"/>
        <v>101452.29999999999</v>
      </c>
      <c r="H21" s="968">
        <f t="shared" si="1"/>
        <v>14155.89652784291</v>
      </c>
      <c r="I21" s="967" t="s">
        <v>3919</v>
      </c>
      <c r="J21" s="968">
        <f t="shared" si="2"/>
        <v>115608.1965278429</v>
      </c>
      <c r="L21" s="968">
        <f t="shared" si="3"/>
        <v>0</v>
      </c>
      <c r="N21" s="968">
        <f t="shared" si="4"/>
        <v>115608.1965278429</v>
      </c>
      <c r="O21" s="968"/>
      <c r="S21" s="970"/>
    </row>
    <row r="22" spans="1:19">
      <c r="A22" s="1495">
        <v>13</v>
      </c>
      <c r="C22" s="892"/>
      <c r="D22" s="967" t="s">
        <v>70</v>
      </c>
      <c r="F22" s="968">
        <f t="shared" si="0"/>
        <v>37602.36</v>
      </c>
      <c r="H22" s="968">
        <f t="shared" si="1"/>
        <v>0</v>
      </c>
      <c r="J22" s="968">
        <f t="shared" si="2"/>
        <v>37602.36</v>
      </c>
      <c r="L22" s="968">
        <f t="shared" si="3"/>
        <v>0</v>
      </c>
      <c r="N22" s="968">
        <f t="shared" si="4"/>
        <v>37602.36</v>
      </c>
      <c r="O22" s="968"/>
      <c r="S22" s="970"/>
    </row>
    <row r="23" spans="1:19">
      <c r="A23" s="1495">
        <v>14</v>
      </c>
      <c r="C23" s="892"/>
      <c r="D23" s="967" t="s">
        <v>445</v>
      </c>
      <c r="F23" s="968">
        <f t="shared" si="0"/>
        <v>0</v>
      </c>
      <c r="H23" s="968">
        <f t="shared" si="1"/>
        <v>0</v>
      </c>
      <c r="J23" s="968">
        <f t="shared" si="2"/>
        <v>0</v>
      </c>
      <c r="L23" s="968">
        <f t="shared" si="3"/>
        <v>0</v>
      </c>
      <c r="N23" s="968">
        <f t="shared" si="4"/>
        <v>0</v>
      </c>
      <c r="O23" s="968"/>
      <c r="S23" s="970"/>
    </row>
    <row r="24" spans="1:19">
      <c r="A24" s="1495">
        <v>15</v>
      </c>
      <c r="C24" s="892"/>
      <c r="D24" s="967" t="s">
        <v>663</v>
      </c>
      <c r="F24" s="968">
        <f t="shared" si="0"/>
        <v>132664.26</v>
      </c>
      <c r="H24" s="968">
        <f t="shared" si="1"/>
        <v>-18356.567999999999</v>
      </c>
      <c r="I24" s="967" t="s">
        <v>2423</v>
      </c>
      <c r="J24" s="968">
        <f t="shared" si="2"/>
        <v>114307.69200000001</v>
      </c>
      <c r="L24" s="968">
        <f t="shared" si="3"/>
        <v>0</v>
      </c>
      <c r="N24" s="968">
        <f t="shared" si="4"/>
        <v>114307.69200000001</v>
      </c>
      <c r="O24" s="968"/>
      <c r="S24" s="970"/>
    </row>
    <row r="25" spans="1:19">
      <c r="A25" s="1495">
        <v>16</v>
      </c>
      <c r="C25" s="892"/>
      <c r="D25" s="967" t="s">
        <v>88</v>
      </c>
      <c r="F25" s="968">
        <f t="shared" si="0"/>
        <v>39043.47</v>
      </c>
      <c r="H25" s="968">
        <f t="shared" si="1"/>
        <v>-41.349464680606616</v>
      </c>
      <c r="I25" s="967" t="s">
        <v>2429</v>
      </c>
      <c r="J25" s="968">
        <f t="shared" si="2"/>
        <v>39002.120535319395</v>
      </c>
      <c r="L25" s="968">
        <f t="shared" si="3"/>
        <v>0</v>
      </c>
      <c r="N25" s="968">
        <f t="shared" si="4"/>
        <v>39002.120535319395</v>
      </c>
      <c r="O25" s="968"/>
      <c r="S25" s="970"/>
    </row>
    <row r="26" spans="1:19">
      <c r="A26" s="1495">
        <v>17</v>
      </c>
      <c r="C26" s="892"/>
      <c r="D26" s="967" t="s">
        <v>415</v>
      </c>
      <c r="F26" s="968">
        <f t="shared" si="0"/>
        <v>-159697.67000000077</v>
      </c>
      <c r="H26" s="968">
        <f>+J26-F26</f>
        <v>4448.7135143444757</v>
      </c>
      <c r="I26" s="967" t="s">
        <v>701</v>
      </c>
      <c r="J26" s="968">
        <f t="shared" si="2"/>
        <v>-155248.95648565629</v>
      </c>
      <c r="L26" s="968">
        <f t="shared" si="3"/>
        <v>0</v>
      </c>
      <c r="N26" s="968">
        <f t="shared" si="4"/>
        <v>-155248.95648565629</v>
      </c>
      <c r="O26" s="968"/>
      <c r="S26" s="970"/>
    </row>
    <row r="27" spans="1:19">
      <c r="A27" s="1495">
        <v>18</v>
      </c>
      <c r="C27" s="892"/>
      <c r="D27" s="967" t="s">
        <v>72</v>
      </c>
      <c r="F27" s="968">
        <f t="shared" si="0"/>
        <v>90873.59</v>
      </c>
      <c r="H27" s="968">
        <f>H89+H151</f>
        <v>-31919.009999999995</v>
      </c>
      <c r="I27" s="967" t="s">
        <v>3920</v>
      </c>
      <c r="J27" s="968">
        <f t="shared" si="2"/>
        <v>58954.58</v>
      </c>
      <c r="L27" s="968">
        <f t="shared" si="3"/>
        <v>0</v>
      </c>
      <c r="N27" s="968">
        <f t="shared" si="4"/>
        <v>58954.58</v>
      </c>
      <c r="O27" s="968"/>
      <c r="S27" s="970"/>
    </row>
    <row r="28" spans="1:19">
      <c r="A28" s="1495">
        <v>19</v>
      </c>
      <c r="F28" s="980"/>
      <c r="H28" s="980"/>
      <c r="J28" s="980"/>
      <c r="L28" s="980"/>
      <c r="N28" s="980"/>
      <c r="O28" s="968"/>
      <c r="S28" s="970"/>
    </row>
    <row r="29" spans="1:19">
      <c r="A29" s="1495">
        <v>20</v>
      </c>
      <c r="C29" s="967" t="s">
        <v>73</v>
      </c>
      <c r="E29" s="977"/>
      <c r="F29" s="981">
        <f>SUM(F18:F27)</f>
        <v>965737.47999999963</v>
      </c>
      <c r="G29" s="977"/>
      <c r="H29" s="981">
        <f>SUM(H18:H27)</f>
        <v>-4373.7296224937018</v>
      </c>
      <c r="I29" s="977"/>
      <c r="J29" s="981">
        <f>SUM(J18:J27)</f>
        <v>961363.7503775059</v>
      </c>
      <c r="K29" s="977"/>
      <c r="L29" s="981">
        <f>SUM(L18:L27)</f>
        <v>0</v>
      </c>
      <c r="M29" s="977"/>
      <c r="N29" s="981">
        <f>SUM(N18:N27)</f>
        <v>961363.7503775059</v>
      </c>
      <c r="O29" s="968"/>
      <c r="S29" s="970"/>
    </row>
    <row r="30" spans="1:19">
      <c r="A30" s="1495">
        <v>21</v>
      </c>
      <c r="F30" s="1033">
        <f>+F29-F91-F153</f>
        <v>0</v>
      </c>
      <c r="H30" s="983"/>
      <c r="J30" s="983"/>
      <c r="L30" s="983"/>
      <c r="N30" s="983"/>
      <c r="O30" s="968"/>
    </row>
    <row r="31" spans="1:19">
      <c r="A31" s="1495">
        <v>22</v>
      </c>
      <c r="B31" s="976" t="s">
        <v>74</v>
      </c>
      <c r="C31" s="976"/>
      <c r="D31" s="976"/>
      <c r="O31" s="892"/>
    </row>
    <row r="32" spans="1:19">
      <c r="A32" s="1495">
        <v>23</v>
      </c>
      <c r="C32" s="892"/>
      <c r="D32" s="967" t="s">
        <v>419</v>
      </c>
      <c r="E32" s="977"/>
      <c r="F32" s="968">
        <f t="shared" ref="F32:F37" si="5">F94+F156</f>
        <v>165731.15</v>
      </c>
      <c r="G32" s="977"/>
      <c r="H32" s="968">
        <f t="shared" ref="H32:H37" si="6">H94+H156</f>
        <v>39330.329061744589</v>
      </c>
      <c r="I32" s="967" t="s">
        <v>700</v>
      </c>
      <c r="J32" s="968">
        <f t="shared" ref="J32:J37" si="7">J94+J156</f>
        <v>205061.47906174458</v>
      </c>
      <c r="K32" s="977"/>
      <c r="L32" s="968">
        <f t="shared" ref="L32:L37" si="8">L94+L156</f>
        <v>0</v>
      </c>
      <c r="M32" s="977"/>
      <c r="N32" s="968">
        <f t="shared" ref="N32:N37" si="9">N94+N156</f>
        <v>205061.47906174458</v>
      </c>
      <c r="O32" s="968"/>
      <c r="S32" s="970"/>
    </row>
    <row r="33" spans="1:19">
      <c r="A33" s="1495">
        <v>24</v>
      </c>
      <c r="C33" s="892"/>
      <c r="D33" s="967" t="s">
        <v>309</v>
      </c>
      <c r="F33" s="968">
        <f t="shared" si="5"/>
        <v>57999.130000000005</v>
      </c>
      <c r="H33" s="968">
        <f t="shared" si="6"/>
        <v>-390.50817599999993</v>
      </c>
      <c r="I33" s="967" t="s">
        <v>659</v>
      </c>
      <c r="J33" s="968">
        <f t="shared" si="7"/>
        <v>57608.621824000002</v>
      </c>
      <c r="L33" s="968">
        <f t="shared" si="8"/>
        <v>0</v>
      </c>
      <c r="N33" s="968">
        <f t="shared" si="9"/>
        <v>57608.621824000002</v>
      </c>
      <c r="O33" s="968"/>
      <c r="S33" s="970"/>
    </row>
    <row r="34" spans="1:19">
      <c r="A34" s="1495">
        <v>25</v>
      </c>
      <c r="C34" s="892"/>
      <c r="D34" s="967" t="s">
        <v>310</v>
      </c>
      <c r="F34" s="968">
        <f t="shared" si="5"/>
        <v>89438.599999999991</v>
      </c>
      <c r="H34" s="968">
        <f t="shared" si="6"/>
        <v>-2455.5999999999913</v>
      </c>
      <c r="I34" s="967" t="s">
        <v>702</v>
      </c>
      <c r="J34" s="968">
        <f t="shared" si="7"/>
        <v>86983</v>
      </c>
      <c r="L34" s="968">
        <f t="shared" si="8"/>
        <v>0</v>
      </c>
      <c r="N34" s="968">
        <f t="shared" si="9"/>
        <v>86983</v>
      </c>
      <c r="O34" s="968"/>
      <c r="S34" s="970"/>
    </row>
    <row r="35" spans="1:19">
      <c r="A35" s="1495">
        <v>26</v>
      </c>
      <c r="C35" s="892"/>
      <c r="D35" s="967" t="s">
        <v>1</v>
      </c>
      <c r="F35" s="968">
        <f t="shared" si="5"/>
        <v>158341.77999999997</v>
      </c>
      <c r="H35" s="968">
        <f t="shared" si="6"/>
        <v>45775.135603381495</v>
      </c>
      <c r="I35" s="978" t="s">
        <v>3917</v>
      </c>
      <c r="J35" s="968">
        <f t="shared" si="7"/>
        <v>204116.91560338147</v>
      </c>
      <c r="L35" s="968">
        <f t="shared" si="8"/>
        <v>0</v>
      </c>
      <c r="M35" s="982"/>
      <c r="N35" s="968">
        <f t="shared" si="9"/>
        <v>204116.91560338147</v>
      </c>
      <c r="O35" s="968"/>
      <c r="S35" s="970"/>
    </row>
    <row r="36" spans="1:19">
      <c r="A36" s="1495">
        <v>27</v>
      </c>
      <c r="C36" s="892"/>
      <c r="D36" s="967" t="s">
        <v>303</v>
      </c>
      <c r="F36" s="968">
        <f t="shared" si="5"/>
        <v>8209.66</v>
      </c>
      <c r="H36" s="968">
        <f t="shared" si="6"/>
        <v>0</v>
      </c>
      <c r="J36" s="968">
        <f t="shared" si="7"/>
        <v>8209.66</v>
      </c>
      <c r="L36" s="968">
        <f t="shared" si="8"/>
        <v>0</v>
      </c>
      <c r="N36" s="968">
        <f t="shared" si="9"/>
        <v>8209.66</v>
      </c>
      <c r="O36" s="968"/>
      <c r="S36" s="970"/>
    </row>
    <row r="37" spans="1:19">
      <c r="A37" s="1495">
        <v>28</v>
      </c>
      <c r="C37" s="892"/>
      <c r="D37" s="967" t="s">
        <v>304</v>
      </c>
      <c r="F37" s="968">
        <f t="shared" si="5"/>
        <v>69092.62999999999</v>
      </c>
      <c r="H37" s="968">
        <f t="shared" si="6"/>
        <v>0</v>
      </c>
      <c r="J37" s="968">
        <f t="shared" si="7"/>
        <v>69092.62999999999</v>
      </c>
      <c r="L37" s="968">
        <f t="shared" si="8"/>
        <v>0</v>
      </c>
      <c r="N37" s="968">
        <f t="shared" si="9"/>
        <v>69092.62999999999</v>
      </c>
      <c r="O37" s="968"/>
      <c r="S37" s="970"/>
    </row>
    <row r="38" spans="1:19">
      <c r="A38" s="1495">
        <v>29</v>
      </c>
      <c r="C38" s="892"/>
      <c r="D38" s="967" t="s">
        <v>757</v>
      </c>
      <c r="F38" s="968">
        <f>F101+F162</f>
        <v>52351.929999999993</v>
      </c>
      <c r="H38" s="968">
        <f>H101+H162</f>
        <v>-189.65988527192766</v>
      </c>
      <c r="I38" s="967" t="s">
        <v>659</v>
      </c>
      <c r="J38" s="968">
        <f>J101+J162</f>
        <v>52162.270114728068</v>
      </c>
      <c r="L38" s="968">
        <f>L101+L162</f>
        <v>0</v>
      </c>
      <c r="N38" s="968">
        <f>N101+N162</f>
        <v>52162.270114728068</v>
      </c>
      <c r="O38" s="968"/>
      <c r="S38" s="970"/>
    </row>
    <row r="39" spans="1:19">
      <c r="A39" s="1495">
        <v>30</v>
      </c>
      <c r="B39" s="892"/>
      <c r="C39" s="892"/>
      <c r="D39" s="967" t="s">
        <v>63</v>
      </c>
      <c r="F39" s="968">
        <f>F100+F163</f>
        <v>41828.609999999986</v>
      </c>
      <c r="H39" s="968">
        <f>H100+H163</f>
        <v>-148.90533385277377</v>
      </c>
      <c r="I39" s="967" t="s">
        <v>699</v>
      </c>
      <c r="J39" s="968">
        <f>J100+J163</f>
        <v>41679.704666147212</v>
      </c>
      <c r="L39" s="968">
        <f ca="1">L100+L163</f>
        <v>10259.653758590419</v>
      </c>
      <c r="M39" s="967" t="s">
        <v>699</v>
      </c>
      <c r="N39" s="968">
        <f ca="1">N100+N163</f>
        <v>51939.358424737628</v>
      </c>
      <c r="O39" s="968"/>
      <c r="P39" s="979"/>
    </row>
    <row r="40" spans="1:19">
      <c r="A40" s="1495">
        <v>31</v>
      </c>
      <c r="C40" s="892"/>
      <c r="D40" s="967" t="s">
        <v>416</v>
      </c>
      <c r="F40" s="968">
        <f>F102+F164</f>
        <v>22826.62</v>
      </c>
      <c r="H40" s="968">
        <f>H102+H164</f>
        <v>-3087.3330104504794</v>
      </c>
      <c r="I40" s="967" t="s">
        <v>659</v>
      </c>
      <c r="J40" s="968">
        <f>J102+J164</f>
        <v>19739.286989549521</v>
      </c>
      <c r="L40" s="968">
        <f>L102+L164</f>
        <v>0</v>
      </c>
      <c r="N40" s="968">
        <f>N102+N164</f>
        <v>19739.286989549521</v>
      </c>
      <c r="O40" s="968"/>
      <c r="S40" s="970"/>
    </row>
    <row r="41" spans="1:19">
      <c r="A41" s="1495">
        <v>32</v>
      </c>
      <c r="F41" s="980"/>
      <c r="H41" s="980"/>
      <c r="J41" s="980"/>
      <c r="L41" s="980"/>
      <c r="N41" s="980"/>
      <c r="O41" s="968"/>
      <c r="S41" s="970"/>
    </row>
    <row r="42" spans="1:19">
      <c r="A42" s="1495">
        <v>33</v>
      </c>
      <c r="C42" s="967" t="s">
        <v>73</v>
      </c>
      <c r="E42" s="977"/>
      <c r="F42" s="981">
        <f>SUM(F32:F41)</f>
        <v>665820.10999999987</v>
      </c>
      <c r="G42" s="977"/>
      <c r="H42" s="981">
        <f>SUM(H32:H41)</f>
        <v>78833.458259550898</v>
      </c>
      <c r="I42" s="977"/>
      <c r="J42" s="981">
        <f>SUM(J32:J41)</f>
        <v>744653.56825955084</v>
      </c>
      <c r="K42" s="977"/>
      <c r="L42" s="981">
        <f ca="1">SUM(L32:L41)</f>
        <v>10259.653758590419</v>
      </c>
      <c r="M42" s="977"/>
      <c r="N42" s="981">
        <f ca="1">SUM(N32:N41)</f>
        <v>754913.22201814118</v>
      </c>
      <c r="O42" s="968"/>
      <c r="S42" s="970"/>
    </row>
    <row r="43" spans="1:19">
      <c r="A43" s="1495">
        <v>34</v>
      </c>
      <c r="F43" s="1033">
        <f>+F42-F104-F166</f>
        <v>-1.1641532182693481E-10</v>
      </c>
      <c r="H43" s="983"/>
      <c r="J43" s="983"/>
      <c r="L43" s="983"/>
      <c r="N43" s="983"/>
      <c r="O43" s="892"/>
      <c r="S43" s="970"/>
    </row>
    <row r="44" spans="1:19">
      <c r="A44" s="1495">
        <v>35</v>
      </c>
      <c r="B44" s="967" t="s">
        <v>417</v>
      </c>
      <c r="F44" s="968">
        <f t="shared" ref="F44:F50" si="10">F106+F168</f>
        <v>335723.1</v>
      </c>
      <c r="H44" s="968">
        <f t="shared" ref="H44:H50" si="11">H106+H168</f>
        <v>20231.434671075258</v>
      </c>
      <c r="I44" s="967" t="s">
        <v>703</v>
      </c>
      <c r="J44" s="968">
        <f t="shared" ref="J44:J50" si="12">J106+J168</f>
        <v>355954.53467107523</v>
      </c>
      <c r="L44" s="968">
        <f t="shared" ref="L44:L50" si="13">L106+L168</f>
        <v>0</v>
      </c>
      <c r="N44" s="968">
        <f t="shared" ref="N44:N50" si="14">N106+N168</f>
        <v>355954.53467107523</v>
      </c>
      <c r="O44" s="968"/>
      <c r="S44" s="970"/>
    </row>
    <row r="45" spans="1:19">
      <c r="A45" s="1495">
        <v>36</v>
      </c>
      <c r="B45" s="967" t="s">
        <v>1038</v>
      </c>
      <c r="F45" s="968">
        <f t="shared" si="10"/>
        <v>-3660.48</v>
      </c>
      <c r="H45" s="968">
        <f t="shared" si="11"/>
        <v>3660.48</v>
      </c>
      <c r="I45" s="967" t="s">
        <v>3565</v>
      </c>
      <c r="J45" s="968">
        <f t="shared" si="12"/>
        <v>0</v>
      </c>
      <c r="L45" s="968">
        <f t="shared" si="13"/>
        <v>0</v>
      </c>
      <c r="N45" s="968">
        <f t="shared" si="14"/>
        <v>0</v>
      </c>
      <c r="O45" s="968"/>
      <c r="S45" s="970"/>
    </row>
    <row r="46" spans="1:19">
      <c r="A46" s="1495">
        <v>37</v>
      </c>
      <c r="B46" s="967" t="s">
        <v>62</v>
      </c>
      <c r="F46" s="968">
        <f t="shared" si="10"/>
        <v>140810.76</v>
      </c>
      <c r="H46" s="968">
        <f t="shared" si="11"/>
        <v>1589.4088032478721</v>
      </c>
      <c r="I46" s="967" t="s">
        <v>704</v>
      </c>
      <c r="J46" s="968">
        <f t="shared" si="12"/>
        <v>142400.16880324789</v>
      </c>
      <c r="L46" s="968">
        <f ca="1">L108+L170</f>
        <v>872.24067319338337</v>
      </c>
      <c r="M46" s="967" t="s">
        <v>704</v>
      </c>
      <c r="N46" s="968">
        <f ca="1">N108+N170</f>
        <v>143272.40947644127</v>
      </c>
      <c r="O46" s="968"/>
      <c r="P46" s="979">
        <f ca="1">N56/N15</f>
        <v>0.17329742383284452</v>
      </c>
      <c r="S46" s="979"/>
    </row>
    <row r="47" spans="1:19">
      <c r="A47" s="1495">
        <v>38</v>
      </c>
      <c r="B47" s="967" t="s">
        <v>1048</v>
      </c>
      <c r="F47" s="968">
        <f t="shared" si="10"/>
        <v>-154344.02000000002</v>
      </c>
      <c r="H47" s="968">
        <f t="shared" si="11"/>
        <v>0</v>
      </c>
      <c r="J47" s="968">
        <f t="shared" si="12"/>
        <v>-154344.02000000002</v>
      </c>
      <c r="L47" s="968">
        <f t="shared" si="13"/>
        <v>0</v>
      </c>
      <c r="N47" s="968">
        <f t="shared" si="14"/>
        <v>-154344.02000000002</v>
      </c>
      <c r="O47" s="968"/>
      <c r="S47" s="970"/>
    </row>
    <row r="48" spans="1:19" ht="15">
      <c r="A48" s="1495">
        <v>39</v>
      </c>
      <c r="B48" s="967" t="s">
        <v>108</v>
      </c>
      <c r="F48" s="968">
        <f t="shared" si="10"/>
        <v>99758.42</v>
      </c>
      <c r="H48" s="968">
        <f t="shared" ca="1" si="11"/>
        <v>-120688.86924774514</v>
      </c>
      <c r="I48" s="967" t="s">
        <v>705</v>
      </c>
      <c r="J48" s="968">
        <f t="shared" ca="1" si="12"/>
        <v>-20930.449247745135</v>
      </c>
      <c r="L48" s="968">
        <f t="shared" ca="1" si="13"/>
        <v>162108.0411549836</v>
      </c>
      <c r="M48" s="967" t="s">
        <v>705</v>
      </c>
      <c r="N48" s="968">
        <f t="shared" ca="1" si="14"/>
        <v>141177.59190723847</v>
      </c>
      <c r="O48" s="196"/>
      <c r="S48" s="970"/>
    </row>
    <row r="49" spans="1:19" ht="15">
      <c r="A49" s="1495">
        <v>40</v>
      </c>
      <c r="B49" s="967" t="s">
        <v>421</v>
      </c>
      <c r="F49" s="968">
        <f t="shared" si="10"/>
        <v>-227878.16</v>
      </c>
      <c r="H49" s="968">
        <f t="shared" ca="1" si="11"/>
        <v>225313.15396473711</v>
      </c>
      <c r="I49" s="967" t="s">
        <v>705</v>
      </c>
      <c r="J49" s="968">
        <f t="shared" ca="1" si="12"/>
        <v>-2565.0060352628843</v>
      </c>
      <c r="L49" s="968">
        <f t="shared" ca="1" si="13"/>
        <v>29068.93442836147</v>
      </c>
      <c r="M49" s="967" t="s">
        <v>705</v>
      </c>
      <c r="N49" s="968">
        <f t="shared" ca="1" si="14"/>
        <v>26503.928393098584</v>
      </c>
      <c r="O49" s="196"/>
      <c r="S49" s="970"/>
    </row>
    <row r="50" spans="1:19">
      <c r="A50" s="1495">
        <v>41</v>
      </c>
      <c r="B50" s="967" t="s">
        <v>1040</v>
      </c>
      <c r="F50" s="968">
        <f t="shared" si="10"/>
        <v>-4627.7799999999988</v>
      </c>
      <c r="H50" s="968">
        <f t="shared" si="11"/>
        <v>-4724.441527752082</v>
      </c>
      <c r="I50" s="967" t="s">
        <v>703</v>
      </c>
      <c r="J50" s="968">
        <f t="shared" si="12"/>
        <v>-9352.2215277520809</v>
      </c>
      <c r="L50" s="968">
        <f t="shared" si="13"/>
        <v>0</v>
      </c>
      <c r="N50" s="968">
        <f t="shared" si="14"/>
        <v>-9352.2215277520809</v>
      </c>
      <c r="O50" s="984"/>
      <c r="S50" s="970"/>
    </row>
    <row r="51" spans="1:19">
      <c r="A51" s="1495">
        <v>42</v>
      </c>
      <c r="F51" s="980"/>
      <c r="H51" s="980"/>
      <c r="J51" s="980"/>
      <c r="L51" s="980"/>
      <c r="N51" s="980"/>
      <c r="O51" s="984"/>
      <c r="S51" s="970"/>
    </row>
    <row r="52" spans="1:19">
      <c r="A52" s="1495">
        <v>43</v>
      </c>
      <c r="C52" s="967" t="s">
        <v>314</v>
      </c>
      <c r="E52" s="977"/>
      <c r="F52" s="981">
        <f>SUM(F44:F51)</f>
        <v>185781.83999999997</v>
      </c>
      <c r="G52" s="977"/>
      <c r="H52" s="981">
        <f ca="1">SUM(H44:H51)</f>
        <v>125381.16666356302</v>
      </c>
      <c r="I52" s="977"/>
      <c r="J52" s="981">
        <f ca="1">SUM(J44:J51)</f>
        <v>311163.00666356302</v>
      </c>
      <c r="K52" s="977"/>
      <c r="L52" s="981">
        <f ca="1">SUM(L44:L51)</f>
        <v>192049.21625653846</v>
      </c>
      <c r="M52" s="977"/>
      <c r="N52" s="981">
        <f ca="1">SUM(N44:N51)</f>
        <v>503212.22292010149</v>
      </c>
      <c r="O52" s="968"/>
    </row>
    <row r="53" spans="1:19">
      <c r="A53" s="1495">
        <v>44</v>
      </c>
      <c r="F53" s="983"/>
      <c r="H53" s="983"/>
      <c r="J53" s="983"/>
      <c r="L53" s="983"/>
      <c r="N53" s="983"/>
      <c r="O53" s="984"/>
    </row>
    <row r="54" spans="1:19">
      <c r="A54" s="1495">
        <v>45</v>
      </c>
      <c r="B54" s="967" t="s">
        <v>455</v>
      </c>
      <c r="E54" s="977"/>
      <c r="F54" s="981">
        <f>F52+F42+F29</f>
        <v>1817339.4299999995</v>
      </c>
      <c r="G54" s="977"/>
      <c r="H54" s="981">
        <f ca="1">H52+H42+H29</f>
        <v>199840.89530062021</v>
      </c>
      <c r="I54" s="977"/>
      <c r="J54" s="981">
        <f ca="1">J52+J42+J29</f>
        <v>2017180.3253006199</v>
      </c>
      <c r="K54" s="977"/>
      <c r="L54" s="981">
        <f ca="1">L52+L42+L29</f>
        <v>202308.87001512889</v>
      </c>
      <c r="M54" s="977"/>
      <c r="N54" s="981">
        <f ca="1">N52+N42+N29</f>
        <v>2219489.1953157485</v>
      </c>
      <c r="O54" s="968"/>
    </row>
    <row r="55" spans="1:19">
      <c r="A55" s="1495">
        <v>46</v>
      </c>
      <c r="F55" s="983"/>
      <c r="H55" s="983"/>
      <c r="J55" s="983"/>
      <c r="L55" s="983"/>
      <c r="N55" s="983"/>
      <c r="O55" s="968"/>
    </row>
    <row r="56" spans="1:19">
      <c r="A56" s="1495">
        <v>47</v>
      </c>
      <c r="B56" s="976" t="s">
        <v>465</v>
      </c>
      <c r="C56" s="976"/>
      <c r="D56" s="976"/>
      <c r="E56" s="977"/>
      <c r="F56" s="981">
        <f>F15-F54</f>
        <v>357924.14000000176</v>
      </c>
      <c r="G56" s="977"/>
      <c r="H56" s="981">
        <f ca="1">H15-H54</f>
        <v>-207344.31101343359</v>
      </c>
      <c r="I56" s="977"/>
      <c r="J56" s="981">
        <f ca="1">J15-J54</f>
        <v>150579.82898656791</v>
      </c>
      <c r="K56" s="977"/>
      <c r="L56" s="981">
        <f ca="1">L15-L54</f>
        <v>314680.31518320332</v>
      </c>
      <c r="M56" s="977"/>
      <c r="N56" s="981">
        <f ca="1">N15-N54</f>
        <v>465260.14416977158</v>
      </c>
      <c r="O56" s="968"/>
    </row>
    <row r="57" spans="1:19">
      <c r="A57" s="1495">
        <v>48</v>
      </c>
      <c r="F57" s="983"/>
      <c r="H57" s="983"/>
      <c r="J57" s="983"/>
      <c r="L57" s="983"/>
      <c r="N57" s="983"/>
      <c r="O57" s="968"/>
    </row>
    <row r="58" spans="1:19">
      <c r="A58" s="1495">
        <v>49</v>
      </c>
      <c r="B58" s="967" t="s">
        <v>1041</v>
      </c>
      <c r="F58" s="968">
        <f>F120+F182</f>
        <v>0</v>
      </c>
      <c r="H58" s="968">
        <f>H120+H182</f>
        <v>0</v>
      </c>
      <c r="J58" s="968">
        <f>J120+J182</f>
        <v>0</v>
      </c>
      <c r="L58" s="968">
        <f>+L120+L182</f>
        <v>0</v>
      </c>
      <c r="N58" s="968">
        <f>+N120+N182</f>
        <v>0</v>
      </c>
      <c r="O58" s="892"/>
    </row>
    <row r="59" spans="1:19">
      <c r="A59" s="1495">
        <v>50</v>
      </c>
      <c r="B59" s="967" t="s">
        <v>749</v>
      </c>
      <c r="F59" s="968">
        <f>F121+F183</f>
        <v>-5026.3200000000006</v>
      </c>
      <c r="H59" s="968">
        <f>H121+H183</f>
        <v>0</v>
      </c>
      <c r="J59" s="968">
        <f>J121+J183</f>
        <v>-5026.3200000000006</v>
      </c>
      <c r="L59" s="968">
        <f>L121+L183</f>
        <v>0</v>
      </c>
      <c r="N59" s="968">
        <f>N121+N183</f>
        <v>-5026.3200000000006</v>
      </c>
      <c r="O59" s="968"/>
    </row>
    <row r="60" spans="1:19">
      <c r="A60" s="1495">
        <v>51</v>
      </c>
      <c r="B60" s="967" t="s">
        <v>113</v>
      </c>
      <c r="F60" s="968">
        <f>F122+F184</f>
        <v>175512.63999999996</v>
      </c>
      <c r="H60" s="968">
        <f ca="1">H122+H184</f>
        <v>15696.884585132095</v>
      </c>
      <c r="I60" s="967" t="s">
        <v>1469</v>
      </c>
      <c r="J60" s="968">
        <f ca="1">J122+J184</f>
        <v>191209.52458513205</v>
      </c>
      <c r="L60" s="968">
        <f>L122+L184</f>
        <v>0</v>
      </c>
      <c r="N60" s="968">
        <f ca="1">N122+N184</f>
        <v>191209.52458513205</v>
      </c>
      <c r="O60" s="968"/>
    </row>
    <row r="61" spans="1:19" ht="13.5" thickBot="1">
      <c r="A61" s="1495">
        <v>52</v>
      </c>
      <c r="F61" s="980"/>
      <c r="H61" s="980"/>
      <c r="J61" s="980"/>
      <c r="L61" s="980"/>
      <c r="N61" s="980"/>
      <c r="O61" s="892"/>
      <c r="P61" s="1060"/>
    </row>
    <row r="62" spans="1:19" ht="13.5" thickBot="1">
      <c r="A62" s="1495">
        <v>53</v>
      </c>
      <c r="B62" s="982" t="s">
        <v>420</v>
      </c>
      <c r="C62" s="982"/>
      <c r="E62" s="977"/>
      <c r="F62" s="985">
        <f>F56-F59-F60-F58</f>
        <v>187437.82000000181</v>
      </c>
      <c r="G62" s="977"/>
      <c r="H62" s="985">
        <f ca="1">H56-H59-H60-H58</f>
        <v>-223041.19559856568</v>
      </c>
      <c r="I62" s="977"/>
      <c r="J62" s="985">
        <f ca="1">J56-J59-J60-J58</f>
        <v>-35603.375598564133</v>
      </c>
      <c r="K62" s="977"/>
      <c r="L62" s="985">
        <f ca="1">L56-L59-L60-L58</f>
        <v>314680.31518320332</v>
      </c>
      <c r="M62" s="977"/>
      <c r="N62" s="985">
        <f ca="1">N56-N59-N60-N58</f>
        <v>279076.93958463951</v>
      </c>
      <c r="O62" s="1061">
        <f ca="1">N62/N15</f>
        <v>0.10394897411097573</v>
      </c>
      <c r="P62" s="987">
        <f>F62/F15</f>
        <v>8.6167866085304648E-2</v>
      </c>
    </row>
    <row r="63" spans="1:19" ht="13.5" thickTop="1">
      <c r="B63" s="982"/>
      <c r="C63" s="982"/>
      <c r="E63" s="977"/>
      <c r="F63" s="988"/>
      <c r="G63" s="977"/>
      <c r="H63" s="988"/>
      <c r="I63" s="977"/>
      <c r="J63" s="988"/>
      <c r="K63" s="977"/>
      <c r="L63" s="988"/>
      <c r="M63" s="977"/>
      <c r="N63" s="988"/>
      <c r="O63" s="989"/>
      <c r="P63" s="1060"/>
    </row>
    <row r="64" spans="1:19">
      <c r="A64" s="966" t="str">
        <f>A1</f>
        <v>WATER SERVICE CORPORATION OF KENTUCKY</v>
      </c>
      <c r="B64" s="892"/>
      <c r="C64" s="966"/>
      <c r="N64" s="969" t="str">
        <f>N1</f>
        <v>Schedule B</v>
      </c>
      <c r="P64" s="1060"/>
    </row>
    <row r="65" spans="1:16">
      <c r="A65" s="967" t="s">
        <v>1042</v>
      </c>
      <c r="B65" s="892"/>
      <c r="N65" s="969" t="s">
        <v>1095</v>
      </c>
      <c r="P65" s="1060"/>
    </row>
    <row r="66" spans="1:16">
      <c r="A66" s="967" t="str">
        <f>A4</f>
        <v>Test Year Ended 6/30/2015</v>
      </c>
      <c r="B66" s="892"/>
      <c r="P66" s="1060"/>
    </row>
    <row r="67" spans="1:16">
      <c r="A67" s="967"/>
      <c r="B67" s="892"/>
      <c r="P67" s="1060"/>
    </row>
    <row r="68" spans="1:16" s="1489" customFormat="1">
      <c r="B68" s="1490"/>
      <c r="C68" s="1490" t="s">
        <v>235</v>
      </c>
      <c r="D68" s="1490"/>
      <c r="E68" s="1490"/>
      <c r="F68" s="1491" t="s">
        <v>236</v>
      </c>
      <c r="G68" s="1490"/>
      <c r="H68" s="1491" t="s">
        <v>237</v>
      </c>
      <c r="I68" s="1492"/>
      <c r="J68" s="1493" t="s">
        <v>238</v>
      </c>
      <c r="K68" s="1490"/>
      <c r="L68" s="1491" t="s">
        <v>239</v>
      </c>
      <c r="M68" s="1490"/>
      <c r="N68" s="1491" t="s">
        <v>869</v>
      </c>
      <c r="O68" s="1490"/>
      <c r="P68" s="1494"/>
    </row>
    <row r="69" spans="1:16" s="1489" customFormat="1">
      <c r="B69" s="1490"/>
      <c r="C69" s="1490"/>
      <c r="D69" s="1490"/>
      <c r="E69" s="1490"/>
      <c r="F69" s="1491"/>
      <c r="G69" s="1490"/>
      <c r="H69" s="1491"/>
      <c r="I69" s="1492"/>
      <c r="J69" s="1493"/>
      <c r="K69" s="1490"/>
      <c r="L69" s="1491"/>
      <c r="M69" s="1490"/>
      <c r="N69" s="1491"/>
      <c r="O69" s="1490"/>
      <c r="P69" s="1494"/>
    </row>
    <row r="70" spans="1:16">
      <c r="B70" s="973"/>
      <c r="C70" s="973"/>
      <c r="D70" s="973"/>
      <c r="E70" s="973"/>
      <c r="F70" s="974" t="s">
        <v>410</v>
      </c>
      <c r="G70" s="973"/>
      <c r="H70" s="974" t="s">
        <v>454</v>
      </c>
      <c r="I70" s="973"/>
      <c r="J70" s="974" t="s">
        <v>454</v>
      </c>
      <c r="K70" s="973"/>
      <c r="L70" s="974" t="s">
        <v>139</v>
      </c>
      <c r="M70" s="973"/>
      <c r="N70" s="974" t="s">
        <v>454</v>
      </c>
      <c r="P70" s="1060"/>
    </row>
    <row r="71" spans="1:16">
      <c r="A71" s="975" t="s">
        <v>1786</v>
      </c>
      <c r="B71" s="973"/>
      <c r="C71" s="973"/>
      <c r="D71" s="973"/>
      <c r="E71" s="973"/>
      <c r="F71" s="975" t="s">
        <v>495</v>
      </c>
      <c r="G71" s="973"/>
      <c r="H71" s="975" t="s">
        <v>3993</v>
      </c>
      <c r="I71" s="973"/>
      <c r="J71" s="975" t="s">
        <v>446</v>
      </c>
      <c r="K71" s="973"/>
      <c r="L71" s="975" t="s">
        <v>453</v>
      </c>
      <c r="M71" s="973"/>
      <c r="N71" s="975" t="s">
        <v>139</v>
      </c>
      <c r="P71" s="1060"/>
    </row>
    <row r="72" spans="1:16">
      <c r="A72" s="1495">
        <v>1</v>
      </c>
      <c r="B72" s="976" t="s">
        <v>452</v>
      </c>
      <c r="C72" s="976"/>
      <c r="D72" s="976"/>
      <c r="P72" s="1060"/>
    </row>
    <row r="73" spans="1:16">
      <c r="A73" s="1495">
        <v>2</v>
      </c>
      <c r="B73" s="892"/>
      <c r="C73" s="967" t="s">
        <v>145</v>
      </c>
      <c r="E73" s="977"/>
      <c r="F73" s="968">
        <f>-('Linked TB'!E339+'Linked TB'!E340+'Linked TB'!E341+'Linked TB'!E342+'Linked TB'!E343+'Linked TB'!E344+'Linked TB'!E345+'Linked TB'!E346)</f>
        <v>2107764.9900000007</v>
      </c>
      <c r="G73" s="977"/>
      <c r="H73" s="968">
        <f>J73-F73</f>
        <v>-7503.4157128133811</v>
      </c>
      <c r="I73" s="978"/>
      <c r="J73" s="968">
        <f>IF('Input Schedule'!D32,'Sch.D-Revenue'!M401,'Sch.D-2-Revenue'!M401)</f>
        <v>2100261.5742871873</v>
      </c>
      <c r="K73" s="977"/>
      <c r="L73" s="968">
        <f ca="1">'Sch.E-Rev Req'!E27</f>
        <v>516989.18519833224</v>
      </c>
      <c r="M73" s="978"/>
      <c r="N73" s="968">
        <f ca="1">J73+L73</f>
        <v>2617250.7594855195</v>
      </c>
      <c r="O73" s="990"/>
      <c r="P73" s="1060"/>
    </row>
    <row r="74" spans="1:16">
      <c r="A74" s="1495">
        <v>3</v>
      </c>
      <c r="B74" s="892"/>
      <c r="C74" s="967" t="s">
        <v>282</v>
      </c>
      <c r="E74" s="977"/>
      <c r="F74" s="968">
        <v>0</v>
      </c>
      <c r="G74" s="977"/>
      <c r="H74" s="968">
        <v>0</v>
      </c>
      <c r="I74" s="978"/>
      <c r="J74" s="968">
        <f>F74+H74</f>
        <v>0</v>
      </c>
      <c r="K74" s="977"/>
      <c r="L74" s="968">
        <v>0</v>
      </c>
      <c r="M74" s="978"/>
      <c r="N74" s="968">
        <f>J74+L74</f>
        <v>0</v>
      </c>
      <c r="O74" s="990"/>
    </row>
    <row r="75" spans="1:16">
      <c r="A75" s="1495">
        <v>4</v>
      </c>
      <c r="B75" s="892"/>
      <c r="C75" s="967" t="s">
        <v>283</v>
      </c>
      <c r="F75" s="968">
        <f>-(+'Linked TB'!E353+'Linked TB'!E354+'Linked TB'!E352+'Linked TB'!E355+'Linked TB'!E670)</f>
        <v>67498.580000000642</v>
      </c>
      <c r="H75" s="968">
        <v>0</v>
      </c>
      <c r="J75" s="968">
        <f>F75+H75</f>
        <v>67498.580000000642</v>
      </c>
      <c r="L75" s="968">
        <v>0</v>
      </c>
      <c r="N75" s="968">
        <f>J75+L75</f>
        <v>67498.580000000642</v>
      </c>
      <c r="O75" s="990"/>
    </row>
    <row r="76" spans="1:16">
      <c r="A76" s="1495">
        <v>5</v>
      </c>
      <c r="F76" s="980"/>
      <c r="H76" s="980"/>
      <c r="J76" s="980"/>
      <c r="L76" s="980"/>
      <c r="N76" s="980"/>
      <c r="O76" s="990"/>
    </row>
    <row r="77" spans="1:16">
      <c r="A77" s="1495">
        <v>6</v>
      </c>
      <c r="B77" s="967" t="s">
        <v>525</v>
      </c>
      <c r="E77" s="977"/>
      <c r="F77" s="981">
        <f>SUM(F72:F75)</f>
        <v>2175263.5700000012</v>
      </c>
      <c r="G77" s="977"/>
      <c r="H77" s="981">
        <f>SUM(H72:H75)</f>
        <v>-7503.4157128133811</v>
      </c>
      <c r="I77" s="977"/>
      <c r="J77" s="981">
        <f>SUM(J72:J75)</f>
        <v>2167760.1542871878</v>
      </c>
      <c r="K77" s="977"/>
      <c r="L77" s="981">
        <f ca="1">SUM(L72:L75)</f>
        <v>516989.18519833224</v>
      </c>
      <c r="M77" s="977"/>
      <c r="N77" s="981">
        <f ca="1">SUM(N72:N75)</f>
        <v>2684749.33948552</v>
      </c>
      <c r="O77" s="990"/>
    </row>
    <row r="78" spans="1:16">
      <c r="A78" s="1495">
        <v>7</v>
      </c>
      <c r="O78" s="990"/>
    </row>
    <row r="79" spans="1:16">
      <c r="A79" s="1495">
        <v>8</v>
      </c>
      <c r="B79" s="976" t="s">
        <v>418</v>
      </c>
      <c r="C79" s="976"/>
      <c r="D79" s="976"/>
      <c r="O79" s="990"/>
    </row>
    <row r="80" spans="1:16">
      <c r="A80" s="1495">
        <v>9</v>
      </c>
      <c r="C80" s="967" t="s">
        <v>419</v>
      </c>
      <c r="F80" s="968">
        <f>+'Linked TB'!E495+'Linked TB'!E500</f>
        <v>510822.42000000051</v>
      </c>
      <c r="H80" s="968">
        <f>+'wp-b-Salary'!C11</f>
        <v>27338.587799999514</v>
      </c>
      <c r="J80" s="968">
        <f>H80+F80</f>
        <v>538161.00780000002</v>
      </c>
      <c r="L80" s="968">
        <v>0</v>
      </c>
      <c r="N80" s="968">
        <f t="shared" ref="N80:N89" si="15">J80+L80</f>
        <v>538161.00780000002</v>
      </c>
      <c r="O80" s="990"/>
    </row>
    <row r="81" spans="1:15">
      <c r="A81" s="1495">
        <v>10</v>
      </c>
      <c r="C81" s="967" t="str">
        <f>+D19</f>
        <v>Purchase Water/Sewer</v>
      </c>
      <c r="F81" s="968">
        <f>+'Linked TB'!E371</f>
        <v>123204</v>
      </c>
      <c r="H81" s="968">
        <v>0</v>
      </c>
      <c r="J81" s="968">
        <f t="shared" ref="J81:J88" si="16">F81+H81</f>
        <v>123204</v>
      </c>
      <c r="L81" s="968">
        <v>0</v>
      </c>
      <c r="N81" s="968">
        <f t="shared" si="15"/>
        <v>123204</v>
      </c>
      <c r="O81" s="990"/>
    </row>
    <row r="82" spans="1:15">
      <c r="A82" s="1495">
        <v>11</v>
      </c>
      <c r="C82" s="967" t="s">
        <v>317</v>
      </c>
      <c r="F82" s="968">
        <f>+'Linked TB'!E376</f>
        <v>89772.75</v>
      </c>
      <c r="H82" s="968">
        <v>0</v>
      </c>
      <c r="J82" s="968">
        <f t="shared" si="16"/>
        <v>89772.75</v>
      </c>
      <c r="L82" s="968">
        <v>0</v>
      </c>
      <c r="N82" s="968">
        <f t="shared" si="15"/>
        <v>89772.75</v>
      </c>
      <c r="O82" s="990"/>
    </row>
    <row r="83" spans="1:15">
      <c r="A83" s="1495">
        <v>12</v>
      </c>
      <c r="C83" s="967" t="s">
        <v>313</v>
      </c>
      <c r="F83" s="968">
        <f>+'Linked TB'!E550</f>
        <v>101452.29999999999</v>
      </c>
      <c r="H83" s="968">
        <f>J83-F83</f>
        <v>14155.89652784291</v>
      </c>
      <c r="J83" s="968">
        <f>+'wp-j-Maint&amp;Rep Adj'!M28-'wp-m-Expense Reports'!E41</f>
        <v>115608.1965278429</v>
      </c>
      <c r="L83" s="968">
        <v>0</v>
      </c>
      <c r="N83" s="968">
        <f t="shared" si="15"/>
        <v>115608.1965278429</v>
      </c>
      <c r="O83" s="990"/>
    </row>
    <row r="84" spans="1:15">
      <c r="A84" s="1495">
        <v>13</v>
      </c>
      <c r="C84" s="967" t="s">
        <v>70</v>
      </c>
      <c r="F84" s="968">
        <f>+'Linked TB'!E528</f>
        <v>37602.36</v>
      </c>
      <c r="H84" s="968">
        <v>0</v>
      </c>
      <c r="J84" s="968">
        <f t="shared" si="16"/>
        <v>37602.36</v>
      </c>
      <c r="L84" s="968">
        <v>0</v>
      </c>
      <c r="N84" s="968">
        <f t="shared" si="15"/>
        <v>37602.36</v>
      </c>
      <c r="O84" s="990"/>
    </row>
    <row r="85" spans="1:15">
      <c r="A85" s="1495">
        <v>14</v>
      </c>
      <c r="C85" s="967" t="s">
        <v>445</v>
      </c>
      <c r="F85" s="968">
        <f>+'Linked TB'!E385</f>
        <v>0</v>
      </c>
      <c r="H85" s="968">
        <v>0</v>
      </c>
      <c r="J85" s="968">
        <f t="shared" si="16"/>
        <v>0</v>
      </c>
      <c r="L85" s="968">
        <v>0</v>
      </c>
      <c r="N85" s="968">
        <f t="shared" si="15"/>
        <v>0</v>
      </c>
      <c r="O85" s="990"/>
    </row>
    <row r="86" spans="1:15">
      <c r="A86" s="1495">
        <v>15</v>
      </c>
      <c r="C86" s="967" t="s">
        <v>663</v>
      </c>
      <c r="F86" s="968">
        <f>+'Linked TB'!E381</f>
        <v>132664.26</v>
      </c>
      <c r="H86" s="968">
        <f>'wp-k-Chemicals'!E11</f>
        <v>-18356.567999999999</v>
      </c>
      <c r="J86" s="968">
        <f t="shared" si="16"/>
        <v>114307.69200000001</v>
      </c>
      <c r="L86" s="968">
        <v>0</v>
      </c>
      <c r="N86" s="968">
        <f t="shared" si="15"/>
        <v>114307.69200000001</v>
      </c>
      <c r="O86" s="990"/>
    </row>
    <row r="87" spans="1:15">
      <c r="A87" s="1495">
        <v>16</v>
      </c>
      <c r="C87" s="967" t="s">
        <v>88</v>
      </c>
      <c r="F87" s="968">
        <f>+'Linked TB'!E521</f>
        <v>39043.47</v>
      </c>
      <c r="H87" s="968">
        <f>+J87-F87</f>
        <v>-41.349464680606616</v>
      </c>
      <c r="J87" s="968">
        <f>+'wp-l-Transportation Expense'!M14</f>
        <v>39002.120535319395</v>
      </c>
      <c r="L87" s="968">
        <v>0</v>
      </c>
      <c r="N87" s="968">
        <f t="shared" si="15"/>
        <v>39002.120535319395</v>
      </c>
      <c r="O87" s="990"/>
    </row>
    <row r="88" spans="1:15">
      <c r="A88" s="1495">
        <v>17</v>
      </c>
      <c r="C88" s="967" t="s">
        <v>415</v>
      </c>
      <c r="F88" s="968">
        <f>+'Linked TB'!E503</f>
        <v>-159697.67000000077</v>
      </c>
      <c r="H88" s="968">
        <f>+'wp-b-Salary'!C15</f>
        <v>4448.7135143444757</v>
      </c>
      <c r="J88" s="968">
        <f t="shared" si="16"/>
        <v>-155248.95648565629</v>
      </c>
      <c r="L88" s="968">
        <v>0</v>
      </c>
      <c r="N88" s="968">
        <f t="shared" si="15"/>
        <v>-155248.95648565629</v>
      </c>
      <c r="O88" s="990"/>
    </row>
    <row r="89" spans="1:15">
      <c r="A89" s="1495">
        <v>18</v>
      </c>
      <c r="C89" s="967" t="s">
        <v>72</v>
      </c>
      <c r="F89" s="968">
        <f>+'Linked TB'!E478+'Linked TB'!E481+'Linked TB'!E482</f>
        <v>90873.59</v>
      </c>
      <c r="H89" s="968">
        <f>'wp-n-Outside Services'!H20+'wp-n-Outside Services'!J20+'wp-r-Check Collect Fee'!D28</f>
        <v>-31919.009999999995</v>
      </c>
      <c r="J89" s="968">
        <f>F89+H89</f>
        <v>58954.58</v>
      </c>
      <c r="L89" s="968">
        <v>0</v>
      </c>
      <c r="N89" s="968">
        <f t="shared" si="15"/>
        <v>58954.58</v>
      </c>
      <c r="O89" s="990"/>
    </row>
    <row r="90" spans="1:15">
      <c r="A90" s="1495">
        <v>19</v>
      </c>
      <c r="F90" s="980"/>
      <c r="H90" s="980"/>
      <c r="J90" s="980"/>
      <c r="L90" s="980"/>
      <c r="N90" s="980"/>
      <c r="O90" s="990"/>
    </row>
    <row r="91" spans="1:15">
      <c r="A91" s="1495">
        <v>20</v>
      </c>
      <c r="C91" s="967" t="s">
        <v>73</v>
      </c>
      <c r="E91" s="977"/>
      <c r="F91" s="981">
        <f>SUM(F80:F89)</f>
        <v>965737.47999999963</v>
      </c>
      <c r="G91" s="977"/>
      <c r="H91" s="981">
        <f>SUM(H80:H89)</f>
        <v>-4373.7296224937018</v>
      </c>
      <c r="I91" s="977"/>
      <c r="J91" s="981">
        <f>SUM(J80:J89)</f>
        <v>961363.7503775059</v>
      </c>
      <c r="K91" s="977"/>
      <c r="L91" s="981">
        <f>SUM(L80:L89)</f>
        <v>0</v>
      </c>
      <c r="M91" s="977"/>
      <c r="N91" s="981">
        <f>SUM(N80:N89)</f>
        <v>961363.7503775059</v>
      </c>
      <c r="O91" s="990"/>
    </row>
    <row r="92" spans="1:15">
      <c r="A92" s="1495">
        <v>21</v>
      </c>
      <c r="F92" s="983"/>
      <c r="H92" s="983"/>
      <c r="J92" s="983"/>
      <c r="L92" s="983"/>
      <c r="N92" s="983"/>
      <c r="O92" s="990"/>
    </row>
    <row r="93" spans="1:15">
      <c r="A93" s="1495">
        <v>22</v>
      </c>
      <c r="B93" s="976" t="s">
        <v>74</v>
      </c>
      <c r="C93" s="976"/>
      <c r="D93" s="976"/>
      <c r="O93" s="990"/>
    </row>
    <row r="94" spans="1:15">
      <c r="A94" s="1495">
        <v>23</v>
      </c>
      <c r="C94" s="967" t="s">
        <v>419</v>
      </c>
      <c r="E94" s="977"/>
      <c r="F94" s="968">
        <f>+'Linked TB'!E490+'Linked TB'!E491+'Linked TB'!E492+'Linked TB'!E493+'Linked TB'!E494+'Linked TB'!E496+'Linked TB'!E497+'Linked TB'!E498+'Linked TB'!E499+'Linked TB'!E501+'Linked TB'!E502</f>
        <v>165731.15</v>
      </c>
      <c r="G94" s="977"/>
      <c r="H94" s="968">
        <f>+'wp-b-Salary'!C12</f>
        <v>39330.329061744589</v>
      </c>
      <c r="I94" s="978"/>
      <c r="J94" s="968">
        <f>F94+H94</f>
        <v>205061.47906174458</v>
      </c>
      <c r="K94" s="977"/>
      <c r="L94" s="968">
        <v>0</v>
      </c>
      <c r="M94" s="977"/>
      <c r="N94" s="968">
        <f t="shared" ref="N94:N99" si="17">J94+L94</f>
        <v>205061.47906174458</v>
      </c>
      <c r="O94" s="990"/>
    </row>
    <row r="95" spans="1:15">
      <c r="A95" s="1495">
        <v>24</v>
      </c>
      <c r="C95" s="967" t="s">
        <v>309</v>
      </c>
      <c r="F95" s="968">
        <f>+'Linked TB'!E399+'Linked TB'!E427+'Linked TB'!E452</f>
        <v>57999.130000000005</v>
      </c>
      <c r="H95" s="968">
        <f>'wp-m-Expense Reports'!E53</f>
        <v>-390.50817599999993</v>
      </c>
      <c r="J95" s="968">
        <f>F95+H95</f>
        <v>57608.621824000002</v>
      </c>
      <c r="L95" s="968">
        <v>0</v>
      </c>
      <c r="N95" s="968">
        <f t="shared" si="17"/>
        <v>57608.621824000002</v>
      </c>
      <c r="O95" s="990"/>
    </row>
    <row r="96" spans="1:15">
      <c r="A96" s="1495">
        <v>25</v>
      </c>
      <c r="C96" s="967" t="s">
        <v>310</v>
      </c>
      <c r="F96" s="968">
        <f>+'Linked TB'!F480</f>
        <v>89438.599999999991</v>
      </c>
      <c r="H96" s="968">
        <f>J96-F96</f>
        <v>-2455.5999999999913</v>
      </c>
      <c r="J96" s="968">
        <f>'wp-d-rc.exp'!I53</f>
        <v>86983</v>
      </c>
      <c r="L96" s="968">
        <v>0</v>
      </c>
      <c r="N96" s="968">
        <f t="shared" si="17"/>
        <v>86983</v>
      </c>
      <c r="O96" s="990"/>
    </row>
    <row r="97" spans="1:16">
      <c r="A97" s="1495">
        <v>26</v>
      </c>
      <c r="C97" s="967" t="s">
        <v>1</v>
      </c>
      <c r="F97" s="968">
        <f>+'Linked TB'!E414</f>
        <v>158341.77999999997</v>
      </c>
      <c r="H97" s="968">
        <f>+'wp-m-Expense Reports'!E55+'wp-b-Salary'!C14</f>
        <v>45775.135603381495</v>
      </c>
      <c r="I97" s="978"/>
      <c r="J97" s="988">
        <f>F97+H97</f>
        <v>204116.91560338147</v>
      </c>
      <c r="K97" s="982"/>
      <c r="L97" s="968">
        <v>0</v>
      </c>
      <c r="M97" s="982"/>
      <c r="N97" s="988">
        <f t="shared" si="17"/>
        <v>204116.91560338147</v>
      </c>
      <c r="O97" s="990"/>
    </row>
    <row r="98" spans="1:16">
      <c r="A98" s="1495">
        <v>27</v>
      </c>
      <c r="C98" s="967" t="s">
        <v>303</v>
      </c>
      <c r="F98" s="968">
        <f>+'Linked TB'!E488</f>
        <v>8209.66</v>
      </c>
      <c r="H98" s="968">
        <v>0</v>
      </c>
      <c r="J98" s="988">
        <f>F98+H98</f>
        <v>8209.66</v>
      </c>
      <c r="K98" s="982"/>
      <c r="L98" s="968">
        <v>0</v>
      </c>
      <c r="N98" s="968">
        <f t="shared" si="17"/>
        <v>8209.66</v>
      </c>
      <c r="O98" s="990"/>
    </row>
    <row r="99" spans="1:16">
      <c r="A99" s="1495">
        <v>28</v>
      </c>
      <c r="C99" s="967" t="s">
        <v>304</v>
      </c>
      <c r="F99" s="968">
        <f>+'Linked TB'!E419</f>
        <v>69092.62999999999</v>
      </c>
      <c r="H99" s="968">
        <v>0</v>
      </c>
      <c r="J99" s="968">
        <f>F99+H99</f>
        <v>69092.62999999999</v>
      </c>
      <c r="L99" s="968">
        <v>0</v>
      </c>
      <c r="N99" s="968">
        <f t="shared" si="17"/>
        <v>69092.62999999999</v>
      </c>
      <c r="O99" s="990"/>
    </row>
    <row r="100" spans="1:16">
      <c r="A100" s="1495">
        <v>29</v>
      </c>
      <c r="B100" s="892"/>
      <c r="C100" s="967" t="s">
        <v>63</v>
      </c>
      <c r="F100" s="968">
        <f>'Linked TB'!E391</f>
        <v>41828.609999999986</v>
      </c>
      <c r="H100" s="968">
        <f>J100-F100</f>
        <v>-148.90533385277377</v>
      </c>
      <c r="J100" s="968">
        <f>J73*'Input Schedule'!C30</f>
        <v>41679.704666147212</v>
      </c>
      <c r="L100" s="968">
        <f ca="1">L73*'Input Schedule'!C30</f>
        <v>10259.653758590419</v>
      </c>
      <c r="N100" s="968">
        <f ca="1">J100+L100</f>
        <v>51939.358424737628</v>
      </c>
      <c r="O100" s="990"/>
    </row>
    <row r="101" spans="1:16">
      <c r="A101" s="1495">
        <v>30</v>
      </c>
      <c r="C101" s="967" t="s">
        <v>757</v>
      </c>
      <c r="F101" s="968">
        <f>+'Linked TB'!E467</f>
        <v>52351.929999999993</v>
      </c>
      <c r="H101" s="968">
        <f>'wp-m-Expense Reports'!E59</f>
        <v>-189.65988527192766</v>
      </c>
      <c r="J101" s="968">
        <f>F101+H101</f>
        <v>52162.270114728068</v>
      </c>
      <c r="L101" s="968">
        <v>0</v>
      </c>
      <c r="N101" s="968">
        <f>J101+L101</f>
        <v>52162.270114728068</v>
      </c>
      <c r="O101" s="990"/>
      <c r="P101" s="971"/>
    </row>
    <row r="102" spans="1:16">
      <c r="A102" s="1495">
        <v>31</v>
      </c>
      <c r="C102" s="967" t="s">
        <v>416</v>
      </c>
      <c r="F102" s="968">
        <f>+'Linked TB'!E439+'Linked TB'!E514</f>
        <v>22826.62</v>
      </c>
      <c r="H102" s="968">
        <f>'wp-m-Expense Reports'!E60</f>
        <v>-3087.3330104504794</v>
      </c>
      <c r="J102" s="968">
        <f>F102+H102</f>
        <v>19739.286989549521</v>
      </c>
      <c r="L102" s="968">
        <v>0</v>
      </c>
      <c r="N102" s="968">
        <f>J102+L102</f>
        <v>19739.286989549521</v>
      </c>
      <c r="O102" s="990"/>
    </row>
    <row r="103" spans="1:16">
      <c r="A103" s="1495">
        <v>32</v>
      </c>
      <c r="F103" s="980"/>
      <c r="H103" s="980"/>
      <c r="J103" s="980"/>
      <c r="L103" s="980"/>
      <c r="N103" s="980"/>
      <c r="O103" s="990"/>
    </row>
    <row r="104" spans="1:16">
      <c r="A104" s="1495">
        <v>33</v>
      </c>
      <c r="C104" s="967" t="s">
        <v>73</v>
      </c>
      <c r="E104" s="977"/>
      <c r="F104" s="981">
        <f>SUM(F94:F103)</f>
        <v>665820.11</v>
      </c>
      <c r="G104" s="977"/>
      <c r="H104" s="981">
        <f>SUM(H94:H103)</f>
        <v>78833.458259550898</v>
      </c>
      <c r="I104" s="977"/>
      <c r="J104" s="981">
        <f>SUM(J94:J103)</f>
        <v>744653.56825955084</v>
      </c>
      <c r="K104" s="977"/>
      <c r="L104" s="981">
        <f ca="1">SUM(L94:L103)</f>
        <v>10259.653758590419</v>
      </c>
      <c r="M104" s="977"/>
      <c r="N104" s="981">
        <f ca="1">SUM(N94:N103)</f>
        <v>754913.22201814118</v>
      </c>
      <c r="O104" s="990"/>
    </row>
    <row r="105" spans="1:16">
      <c r="A105" s="1495">
        <v>34</v>
      </c>
      <c r="F105" s="983"/>
      <c r="H105" s="983"/>
      <c r="J105" s="983"/>
      <c r="L105" s="983"/>
      <c r="N105" s="983"/>
      <c r="O105" s="990"/>
    </row>
    <row r="106" spans="1:16">
      <c r="A106" s="1495">
        <v>35</v>
      </c>
      <c r="B106" s="967" t="s">
        <v>417</v>
      </c>
      <c r="F106" s="968">
        <f>+'Linked TB'!E605+'Linked TB'!E609+'Linked TB'!E613</f>
        <v>335723.1</v>
      </c>
      <c r="H106" s="968">
        <f>J106-F106</f>
        <v>20231.434671075258</v>
      </c>
      <c r="J106" s="968">
        <f>'wp-f-depr new rates'!K56</f>
        <v>355954.53467107523</v>
      </c>
      <c r="N106" s="968">
        <f>J106+L106</f>
        <v>355954.53467107523</v>
      </c>
      <c r="O106" s="990"/>
    </row>
    <row r="107" spans="1:16">
      <c r="A107" s="1495">
        <v>36</v>
      </c>
      <c r="B107" s="967" t="s">
        <v>1038</v>
      </c>
      <c r="F107" s="968">
        <f>+'Linked TB'!E617</f>
        <v>-3660.48</v>
      </c>
      <c r="H107" s="968">
        <f>-F107</f>
        <v>3660.48</v>
      </c>
      <c r="J107" s="968">
        <f>+F107+H107</f>
        <v>0</v>
      </c>
      <c r="N107" s="988">
        <f>J107+L107</f>
        <v>0</v>
      </c>
      <c r="O107" s="990"/>
    </row>
    <row r="108" spans="1:16">
      <c r="A108" s="1495">
        <v>37</v>
      </c>
      <c r="B108" s="967" t="s">
        <v>62</v>
      </c>
      <c r="F108" s="968">
        <f>+'Linked TB'!E634+'Linked TB'!E643</f>
        <v>140810.76</v>
      </c>
      <c r="H108" s="968">
        <f>'wp-e-toi'!E35</f>
        <v>1589.4088032478721</v>
      </c>
      <c r="J108" s="968">
        <f>F108+H108</f>
        <v>142400.16880324789</v>
      </c>
      <c r="L108" s="968">
        <f ca="1">'wp-e-toi'!E48</f>
        <v>872.24067319338337</v>
      </c>
      <c r="N108" s="988">
        <f ca="1">J108+L108</f>
        <v>143272.40947644127</v>
      </c>
      <c r="O108" s="990"/>
    </row>
    <row r="109" spans="1:16">
      <c r="A109" s="1495">
        <v>38</v>
      </c>
      <c r="B109" s="967" t="s">
        <v>1048</v>
      </c>
      <c r="F109" s="968">
        <f>'Linked TB'!E356</f>
        <v>-154344.02000000002</v>
      </c>
      <c r="H109" s="968">
        <v>0</v>
      </c>
      <c r="J109" s="968">
        <f>F109+H109</f>
        <v>-154344.02000000002</v>
      </c>
      <c r="L109" s="968">
        <v>0</v>
      </c>
      <c r="N109" s="968">
        <f>J109+L109</f>
        <v>-154344.02000000002</v>
      </c>
      <c r="O109" s="990"/>
    </row>
    <row r="110" spans="1:16">
      <c r="A110" s="1495">
        <v>39</v>
      </c>
      <c r="B110" s="967" t="s">
        <v>108</v>
      </c>
      <c r="F110" s="968">
        <f>+'Linked TB'!E647+'Linked TB'!E645+'Linked TB'!E649</f>
        <v>99758.42</v>
      </c>
      <c r="H110" s="968">
        <f ca="1">+J110-F110</f>
        <v>-120688.86924774514</v>
      </c>
      <c r="J110" s="968">
        <f ca="1">+'wp(g)-inc.tx'!D37</f>
        <v>-20930.449247745135</v>
      </c>
      <c r="L110" s="968">
        <f ca="1">+N110-J110</f>
        <v>162108.0411549836</v>
      </c>
      <c r="N110" s="968">
        <f ca="1">+'wp(g)-inc.tx'!F37</f>
        <v>141177.59190723847</v>
      </c>
      <c r="O110" s="990"/>
    </row>
    <row r="111" spans="1:16">
      <c r="A111" s="1495">
        <v>40</v>
      </c>
      <c r="B111" s="967" t="s">
        <v>421</v>
      </c>
      <c r="F111" s="968">
        <f>+'Linked TB'!E648+'Linked TB'!E646</f>
        <v>-227878.16</v>
      </c>
      <c r="H111" s="968">
        <f ca="1">+J111-F111</f>
        <v>225313.15396473711</v>
      </c>
      <c r="J111" s="968">
        <f ca="1">+'wp(g)-inc.tx'!D26</f>
        <v>-2565.0060352628843</v>
      </c>
      <c r="L111" s="968">
        <f ca="1">+N111-J111</f>
        <v>29068.93442836147</v>
      </c>
      <c r="N111" s="968">
        <f ca="1">+'wp(g)-inc.tx'!F26</f>
        <v>26503.928393098584</v>
      </c>
      <c r="O111" s="990"/>
    </row>
    <row r="112" spans="1:16">
      <c r="A112" s="1495">
        <v>41</v>
      </c>
      <c r="B112" s="967" t="s">
        <v>1043</v>
      </c>
      <c r="F112" s="968">
        <f>+'Linked TB'!E628</f>
        <v>-4627.7799999999988</v>
      </c>
      <c r="H112" s="968">
        <f>J112-F112</f>
        <v>-4724.441527752082</v>
      </c>
      <c r="J112" s="968">
        <f>'wp-f-depr new rates'!K68</f>
        <v>-9352.2215277520809</v>
      </c>
      <c r="L112" s="968">
        <v>0</v>
      </c>
      <c r="N112" s="968">
        <f>J112+L112</f>
        <v>-9352.2215277520809</v>
      </c>
      <c r="O112" s="990"/>
    </row>
    <row r="113" spans="1:16">
      <c r="A113" s="1495">
        <v>42</v>
      </c>
      <c r="F113" s="980"/>
      <c r="H113" s="980"/>
      <c r="J113" s="980"/>
      <c r="L113" s="980"/>
      <c r="N113" s="980"/>
      <c r="O113" s="990"/>
    </row>
    <row r="114" spans="1:16">
      <c r="A114" s="1495">
        <v>43</v>
      </c>
      <c r="C114" s="967" t="s">
        <v>314</v>
      </c>
      <c r="E114" s="977"/>
      <c r="F114" s="981">
        <f>SUM(F106:F113)</f>
        <v>185781.83999999997</v>
      </c>
      <c r="G114" s="977"/>
      <c r="H114" s="981">
        <f ca="1">SUM(H106:H113)</f>
        <v>125381.16666356302</v>
      </c>
      <c r="I114" s="977"/>
      <c r="J114" s="981">
        <f ca="1">SUM(J106:J113)</f>
        <v>311163.00666356302</v>
      </c>
      <c r="K114" s="977"/>
      <c r="L114" s="981">
        <f ca="1">SUM(L106:L113)</f>
        <v>192049.21625653846</v>
      </c>
      <c r="M114" s="977"/>
      <c r="N114" s="981">
        <f ca="1">SUM(N106:N113)</f>
        <v>503212.22292010149</v>
      </c>
      <c r="O114" s="990"/>
    </row>
    <row r="115" spans="1:16">
      <c r="A115" s="1495">
        <v>44</v>
      </c>
      <c r="F115" s="983"/>
      <c r="H115" s="983"/>
      <c r="J115" s="983"/>
      <c r="L115" s="983"/>
      <c r="N115" s="983"/>
      <c r="O115" s="990"/>
    </row>
    <row r="116" spans="1:16">
      <c r="A116" s="1495">
        <v>45</v>
      </c>
      <c r="B116" s="967" t="s">
        <v>455</v>
      </c>
      <c r="E116" s="977"/>
      <c r="F116" s="981">
        <f>F114+F104+F91</f>
        <v>1817339.4299999997</v>
      </c>
      <c r="G116" s="977"/>
      <c r="H116" s="981">
        <f ca="1">H114+H104+H91</f>
        <v>199840.89530062021</v>
      </c>
      <c r="I116" s="977"/>
      <c r="J116" s="981">
        <f ca="1">J114+J104+J91</f>
        <v>2017180.3253006199</v>
      </c>
      <c r="K116" s="977"/>
      <c r="L116" s="981">
        <f ca="1">L114+L104+L91</f>
        <v>202308.87001512889</v>
      </c>
      <c r="M116" s="977"/>
      <c r="N116" s="981">
        <f ca="1">N114+N104+N91</f>
        <v>2219489.1953157485</v>
      </c>
      <c r="O116" s="990"/>
    </row>
    <row r="117" spans="1:16">
      <c r="A117" s="1495">
        <v>46</v>
      </c>
      <c r="F117" s="983"/>
      <c r="H117" s="983"/>
      <c r="J117" s="983"/>
      <c r="L117" s="983"/>
      <c r="N117" s="983"/>
      <c r="O117" s="990"/>
    </row>
    <row r="118" spans="1:16">
      <c r="A118" s="1495">
        <v>47</v>
      </c>
      <c r="B118" s="976" t="s">
        <v>465</v>
      </c>
      <c r="C118" s="976"/>
      <c r="D118" s="976"/>
      <c r="E118" s="977"/>
      <c r="F118" s="981">
        <f>+F77-F116</f>
        <v>357924.14000000153</v>
      </c>
      <c r="G118" s="977"/>
      <c r="H118" s="981">
        <f ca="1">+H77-H116</f>
        <v>-207344.31101343359</v>
      </c>
      <c r="I118" s="977"/>
      <c r="J118" s="981">
        <f ca="1">+J77-J116</f>
        <v>150579.82898656791</v>
      </c>
      <c r="K118" s="977"/>
      <c r="L118" s="981">
        <f ca="1">+L77-L116</f>
        <v>314680.31518320332</v>
      </c>
      <c r="M118" s="977"/>
      <c r="N118" s="981">
        <f ca="1">+N77-N116</f>
        <v>465260.14416977158</v>
      </c>
      <c r="O118" s="990"/>
    </row>
    <row r="119" spans="1:16">
      <c r="A119" s="1495">
        <v>48</v>
      </c>
      <c r="F119" s="983"/>
      <c r="H119" s="983"/>
      <c r="J119" s="983"/>
      <c r="L119" s="983"/>
      <c r="N119" s="983"/>
      <c r="O119" s="990"/>
    </row>
    <row r="120" spans="1:16">
      <c r="A120" s="1495">
        <v>49</v>
      </c>
      <c r="B120" s="967" t="s">
        <v>1041</v>
      </c>
      <c r="F120" s="983">
        <v>0</v>
      </c>
      <c r="H120" s="983">
        <v>0</v>
      </c>
      <c r="J120" s="968">
        <f>F120+H120</f>
        <v>0</v>
      </c>
      <c r="L120" s="968">
        <v>0</v>
      </c>
      <c r="N120" s="968">
        <f>J120+L120</f>
        <v>0</v>
      </c>
      <c r="O120" s="990"/>
    </row>
    <row r="121" spans="1:16">
      <c r="A121" s="1495">
        <v>50</v>
      </c>
      <c r="B121" s="967" t="s">
        <v>749</v>
      </c>
      <c r="F121" s="968">
        <f>+'Linked TB'!E682</f>
        <v>-5026.3200000000006</v>
      </c>
      <c r="H121" s="968">
        <v>0</v>
      </c>
      <c r="J121" s="968">
        <f>F121+H121</f>
        <v>-5026.3200000000006</v>
      </c>
      <c r="L121" s="968">
        <v>0</v>
      </c>
      <c r="N121" s="968">
        <f>J121+L121</f>
        <v>-5026.3200000000006</v>
      </c>
      <c r="O121" s="990"/>
    </row>
    <row r="122" spans="1:16">
      <c r="A122" s="1495">
        <v>51</v>
      </c>
      <c r="B122" s="967" t="s">
        <v>113</v>
      </c>
      <c r="F122" s="968">
        <f>+'Linked TB'!E678+'Linked TB'!E674</f>
        <v>175512.63999999996</v>
      </c>
      <c r="H122" s="968">
        <f ca="1">J122-F122</f>
        <v>15696.884585132095</v>
      </c>
      <c r="J122" s="968">
        <f ca="1">'wp.h-cap.struc'!F49</f>
        <v>191209.52458513205</v>
      </c>
      <c r="L122" s="968">
        <v>0</v>
      </c>
      <c r="N122" s="968">
        <f ca="1">J122+L122</f>
        <v>191209.52458513205</v>
      </c>
      <c r="O122" s="990"/>
    </row>
    <row r="123" spans="1:16" ht="13.5" thickBot="1">
      <c r="A123" s="1495">
        <v>52</v>
      </c>
      <c r="F123" s="980"/>
      <c r="H123" s="980"/>
      <c r="J123" s="980"/>
      <c r="L123" s="980"/>
      <c r="N123" s="980"/>
    </row>
    <row r="124" spans="1:16" ht="13.5" thickBot="1">
      <c r="A124" s="1495">
        <v>53</v>
      </c>
      <c r="B124" s="982" t="s">
        <v>420</v>
      </c>
      <c r="C124" s="982"/>
      <c r="E124" s="977"/>
      <c r="F124" s="985">
        <f>ROUND(F118-F121-F122-F120,0)</f>
        <v>187438</v>
      </c>
      <c r="G124" s="977"/>
      <c r="H124" s="985">
        <f ca="1">ROUND(H118-H121-H122-H120,0)</f>
        <v>-223041</v>
      </c>
      <c r="I124" s="977"/>
      <c r="J124" s="985">
        <f ca="1">ROUND(J118-J121-J122-J120,0)</f>
        <v>-35603</v>
      </c>
      <c r="K124" s="977"/>
      <c r="L124" s="985">
        <f ca="1">ROUND(L118-L121-L122-L120,0)</f>
        <v>314680</v>
      </c>
      <c r="M124" s="977"/>
      <c r="N124" s="985">
        <f ca="1">ROUND(N118-N121-N122-N120,0)</f>
        <v>279077</v>
      </c>
      <c r="O124" s="986">
        <f ca="1">N124/N77</f>
        <v>0.10394899661414189</v>
      </c>
      <c r="P124" s="987">
        <f>F124/F77</f>
        <v>8.616794883389689E-2</v>
      </c>
    </row>
    <row r="125" spans="1:16" ht="13.5" thickTop="1">
      <c r="F125" s="991">
        <f>F124+'Linked TB'!E693</f>
        <v>0.1799999987706542</v>
      </c>
      <c r="J125" s="983"/>
      <c r="L125" s="983"/>
      <c r="N125" s="983"/>
    </row>
    <row r="126" spans="1:16">
      <c r="A126" s="966" t="str">
        <f>A1</f>
        <v>WATER SERVICE CORPORATION OF KENTUCKY</v>
      </c>
      <c r="B126" s="892"/>
      <c r="C126" s="966"/>
      <c r="N126" s="969" t="str">
        <f>N1</f>
        <v>Schedule B</v>
      </c>
    </row>
    <row r="127" spans="1:16">
      <c r="A127" s="967" t="s">
        <v>1044</v>
      </c>
      <c r="B127" s="892"/>
      <c r="N127" s="969" t="s">
        <v>1045</v>
      </c>
    </row>
    <row r="128" spans="1:16">
      <c r="A128" s="967" t="str">
        <f>A4</f>
        <v>Test Year Ended 6/30/2015</v>
      </c>
      <c r="B128" s="892"/>
    </row>
    <row r="130" spans="1:16" s="1489" customFormat="1">
      <c r="B130" s="1490"/>
      <c r="C130" s="1490" t="s">
        <v>235</v>
      </c>
      <c r="D130" s="1490"/>
      <c r="E130" s="1490"/>
      <c r="F130" s="1491" t="s">
        <v>236</v>
      </c>
      <c r="G130" s="1490"/>
      <c r="H130" s="1491" t="s">
        <v>237</v>
      </c>
      <c r="I130" s="1492"/>
      <c r="J130" s="1493" t="s">
        <v>238</v>
      </c>
      <c r="K130" s="1490"/>
      <c r="L130" s="1491" t="s">
        <v>239</v>
      </c>
      <c r="M130" s="1490"/>
      <c r="N130" s="1491" t="s">
        <v>869</v>
      </c>
      <c r="O130" s="1490"/>
      <c r="P130" s="1494"/>
    </row>
    <row r="132" spans="1:16">
      <c r="B132" s="973"/>
      <c r="C132" s="973"/>
      <c r="D132" s="973"/>
      <c r="E132" s="973"/>
      <c r="F132" s="974" t="s">
        <v>410</v>
      </c>
      <c r="G132" s="973"/>
      <c r="H132" s="974" t="s">
        <v>454</v>
      </c>
      <c r="I132" s="973"/>
      <c r="J132" s="974" t="s">
        <v>454</v>
      </c>
      <c r="K132" s="973"/>
      <c r="L132" s="974" t="s">
        <v>139</v>
      </c>
      <c r="M132" s="973"/>
      <c r="N132" s="974" t="s">
        <v>454</v>
      </c>
    </row>
    <row r="133" spans="1:16">
      <c r="A133" s="975" t="s">
        <v>1786</v>
      </c>
      <c r="B133" s="973"/>
      <c r="C133" s="973"/>
      <c r="D133" s="973"/>
      <c r="E133" s="973"/>
      <c r="F133" s="975" t="s">
        <v>495</v>
      </c>
      <c r="G133" s="973"/>
      <c r="H133" s="975" t="s">
        <v>3993</v>
      </c>
      <c r="I133" s="973"/>
      <c r="J133" s="975" t="s">
        <v>446</v>
      </c>
      <c r="K133" s="973"/>
      <c r="L133" s="975" t="s">
        <v>453</v>
      </c>
      <c r="M133" s="973"/>
      <c r="N133" s="975" t="s">
        <v>139</v>
      </c>
    </row>
    <row r="134" spans="1:16">
      <c r="A134" s="1495">
        <v>1</v>
      </c>
      <c r="B134" s="976" t="s">
        <v>452</v>
      </c>
      <c r="C134" s="976"/>
      <c r="D134" s="976"/>
    </row>
    <row r="135" spans="1:16">
      <c r="A135" s="1495">
        <v>2</v>
      </c>
      <c r="B135" s="892"/>
      <c r="C135" s="967" t="s">
        <v>145</v>
      </c>
      <c r="E135" s="977"/>
      <c r="G135" s="977"/>
      <c r="I135" s="978"/>
      <c r="K135" s="977"/>
      <c r="M135" s="978"/>
      <c r="O135" s="992"/>
    </row>
    <row r="136" spans="1:16">
      <c r="A136" s="1495">
        <v>3</v>
      </c>
      <c r="B136" s="892"/>
      <c r="C136" s="967" t="s">
        <v>282</v>
      </c>
      <c r="E136" s="977"/>
      <c r="F136" s="968">
        <v>0</v>
      </c>
      <c r="G136" s="993"/>
      <c r="I136" s="978"/>
      <c r="J136" s="968">
        <f>+F136+H136</f>
        <v>0</v>
      </c>
      <c r="K136" s="977"/>
      <c r="M136" s="978"/>
      <c r="O136" s="992"/>
    </row>
    <row r="137" spans="1:16">
      <c r="A137" s="1495">
        <v>4</v>
      </c>
      <c r="B137" s="892"/>
      <c r="C137" s="967" t="s">
        <v>283</v>
      </c>
      <c r="F137" s="968">
        <v>0</v>
      </c>
      <c r="H137" s="968">
        <v>0</v>
      </c>
      <c r="J137" s="968">
        <f>F137+H137</f>
        <v>0</v>
      </c>
    </row>
    <row r="138" spans="1:16">
      <c r="A138" s="1495">
        <v>5</v>
      </c>
      <c r="F138" s="980"/>
      <c r="H138" s="980"/>
      <c r="J138" s="980"/>
      <c r="L138" s="980"/>
      <c r="N138" s="980"/>
      <c r="O138" s="892"/>
      <c r="P138" s="892"/>
    </row>
    <row r="139" spans="1:16">
      <c r="A139" s="1495">
        <v>6</v>
      </c>
      <c r="B139" s="967" t="s">
        <v>525</v>
      </c>
      <c r="E139" s="977"/>
      <c r="F139" s="981">
        <f>SUM(F134:F137)</f>
        <v>0</v>
      </c>
      <c r="G139" s="977"/>
      <c r="H139" s="981">
        <f>SUM(H134:H137)</f>
        <v>0</v>
      </c>
      <c r="I139" s="977"/>
      <c r="J139" s="981">
        <f>SUM(J134:J137)</f>
        <v>0</v>
      </c>
      <c r="K139" s="977"/>
      <c r="L139" s="981">
        <f>SUM(L134:L137)</f>
        <v>0</v>
      </c>
      <c r="M139" s="977"/>
      <c r="N139" s="981">
        <f>SUM(N134:N137)</f>
        <v>0</v>
      </c>
      <c r="O139" s="892"/>
      <c r="P139" s="892"/>
    </row>
    <row r="140" spans="1:16">
      <c r="A140" s="1495">
        <v>7</v>
      </c>
    </row>
    <row r="141" spans="1:16">
      <c r="A141" s="1495">
        <v>8</v>
      </c>
      <c r="B141" s="976" t="s">
        <v>418</v>
      </c>
      <c r="C141" s="976"/>
      <c r="D141" s="976"/>
      <c r="O141" s="892"/>
      <c r="P141" s="892"/>
    </row>
    <row r="142" spans="1:16">
      <c r="A142" s="1495">
        <v>9</v>
      </c>
      <c r="C142" s="967" t="s">
        <v>419</v>
      </c>
      <c r="J142" s="968">
        <f t="shared" ref="J142:J149" si="18">F142+H142</f>
        <v>0</v>
      </c>
      <c r="L142" s="968">
        <v>0</v>
      </c>
      <c r="N142" s="968">
        <f t="shared" ref="N142:N151" si="19">J142+L142</f>
        <v>0</v>
      </c>
      <c r="O142" s="892"/>
      <c r="P142" s="892"/>
    </row>
    <row r="143" spans="1:16">
      <c r="A143" s="1495">
        <v>10</v>
      </c>
      <c r="C143" s="967" t="str">
        <f>+C81</f>
        <v>Purchase Water/Sewer</v>
      </c>
      <c r="H143" s="968">
        <v>0</v>
      </c>
      <c r="J143" s="968">
        <f>F143+H143</f>
        <v>0</v>
      </c>
      <c r="L143" s="968">
        <v>0</v>
      </c>
      <c r="N143" s="968">
        <f t="shared" si="19"/>
        <v>0</v>
      </c>
      <c r="O143" s="892"/>
      <c r="P143" s="892"/>
    </row>
    <row r="144" spans="1:16">
      <c r="A144" s="1495">
        <v>11</v>
      </c>
      <c r="C144" s="967" t="s">
        <v>317</v>
      </c>
      <c r="J144" s="968">
        <f t="shared" si="18"/>
        <v>0</v>
      </c>
      <c r="L144" s="968">
        <v>0</v>
      </c>
      <c r="N144" s="968">
        <f t="shared" si="19"/>
        <v>0</v>
      </c>
      <c r="O144" s="892"/>
      <c r="P144" s="892"/>
    </row>
    <row r="145" spans="1:16">
      <c r="A145" s="1495">
        <v>12</v>
      </c>
      <c r="C145" s="967" t="s">
        <v>313</v>
      </c>
      <c r="J145" s="968">
        <f t="shared" si="18"/>
        <v>0</v>
      </c>
      <c r="L145" s="968">
        <v>0</v>
      </c>
      <c r="N145" s="968">
        <f t="shared" si="19"/>
        <v>0</v>
      </c>
      <c r="O145" s="892"/>
      <c r="P145" s="892"/>
    </row>
    <row r="146" spans="1:16">
      <c r="A146" s="1495">
        <v>13</v>
      </c>
      <c r="C146" s="967" t="s">
        <v>70</v>
      </c>
      <c r="J146" s="968">
        <f t="shared" si="18"/>
        <v>0</v>
      </c>
      <c r="L146" s="968">
        <v>0</v>
      </c>
      <c r="N146" s="968">
        <f t="shared" si="19"/>
        <v>0</v>
      </c>
      <c r="O146" s="892"/>
      <c r="P146" s="892"/>
    </row>
    <row r="147" spans="1:16">
      <c r="A147" s="1495">
        <v>14</v>
      </c>
      <c r="C147" s="967" t="s">
        <v>445</v>
      </c>
      <c r="J147" s="968">
        <f t="shared" si="18"/>
        <v>0</v>
      </c>
      <c r="L147" s="968">
        <v>0</v>
      </c>
      <c r="N147" s="968">
        <f t="shared" si="19"/>
        <v>0</v>
      </c>
      <c r="O147" s="892"/>
      <c r="P147" s="892"/>
    </row>
    <row r="148" spans="1:16">
      <c r="A148" s="1495">
        <v>15</v>
      </c>
      <c r="C148" s="967" t="s">
        <v>663</v>
      </c>
      <c r="J148" s="968">
        <f t="shared" si="18"/>
        <v>0</v>
      </c>
      <c r="L148" s="968">
        <v>0</v>
      </c>
      <c r="N148" s="968">
        <f t="shared" si="19"/>
        <v>0</v>
      </c>
      <c r="O148" s="892"/>
      <c r="P148" s="892"/>
    </row>
    <row r="149" spans="1:16">
      <c r="A149" s="1495">
        <v>16</v>
      </c>
      <c r="C149" s="967" t="s">
        <v>88</v>
      </c>
      <c r="J149" s="968">
        <f t="shared" si="18"/>
        <v>0</v>
      </c>
      <c r="L149" s="968">
        <v>0</v>
      </c>
      <c r="N149" s="968">
        <f t="shared" si="19"/>
        <v>0</v>
      </c>
      <c r="O149" s="892"/>
      <c r="P149" s="892"/>
    </row>
    <row r="150" spans="1:16">
      <c r="A150" s="1495">
        <v>17</v>
      </c>
      <c r="C150" s="967" t="s">
        <v>415</v>
      </c>
      <c r="L150" s="968">
        <v>0</v>
      </c>
      <c r="N150" s="968">
        <f t="shared" si="19"/>
        <v>0</v>
      </c>
      <c r="O150" s="892"/>
      <c r="P150" s="892"/>
    </row>
    <row r="151" spans="1:16">
      <c r="A151" s="1495">
        <v>18</v>
      </c>
      <c r="C151" s="967" t="s">
        <v>72</v>
      </c>
      <c r="J151" s="968">
        <f>F151+H151</f>
        <v>0</v>
      </c>
      <c r="L151" s="968">
        <v>0</v>
      </c>
      <c r="N151" s="968">
        <f t="shared" si="19"/>
        <v>0</v>
      </c>
      <c r="O151" s="892"/>
      <c r="P151" s="892"/>
    </row>
    <row r="152" spans="1:16">
      <c r="A152" s="1495">
        <v>19</v>
      </c>
      <c r="F152" s="980"/>
      <c r="H152" s="980"/>
      <c r="J152" s="980"/>
      <c r="L152" s="980"/>
      <c r="N152" s="980"/>
      <c r="O152" s="892"/>
      <c r="P152" s="892"/>
    </row>
    <row r="153" spans="1:16">
      <c r="A153" s="1495">
        <v>20</v>
      </c>
      <c r="C153" s="967" t="s">
        <v>73</v>
      </c>
      <c r="E153" s="977"/>
      <c r="F153" s="981">
        <f>SUM(F142:F152)</f>
        <v>0</v>
      </c>
      <c r="G153" s="977"/>
      <c r="H153" s="981">
        <f>SUM(H142:H151)</f>
        <v>0</v>
      </c>
      <c r="I153" s="977"/>
      <c r="J153" s="981">
        <f>SUM(J142:J151)</f>
        <v>0</v>
      </c>
      <c r="K153" s="977"/>
      <c r="L153" s="981">
        <f>SUM(L142:L151)</f>
        <v>0</v>
      </c>
      <c r="M153" s="977"/>
      <c r="N153" s="981">
        <f>SUM(N142:N151)</f>
        <v>0</v>
      </c>
      <c r="O153" s="892"/>
      <c r="P153" s="892"/>
    </row>
    <row r="154" spans="1:16">
      <c r="A154" s="1495">
        <v>21</v>
      </c>
      <c r="F154" s="983"/>
      <c r="H154" s="983"/>
      <c r="J154" s="983"/>
      <c r="L154" s="983"/>
      <c r="N154" s="983"/>
      <c r="O154" s="892"/>
      <c r="P154" s="892"/>
    </row>
    <row r="155" spans="1:16">
      <c r="A155" s="1495">
        <v>22</v>
      </c>
      <c r="B155" s="976" t="s">
        <v>74</v>
      </c>
      <c r="C155" s="976"/>
      <c r="D155" s="976"/>
      <c r="O155" s="892"/>
      <c r="P155" s="892"/>
    </row>
    <row r="156" spans="1:16">
      <c r="A156" s="1495">
        <v>23</v>
      </c>
      <c r="C156" s="967" t="s">
        <v>419</v>
      </c>
      <c r="E156" s="977"/>
      <c r="G156" s="977"/>
      <c r="I156" s="978"/>
      <c r="J156" s="968">
        <f>F156+H156</f>
        <v>0</v>
      </c>
      <c r="K156" s="977"/>
      <c r="L156" s="968">
        <v>0</v>
      </c>
      <c r="M156" s="977"/>
      <c r="N156" s="968">
        <f t="shared" ref="N156:N161" si="20">J156+L156</f>
        <v>0</v>
      </c>
      <c r="O156" s="892"/>
      <c r="P156" s="892"/>
    </row>
    <row r="157" spans="1:16">
      <c r="A157" s="1495">
        <v>24</v>
      </c>
      <c r="C157" s="967" t="s">
        <v>309</v>
      </c>
      <c r="J157" s="968">
        <f>F157+H157</f>
        <v>0</v>
      </c>
      <c r="L157" s="968">
        <v>0</v>
      </c>
      <c r="N157" s="968">
        <f t="shared" si="20"/>
        <v>0</v>
      </c>
      <c r="O157" s="892"/>
      <c r="P157" s="892"/>
    </row>
    <row r="158" spans="1:16">
      <c r="A158" s="1495">
        <v>25</v>
      </c>
      <c r="C158" s="967" t="s">
        <v>310</v>
      </c>
      <c r="L158" s="968">
        <v>0</v>
      </c>
      <c r="N158" s="968">
        <f t="shared" si="20"/>
        <v>0</v>
      </c>
      <c r="O158" s="892"/>
      <c r="P158" s="892"/>
    </row>
    <row r="159" spans="1:16">
      <c r="A159" s="1495">
        <v>26</v>
      </c>
      <c r="C159" s="967" t="s">
        <v>1</v>
      </c>
      <c r="I159" s="978"/>
      <c r="J159" s="968">
        <f t="shared" ref="J159:J164" si="21">F159+H159</f>
        <v>0</v>
      </c>
      <c r="L159" s="968">
        <v>0</v>
      </c>
      <c r="M159" s="982"/>
      <c r="N159" s="968">
        <f t="shared" si="20"/>
        <v>0</v>
      </c>
      <c r="O159" s="892"/>
      <c r="P159" s="892"/>
    </row>
    <row r="160" spans="1:16">
      <c r="A160" s="1495">
        <v>27</v>
      </c>
      <c r="C160" s="967" t="s">
        <v>303</v>
      </c>
      <c r="J160" s="968">
        <f t="shared" si="21"/>
        <v>0</v>
      </c>
      <c r="L160" s="968">
        <v>0</v>
      </c>
      <c r="N160" s="968">
        <f t="shared" si="20"/>
        <v>0</v>
      </c>
      <c r="O160" s="892"/>
      <c r="P160" s="892"/>
    </row>
    <row r="161" spans="1:16">
      <c r="A161" s="1495">
        <v>28</v>
      </c>
      <c r="C161" s="967" t="s">
        <v>304</v>
      </c>
      <c r="J161" s="968">
        <f t="shared" si="21"/>
        <v>0</v>
      </c>
      <c r="L161" s="968">
        <v>0</v>
      </c>
      <c r="N161" s="968">
        <f t="shared" si="20"/>
        <v>0</v>
      </c>
      <c r="O161" s="892"/>
      <c r="P161" s="892"/>
    </row>
    <row r="162" spans="1:16">
      <c r="A162" s="1495">
        <v>29</v>
      </c>
      <c r="C162" s="967" t="s">
        <v>757</v>
      </c>
      <c r="J162" s="968">
        <f t="shared" si="21"/>
        <v>0</v>
      </c>
      <c r="L162" s="968">
        <v>0</v>
      </c>
      <c r="N162" s="968">
        <f>J162+L162</f>
        <v>0</v>
      </c>
      <c r="O162" s="892"/>
      <c r="P162" s="892"/>
    </row>
    <row r="163" spans="1:16">
      <c r="A163" s="1495">
        <v>30</v>
      </c>
      <c r="B163" s="892"/>
      <c r="C163" s="967" t="s">
        <v>63</v>
      </c>
      <c r="F163" s="968">
        <v>0</v>
      </c>
      <c r="J163" s="968">
        <f t="shared" si="21"/>
        <v>0</v>
      </c>
      <c r="L163" s="968">
        <v>0</v>
      </c>
      <c r="N163" s="968">
        <f>J163+L163</f>
        <v>0</v>
      </c>
      <c r="O163" s="892"/>
      <c r="P163" s="892"/>
    </row>
    <row r="164" spans="1:16">
      <c r="A164" s="1495">
        <v>31</v>
      </c>
      <c r="C164" s="967" t="s">
        <v>416</v>
      </c>
      <c r="J164" s="968">
        <f t="shared" si="21"/>
        <v>0</v>
      </c>
      <c r="L164" s="968">
        <v>0</v>
      </c>
      <c r="N164" s="968">
        <f>J164+L164</f>
        <v>0</v>
      </c>
      <c r="O164" s="892"/>
      <c r="P164" s="892"/>
    </row>
    <row r="165" spans="1:16">
      <c r="A165" s="1495">
        <v>32</v>
      </c>
      <c r="F165" s="980"/>
      <c r="H165" s="980"/>
      <c r="J165" s="980"/>
      <c r="L165" s="980"/>
      <c r="N165" s="980"/>
      <c r="O165" s="892"/>
      <c r="P165" s="892"/>
    </row>
    <row r="166" spans="1:16">
      <c r="A166" s="1495">
        <v>33</v>
      </c>
      <c r="C166" s="967" t="s">
        <v>73</v>
      </c>
      <c r="E166" s="977"/>
      <c r="F166" s="981">
        <f>SUM(F156:F165)</f>
        <v>0</v>
      </c>
      <c r="G166" s="977"/>
      <c r="H166" s="981">
        <f>SUM(H156:H165)</f>
        <v>0</v>
      </c>
      <c r="I166" s="977"/>
      <c r="J166" s="981">
        <f>SUM(J156:J165)</f>
        <v>0</v>
      </c>
      <c r="K166" s="977"/>
      <c r="L166" s="981">
        <f>SUM(L156:L165)</f>
        <v>0</v>
      </c>
      <c r="M166" s="977"/>
      <c r="N166" s="981">
        <f>SUM(N156:N165)</f>
        <v>0</v>
      </c>
      <c r="O166" s="892"/>
      <c r="P166" s="892"/>
    </row>
    <row r="167" spans="1:16">
      <c r="A167" s="1495">
        <v>34</v>
      </c>
      <c r="F167" s="983"/>
      <c r="H167" s="983"/>
      <c r="J167" s="983"/>
      <c r="L167" s="983"/>
      <c r="N167" s="983"/>
      <c r="O167" s="892"/>
      <c r="P167" s="892"/>
    </row>
    <row r="168" spans="1:16">
      <c r="A168" s="1495">
        <v>35</v>
      </c>
      <c r="B168" s="967" t="s">
        <v>417</v>
      </c>
      <c r="N168" s="968">
        <f>J168+L168</f>
        <v>0</v>
      </c>
      <c r="O168" s="892"/>
      <c r="P168" s="892"/>
    </row>
    <row r="169" spans="1:16">
      <c r="A169" s="1495">
        <v>36</v>
      </c>
      <c r="B169" s="967" t="s">
        <v>1038</v>
      </c>
      <c r="J169" s="968">
        <f>+F169+H169</f>
        <v>0</v>
      </c>
      <c r="N169" s="968">
        <f>J169+L169</f>
        <v>0</v>
      </c>
      <c r="P169" s="892"/>
    </row>
    <row r="170" spans="1:16">
      <c r="A170" s="1495">
        <v>37</v>
      </c>
      <c r="B170" s="967" t="s">
        <v>62</v>
      </c>
      <c r="J170" s="968">
        <f>F170+H170</f>
        <v>0</v>
      </c>
      <c r="N170" s="968">
        <f>J170+L170</f>
        <v>0</v>
      </c>
      <c r="P170" s="892"/>
    </row>
    <row r="171" spans="1:16">
      <c r="A171" s="1495">
        <v>38</v>
      </c>
      <c r="B171" s="967" t="s">
        <v>108</v>
      </c>
      <c r="P171" s="892"/>
    </row>
    <row r="172" spans="1:16">
      <c r="A172" s="1495">
        <v>39</v>
      </c>
      <c r="B172" s="967" t="s">
        <v>421</v>
      </c>
      <c r="P172" s="892"/>
    </row>
    <row r="173" spans="1:16">
      <c r="A173" s="1495">
        <v>40</v>
      </c>
      <c r="B173" s="967" t="s">
        <v>1039</v>
      </c>
      <c r="H173" s="968">
        <v>0</v>
      </c>
      <c r="J173" s="968">
        <f>F173+H173</f>
        <v>0</v>
      </c>
      <c r="N173" s="968">
        <f>J173+L173</f>
        <v>0</v>
      </c>
      <c r="P173" s="892"/>
    </row>
    <row r="174" spans="1:16">
      <c r="A174" s="1495">
        <v>41</v>
      </c>
      <c r="B174" s="967" t="s">
        <v>1043</v>
      </c>
      <c r="N174" s="968">
        <f>J174+L174</f>
        <v>0</v>
      </c>
      <c r="O174" s="966"/>
      <c r="P174" s="892"/>
    </row>
    <row r="175" spans="1:16">
      <c r="A175" s="1495">
        <v>42</v>
      </c>
      <c r="F175" s="980"/>
      <c r="H175" s="980"/>
      <c r="J175" s="980"/>
      <c r="L175" s="980"/>
      <c r="N175" s="980"/>
      <c r="O175" s="966"/>
      <c r="P175" s="892"/>
    </row>
    <row r="176" spans="1:16">
      <c r="A176" s="1495">
        <v>43</v>
      </c>
      <c r="C176" s="967" t="s">
        <v>314</v>
      </c>
      <c r="E176" s="977"/>
      <c r="F176" s="981">
        <f>SUM(F168:F175)</f>
        <v>0</v>
      </c>
      <c r="G176" s="977"/>
      <c r="H176" s="981">
        <f>SUM(H168:H175)</f>
        <v>0</v>
      </c>
      <c r="I176" s="977"/>
      <c r="J176" s="981">
        <f>SUM(J168:J175)</f>
        <v>0</v>
      </c>
      <c r="K176" s="977"/>
      <c r="L176" s="981">
        <f>SUM(L168:L175)</f>
        <v>0</v>
      </c>
      <c r="M176" s="977"/>
      <c r="N176" s="981">
        <f>SUM(N168:N175)</f>
        <v>0</v>
      </c>
      <c r="O176" s="966"/>
      <c r="P176" s="892"/>
    </row>
    <row r="177" spans="1:16">
      <c r="A177" s="1495">
        <v>44</v>
      </c>
      <c r="F177" s="983"/>
      <c r="H177" s="983"/>
      <c r="J177" s="983"/>
      <c r="L177" s="983"/>
      <c r="N177" s="983"/>
      <c r="P177" s="892"/>
    </row>
    <row r="178" spans="1:16">
      <c r="A178" s="1495">
        <v>45</v>
      </c>
      <c r="B178" s="967" t="s">
        <v>455</v>
      </c>
      <c r="E178" s="977"/>
      <c r="F178" s="981">
        <f>F176+F166+F153</f>
        <v>0</v>
      </c>
      <c r="G178" s="977"/>
      <c r="H178" s="981">
        <f>H176+H166+H153</f>
        <v>0</v>
      </c>
      <c r="I178" s="977"/>
      <c r="J178" s="981">
        <f>J176+J166+J153</f>
        <v>0</v>
      </c>
      <c r="K178" s="977"/>
      <c r="L178" s="981">
        <f>L176+L166+L153</f>
        <v>0</v>
      </c>
      <c r="M178" s="977"/>
      <c r="N178" s="981">
        <f>N176+N166+N153</f>
        <v>0</v>
      </c>
      <c r="P178" s="892"/>
    </row>
    <row r="179" spans="1:16">
      <c r="A179" s="1495">
        <v>46</v>
      </c>
      <c r="F179" s="983"/>
      <c r="H179" s="983"/>
      <c r="J179" s="983"/>
      <c r="L179" s="983"/>
      <c r="N179" s="983"/>
      <c r="P179" s="892"/>
    </row>
    <row r="180" spans="1:16">
      <c r="A180" s="1495">
        <v>47</v>
      </c>
      <c r="B180" s="976" t="s">
        <v>465</v>
      </c>
      <c r="C180" s="976"/>
      <c r="D180" s="976"/>
      <c r="E180" s="977"/>
      <c r="F180" s="981">
        <f>+F139+F178</f>
        <v>0</v>
      </c>
      <c r="G180" s="977"/>
      <c r="H180" s="981">
        <f>+H139+H178</f>
        <v>0</v>
      </c>
      <c r="I180" s="977"/>
      <c r="J180" s="981">
        <f>+J139+J178</f>
        <v>0</v>
      </c>
      <c r="K180" s="977"/>
      <c r="L180" s="981">
        <f>+L139+L178</f>
        <v>0</v>
      </c>
      <c r="M180" s="977"/>
      <c r="N180" s="981">
        <f>+N139+N178</f>
        <v>0</v>
      </c>
      <c r="P180" s="892"/>
    </row>
    <row r="181" spans="1:16">
      <c r="A181" s="1495">
        <v>48</v>
      </c>
      <c r="F181" s="983"/>
      <c r="H181" s="983"/>
      <c r="J181" s="983"/>
      <c r="L181" s="983"/>
      <c r="N181" s="983"/>
      <c r="P181" s="892"/>
    </row>
    <row r="182" spans="1:16">
      <c r="A182" s="1495">
        <v>49</v>
      </c>
      <c r="B182" s="967" t="s">
        <v>1041</v>
      </c>
      <c r="F182" s="983"/>
      <c r="H182" s="983">
        <v>0</v>
      </c>
      <c r="J182" s="968">
        <f>F182+H182</f>
        <v>0</v>
      </c>
      <c r="L182" s="968">
        <v>0</v>
      </c>
      <c r="N182" s="968">
        <f>J182+L182</f>
        <v>0</v>
      </c>
      <c r="P182" s="892"/>
    </row>
    <row r="183" spans="1:16">
      <c r="A183" s="1495">
        <v>50</v>
      </c>
      <c r="B183" s="967" t="s">
        <v>749</v>
      </c>
      <c r="H183" s="968">
        <f>-F183</f>
        <v>0</v>
      </c>
      <c r="J183" s="968">
        <f>F183+H183</f>
        <v>0</v>
      </c>
      <c r="L183" s="968">
        <v>0</v>
      </c>
      <c r="N183" s="968">
        <f>J183+L183</f>
        <v>0</v>
      </c>
      <c r="P183" s="892"/>
    </row>
    <row r="184" spans="1:16">
      <c r="A184" s="1495">
        <v>51</v>
      </c>
      <c r="B184" s="967" t="s">
        <v>113</v>
      </c>
      <c r="L184" s="968">
        <v>0</v>
      </c>
      <c r="N184" s="968">
        <f>J184+L184</f>
        <v>0</v>
      </c>
    </row>
    <row r="185" spans="1:16" ht="13.5" thickBot="1">
      <c r="A185" s="1495">
        <v>52</v>
      </c>
      <c r="F185" s="980"/>
      <c r="H185" s="980"/>
      <c r="J185" s="980"/>
      <c r="L185" s="980"/>
      <c r="N185" s="980"/>
    </row>
    <row r="186" spans="1:16" ht="13.5" thickBot="1">
      <c r="A186" s="1495">
        <v>53</v>
      </c>
      <c r="B186" s="982" t="s">
        <v>420</v>
      </c>
      <c r="C186" s="982"/>
      <c r="E186" s="977"/>
      <c r="F186" s="985">
        <f>ROUND(F180+F183+F184+F182,0)</f>
        <v>0</v>
      </c>
      <c r="G186" s="977"/>
      <c r="H186" s="985">
        <f>ROUND(H180+H183+H184+H182,0)</f>
        <v>0</v>
      </c>
      <c r="I186" s="977"/>
      <c r="J186" s="985">
        <f>ROUND(J180+J183+J184+J182,0)</f>
        <v>0</v>
      </c>
      <c r="K186" s="977"/>
      <c r="L186" s="985">
        <f>ROUND(L180+L183+L184+L182,0)</f>
        <v>0</v>
      </c>
      <c r="M186" s="977"/>
      <c r="N186" s="985">
        <f>ROUND(N180+N183+N184+N182,0)</f>
        <v>0</v>
      </c>
      <c r="O186" s="986" t="e">
        <f>N186/N139</f>
        <v>#DIV/0!</v>
      </c>
      <c r="P186" s="987" t="e">
        <f>F186/F139</f>
        <v>#DIV/0!</v>
      </c>
    </row>
    <row r="187" spans="1:16" ht="13.5" thickTop="1">
      <c r="F187" s="991"/>
      <c r="J187" s="983"/>
      <c r="L187" s="983"/>
    </row>
    <row r="188" spans="1:16">
      <c r="F188" s="991"/>
      <c r="H188" s="983"/>
      <c r="J188" s="983"/>
      <c r="L188" s="983"/>
    </row>
    <row r="189" spans="1:16">
      <c r="A189" s="966" t="str">
        <f>A1</f>
        <v>WATER SERVICE CORPORATION OF KENTUCKY</v>
      </c>
      <c r="B189" s="892"/>
      <c r="C189" s="977"/>
      <c r="N189" s="969" t="str">
        <f>N1</f>
        <v>Schedule B</v>
      </c>
    </row>
    <row r="190" spans="1:16">
      <c r="A190" s="967" t="s">
        <v>742</v>
      </c>
      <c r="B190" s="892"/>
      <c r="C190" s="977"/>
      <c r="N190" s="969" t="s">
        <v>1094</v>
      </c>
    </row>
    <row r="191" spans="1:16">
      <c r="C191" s="977"/>
    </row>
    <row r="192" spans="1:16">
      <c r="A192" s="975" t="s">
        <v>1786</v>
      </c>
      <c r="C192" s="977"/>
    </row>
    <row r="193" spans="1:16">
      <c r="A193" s="1495">
        <v>1</v>
      </c>
      <c r="B193" s="947" t="s">
        <v>678</v>
      </c>
      <c r="C193" s="947" t="s">
        <v>3908</v>
      </c>
    </row>
    <row r="194" spans="1:16">
      <c r="A194" s="1495">
        <v>2</v>
      </c>
    </row>
    <row r="195" spans="1:16">
      <c r="A195" s="1495">
        <v>3</v>
      </c>
      <c r="B195" s="967" t="s">
        <v>665</v>
      </c>
      <c r="C195" s="967" t="s">
        <v>3909</v>
      </c>
    </row>
    <row r="196" spans="1:16">
      <c r="A196" s="1495">
        <v>4</v>
      </c>
    </row>
    <row r="197" spans="1:16">
      <c r="A197" s="1495">
        <v>5</v>
      </c>
      <c r="B197" s="967" t="s">
        <v>652</v>
      </c>
      <c r="C197" s="967" t="s">
        <v>3910</v>
      </c>
    </row>
    <row r="198" spans="1:16">
      <c r="A198" s="1495">
        <v>6</v>
      </c>
    </row>
    <row r="199" spans="1:16">
      <c r="A199" s="1495">
        <v>7</v>
      </c>
      <c r="B199" s="967" t="s">
        <v>725</v>
      </c>
      <c r="C199" s="947" t="s">
        <v>3911</v>
      </c>
      <c r="D199" s="892"/>
      <c r="E199" s="892"/>
      <c r="F199" s="892"/>
      <c r="G199" s="892"/>
      <c r="H199" s="892"/>
      <c r="I199" s="892"/>
      <c r="J199" s="892"/>
      <c r="K199" s="892"/>
      <c r="L199" s="892"/>
      <c r="M199" s="892"/>
      <c r="N199" s="892"/>
      <c r="O199" s="892"/>
      <c r="P199" s="892"/>
    </row>
    <row r="200" spans="1:16">
      <c r="A200" s="1495">
        <v>8</v>
      </c>
    </row>
    <row r="201" spans="1:16">
      <c r="A201" s="1495">
        <v>9</v>
      </c>
      <c r="B201" s="967" t="s">
        <v>702</v>
      </c>
      <c r="C201" s="947" t="s">
        <v>3907</v>
      </c>
      <c r="D201" s="892"/>
      <c r="E201" s="892"/>
      <c r="F201" s="892"/>
      <c r="G201" s="892"/>
      <c r="H201" s="892"/>
      <c r="I201" s="892"/>
      <c r="J201" s="892"/>
      <c r="K201" s="892"/>
      <c r="L201" s="892"/>
      <c r="M201" s="892"/>
      <c r="N201" s="892"/>
      <c r="O201" s="892"/>
      <c r="P201" s="892"/>
    </row>
    <row r="202" spans="1:16">
      <c r="A202" s="1495">
        <v>10</v>
      </c>
    </row>
    <row r="203" spans="1:16">
      <c r="A203" s="1495">
        <v>11</v>
      </c>
      <c r="B203" s="967" t="s">
        <v>703</v>
      </c>
      <c r="C203" s="967" t="s">
        <v>3912</v>
      </c>
      <c r="D203" s="892"/>
      <c r="E203" s="892"/>
      <c r="F203" s="892"/>
      <c r="G203" s="892"/>
      <c r="H203" s="892"/>
      <c r="I203" s="892"/>
      <c r="J203" s="892"/>
      <c r="K203" s="892"/>
      <c r="L203" s="892"/>
      <c r="M203" s="892"/>
      <c r="N203" s="892"/>
      <c r="O203" s="892"/>
      <c r="P203" s="892"/>
    </row>
    <row r="204" spans="1:16">
      <c r="A204" s="1495">
        <v>12</v>
      </c>
      <c r="B204" s="892"/>
      <c r="D204" s="892"/>
      <c r="E204" s="892"/>
      <c r="F204" s="892"/>
      <c r="G204" s="892"/>
      <c r="H204" s="892"/>
      <c r="I204" s="892"/>
      <c r="J204" s="892"/>
      <c r="K204" s="892"/>
      <c r="L204" s="892"/>
      <c r="M204" s="892"/>
      <c r="N204" s="892"/>
      <c r="O204" s="892"/>
      <c r="P204" s="892"/>
    </row>
    <row r="205" spans="1:16">
      <c r="A205" s="1495">
        <v>13</v>
      </c>
      <c r="B205" s="892" t="s">
        <v>704</v>
      </c>
      <c r="C205" s="967" t="s">
        <v>3913</v>
      </c>
      <c r="D205" s="892"/>
      <c r="E205" s="892"/>
      <c r="F205" s="892"/>
      <c r="G205" s="892"/>
      <c r="H205" s="892"/>
      <c r="I205" s="892"/>
      <c r="J205" s="892"/>
      <c r="K205" s="892"/>
      <c r="L205" s="892"/>
      <c r="M205" s="892"/>
      <c r="N205" s="892"/>
      <c r="O205" s="892"/>
      <c r="P205" s="892"/>
    </row>
    <row r="206" spans="1:16">
      <c r="A206" s="1495">
        <v>14</v>
      </c>
      <c r="B206" s="892"/>
      <c r="D206" s="892"/>
      <c r="E206" s="892"/>
      <c r="F206" s="892"/>
      <c r="G206" s="892"/>
      <c r="H206" s="892"/>
      <c r="I206" s="892"/>
      <c r="J206" s="892"/>
      <c r="K206" s="892"/>
      <c r="L206" s="892"/>
      <c r="M206" s="892"/>
      <c r="N206" s="892"/>
      <c r="O206" s="892"/>
      <c r="P206" s="892"/>
    </row>
    <row r="207" spans="1:16">
      <c r="A207" s="1495">
        <v>15</v>
      </c>
      <c r="B207" s="967" t="s">
        <v>705</v>
      </c>
      <c r="C207" s="947" t="s">
        <v>3914</v>
      </c>
      <c r="D207" s="892"/>
      <c r="E207" s="892"/>
      <c r="F207" s="892"/>
      <c r="G207" s="892"/>
      <c r="H207" s="892"/>
      <c r="I207" s="892"/>
      <c r="J207" s="892"/>
      <c r="K207" s="892"/>
      <c r="L207" s="892"/>
      <c r="M207" s="892"/>
      <c r="N207" s="892"/>
      <c r="O207" s="892"/>
      <c r="P207" s="892"/>
    </row>
    <row r="208" spans="1:16">
      <c r="A208" s="1495">
        <v>16</v>
      </c>
      <c r="D208" s="892"/>
      <c r="E208" s="892"/>
      <c r="F208" s="892"/>
      <c r="G208" s="892"/>
      <c r="H208" s="892"/>
      <c r="I208" s="892"/>
      <c r="J208" s="892"/>
      <c r="K208" s="892"/>
      <c r="L208" s="892"/>
      <c r="M208" s="892"/>
      <c r="N208" s="892"/>
      <c r="O208" s="892"/>
      <c r="P208" s="892"/>
    </row>
    <row r="209" spans="1:16" ht="16.5" customHeight="1">
      <c r="A209" s="1495">
        <v>17</v>
      </c>
      <c r="B209" s="967" t="s">
        <v>436</v>
      </c>
      <c r="C209" s="947" t="s">
        <v>3918</v>
      </c>
      <c r="D209" s="892"/>
      <c r="E209" s="892"/>
      <c r="F209" s="892"/>
      <c r="G209" s="892"/>
      <c r="H209" s="892"/>
      <c r="I209" s="892"/>
      <c r="J209" s="892"/>
      <c r="K209" s="892"/>
      <c r="L209" s="892"/>
      <c r="M209" s="892"/>
      <c r="N209" s="892"/>
      <c r="O209" s="892"/>
      <c r="P209" s="892"/>
    </row>
    <row r="210" spans="1:16">
      <c r="A210" s="1495">
        <v>18</v>
      </c>
    </row>
    <row r="211" spans="1:16">
      <c r="A211" s="1495">
        <v>19</v>
      </c>
      <c r="B211" s="967" t="s">
        <v>1469</v>
      </c>
      <c r="C211" s="967" t="s">
        <v>3926</v>
      </c>
      <c r="D211" s="892"/>
      <c r="E211" s="892"/>
      <c r="F211" s="892"/>
      <c r="G211" s="892"/>
      <c r="H211" s="892"/>
      <c r="I211" s="892"/>
      <c r="J211" s="892"/>
      <c r="K211" s="892"/>
      <c r="L211" s="892"/>
      <c r="M211" s="892"/>
      <c r="N211" s="892"/>
      <c r="O211" s="892"/>
      <c r="P211" s="892"/>
    </row>
    <row r="212" spans="1:16">
      <c r="A212" s="1495">
        <v>20</v>
      </c>
    </row>
    <row r="213" spans="1:16">
      <c r="A213" s="1495">
        <v>21</v>
      </c>
      <c r="B213" s="967" t="s">
        <v>669</v>
      </c>
      <c r="C213" s="967" t="s">
        <v>1468</v>
      </c>
      <c r="D213" s="892"/>
      <c r="E213" s="892"/>
      <c r="F213" s="892"/>
      <c r="G213" s="892"/>
      <c r="H213" s="892"/>
      <c r="I213" s="892"/>
      <c r="J213" s="892"/>
      <c r="K213" s="892"/>
      <c r="L213" s="892"/>
      <c r="M213" s="892"/>
      <c r="N213" s="892"/>
      <c r="O213" s="892"/>
      <c r="P213" s="892"/>
    </row>
    <row r="214" spans="1:16">
      <c r="A214" s="1495">
        <v>22</v>
      </c>
    </row>
    <row r="215" spans="1:16">
      <c r="A215" s="1495">
        <v>23</v>
      </c>
      <c r="B215" s="967" t="s">
        <v>659</v>
      </c>
      <c r="C215" s="967" t="s">
        <v>3915</v>
      </c>
    </row>
    <row r="216" spans="1:16">
      <c r="A216" s="1495">
        <v>24</v>
      </c>
    </row>
    <row r="217" spans="1:16">
      <c r="A217" s="1495">
        <v>25</v>
      </c>
      <c r="B217" s="967" t="s">
        <v>2385</v>
      </c>
      <c r="C217" s="967" t="s">
        <v>3916</v>
      </c>
    </row>
    <row r="218" spans="1:16">
      <c r="A218" s="1495">
        <v>26</v>
      </c>
    </row>
    <row r="219" spans="1:16">
      <c r="A219" s="1495">
        <v>27</v>
      </c>
      <c r="B219" s="967" t="s">
        <v>2423</v>
      </c>
      <c r="C219" s="967" t="s">
        <v>3922</v>
      </c>
    </row>
    <row r="220" spans="1:16">
      <c r="A220" s="1495">
        <v>28</v>
      </c>
    </row>
    <row r="221" spans="1:16">
      <c r="A221" s="1495">
        <v>29</v>
      </c>
      <c r="B221" s="967" t="s">
        <v>2429</v>
      </c>
      <c r="C221" s="967" t="s">
        <v>3923</v>
      </c>
    </row>
    <row r="222" spans="1:16">
      <c r="A222" s="1495">
        <v>30</v>
      </c>
      <c r="B222" s="892"/>
      <c r="D222" s="892"/>
      <c r="E222" s="892"/>
      <c r="F222" s="892"/>
      <c r="G222" s="892"/>
      <c r="H222" s="892"/>
      <c r="I222" s="892"/>
      <c r="J222" s="892"/>
      <c r="K222" s="892"/>
      <c r="L222" s="892"/>
      <c r="M222" s="892"/>
      <c r="N222" s="892"/>
      <c r="O222" s="892"/>
      <c r="P222" s="892"/>
    </row>
    <row r="223" spans="1:16">
      <c r="A223" s="1495">
        <v>31</v>
      </c>
      <c r="B223" s="892" t="s">
        <v>3565</v>
      </c>
      <c r="C223" s="967" t="s">
        <v>3925</v>
      </c>
      <c r="D223" s="892"/>
      <c r="E223" s="892"/>
      <c r="F223" s="892"/>
      <c r="G223" s="892"/>
      <c r="H223" s="892"/>
      <c r="I223" s="892"/>
      <c r="J223" s="892"/>
      <c r="K223" s="892"/>
      <c r="L223" s="892"/>
      <c r="M223" s="892"/>
      <c r="N223" s="892"/>
      <c r="O223" s="892"/>
      <c r="P223" s="892"/>
    </row>
    <row r="224" spans="1:16">
      <c r="A224" s="1495">
        <v>32</v>
      </c>
      <c r="B224" s="892"/>
      <c r="D224" s="892"/>
      <c r="E224" s="892"/>
      <c r="F224" s="892"/>
      <c r="G224" s="892"/>
      <c r="H224" s="892"/>
      <c r="I224" s="892"/>
      <c r="J224" s="892"/>
      <c r="K224" s="892"/>
      <c r="L224" s="892"/>
      <c r="M224" s="892"/>
      <c r="N224" s="892"/>
      <c r="O224" s="892"/>
      <c r="P224" s="892"/>
    </row>
    <row r="225" spans="1:16">
      <c r="A225" s="1495">
        <v>33</v>
      </c>
      <c r="B225" s="892" t="s">
        <v>3921</v>
      </c>
      <c r="C225" s="967" t="s">
        <v>3924</v>
      </c>
      <c r="D225" s="892"/>
      <c r="E225" s="892"/>
      <c r="F225" s="892"/>
      <c r="G225" s="892"/>
      <c r="H225" s="892"/>
      <c r="I225" s="892"/>
      <c r="J225" s="892"/>
      <c r="K225" s="892"/>
      <c r="L225" s="892"/>
      <c r="M225" s="892"/>
      <c r="N225" s="892"/>
      <c r="O225" s="892"/>
      <c r="P225" s="892"/>
    </row>
    <row r="226" spans="1:16" ht="15.75">
      <c r="B226" s="892"/>
      <c r="C226" s="935"/>
      <c r="D226" s="892"/>
      <c r="E226" s="892"/>
      <c r="F226" s="892"/>
      <c r="G226" s="892"/>
      <c r="H226" s="892"/>
      <c r="I226" s="892"/>
      <c r="J226" s="892"/>
      <c r="K226" s="892"/>
      <c r="L226" s="892"/>
      <c r="M226" s="892"/>
      <c r="N226" s="892"/>
      <c r="O226" s="892"/>
      <c r="P226" s="892"/>
    </row>
    <row r="227" spans="1:16" ht="15.75">
      <c r="B227" s="892"/>
      <c r="C227" s="935"/>
      <c r="D227" s="892"/>
      <c r="E227" s="892"/>
      <c r="F227" s="892"/>
      <c r="G227" s="892"/>
      <c r="H227" s="892"/>
      <c r="I227" s="892"/>
      <c r="J227" s="892"/>
      <c r="K227" s="892"/>
      <c r="L227" s="892"/>
      <c r="M227" s="892"/>
      <c r="N227" s="892"/>
      <c r="O227" s="892"/>
      <c r="P227" s="892"/>
    </row>
    <row r="228" spans="1:16" ht="15.75">
      <c r="B228" s="892"/>
      <c r="C228" s="935"/>
      <c r="D228" s="892"/>
      <c r="E228" s="892"/>
      <c r="F228" s="892"/>
      <c r="G228" s="892"/>
      <c r="H228" s="892"/>
      <c r="I228" s="892"/>
      <c r="J228" s="892"/>
      <c r="K228" s="892"/>
      <c r="L228" s="892"/>
      <c r="M228" s="892"/>
      <c r="N228" s="892"/>
      <c r="O228" s="892"/>
      <c r="P228" s="892"/>
    </row>
    <row r="229" spans="1:16" ht="15.75">
      <c r="B229" s="892"/>
      <c r="C229" s="935"/>
      <c r="D229" s="892"/>
      <c r="E229" s="892"/>
      <c r="F229" s="892"/>
      <c r="G229" s="892"/>
      <c r="H229" s="892"/>
      <c r="I229" s="892"/>
      <c r="J229" s="892"/>
      <c r="K229" s="892"/>
      <c r="L229" s="892"/>
      <c r="M229" s="892"/>
      <c r="N229" s="892"/>
      <c r="O229" s="892"/>
      <c r="P229" s="892"/>
    </row>
    <row r="230" spans="1:16" ht="15.75">
      <c r="B230" s="892"/>
      <c r="C230" s="935"/>
      <c r="D230" s="892"/>
      <c r="E230" s="892"/>
      <c r="F230" s="892"/>
      <c r="G230" s="892"/>
      <c r="H230" s="892"/>
      <c r="I230" s="892"/>
      <c r="J230" s="892"/>
      <c r="K230" s="892"/>
      <c r="L230" s="892"/>
      <c r="M230" s="892"/>
      <c r="N230" s="892"/>
      <c r="O230" s="892"/>
      <c r="P230" s="892"/>
    </row>
    <row r="231" spans="1:16" ht="15.75">
      <c r="B231" s="892"/>
      <c r="C231" s="935"/>
      <c r="M231" s="892"/>
      <c r="N231" s="892"/>
      <c r="O231" s="892"/>
      <c r="P231" s="892"/>
    </row>
    <row r="232" spans="1:16" ht="15.75">
      <c r="B232" s="892"/>
      <c r="C232" s="935"/>
      <c r="M232" s="892"/>
      <c r="N232" s="892"/>
      <c r="O232" s="892"/>
      <c r="P232" s="892"/>
    </row>
    <row r="239" spans="1:16">
      <c r="B239" s="892"/>
      <c r="M239" s="892"/>
      <c r="N239" s="892"/>
      <c r="O239" s="892"/>
      <c r="P239" s="892"/>
    </row>
  </sheetData>
  <phoneticPr fontId="28" type="noConversion"/>
  <pageMargins left="0.25" right="0" top="0.25" bottom="0" header="0.5" footer="0.5"/>
  <pageSetup scale="65" orientation="portrait" horizontalDpi="1200" verticalDpi="1200" r:id="rId1"/>
  <headerFooter alignWithMargins="0"/>
  <rowBreaks count="3" manualBreakCount="3">
    <brk id="63" min="1" max="14" man="1"/>
    <brk id="125" min="1" max="14" man="1"/>
    <brk id="188" min="1" max="14" man="1"/>
  </rowBreaks>
  <colBreaks count="1" manualBreakCount="1">
    <brk id="14" max="1048575" man="1"/>
  </colBreaks>
  <ignoredErrors>
    <ignoredError sqref="J96 J83 J8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3:K44"/>
  <sheetViews>
    <sheetView view="pageBreakPreview" zoomScale="75" zoomScaleNormal="100" zoomScaleSheetLayoutView="75" workbookViewId="0"/>
  </sheetViews>
  <sheetFormatPr defaultColWidth="8.875" defaultRowHeight="15"/>
  <cols>
    <col min="1" max="1" width="8.875" style="2" customWidth="1"/>
    <col min="2" max="2" width="20.625" style="2" bestFit="1" customWidth="1"/>
    <col min="3" max="3" width="13" style="2" bestFit="1" customWidth="1"/>
    <col min="4" max="5" width="8.875" style="2" customWidth="1"/>
    <col min="6" max="6" width="5.875" style="2" customWidth="1"/>
    <col min="7" max="7" width="52.625" style="2" customWidth="1"/>
    <col min="8" max="8" width="8.875" style="2"/>
    <col min="9" max="9" width="10.375" style="2" customWidth="1"/>
    <col min="10" max="13" width="8.875" style="2"/>
    <col min="14" max="14" width="26.625" style="2" customWidth="1"/>
    <col min="15" max="16384" width="8.875" style="2"/>
  </cols>
  <sheetData>
    <row r="3" spans="2:7" ht="15.75" thickBot="1"/>
    <row r="4" spans="2:7" ht="18.75" customHeight="1" thickBot="1">
      <c r="E4" s="5" t="s">
        <v>1974</v>
      </c>
      <c r="G4" s="635" t="s">
        <v>4007</v>
      </c>
    </row>
    <row r="5" spans="2:7" ht="15.75" thickBot="1"/>
    <row r="6" spans="2:7" ht="22.5" customHeight="1" thickBot="1">
      <c r="B6" s="2" t="s">
        <v>428</v>
      </c>
      <c r="C6" s="2" t="s">
        <v>1339</v>
      </c>
      <c r="E6" s="5" t="s">
        <v>648</v>
      </c>
      <c r="G6" s="635" t="s">
        <v>280</v>
      </c>
    </row>
    <row r="7" spans="2:7" ht="15.75" thickBot="1">
      <c r="B7" s="2" t="s">
        <v>671</v>
      </c>
      <c r="C7" s="634">
        <f>ERC!$M$5</f>
        <v>7204.4000000000005</v>
      </c>
      <c r="D7" s="1063">
        <f>+C7/C13</f>
        <v>1</v>
      </c>
    </row>
    <row r="8" spans="2:7" ht="15.75" thickBot="1">
      <c r="B8" s="2" t="s">
        <v>519</v>
      </c>
      <c r="C8" s="24">
        <v>0</v>
      </c>
    </row>
    <row r="9" spans="2:7" ht="15.75" thickBot="1">
      <c r="B9" s="25" t="s">
        <v>680</v>
      </c>
      <c r="C9" s="26">
        <f>C8+C7</f>
        <v>7204.4000000000005</v>
      </c>
      <c r="E9" s="5" t="s">
        <v>66</v>
      </c>
      <c r="G9" s="1046" t="s">
        <v>2298</v>
      </c>
    </row>
    <row r="10" spans="2:7" ht="15.75" thickBot="1">
      <c r="B10" s="2" t="s">
        <v>92</v>
      </c>
      <c r="C10" s="24">
        <v>0</v>
      </c>
      <c r="D10" s="1063">
        <f>+C10/C13</f>
        <v>0</v>
      </c>
    </row>
    <row r="11" spans="2:7" ht="15.75" thickBot="1">
      <c r="B11" s="2" t="s">
        <v>519</v>
      </c>
      <c r="C11" s="24">
        <v>0</v>
      </c>
    </row>
    <row r="12" spans="2:7">
      <c r="B12" s="2" t="s">
        <v>680</v>
      </c>
      <c r="C12" s="26">
        <f>C11+C10</f>
        <v>0</v>
      </c>
    </row>
    <row r="13" spans="2:7" ht="15.75" thickBot="1">
      <c r="B13" s="2" t="s">
        <v>314</v>
      </c>
      <c r="C13" s="27">
        <f>C12+C9</f>
        <v>7204.4000000000005</v>
      </c>
    </row>
    <row r="14" spans="2:7" ht="15.75" thickTop="1">
      <c r="C14" s="28"/>
    </row>
    <row r="15" spans="2:7">
      <c r="B15" s="2" t="s">
        <v>1085</v>
      </c>
      <c r="C15" s="281">
        <f>ERC!$M$3</f>
        <v>51686.899999999994</v>
      </c>
      <c r="D15" s="776">
        <f>C7/C15</f>
        <v>0.13938541487301429</v>
      </c>
    </row>
    <row r="16" spans="2:7">
      <c r="B16" s="2" t="s">
        <v>1086</v>
      </c>
      <c r="C16" s="281">
        <f>ERC!$M$4</f>
        <v>34692.5</v>
      </c>
      <c r="D16" s="776">
        <f>C9/C16</f>
        <v>0.20766448079556102</v>
      </c>
    </row>
    <row r="17" spans="2:4">
      <c r="B17" s="2" t="s">
        <v>726</v>
      </c>
      <c r="C17" s="281">
        <f>ERC!$M$2</f>
        <v>272963.81</v>
      </c>
      <c r="D17" s="776">
        <f>C7/C17</f>
        <v>2.6393242386234281E-2</v>
      </c>
    </row>
    <row r="20" spans="2:4">
      <c r="B20" s="1561" t="s">
        <v>2312</v>
      </c>
      <c r="C20" s="1562"/>
      <c r="D20" s="1562"/>
    </row>
    <row r="21" spans="2:4" ht="15.75">
      <c r="B21" s="1562"/>
      <c r="C21" s="1563" t="s">
        <v>671</v>
      </c>
      <c r="D21" s="1562"/>
    </row>
    <row r="22" spans="2:4">
      <c r="B22" s="1562" t="s">
        <v>292</v>
      </c>
      <c r="C22" s="1564">
        <v>0.02</v>
      </c>
      <c r="D22" s="1562"/>
    </row>
    <row r="23" spans="2:4">
      <c r="B23" s="1562" t="s">
        <v>2313</v>
      </c>
      <c r="C23" s="1565">
        <v>0.14690190561870237</v>
      </c>
      <c r="D23" s="1562"/>
    </row>
    <row r="24" spans="2:4">
      <c r="B24" s="1562" t="s">
        <v>294</v>
      </c>
      <c r="C24" s="1566">
        <v>0.2</v>
      </c>
      <c r="D24" s="1562"/>
    </row>
    <row r="25" spans="2:4">
      <c r="B25" s="1562"/>
      <c r="C25" s="1562"/>
      <c r="D25" s="1562"/>
    </row>
    <row r="26" spans="2:4">
      <c r="B26" s="1562"/>
      <c r="C26" s="1562"/>
      <c r="D26" s="1562"/>
    </row>
    <row r="27" spans="2:4">
      <c r="B27" s="1562" t="s">
        <v>2311</v>
      </c>
      <c r="C27" s="1564">
        <v>0.06</v>
      </c>
      <c r="D27" s="1562"/>
    </row>
    <row r="28" spans="2:4">
      <c r="B28" s="1562" t="s">
        <v>2314</v>
      </c>
      <c r="C28" s="1564">
        <v>0.34</v>
      </c>
      <c r="D28" s="1562"/>
    </row>
    <row r="29" spans="2:4">
      <c r="B29" s="1562" t="s">
        <v>2315</v>
      </c>
      <c r="C29" s="1564">
        <v>1.583E-3</v>
      </c>
      <c r="D29" s="1562"/>
    </row>
    <row r="30" spans="2:4">
      <c r="B30" s="1562" t="s">
        <v>2316</v>
      </c>
      <c r="C30" s="1564">
        <f>'Sch.B-I.S'!F39/'Sch.B-I.S'!F11</f>
        <v>1.9845006534623184E-2</v>
      </c>
      <c r="D30" s="1562"/>
    </row>
    <row r="31" spans="2:4">
      <c r="B31" s="1562" t="s">
        <v>2321</v>
      </c>
      <c r="C31" s="1567">
        <f>1/((1-C27)*(1-C28)*(1-C29)*(1-C30))</f>
        <v>1.6471057638178637</v>
      </c>
      <c r="D31" s="1562"/>
    </row>
    <row r="32" spans="2:4">
      <c r="B32" s="1562" t="s">
        <v>2338</v>
      </c>
      <c r="C32" s="1566">
        <v>-2.6499999999999999E-2</v>
      </c>
      <c r="D32" s="1562" t="b">
        <v>1</v>
      </c>
    </row>
    <row r="33" spans="2:11">
      <c r="B33" s="1562"/>
      <c r="C33" s="1562"/>
      <c r="D33" s="1562"/>
    </row>
    <row r="34" spans="2:11">
      <c r="B34" s="1562" t="s">
        <v>2317</v>
      </c>
      <c r="C34" s="1565">
        <f>'wp.h-cap.struc'!J16</f>
        <v>0.51387828480946374</v>
      </c>
      <c r="D34" s="1562"/>
    </row>
    <row r="35" spans="2:11">
      <c r="B35" s="1562" t="s">
        <v>2318</v>
      </c>
      <c r="C35" s="1565">
        <f>1-C34</f>
        <v>0.48612171519053626</v>
      </c>
      <c r="D35" s="1562"/>
    </row>
    <row r="36" spans="2:11">
      <c r="B36" s="1562" t="s">
        <v>2319</v>
      </c>
      <c r="C36" s="1576">
        <v>0</v>
      </c>
      <c r="D36" s="1562"/>
    </row>
    <row r="37" spans="2:11">
      <c r="B37" s="1562" t="s">
        <v>2320</v>
      </c>
      <c r="C37" s="1565">
        <f>'wp.h-cap.struc'!F31</f>
        <v>6.6035744444444447E-2</v>
      </c>
      <c r="D37" s="1562"/>
    </row>
    <row r="44" spans="2:11" hidden="1">
      <c r="J44" s="2" t="b">
        <v>1</v>
      </c>
      <c r="K44" s="2" t="b">
        <v>0</v>
      </c>
    </row>
  </sheetData>
  <phoneticPr fontId="28" type="noConversion"/>
  <dataValidations count="1">
    <dataValidation type="list" allowBlank="1" showInputMessage="1" showErrorMessage="1" sqref="D32">
      <formula1>$J$44:$K$44</formula1>
    </dataValidation>
  </dataValidations>
  <pageMargins left="0.75" right="0.75" top="1" bottom="1" header="0.5" footer="0.5"/>
  <pageSetup scale="69" orientation="portrait" horizontalDpi="4294967292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45"/>
  <sheetViews>
    <sheetView showGridLines="0" view="pageBreakPreview" zoomScale="80" zoomScaleNormal="100" zoomScaleSheetLayoutView="80" workbookViewId="0">
      <pane ySplit="4" topLeftCell="A5" activePane="bottomLeft" state="frozen"/>
      <selection pane="bottomLeft"/>
    </sheetView>
  </sheetViews>
  <sheetFormatPr defaultColWidth="10.875" defaultRowHeight="15"/>
  <cols>
    <col min="1" max="1" width="10.875" style="15"/>
    <col min="2" max="2" width="3.75" style="12" customWidth="1"/>
    <col min="3" max="3" width="33.625" style="12" bestFit="1" customWidth="1"/>
    <col min="4" max="4" width="3" style="12" customWidth="1"/>
    <col min="5" max="5" width="11.625" style="12" bestFit="1" customWidth="1"/>
    <col min="6" max="6" width="3" style="12" customWidth="1"/>
    <col min="7" max="7" width="18.5" style="12" bestFit="1" customWidth="1"/>
    <col min="8" max="8" width="6.75" style="12" bestFit="1" customWidth="1"/>
    <col min="9" max="9" width="12.875" style="12" customWidth="1"/>
    <col min="10" max="10" width="2.375" style="12" customWidth="1"/>
    <col min="11" max="11" width="9" style="12" bestFit="1" customWidth="1"/>
    <col min="12" max="12" width="3" style="12" bestFit="1" customWidth="1"/>
    <col min="13" max="13" width="26.625" style="12" customWidth="1"/>
    <col min="14" max="14" width="10.875" style="15" customWidth="1"/>
    <col min="15" max="15" width="29.5" style="15" customWidth="1"/>
    <col min="16" max="20" width="10.875" style="15" customWidth="1"/>
    <col min="21" max="16384" width="10.875" style="15"/>
  </cols>
  <sheetData>
    <row r="1" spans="1:13" ht="20.25" customHeight="1">
      <c r="A1" s="38" t="str">
        <f>Company_Name</f>
        <v>WATER SERVICE CORPORATION OF KENTUCKY</v>
      </c>
      <c r="C1" s="571"/>
      <c r="K1" s="572"/>
      <c r="M1" s="573" t="s">
        <v>743</v>
      </c>
    </row>
    <row r="2" spans="1:13">
      <c r="A2" s="38" t="str">
        <f>Docket</f>
        <v>Case No. 2015 - 00382</v>
      </c>
      <c r="C2" s="571"/>
      <c r="K2" s="572"/>
      <c r="M2" s="575" t="s">
        <v>439</v>
      </c>
    </row>
    <row r="3" spans="1:13">
      <c r="A3" s="571" t="s">
        <v>507</v>
      </c>
      <c r="K3" s="574"/>
    </row>
    <row r="4" spans="1:13">
      <c r="A4" s="1502" t="str">
        <f>TestYearEnded</f>
        <v>Test Year Ended 6/30/2015</v>
      </c>
      <c r="C4" s="1503"/>
      <c r="M4" s="15"/>
    </row>
    <row r="5" spans="1:13">
      <c r="B5" s="294"/>
      <c r="C5" s="576"/>
      <c r="M5" s="15"/>
    </row>
    <row r="6" spans="1:13" s="1504" customFormat="1" ht="14.25">
      <c r="B6" s="1505"/>
      <c r="C6" s="1506" t="s">
        <v>235</v>
      </c>
      <c r="D6" s="1506"/>
      <c r="E6" s="1506" t="s">
        <v>236</v>
      </c>
      <c r="F6" s="1506"/>
      <c r="G6" s="1506" t="s">
        <v>237</v>
      </c>
      <c r="H6" s="1506"/>
      <c r="I6" s="1506" t="s">
        <v>238</v>
      </c>
      <c r="J6" s="1506"/>
      <c r="K6" s="1506" t="s">
        <v>239</v>
      </c>
      <c r="L6" s="1506"/>
      <c r="M6" s="1504" t="s">
        <v>869</v>
      </c>
    </row>
    <row r="7" spans="1:13">
      <c r="C7" s="1506"/>
    </row>
    <row r="8" spans="1:13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 t="s">
        <v>409</v>
      </c>
    </row>
    <row r="9" spans="1:13">
      <c r="B9" s="3"/>
      <c r="C9" s="3"/>
      <c r="D9" s="3"/>
      <c r="E9" s="3" t="s">
        <v>410</v>
      </c>
      <c r="F9" s="3"/>
      <c r="G9" s="3" t="s">
        <v>454</v>
      </c>
      <c r="H9" s="3"/>
      <c r="I9" s="3" t="s">
        <v>105</v>
      </c>
      <c r="J9" s="3"/>
      <c r="K9" s="3" t="s">
        <v>139</v>
      </c>
      <c r="L9" s="3"/>
      <c r="M9" s="3" t="s">
        <v>139</v>
      </c>
    </row>
    <row r="10" spans="1:13">
      <c r="A10" s="7" t="s">
        <v>1786</v>
      </c>
      <c r="B10" s="3"/>
      <c r="C10" s="3"/>
      <c r="D10" s="3"/>
      <c r="E10" s="7" t="s">
        <v>495</v>
      </c>
      <c r="F10" s="3"/>
      <c r="G10" s="7" t="s">
        <v>3993</v>
      </c>
      <c r="H10" s="3"/>
      <c r="I10" s="7" t="s">
        <v>949</v>
      </c>
      <c r="J10" s="3"/>
      <c r="K10" s="7" t="s">
        <v>453</v>
      </c>
      <c r="L10" s="3"/>
      <c r="M10" s="7" t="s">
        <v>453</v>
      </c>
    </row>
    <row r="12" spans="1:13" ht="15.75" thickBot="1">
      <c r="A12" s="1504">
        <v>1</v>
      </c>
      <c r="C12" s="12" t="s">
        <v>465</v>
      </c>
      <c r="D12" s="577" t="s">
        <v>646</v>
      </c>
      <c r="E12" s="456">
        <f>+'Sch.B-I.S'!F56</f>
        <v>357924.14000000176</v>
      </c>
      <c r="F12" s="48"/>
      <c r="G12" s="456">
        <f ca="1">+'Sch.B-I.S'!H56</f>
        <v>-207344.31101343359</v>
      </c>
      <c r="H12" s="577" t="s">
        <v>646</v>
      </c>
      <c r="I12" s="456">
        <f ca="1">+'Sch.B-I.S'!J56</f>
        <v>150579.82898656791</v>
      </c>
      <c r="J12" s="48"/>
      <c r="K12" s="456">
        <f ca="1">+'Sch.B-I.S'!L56</f>
        <v>314680.31518320332</v>
      </c>
      <c r="L12" s="577" t="s">
        <v>646</v>
      </c>
      <c r="M12" s="456">
        <f ca="1">+'Sch.B-I.S'!N56</f>
        <v>465260.14416977158</v>
      </c>
    </row>
    <row r="13" spans="1:13" ht="15.75" thickTop="1">
      <c r="A13" s="1504">
        <v>2</v>
      </c>
      <c r="E13" s="48"/>
      <c r="F13" s="48"/>
      <c r="G13" s="48"/>
      <c r="H13" s="578"/>
      <c r="I13" s="48"/>
      <c r="J13" s="48"/>
      <c r="K13" s="48"/>
      <c r="L13" s="48"/>
      <c r="M13" s="48"/>
    </row>
    <row r="14" spans="1:13">
      <c r="A14" s="1504">
        <v>3</v>
      </c>
      <c r="C14" s="12" t="s">
        <v>635</v>
      </c>
      <c r="D14" s="577" t="s">
        <v>646</v>
      </c>
      <c r="E14" s="196">
        <f>+'Linked TB'!E80+'Linked TB'!E73+'Linked TB'!E69</f>
        <v>11829534.330000002</v>
      </c>
      <c r="F14" s="269"/>
      <c r="G14" s="196">
        <f>'wp-c-PIS Adj'!K9</f>
        <v>-390934.42313278373</v>
      </c>
      <c r="H14" s="3" t="s">
        <v>736</v>
      </c>
      <c r="I14" s="196">
        <f>E14+G14</f>
        <v>11438599.906867217</v>
      </c>
      <c r="J14" s="414"/>
      <c r="K14" s="196">
        <v>0</v>
      </c>
      <c r="L14" s="577" t="s">
        <v>646</v>
      </c>
      <c r="M14" s="196">
        <f>I14+K14</f>
        <v>11438599.906867217</v>
      </c>
    </row>
    <row r="15" spans="1:13">
      <c r="A15" s="1504">
        <v>4</v>
      </c>
      <c r="C15" s="12" t="s">
        <v>647</v>
      </c>
      <c r="D15" s="577"/>
      <c r="E15" s="196">
        <f>+'Linked TB'!E161</f>
        <v>-5181177.0200000005</v>
      </c>
      <c r="F15" s="269"/>
      <c r="G15" s="196">
        <f>'wp-c-PIS Adj'!K10</f>
        <v>589462.34499045974</v>
      </c>
      <c r="H15" s="3" t="s">
        <v>736</v>
      </c>
      <c r="I15" s="196">
        <f>E15+G15</f>
        <v>-4591714.6750095412</v>
      </c>
      <c r="J15" s="414"/>
      <c r="K15" s="196">
        <v>0</v>
      </c>
      <c r="L15" s="414"/>
      <c r="M15" s="196">
        <f>I15+K15</f>
        <v>-4591714.6750095412</v>
      </c>
    </row>
    <row r="16" spans="1:13">
      <c r="A16" s="1504">
        <v>5</v>
      </c>
      <c r="C16" s="12" t="s">
        <v>319</v>
      </c>
      <c r="E16" s="259">
        <f>SUM(E14:E15)</f>
        <v>6648357.3100000015</v>
      </c>
      <c r="F16" s="196"/>
      <c r="G16" s="259">
        <f>SUM(G14:G15)</f>
        <v>198527.921857676</v>
      </c>
      <c r="H16" s="269"/>
      <c r="I16" s="259">
        <f>SUM(I14:I15)</f>
        <v>6846885.2318576761</v>
      </c>
      <c r="J16" s="196"/>
      <c r="K16" s="259">
        <f>SUM(K14:K15)</f>
        <v>0</v>
      </c>
      <c r="L16" s="196"/>
      <c r="M16" s="259">
        <f>SUM(M14:M15)</f>
        <v>6846885.2318576761</v>
      </c>
    </row>
    <row r="17" spans="1:13">
      <c r="A17" s="1504">
        <v>6</v>
      </c>
      <c r="C17" s="12" t="s">
        <v>320</v>
      </c>
      <c r="E17" s="196">
        <f>'wp-i-wc'!$G$16</f>
        <v>221546</v>
      </c>
      <c r="F17" s="196"/>
      <c r="G17" s="196">
        <f ca="1">I17-E17</f>
        <v>10789</v>
      </c>
      <c r="H17" s="269" t="s">
        <v>700</v>
      </c>
      <c r="I17" s="196">
        <f ca="1">'wp-i-wc'!G26</f>
        <v>232335</v>
      </c>
      <c r="J17" s="196"/>
      <c r="K17" s="196">
        <v>0</v>
      </c>
      <c r="L17" s="196"/>
      <c r="M17" s="196">
        <f t="shared" ref="M17:M21" ca="1" si="0">I17+K17</f>
        <v>232335</v>
      </c>
    </row>
    <row r="18" spans="1:13">
      <c r="A18" s="1504">
        <v>7</v>
      </c>
      <c r="C18" s="12" t="s">
        <v>684</v>
      </c>
      <c r="E18" s="196">
        <f>'Linked TB'!F252</f>
        <v>-188653.95</v>
      </c>
      <c r="F18" s="269"/>
      <c r="G18" s="196">
        <f>-'wp-f-depr new rates'!K62</f>
        <v>6348.6806351374535</v>
      </c>
      <c r="H18" s="269" t="s">
        <v>1903</v>
      </c>
      <c r="I18" s="196">
        <f t="shared" ref="I18:I21" si="1">E18+G18</f>
        <v>-182305.26936486256</v>
      </c>
      <c r="J18" s="196"/>
      <c r="K18" s="196">
        <v>0</v>
      </c>
      <c r="L18" s="196"/>
      <c r="M18" s="196">
        <f t="shared" si="0"/>
        <v>-182305.26936486256</v>
      </c>
    </row>
    <row r="19" spans="1:13">
      <c r="A19" s="1504">
        <v>8</v>
      </c>
      <c r="C19" s="12" t="s">
        <v>649</v>
      </c>
      <c r="E19" s="196">
        <f>'Linked TB'!F232</f>
        <v>-73375.75</v>
      </c>
      <c r="F19" s="269"/>
      <c r="G19" s="196">
        <f>I19-E19</f>
        <v>4523.2192000000214</v>
      </c>
      <c r="H19" s="269" t="s">
        <v>1903</v>
      </c>
      <c r="I19" s="196">
        <f>'wp-q AIAC'!H13</f>
        <v>-68852.530799999979</v>
      </c>
      <c r="J19" s="196"/>
      <c r="K19" s="196">
        <v>0</v>
      </c>
      <c r="L19" s="196"/>
      <c r="M19" s="196">
        <f t="shared" si="0"/>
        <v>-68852.530799999979</v>
      </c>
    </row>
    <row r="20" spans="1:13">
      <c r="A20" s="1504">
        <v>9</v>
      </c>
      <c r="C20" s="12" t="s">
        <v>528</v>
      </c>
      <c r="E20" s="196">
        <f>+'Linked TB'!E262+'Linked TB'!E273</f>
        <v>-836172.26</v>
      </c>
      <c r="F20" s="196"/>
      <c r="G20" s="196">
        <v>0</v>
      </c>
      <c r="H20" s="269"/>
      <c r="I20" s="196">
        <f t="shared" si="1"/>
        <v>-836172.26</v>
      </c>
      <c r="J20" s="196"/>
      <c r="K20" s="196">
        <v>0</v>
      </c>
      <c r="L20" s="196"/>
      <c r="M20" s="196">
        <f t="shared" si="0"/>
        <v>-836172.26</v>
      </c>
    </row>
    <row r="21" spans="1:13">
      <c r="A21" s="1504">
        <v>10</v>
      </c>
      <c r="C21" s="12" t="s">
        <v>740</v>
      </c>
      <c r="E21" s="196">
        <f>+'Linked TB'!E291</f>
        <v>-35468.68</v>
      </c>
      <c r="F21" s="196"/>
      <c r="G21" s="196">
        <v>0</v>
      </c>
      <c r="H21" s="269"/>
      <c r="I21" s="196">
        <f t="shared" si="1"/>
        <v>-35468.68</v>
      </c>
      <c r="J21" s="196"/>
      <c r="K21" s="196">
        <v>0</v>
      </c>
      <c r="L21" s="196"/>
      <c r="M21" s="196">
        <f t="shared" si="0"/>
        <v>-35468.68</v>
      </c>
    </row>
    <row r="22" spans="1:13">
      <c r="A22" s="1504">
        <v>11</v>
      </c>
      <c r="E22" s="259"/>
      <c r="F22" s="196"/>
      <c r="G22" s="259"/>
      <c r="H22" s="269"/>
      <c r="I22" s="259"/>
      <c r="J22" s="196"/>
      <c r="K22" s="259"/>
      <c r="L22" s="196"/>
      <c r="M22" s="259"/>
    </row>
    <row r="23" spans="1:13" ht="15.75" thickBot="1">
      <c r="A23" s="1504">
        <v>12</v>
      </c>
      <c r="C23" s="12" t="s">
        <v>676</v>
      </c>
      <c r="D23" s="577" t="s">
        <v>646</v>
      </c>
      <c r="E23" s="260">
        <f>SUM(E16:E21)</f>
        <v>5736232.6700000018</v>
      </c>
      <c r="F23" s="414" t="s">
        <v>646</v>
      </c>
      <c r="G23" s="260">
        <f ca="1">SUM(G16:G21)</f>
        <v>220188.82169281348</v>
      </c>
      <c r="H23" s="414" t="s">
        <v>646</v>
      </c>
      <c r="I23" s="260">
        <f ca="1">SUM(I16:I21)</f>
        <v>5956421.491692814</v>
      </c>
      <c r="J23" s="414" t="s">
        <v>646</v>
      </c>
      <c r="K23" s="260">
        <f>SUM(K16:K21)</f>
        <v>0</v>
      </c>
      <c r="L23" s="414" t="s">
        <v>646</v>
      </c>
      <c r="M23" s="260">
        <f ca="1">SUM(M16:M21)</f>
        <v>5956421.491692814</v>
      </c>
    </row>
    <row r="24" spans="1:13" ht="15.75" thickTop="1">
      <c r="A24" s="1504">
        <v>13</v>
      </c>
      <c r="D24" s="577"/>
      <c r="E24" s="17"/>
      <c r="F24" s="577"/>
      <c r="G24" s="17"/>
      <c r="H24" s="577"/>
      <c r="I24" s="17"/>
      <c r="J24" s="577"/>
      <c r="K24" s="17"/>
      <c r="L24" s="577"/>
      <c r="M24" s="17"/>
    </row>
    <row r="25" spans="1:13">
      <c r="A25" s="1504">
        <v>14</v>
      </c>
      <c r="G25" s="17"/>
      <c r="K25" s="17"/>
    </row>
    <row r="26" spans="1:13" ht="15.75" thickBot="1">
      <c r="A26" s="1504">
        <v>15</v>
      </c>
      <c r="B26" s="580" t="s">
        <v>948</v>
      </c>
      <c r="C26" s="580"/>
      <c r="D26" s="54"/>
      <c r="E26" s="53">
        <f>E12/E23</f>
        <v>6.2397074977783573E-2</v>
      </c>
      <c r="F26" s="54"/>
      <c r="G26" s="52"/>
      <c r="H26" s="54"/>
      <c r="I26" s="53">
        <f ca="1">I12/I23</f>
        <v>2.5280250767440761E-2</v>
      </c>
      <c r="J26" s="54"/>
      <c r="K26" s="52"/>
      <c r="L26" s="54"/>
      <c r="M26" s="53">
        <f ca="1">M12/M23</f>
        <v>7.8110681861357792E-2</v>
      </c>
    </row>
    <row r="27" spans="1:13" ht="15.75" thickTop="1">
      <c r="A27" s="1504">
        <v>16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</row>
    <row r="28" spans="1:13">
      <c r="A28" s="1504">
        <v>17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</row>
    <row r="29" spans="1:13">
      <c r="A29" s="1504">
        <v>18</v>
      </c>
      <c r="B29" s="1353" t="s">
        <v>1905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</row>
    <row r="30" spans="1:13">
      <c r="A30" s="1504">
        <v>19</v>
      </c>
      <c r="B30" s="96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</row>
    <row r="31" spans="1:13">
      <c r="A31" s="1504">
        <v>20</v>
      </c>
      <c r="B31" s="12" t="s">
        <v>1749</v>
      </c>
      <c r="C31" s="2132" t="s">
        <v>2418</v>
      </c>
      <c r="D31" s="2132"/>
      <c r="E31" s="2132"/>
      <c r="F31" s="2132"/>
      <c r="G31" s="2132"/>
      <c r="H31" s="2132"/>
      <c r="I31" s="2132"/>
      <c r="J31" s="2132"/>
      <c r="K31" s="2132"/>
      <c r="L31" s="2132"/>
      <c r="M31" s="2132"/>
    </row>
    <row r="32" spans="1:13">
      <c r="A32" s="1504">
        <v>21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</row>
    <row r="33" spans="1:13">
      <c r="A33" s="1504">
        <v>22</v>
      </c>
      <c r="B33" s="12" t="s">
        <v>1750</v>
      </c>
      <c r="C33" s="2132" t="s">
        <v>4006</v>
      </c>
      <c r="D33" s="2132"/>
      <c r="E33" s="2132"/>
      <c r="F33" s="2132"/>
      <c r="G33" s="2132"/>
      <c r="H33" s="2132"/>
      <c r="I33" s="2132"/>
      <c r="J33" s="2132"/>
      <c r="K33" s="2132"/>
      <c r="L33" s="2132"/>
      <c r="M33" s="2132"/>
    </row>
    <row r="34" spans="1:13">
      <c r="A34" s="1504">
        <v>23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</row>
    <row r="35" spans="1:13" s="12" customFormat="1">
      <c r="A35" s="1504">
        <v>24</v>
      </c>
      <c r="B35" s="12" t="s">
        <v>700</v>
      </c>
      <c r="C35" s="2132" t="s">
        <v>943</v>
      </c>
      <c r="D35" s="2132"/>
      <c r="E35" s="2132"/>
      <c r="F35" s="2132"/>
      <c r="G35" s="2132"/>
      <c r="H35" s="2132"/>
      <c r="I35" s="2132"/>
      <c r="J35" s="2132"/>
      <c r="K35" s="2132"/>
      <c r="L35" s="2132"/>
      <c r="M35" s="2132"/>
    </row>
    <row r="36" spans="1:13" ht="21" customHeight="1">
      <c r="D36" s="17"/>
      <c r="E36" s="17"/>
      <c r="F36" s="17"/>
      <c r="G36" s="17"/>
      <c r="H36" s="17"/>
      <c r="I36" s="17"/>
      <c r="J36" s="17"/>
      <c r="K36" s="17"/>
      <c r="L36" s="17"/>
      <c r="M36" s="17"/>
    </row>
    <row r="37" spans="1:13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</row>
    <row r="38" spans="1:13" ht="15" customHeight="1">
      <c r="B38" s="12" t="s">
        <v>753</v>
      </c>
    </row>
    <row r="39" spans="1:13" ht="15" customHeight="1">
      <c r="B39" s="54"/>
      <c r="C39" s="54" t="s">
        <v>754</v>
      </c>
      <c r="D39" s="54"/>
      <c r="F39" s="54"/>
      <c r="G39" s="54">
        <f>'wp.h-cap.struc'!J22</f>
        <v>0.48612171519053632</v>
      </c>
      <c r="H39" s="54"/>
      <c r="I39" s="54">
        <f>'Sch.B-I.S'!$F$60/(E23*$G39)</f>
        <v>6.2941431872438294E-2</v>
      </c>
      <c r="J39" s="54"/>
      <c r="K39" s="54">
        <f ca="1">'Sch.B-I.S'!$J$60/(I23*$G39)</f>
        <v>6.6035744444444461E-2</v>
      </c>
      <c r="L39" s="54"/>
      <c r="M39" s="54">
        <f ca="1">'Sch.B-I.S'!$N$60/(M23*$G39)</f>
        <v>6.6035744444444461E-2</v>
      </c>
    </row>
    <row r="40" spans="1:13" ht="15" customHeight="1">
      <c r="B40" s="54"/>
      <c r="C40" s="54" t="s">
        <v>651</v>
      </c>
      <c r="D40" s="54"/>
      <c r="F40" s="54"/>
      <c r="G40" s="54">
        <f>1-G39</f>
        <v>0.51387828480946363</v>
      </c>
      <c r="H40" s="54"/>
      <c r="I40" s="54">
        <f>'Sch.B-I.S'!$F$62/(E23*$G40)</f>
        <v>6.3587272965045738E-2</v>
      </c>
      <c r="J40" s="54"/>
      <c r="K40" s="54">
        <f ca="1">'Sch.B-I.S'!$J$62/(I23*$G40)</f>
        <v>-1.1631761481429578E-2</v>
      </c>
      <c r="L40" s="54"/>
      <c r="M40" s="54">
        <f ca="1">'Sch.B-I.S'!$N$62/(M23*$G40)</f>
        <v>9.1175523153112906E-2</v>
      </c>
    </row>
    <row r="41" spans="1:13" ht="1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</row>
    <row r="42" spans="1:13" ht="14.1" customHeight="1"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71"/>
    </row>
    <row r="43" spans="1:13" ht="15" customHeight="1"/>
    <row r="44" spans="1:13" ht="12" customHeight="1">
      <c r="B44" s="571"/>
      <c r="M44" s="56"/>
    </row>
    <row r="45" spans="1:13">
      <c r="B45" s="16"/>
      <c r="M45" s="575"/>
    </row>
  </sheetData>
  <mergeCells count="3">
    <mergeCell ref="C31:M31"/>
    <mergeCell ref="C33:M33"/>
    <mergeCell ref="C35:M35"/>
  </mergeCells>
  <phoneticPr fontId="28" type="noConversion"/>
  <pageMargins left="0.25" right="0" top="0.37" bottom="0" header="0.5" footer="0.5"/>
  <pageSetup scale="66" orientation="portrait" horizontalDpi="4294967292" verticalDpi="4294967292" r:id="rId1"/>
  <headerFooter alignWithMargins="0"/>
  <rowBreaks count="1" manualBreakCount="1">
    <brk id="4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BreakPreview" zoomScaleNormal="100" zoomScaleSheetLayoutView="100" workbookViewId="0"/>
  </sheetViews>
  <sheetFormatPr defaultRowHeight="12.75"/>
  <cols>
    <col min="2" max="2" width="50.5" bestFit="1" customWidth="1"/>
    <col min="3" max="3" width="10.375" bestFit="1" customWidth="1"/>
    <col min="4" max="4" width="0.625" style="801" customWidth="1"/>
    <col min="5" max="5" width="7.25" bestFit="1" customWidth="1"/>
    <col min="6" max="6" width="0.625" style="801" customWidth="1"/>
    <col min="7" max="7" width="7.5" bestFit="1" customWidth="1"/>
    <col min="8" max="8" width="0.625" style="801" customWidth="1"/>
    <col min="9" max="9" width="7.5" style="2109" bestFit="1" customWidth="1"/>
    <col min="10" max="10" width="0.625" style="801" customWidth="1"/>
    <col min="11" max="11" width="9.625" bestFit="1" customWidth="1"/>
    <col min="12" max="12" width="0.625" style="801" customWidth="1"/>
    <col min="13" max="13" width="9.625" bestFit="1" customWidth="1"/>
    <col min="14" max="14" width="0.625" style="801" customWidth="1"/>
    <col min="15" max="15" width="8" bestFit="1" customWidth="1"/>
    <col min="16" max="16" width="0.625" style="801" customWidth="1"/>
    <col min="17" max="17" width="7.5" bestFit="1" customWidth="1"/>
    <col min="18" max="18" width="0.625" style="801" customWidth="1"/>
    <col min="19" max="19" width="8.75" bestFit="1" customWidth="1"/>
    <col min="20" max="20" width="0.625" style="801" customWidth="1"/>
    <col min="21" max="21" width="10.25" bestFit="1" customWidth="1"/>
    <col min="22" max="22" width="8.75" style="2027" customWidth="1"/>
  </cols>
  <sheetData>
    <row r="1" spans="1:24">
      <c r="A1" s="795" t="str">
        <f>Company_Name</f>
        <v>WATER SERVICE CORPORATION OF KENTUCKY</v>
      </c>
      <c r="B1" s="801"/>
      <c r="C1" s="796"/>
      <c r="D1" s="797"/>
      <c r="E1" s="796"/>
      <c r="F1" s="797"/>
      <c r="G1" s="796"/>
      <c r="H1" s="797"/>
      <c r="I1" s="798"/>
      <c r="J1" s="797"/>
      <c r="K1" s="799"/>
      <c r="L1" s="797"/>
      <c r="M1" s="801"/>
      <c r="N1" s="797"/>
      <c r="O1" s="802"/>
      <c r="P1" s="797"/>
      <c r="Q1" s="803"/>
      <c r="R1" s="797"/>
      <c r="S1" s="806"/>
      <c r="T1" s="797"/>
      <c r="U1" s="805" t="s">
        <v>285</v>
      </c>
      <c r="V1" s="2025"/>
    </row>
    <row r="2" spans="1:24">
      <c r="A2" s="795" t="str">
        <f>Docket</f>
        <v>Case No. 2015 - 00382</v>
      </c>
      <c r="B2" s="801"/>
      <c r="C2" s="796"/>
      <c r="D2" s="797"/>
      <c r="E2" s="796"/>
      <c r="F2" s="797"/>
      <c r="G2" s="796"/>
      <c r="H2" s="797"/>
      <c r="I2" s="798"/>
      <c r="J2" s="797"/>
      <c r="K2" s="799"/>
      <c r="L2" s="797"/>
      <c r="M2" s="801"/>
      <c r="N2" s="797"/>
      <c r="O2" s="802"/>
      <c r="P2" s="797"/>
      <c r="Q2" s="803"/>
      <c r="R2" s="797"/>
      <c r="S2" s="806"/>
      <c r="T2" s="797"/>
      <c r="U2" s="805"/>
      <c r="V2" s="2025"/>
    </row>
    <row r="3" spans="1:24">
      <c r="A3" s="808" t="s">
        <v>1482</v>
      </c>
      <c r="B3" s="801"/>
      <c r="C3" s="796"/>
      <c r="D3" s="797"/>
      <c r="E3" s="796"/>
      <c r="F3" s="797"/>
      <c r="G3" s="796"/>
      <c r="H3" s="797"/>
      <c r="I3" s="798"/>
      <c r="J3" s="797"/>
      <c r="K3" s="799"/>
      <c r="L3" s="797"/>
      <c r="M3" s="799"/>
      <c r="N3" s="797"/>
      <c r="O3" s="802"/>
      <c r="P3" s="797"/>
      <c r="Q3" s="802"/>
      <c r="R3" s="797"/>
      <c r="S3" s="809"/>
      <c r="T3" s="797"/>
      <c r="U3" s="810"/>
      <c r="V3" s="2026"/>
      <c r="X3" s="811" t="s">
        <v>514</v>
      </c>
    </row>
    <row r="4" spans="1:24" ht="13.5" thickBot="1">
      <c r="A4" s="813" t="str">
        <f>TestYearEnded</f>
        <v>Test Year Ended 6/30/2015</v>
      </c>
      <c r="B4" s="801"/>
      <c r="C4" s="796"/>
      <c r="D4" s="814"/>
      <c r="E4" s="796"/>
      <c r="F4" s="814"/>
      <c r="G4" s="796"/>
      <c r="H4" s="814"/>
      <c r="I4" s="798"/>
      <c r="J4" s="814"/>
      <c r="K4" s="799"/>
      <c r="L4" s="814"/>
      <c r="M4" s="799"/>
      <c r="N4" s="814"/>
      <c r="O4" s="802"/>
      <c r="P4" s="814"/>
      <c r="Q4" s="802"/>
      <c r="R4" s="814"/>
      <c r="S4" s="809"/>
      <c r="T4" s="814"/>
      <c r="U4" s="810"/>
      <c r="V4" s="2026"/>
      <c r="X4" s="811" t="s">
        <v>1443</v>
      </c>
    </row>
    <row r="5" spans="1:24" ht="13.5" thickBot="1">
      <c r="A5" s="801"/>
      <c r="B5" s="815"/>
      <c r="C5" s="796"/>
      <c r="D5" s="814"/>
      <c r="E5" s="796"/>
      <c r="F5" s="814"/>
      <c r="G5" s="796"/>
      <c r="H5" s="814"/>
      <c r="I5" s="798"/>
      <c r="J5" s="814"/>
      <c r="K5" s="799"/>
      <c r="L5" s="814"/>
      <c r="M5" s="799"/>
      <c r="N5" s="814"/>
      <c r="O5" s="802"/>
      <c r="P5" s="814"/>
      <c r="Q5" s="802"/>
      <c r="R5" s="814"/>
      <c r="S5" s="809"/>
      <c r="T5" s="814"/>
      <c r="U5" s="810"/>
      <c r="V5" s="2026"/>
      <c r="X5" s="816">
        <f ca="1">+'Sch.B-I.S'!P11</f>
        <v>0.24615466546056028</v>
      </c>
    </row>
    <row r="6" spans="1:24">
      <c r="A6" s="1515"/>
      <c r="B6" s="1516" t="s">
        <v>235</v>
      </c>
      <c r="C6" s="1517" t="s">
        <v>236</v>
      </c>
      <c r="D6" s="1516"/>
      <c r="E6" s="1517" t="s">
        <v>237</v>
      </c>
      <c r="F6" s="1516"/>
      <c r="G6" s="1517" t="s">
        <v>238</v>
      </c>
      <c r="H6" s="1516"/>
      <c r="I6" s="1518" t="s">
        <v>239</v>
      </c>
      <c r="J6" s="1516"/>
      <c r="K6" s="1519" t="s">
        <v>869</v>
      </c>
      <c r="L6" s="1516"/>
      <c r="M6" s="1519" t="s">
        <v>870</v>
      </c>
      <c r="N6" s="1516"/>
      <c r="O6" s="1520" t="s">
        <v>871</v>
      </c>
      <c r="P6" s="1516"/>
      <c r="Q6" s="1520" t="s">
        <v>872</v>
      </c>
      <c r="R6" s="1516"/>
      <c r="S6" s="1522" t="s">
        <v>873</v>
      </c>
      <c r="T6" s="1516"/>
      <c r="U6" s="1523" t="s">
        <v>874</v>
      </c>
      <c r="V6" s="2023" t="s">
        <v>2304</v>
      </c>
    </row>
    <row r="8" spans="1:24" ht="48">
      <c r="A8" s="1525" t="s">
        <v>1786</v>
      </c>
      <c r="B8" s="1508"/>
      <c r="C8" s="822" t="s">
        <v>1760</v>
      </c>
      <c r="D8" s="1509"/>
      <c r="E8" s="822" t="s">
        <v>1761</v>
      </c>
      <c r="F8" s="1509"/>
      <c r="G8" s="822" t="s">
        <v>1762</v>
      </c>
      <c r="H8" s="1509"/>
      <c r="I8" s="1091" t="s">
        <v>1763</v>
      </c>
      <c r="J8" s="1509"/>
      <c r="K8" s="825" t="s">
        <v>761</v>
      </c>
      <c r="L8" s="1509"/>
      <c r="M8" s="825" t="s">
        <v>1442</v>
      </c>
      <c r="N8" s="1509"/>
      <c r="O8" s="1037" t="s">
        <v>1444</v>
      </c>
      <c r="P8" s="1509"/>
      <c r="Q8" s="1037" t="s">
        <v>1445</v>
      </c>
      <c r="R8" s="1509"/>
      <c r="S8" s="1091" t="s">
        <v>1441</v>
      </c>
      <c r="T8" s="1509"/>
      <c r="U8" s="829" t="s">
        <v>888</v>
      </c>
      <c r="V8" s="2024" t="s">
        <v>3929</v>
      </c>
    </row>
    <row r="9" spans="1:24">
      <c r="B9" s="818"/>
      <c r="C9" s="824"/>
      <c r="D9" s="823"/>
      <c r="E9" s="824"/>
      <c r="F9" s="823"/>
      <c r="G9" s="824"/>
      <c r="H9" s="823"/>
      <c r="I9" s="1677"/>
      <c r="J9" s="823"/>
      <c r="K9" s="942"/>
      <c r="L9" s="823"/>
      <c r="M9" s="942"/>
      <c r="N9" s="823"/>
      <c r="O9" s="827"/>
      <c r="P9" s="823"/>
      <c r="Q9" s="827"/>
      <c r="R9" s="823"/>
      <c r="S9" s="828"/>
      <c r="T9" s="823"/>
      <c r="U9" s="943"/>
      <c r="V9" s="2024"/>
    </row>
    <row r="10" spans="1:24">
      <c r="B10" s="1095" t="s">
        <v>808</v>
      </c>
      <c r="C10" s="1096"/>
      <c r="D10" s="1097"/>
      <c r="E10" s="1096"/>
      <c r="F10" s="1097"/>
      <c r="G10" s="1096"/>
      <c r="H10" s="1097"/>
      <c r="I10" s="1678"/>
      <c r="J10" s="1097"/>
      <c r="K10" s="1098"/>
      <c r="L10" s="1097"/>
      <c r="M10" s="1098"/>
      <c r="N10" s="1097"/>
      <c r="O10" s="1100"/>
      <c r="P10" s="1097"/>
      <c r="Q10" s="1100"/>
      <c r="R10" s="1097"/>
      <c r="S10" s="1101"/>
      <c r="T10" s="1097"/>
      <c r="U10" s="1102"/>
      <c r="V10" s="2023"/>
    </row>
    <row r="11" spans="1:24">
      <c r="B11" s="1103"/>
      <c r="C11" s="1104"/>
      <c r="D11" s="1105"/>
      <c r="E11" s="1104"/>
      <c r="F11" s="1105"/>
      <c r="G11" s="1096"/>
      <c r="H11" s="1105"/>
      <c r="I11" s="1678"/>
      <c r="J11" s="1105"/>
      <c r="K11" s="1098"/>
      <c r="L11" s="1105"/>
      <c r="M11" s="1098"/>
      <c r="N11" s="1105"/>
      <c r="O11" s="1100"/>
      <c r="P11" s="1105"/>
      <c r="Q11" s="1100"/>
      <c r="R11" s="1105"/>
      <c r="S11" s="1101"/>
      <c r="T11" s="1105"/>
      <c r="U11" s="1102"/>
      <c r="V11" s="2023"/>
    </row>
    <row r="12" spans="1:24">
      <c r="B12" s="1106" t="s">
        <v>1394</v>
      </c>
      <c r="C12" s="1124">
        <v>224676.36699020994</v>
      </c>
      <c r="D12" s="1129"/>
      <c r="E12" s="1124"/>
      <c r="F12" s="1129"/>
      <c r="G12" s="1124"/>
      <c r="H12" s="1129"/>
      <c r="I12" s="1679"/>
      <c r="J12" s="1129"/>
      <c r="K12" s="1125"/>
      <c r="L12" s="1129"/>
      <c r="M12" s="1125"/>
      <c r="N12" s="1129"/>
      <c r="O12" s="1127"/>
      <c r="P12" s="1129"/>
      <c r="Q12" s="1127"/>
      <c r="R12" s="1129"/>
      <c r="S12" s="1128"/>
      <c r="T12" s="1129"/>
      <c r="U12" s="1131"/>
      <c r="V12" s="2028"/>
    </row>
    <row r="13" spans="1:24">
      <c r="B13" s="1141" t="s">
        <v>459</v>
      </c>
      <c r="C13" s="1124"/>
      <c r="D13" s="1133"/>
      <c r="E13" s="1124">
        <v>59288</v>
      </c>
      <c r="F13" s="1133"/>
      <c r="G13" s="826"/>
      <c r="H13" s="1133"/>
      <c r="I13" s="1680">
        <v>9.42</v>
      </c>
      <c r="J13" s="1133"/>
      <c r="K13" s="1125">
        <f>+E13*I13</f>
        <v>558492.96</v>
      </c>
      <c r="L13" s="1133"/>
      <c r="M13" s="1125">
        <f>+K13</f>
        <v>558492.96</v>
      </c>
      <c r="N13" s="1133"/>
      <c r="O13" s="1127">
        <f>+E13</f>
        <v>59288</v>
      </c>
      <c r="P13" s="1133"/>
      <c r="Q13" s="1127"/>
      <c r="R13" s="1133"/>
      <c r="S13" s="1142">
        <f ca="1">'wp - t-1 COSS'!$F$13</f>
        <v>15.53</v>
      </c>
      <c r="T13" s="1133"/>
      <c r="U13" s="1143">
        <f ca="1">+O13*S13</f>
        <v>920742.64</v>
      </c>
      <c r="V13" s="2029"/>
    </row>
    <row r="14" spans="1:24">
      <c r="B14" s="1141" t="s">
        <v>513</v>
      </c>
      <c r="C14" s="1124"/>
      <c r="D14" s="1133"/>
      <c r="E14" s="1124"/>
      <c r="F14" s="1133"/>
      <c r="G14" s="1124">
        <v>152544.95638038244</v>
      </c>
      <c r="H14" s="1133"/>
      <c r="I14" s="1680">
        <v>3.86</v>
      </c>
      <c r="J14" s="1133"/>
      <c r="K14" s="1127">
        <f>+G14*I14</f>
        <v>588823.53162827622</v>
      </c>
      <c r="L14" s="1133"/>
      <c r="M14" s="1125">
        <f t="shared" ref="M14:M18" si="0">+K14</f>
        <v>588823.53162827622</v>
      </c>
      <c r="N14" s="1133"/>
      <c r="O14" s="1127"/>
      <c r="P14" s="1133"/>
      <c r="Q14" s="1127">
        <f>+G14</f>
        <v>152544.95638038244</v>
      </c>
      <c r="R14" s="1133"/>
      <c r="S14" s="2114">
        <f ca="1">'wp - t-1 COSS'!$F$31</f>
        <v>3.8170000000000002</v>
      </c>
      <c r="T14" s="1133"/>
      <c r="U14" s="1143">
        <f ca="1">+Q14*S14</f>
        <v>582264.09850391978</v>
      </c>
      <c r="V14" s="2029"/>
    </row>
    <row r="15" spans="1:24">
      <c r="B15" s="1141" t="s">
        <v>706</v>
      </c>
      <c r="C15" s="1124"/>
      <c r="D15" s="1133"/>
      <c r="E15" s="1124"/>
      <c r="F15" s="1133"/>
      <c r="G15" s="1124">
        <v>12302.360176060358</v>
      </c>
      <c r="H15" s="1133"/>
      <c r="I15" s="1680">
        <v>3.53</v>
      </c>
      <c r="J15" s="1133"/>
      <c r="K15" s="1127">
        <f t="shared" ref="K15:K18" si="1">+G15*I15</f>
        <v>43427.331421493058</v>
      </c>
      <c r="L15" s="1133"/>
      <c r="M15" s="1125">
        <f t="shared" si="0"/>
        <v>43427.331421493058</v>
      </c>
      <c r="N15" s="1133"/>
      <c r="O15" s="1127"/>
      <c r="P15" s="1133"/>
      <c r="Q15" s="1127">
        <f t="shared" ref="Q15:Q18" si="2">+G15</f>
        <v>12302.360176060358</v>
      </c>
      <c r="R15" s="1133"/>
      <c r="S15" s="2114">
        <f ca="1">'wp - t-1 COSS'!$F$31</f>
        <v>3.8170000000000002</v>
      </c>
      <c r="T15" s="1133"/>
      <c r="U15" s="1143">
        <f t="shared" ref="U15:U18" ca="1" si="3">+Q15*S15</f>
        <v>46958.108792022387</v>
      </c>
      <c r="V15" s="2029"/>
    </row>
    <row r="16" spans="1:24">
      <c r="B16" s="1141" t="s">
        <v>707</v>
      </c>
      <c r="C16" s="1124"/>
      <c r="D16" s="1133"/>
      <c r="E16" s="1124"/>
      <c r="F16" s="1133"/>
      <c r="G16" s="1124">
        <v>2871.4615011417027</v>
      </c>
      <c r="H16" s="1133"/>
      <c r="I16" s="1680">
        <v>3.35</v>
      </c>
      <c r="J16" s="1133"/>
      <c r="K16" s="1127">
        <f t="shared" si="1"/>
        <v>9619.3960288247035</v>
      </c>
      <c r="L16" s="1133"/>
      <c r="M16" s="1125">
        <f t="shared" si="0"/>
        <v>9619.3960288247035</v>
      </c>
      <c r="N16" s="1133"/>
      <c r="O16" s="1127"/>
      <c r="P16" s="1133"/>
      <c r="Q16" s="1127">
        <f t="shared" si="2"/>
        <v>2871.4615011417027</v>
      </c>
      <c r="R16" s="1133"/>
      <c r="S16" s="2114">
        <f ca="1">'wp - t-1 COSS'!$F$31</f>
        <v>3.8170000000000002</v>
      </c>
      <c r="T16" s="1133"/>
      <c r="U16" s="1143">
        <f t="shared" ca="1" si="3"/>
        <v>10960.36854985788</v>
      </c>
      <c r="V16" s="2029"/>
    </row>
    <row r="17" spans="2:22">
      <c r="B17" s="1141" t="s">
        <v>708</v>
      </c>
      <c r="C17" s="1124"/>
      <c r="D17" s="1133"/>
      <c r="E17" s="1124"/>
      <c r="F17" s="1133"/>
      <c r="G17" s="1124">
        <v>1572.4667435812987</v>
      </c>
      <c r="H17" s="1133"/>
      <c r="I17" s="1680">
        <v>3.01</v>
      </c>
      <c r="J17" s="1133"/>
      <c r="K17" s="1127">
        <f t="shared" si="1"/>
        <v>4733.1248981797089</v>
      </c>
      <c r="L17" s="1133"/>
      <c r="M17" s="1125">
        <f t="shared" si="0"/>
        <v>4733.1248981797089</v>
      </c>
      <c r="N17" s="1133"/>
      <c r="O17" s="1127"/>
      <c r="P17" s="1133"/>
      <c r="Q17" s="1127">
        <f t="shared" si="2"/>
        <v>1572.4667435812987</v>
      </c>
      <c r="R17" s="1133"/>
      <c r="S17" s="2114">
        <f ca="1">'wp - t-1 COSS'!$F$31</f>
        <v>3.8170000000000002</v>
      </c>
      <c r="T17" s="1133"/>
      <c r="U17" s="1143">
        <f t="shared" ca="1" si="3"/>
        <v>6002.1055602498172</v>
      </c>
      <c r="V17" s="2029"/>
    </row>
    <row r="18" spans="2:22">
      <c r="B18" s="1141" t="s">
        <v>711</v>
      </c>
      <c r="C18" s="1124"/>
      <c r="D18" s="1133"/>
      <c r="E18" s="1124"/>
      <c r="F18" s="1133"/>
      <c r="G18" s="1124">
        <v>1538.1607899594428</v>
      </c>
      <c r="H18" s="1133"/>
      <c r="I18" s="1680">
        <v>2.76</v>
      </c>
      <c r="J18" s="1133"/>
      <c r="K18" s="1127">
        <f t="shared" si="1"/>
        <v>4245.3237802880622</v>
      </c>
      <c r="L18" s="1133"/>
      <c r="M18" s="1125">
        <f t="shared" si="0"/>
        <v>4245.3237802880622</v>
      </c>
      <c r="N18" s="1133"/>
      <c r="O18" s="1127"/>
      <c r="P18" s="1133"/>
      <c r="Q18" s="1127">
        <f t="shared" si="2"/>
        <v>1538.1607899594428</v>
      </c>
      <c r="R18" s="1133"/>
      <c r="S18" s="2114">
        <f ca="1">'wp - t-1 COSS'!$F$31</f>
        <v>3.8170000000000002</v>
      </c>
      <c r="T18" s="1133"/>
      <c r="U18" s="1143">
        <f t="shared" ca="1" si="3"/>
        <v>5871.1597352751933</v>
      </c>
      <c r="V18" s="2029"/>
    </row>
    <row r="19" spans="2:22" ht="13.5" thickBot="1">
      <c r="B19" s="1109" t="s">
        <v>1393</v>
      </c>
      <c r="C19" s="1145">
        <f>SUM(C12:C18)</f>
        <v>224676.36699020994</v>
      </c>
      <c r="D19" s="1135"/>
      <c r="E19" s="1145">
        <f>SUM(E12:E18)</f>
        <v>59288</v>
      </c>
      <c r="F19" s="1135"/>
      <c r="G19" s="1145">
        <f>SUM(G12:G18)</f>
        <v>170829.40559112522</v>
      </c>
      <c r="H19" s="1135"/>
      <c r="I19" s="1678"/>
      <c r="J19" s="1135"/>
      <c r="K19" s="1136">
        <f>SUM(K12:K18)</f>
        <v>1209341.6677570615</v>
      </c>
      <c r="L19" s="1135"/>
      <c r="M19" s="1136">
        <f>SUM(M12:M18)</f>
        <v>1209341.6677570615</v>
      </c>
      <c r="N19" s="1135"/>
      <c r="O19" s="1145">
        <f>SUM(O12:O18)</f>
        <v>59288</v>
      </c>
      <c r="P19" s="1135"/>
      <c r="Q19" s="1145">
        <f>SUM(Q12:Q18)</f>
        <v>170829.40559112522</v>
      </c>
      <c r="R19" s="1135"/>
      <c r="S19" s="1128"/>
      <c r="T19" s="1135"/>
      <c r="U19" s="1136">
        <f ca="1">SUM(U12:U18)</f>
        <v>1572798.4811413253</v>
      </c>
      <c r="V19" s="2030"/>
    </row>
    <row r="20" spans="2:22" ht="13.5" thickTop="1">
      <c r="B20" s="1109"/>
      <c r="C20" s="1132"/>
      <c r="D20" s="1133"/>
      <c r="E20" s="1132"/>
      <c r="F20" s="1133"/>
      <c r="G20" s="1124"/>
      <c r="H20" s="1133"/>
      <c r="I20" s="1679"/>
      <c r="J20" s="1133"/>
      <c r="K20" s="1125"/>
      <c r="L20" s="1133"/>
      <c r="M20" s="1125"/>
      <c r="N20" s="1133"/>
      <c r="O20" s="1127"/>
      <c r="P20" s="1133"/>
      <c r="Q20" s="1127"/>
      <c r="R20" s="1133"/>
      <c r="S20" s="1128"/>
      <c r="T20" s="1133"/>
      <c r="U20" s="1093"/>
      <c r="V20" s="2031"/>
    </row>
    <row r="21" spans="2:22" ht="13.5" thickBot="1">
      <c r="B21" s="1111" t="s">
        <v>1392</v>
      </c>
      <c r="C21" s="1132"/>
      <c r="D21" s="1133"/>
      <c r="E21" s="1132"/>
      <c r="F21" s="1133"/>
      <c r="G21" s="1124"/>
      <c r="H21" s="1133"/>
      <c r="I21" s="1679"/>
      <c r="J21" s="1133"/>
      <c r="K21" s="1125"/>
      <c r="L21" s="1133"/>
      <c r="M21" s="1138">
        <f>+M19/$E19</f>
        <v>20.397747735748574</v>
      </c>
      <c r="N21" s="1133"/>
      <c r="O21" s="1127"/>
      <c r="P21" s="1133"/>
      <c r="Q21" s="1127"/>
      <c r="R21" s="1133"/>
      <c r="S21" s="1128"/>
      <c r="T21" s="1133"/>
      <c r="U21" s="1138">
        <f ca="1">+U19/$E19</f>
        <v>26.528108236765032</v>
      </c>
      <c r="V21" s="2032"/>
    </row>
    <row r="22" spans="2:22" ht="13.5" thickTop="1">
      <c r="B22" s="1106" t="s">
        <v>1391</v>
      </c>
      <c r="C22" s="1124">
        <v>26729.581974321747</v>
      </c>
      <c r="D22" s="1129"/>
      <c r="E22" s="1124"/>
      <c r="F22" s="1129"/>
      <c r="G22" s="1124"/>
      <c r="H22" s="1129"/>
      <c r="I22" s="1679"/>
      <c r="J22" s="1129"/>
      <c r="K22" s="1125"/>
      <c r="L22" s="1129"/>
      <c r="M22" s="1125"/>
      <c r="N22" s="1129"/>
      <c r="O22" s="1127"/>
      <c r="P22" s="1129"/>
      <c r="Q22" s="1127"/>
      <c r="R22" s="1129"/>
      <c r="S22" s="1128"/>
      <c r="T22" s="1129"/>
      <c r="U22" s="1131"/>
      <c r="V22" s="2028"/>
    </row>
    <row r="23" spans="2:22">
      <c r="B23" s="1141" t="s">
        <v>459</v>
      </c>
      <c r="C23" s="1124"/>
      <c r="D23" s="1133"/>
      <c r="E23" s="1124">
        <v>6405</v>
      </c>
      <c r="F23" s="1133"/>
      <c r="G23" s="826"/>
      <c r="H23" s="1133"/>
      <c r="I23" s="1680">
        <v>9.42</v>
      </c>
      <c r="J23" s="1133"/>
      <c r="K23" s="1125">
        <f>+E23*I23</f>
        <v>60335.1</v>
      </c>
      <c r="L23" s="1133"/>
      <c r="M23" s="1125">
        <f>+K23</f>
        <v>60335.1</v>
      </c>
      <c r="N23" s="1133"/>
      <c r="O23" s="1127">
        <f>+E23</f>
        <v>6405</v>
      </c>
      <c r="P23" s="1133"/>
      <c r="Q23" s="1127"/>
      <c r="R23" s="1133"/>
      <c r="S23" s="1142">
        <f ca="1">'wp - t-1 COSS'!$F$13</f>
        <v>15.53</v>
      </c>
      <c r="T23" s="1133"/>
      <c r="U23" s="1143">
        <f ca="1">+O23*S23</f>
        <v>99469.65</v>
      </c>
      <c r="V23" s="2029"/>
    </row>
    <row r="24" spans="2:22">
      <c r="B24" s="1141" t="s">
        <v>513</v>
      </c>
      <c r="C24" s="1124"/>
      <c r="D24" s="1133"/>
      <c r="E24" s="1124"/>
      <c r="F24" s="1133"/>
      <c r="G24" s="1124">
        <v>12687.03933221144</v>
      </c>
      <c r="H24" s="1133"/>
      <c r="I24" s="1680">
        <v>3.86</v>
      </c>
      <c r="J24" s="1133"/>
      <c r="K24" s="1127">
        <f>+G24*I24</f>
        <v>48971.971822336156</v>
      </c>
      <c r="L24" s="1133"/>
      <c r="M24" s="1125">
        <f t="shared" ref="M24:M28" si="4">+K24</f>
        <v>48971.971822336156</v>
      </c>
      <c r="N24" s="1133"/>
      <c r="O24" s="1127"/>
      <c r="P24" s="1133"/>
      <c r="Q24" s="1127">
        <f>+G24</f>
        <v>12687.03933221144</v>
      </c>
      <c r="R24" s="1133"/>
      <c r="S24" s="2114">
        <f ca="1">'wp - t-1 COSS'!$F$31</f>
        <v>3.8170000000000002</v>
      </c>
      <c r="T24" s="1133"/>
      <c r="U24" s="1143">
        <f ca="1">+Q24*S24</f>
        <v>48426.429131051067</v>
      </c>
      <c r="V24" s="2029"/>
    </row>
    <row r="25" spans="2:22">
      <c r="B25" s="1141" t="s">
        <v>706</v>
      </c>
      <c r="C25" s="1124"/>
      <c r="D25" s="1133"/>
      <c r="E25" s="1124"/>
      <c r="F25" s="1133"/>
      <c r="G25" s="1124">
        <v>4094.1361448208281</v>
      </c>
      <c r="H25" s="1133"/>
      <c r="I25" s="1680">
        <v>3.53</v>
      </c>
      <c r="J25" s="1133"/>
      <c r="K25" s="1127">
        <f t="shared" ref="K25:K28" si="5">+G25*I25</f>
        <v>14452.300591217523</v>
      </c>
      <c r="L25" s="1133"/>
      <c r="M25" s="1125">
        <f t="shared" si="4"/>
        <v>14452.300591217523</v>
      </c>
      <c r="N25" s="1133"/>
      <c r="O25" s="1127"/>
      <c r="P25" s="1133"/>
      <c r="Q25" s="1127">
        <f t="shared" ref="Q25:Q28" si="6">+G25</f>
        <v>4094.1361448208281</v>
      </c>
      <c r="R25" s="1133"/>
      <c r="S25" s="2114">
        <f ca="1">'wp - t-1 COSS'!$F$31</f>
        <v>3.8170000000000002</v>
      </c>
      <c r="T25" s="1133"/>
      <c r="U25" s="1143">
        <f t="shared" ref="U25:U28" ca="1" si="7">+Q25*S25</f>
        <v>15627.317664781101</v>
      </c>
      <c r="V25" s="2029"/>
    </row>
    <row r="26" spans="2:22">
      <c r="B26" s="1141" t="s">
        <v>707</v>
      </c>
      <c r="C26" s="1124"/>
      <c r="D26" s="1133"/>
      <c r="E26" s="1124"/>
      <c r="F26" s="1133"/>
      <c r="G26" s="1124">
        <v>2538.2945251225233</v>
      </c>
      <c r="H26" s="1133"/>
      <c r="I26" s="1680">
        <v>3.35</v>
      </c>
      <c r="J26" s="1133"/>
      <c r="K26" s="1127">
        <f t="shared" si="5"/>
        <v>8503.2866591604525</v>
      </c>
      <c r="L26" s="1133"/>
      <c r="M26" s="1125">
        <f t="shared" si="4"/>
        <v>8503.2866591604525</v>
      </c>
      <c r="N26" s="1133"/>
      <c r="O26" s="1127"/>
      <c r="P26" s="1133"/>
      <c r="Q26" s="1127">
        <f t="shared" si="6"/>
        <v>2538.2945251225233</v>
      </c>
      <c r="R26" s="1133"/>
      <c r="S26" s="2114">
        <f ca="1">'wp - t-1 COSS'!$F$31</f>
        <v>3.8170000000000002</v>
      </c>
      <c r="T26" s="1133"/>
      <c r="U26" s="1143">
        <f t="shared" ca="1" si="7"/>
        <v>9688.6702023926719</v>
      </c>
      <c r="V26" s="2029"/>
    </row>
    <row r="27" spans="2:22">
      <c r="B27" s="1141" t="s">
        <v>708</v>
      </c>
      <c r="C27" s="1124"/>
      <c r="D27" s="1133"/>
      <c r="E27" s="1124"/>
      <c r="F27" s="1133"/>
      <c r="G27" s="1124">
        <v>1911.3236225002629</v>
      </c>
      <c r="H27" s="1133"/>
      <c r="I27" s="1680">
        <v>3.01</v>
      </c>
      <c r="J27" s="1133"/>
      <c r="K27" s="1127">
        <f t="shared" si="5"/>
        <v>5753.0841037257906</v>
      </c>
      <c r="L27" s="1133"/>
      <c r="M27" s="1125">
        <f t="shared" si="4"/>
        <v>5753.0841037257906</v>
      </c>
      <c r="N27" s="1133"/>
      <c r="O27" s="1127"/>
      <c r="P27" s="1133"/>
      <c r="Q27" s="1127">
        <f t="shared" si="6"/>
        <v>1911.3236225002629</v>
      </c>
      <c r="R27" s="1133"/>
      <c r="S27" s="2114">
        <f ca="1">'wp - t-1 COSS'!$F$31</f>
        <v>3.8170000000000002</v>
      </c>
      <c r="T27" s="1133"/>
      <c r="U27" s="1143">
        <f t="shared" ca="1" si="7"/>
        <v>7295.5222670835037</v>
      </c>
      <c r="V27" s="2029"/>
    </row>
    <row r="28" spans="2:22">
      <c r="B28" s="1141" t="s">
        <v>711</v>
      </c>
      <c r="C28" s="1124"/>
      <c r="D28" s="1133"/>
      <c r="E28" s="1124"/>
      <c r="F28" s="1133"/>
      <c r="G28" s="1124">
        <v>930.72362761325996</v>
      </c>
      <c r="H28" s="1133"/>
      <c r="I28" s="1680">
        <v>2.76</v>
      </c>
      <c r="J28" s="1133"/>
      <c r="K28" s="1127">
        <f t="shared" si="5"/>
        <v>2568.7972122125975</v>
      </c>
      <c r="L28" s="1133"/>
      <c r="M28" s="1125">
        <f t="shared" si="4"/>
        <v>2568.7972122125975</v>
      </c>
      <c r="N28" s="1133"/>
      <c r="O28" s="1127"/>
      <c r="P28" s="1133"/>
      <c r="Q28" s="1127">
        <f t="shared" si="6"/>
        <v>930.72362761325996</v>
      </c>
      <c r="R28" s="1133"/>
      <c r="S28" s="2114">
        <f ca="1">'wp - t-1 COSS'!$F$31</f>
        <v>3.8170000000000002</v>
      </c>
      <c r="T28" s="1133"/>
      <c r="U28" s="1143">
        <f t="shared" ca="1" si="7"/>
        <v>3552.5720865998132</v>
      </c>
      <c r="V28" s="2029"/>
    </row>
    <row r="29" spans="2:22" ht="13.5" thickBot="1">
      <c r="B29" s="1109" t="s">
        <v>1390</v>
      </c>
      <c r="C29" s="1145">
        <f>SUM(C22:C28)</f>
        <v>26729.581974321747</v>
      </c>
      <c r="D29" s="1135"/>
      <c r="E29" s="1145">
        <f>SUM(E22:E28)</f>
        <v>6405</v>
      </c>
      <c r="F29" s="1135"/>
      <c r="G29" s="1145">
        <f>SUM(G22:G28)</f>
        <v>22161.517252268313</v>
      </c>
      <c r="H29" s="1135"/>
      <c r="I29" s="1678"/>
      <c r="J29" s="1135"/>
      <c r="K29" s="1136">
        <f>SUM(K22:K28)</f>
        <v>140584.54038865253</v>
      </c>
      <c r="L29" s="1135"/>
      <c r="M29" s="1136">
        <f>SUM(M22:M28)</f>
        <v>140584.54038865253</v>
      </c>
      <c r="N29" s="1135"/>
      <c r="O29" s="1145">
        <f>SUM(O22:O28)</f>
        <v>6405</v>
      </c>
      <c r="P29" s="1135"/>
      <c r="Q29" s="1145">
        <f>SUM(Q22:Q28)</f>
        <v>22161.517252268313</v>
      </c>
      <c r="R29" s="1135"/>
      <c r="S29" s="1128"/>
      <c r="T29" s="1135"/>
      <c r="U29" s="1136">
        <f ca="1">SUM(U22:U28)</f>
        <v>184060.16135190811</v>
      </c>
      <c r="V29" s="2030"/>
    </row>
    <row r="30" spans="2:22" ht="13.5" thickTop="1">
      <c r="B30" s="1109"/>
      <c r="C30" s="1132"/>
      <c r="D30" s="1133"/>
      <c r="E30" s="1132"/>
      <c r="F30" s="1133"/>
      <c r="G30" s="1124"/>
      <c r="H30" s="1133"/>
      <c r="I30" s="1679"/>
      <c r="J30" s="1133"/>
      <c r="K30" s="1125"/>
      <c r="L30" s="1133"/>
      <c r="M30" s="1125"/>
      <c r="N30" s="1133"/>
      <c r="O30" s="1127"/>
      <c r="P30" s="1133"/>
      <c r="Q30" s="1127"/>
      <c r="R30" s="1133"/>
      <c r="S30" s="1128"/>
      <c r="T30" s="1133"/>
      <c r="U30" s="1093"/>
      <c r="V30" s="2031"/>
    </row>
    <row r="31" spans="2:22" ht="13.5" thickBot="1">
      <c r="B31" s="1111" t="s">
        <v>1389</v>
      </c>
      <c r="C31" s="1132"/>
      <c r="D31" s="1133"/>
      <c r="E31" s="1132"/>
      <c r="F31" s="1133"/>
      <c r="G31" s="1124"/>
      <c r="H31" s="1133"/>
      <c r="I31" s="1679"/>
      <c r="J31" s="1133"/>
      <c r="K31" s="1125"/>
      <c r="L31" s="1133"/>
      <c r="M31" s="1138">
        <f>+M29/$E29</f>
        <v>21.949186633669402</v>
      </c>
      <c r="N31" s="1133"/>
      <c r="O31" s="1127"/>
      <c r="P31" s="1133"/>
      <c r="Q31" s="1127"/>
      <c r="R31" s="1133"/>
      <c r="S31" s="1128"/>
      <c r="T31" s="1133"/>
      <c r="U31" s="1138">
        <f ca="1">+U29/$E29</f>
        <v>28.736949469462626</v>
      </c>
      <c r="V31" s="2032"/>
    </row>
    <row r="32" spans="2:22" ht="13.5" thickTop="1">
      <c r="B32" s="1106" t="s">
        <v>1440</v>
      </c>
      <c r="C32" s="1124">
        <v>1987.598511953732</v>
      </c>
      <c r="D32" s="1129"/>
      <c r="E32" s="1124"/>
      <c r="F32" s="1129"/>
      <c r="G32" s="1124"/>
      <c r="H32" s="1129"/>
      <c r="I32" s="1679"/>
      <c r="J32" s="1129"/>
      <c r="K32" s="1125"/>
      <c r="L32" s="1129"/>
      <c r="M32" s="1125"/>
      <c r="N32" s="1129"/>
      <c r="O32" s="1127"/>
      <c r="P32" s="1129"/>
      <c r="Q32" s="1127"/>
      <c r="R32" s="1129"/>
      <c r="S32" s="1128"/>
      <c r="T32" s="1129"/>
      <c r="U32" s="1131"/>
      <c r="V32" s="2028"/>
    </row>
    <row r="33" spans="2:22">
      <c r="B33" s="1141" t="s">
        <v>459</v>
      </c>
      <c r="C33" s="1124"/>
      <c r="D33" s="1133"/>
      <c r="E33" s="1124">
        <v>156</v>
      </c>
      <c r="F33" s="1133"/>
      <c r="G33" s="826"/>
      <c r="H33" s="1133"/>
      <c r="I33" s="1680">
        <v>9.42</v>
      </c>
      <c r="J33" s="1133"/>
      <c r="K33" s="1125">
        <f>+E33*I33</f>
        <v>1469.52</v>
      </c>
      <c r="L33" s="1133"/>
      <c r="M33" s="1125">
        <f>+K33</f>
        <v>1469.52</v>
      </c>
      <c r="N33" s="1133"/>
      <c r="O33" s="1127">
        <f>+E33</f>
        <v>156</v>
      </c>
      <c r="P33" s="1133"/>
      <c r="Q33" s="1127"/>
      <c r="R33" s="1133"/>
      <c r="S33" s="1142">
        <f ca="1">'wp - t-1 COSS'!$F$13</f>
        <v>15.53</v>
      </c>
      <c r="T33" s="1133"/>
      <c r="U33" s="1143">
        <f ca="1">+O33*S33</f>
        <v>2422.6799999999998</v>
      </c>
      <c r="V33" s="2029"/>
    </row>
    <row r="34" spans="2:22">
      <c r="B34" s="1141" t="s">
        <v>513</v>
      </c>
      <c r="C34" s="1124"/>
      <c r="D34" s="1133"/>
      <c r="E34" s="1124"/>
      <c r="F34" s="1133"/>
      <c r="G34" s="1124">
        <v>369.41873957341329</v>
      </c>
      <c r="H34" s="1133"/>
      <c r="I34" s="1680">
        <v>3.86</v>
      </c>
      <c r="J34" s="1133"/>
      <c r="K34" s="1127">
        <f>+G34*I34</f>
        <v>1425.9563347533754</v>
      </c>
      <c r="L34" s="1133"/>
      <c r="M34" s="1125">
        <f t="shared" ref="M34:M38" si="8">+K34</f>
        <v>1425.9563347533754</v>
      </c>
      <c r="N34" s="1133"/>
      <c r="O34" s="1127"/>
      <c r="P34" s="1133"/>
      <c r="Q34" s="1127">
        <f>+G34</f>
        <v>369.41873957341329</v>
      </c>
      <c r="R34" s="1133"/>
      <c r="S34" s="2114">
        <f ca="1">'wp - t-1 COSS'!$F$31</f>
        <v>3.8170000000000002</v>
      </c>
      <c r="T34" s="1133"/>
      <c r="U34" s="1143">
        <f ca="1">+Q34*S34</f>
        <v>1410.0713289517187</v>
      </c>
      <c r="V34" s="2029"/>
    </row>
    <row r="35" spans="2:22">
      <c r="B35" s="1141" t="s">
        <v>706</v>
      </c>
      <c r="C35" s="1124"/>
      <c r="D35" s="1133"/>
      <c r="E35" s="1124"/>
      <c r="F35" s="1133"/>
      <c r="G35" s="1124">
        <v>297.93430464407322</v>
      </c>
      <c r="H35" s="1133"/>
      <c r="I35" s="1680">
        <v>3.53</v>
      </c>
      <c r="J35" s="1133"/>
      <c r="K35" s="1127">
        <f t="shared" ref="K35:K38" si="9">+G35*I35</f>
        <v>1051.7080953935783</v>
      </c>
      <c r="L35" s="1133"/>
      <c r="M35" s="1125">
        <f t="shared" si="8"/>
        <v>1051.7080953935783</v>
      </c>
      <c r="N35" s="1133"/>
      <c r="O35" s="1127"/>
      <c r="P35" s="1133"/>
      <c r="Q35" s="1127">
        <f t="shared" ref="Q35:Q38" si="10">+G35</f>
        <v>297.93430464407322</v>
      </c>
      <c r="R35" s="1133"/>
      <c r="S35" s="2114">
        <f ca="1">'wp - t-1 COSS'!$F$31</f>
        <v>3.8170000000000002</v>
      </c>
      <c r="T35" s="1133"/>
      <c r="U35" s="1143">
        <f t="shared" ref="U35:U38" ca="1" si="11">+Q35*S35</f>
        <v>1137.2152408264276</v>
      </c>
      <c r="V35" s="2029"/>
    </row>
    <row r="36" spans="2:22">
      <c r="B36" s="1141" t="s">
        <v>707</v>
      </c>
      <c r="C36" s="1124"/>
      <c r="D36" s="1133"/>
      <c r="E36" s="1124"/>
      <c r="F36" s="1133"/>
      <c r="G36" s="1124">
        <v>377.86193570355482</v>
      </c>
      <c r="H36" s="1133"/>
      <c r="I36" s="1680">
        <v>3.35</v>
      </c>
      <c r="J36" s="1133"/>
      <c r="K36" s="1127">
        <f t="shared" si="9"/>
        <v>1265.8374846069087</v>
      </c>
      <c r="L36" s="1133"/>
      <c r="M36" s="1125">
        <f t="shared" si="8"/>
        <v>1265.8374846069087</v>
      </c>
      <c r="N36" s="1133"/>
      <c r="O36" s="1127"/>
      <c r="P36" s="1133"/>
      <c r="Q36" s="1127">
        <f t="shared" si="10"/>
        <v>377.86193570355482</v>
      </c>
      <c r="R36" s="1133"/>
      <c r="S36" s="2114">
        <f ca="1">'wp - t-1 COSS'!$F$31</f>
        <v>3.8170000000000002</v>
      </c>
      <c r="T36" s="1133"/>
      <c r="U36" s="1143">
        <f t="shared" ca="1" si="11"/>
        <v>1442.2990085804688</v>
      </c>
      <c r="V36" s="2029"/>
    </row>
    <row r="37" spans="2:22">
      <c r="B37" s="1141" t="s">
        <v>708</v>
      </c>
      <c r="C37" s="1124"/>
      <c r="D37" s="1133"/>
      <c r="E37" s="1124"/>
      <c r="F37" s="1133"/>
      <c r="G37" s="1124">
        <v>578.08830389480056</v>
      </c>
      <c r="H37" s="1133"/>
      <c r="I37" s="1680">
        <v>3.01</v>
      </c>
      <c r="J37" s="1133"/>
      <c r="K37" s="1127">
        <f t="shared" si="9"/>
        <v>1740.0457947233497</v>
      </c>
      <c r="L37" s="1133"/>
      <c r="M37" s="1125">
        <f t="shared" si="8"/>
        <v>1740.0457947233497</v>
      </c>
      <c r="N37" s="1133"/>
      <c r="O37" s="1127"/>
      <c r="P37" s="1133"/>
      <c r="Q37" s="1127">
        <f t="shared" si="10"/>
        <v>578.08830389480056</v>
      </c>
      <c r="R37" s="1133"/>
      <c r="S37" s="2114">
        <f ca="1">'wp - t-1 COSS'!$F$31</f>
        <v>3.8170000000000002</v>
      </c>
      <c r="T37" s="1133"/>
      <c r="U37" s="1143">
        <f t="shared" ca="1" si="11"/>
        <v>2206.5630559664537</v>
      </c>
      <c r="V37" s="2029"/>
    </row>
    <row r="38" spans="2:22">
      <c r="B38" s="1141" t="s">
        <v>711</v>
      </c>
      <c r="C38" s="1124"/>
      <c r="D38" s="1133"/>
      <c r="E38" s="1124"/>
      <c r="F38" s="1133"/>
      <c r="G38" s="1124">
        <v>256.723705085544</v>
      </c>
      <c r="H38" s="1133"/>
      <c r="I38" s="1680">
        <v>2.76</v>
      </c>
      <c r="J38" s="1133"/>
      <c r="K38" s="1127">
        <f t="shared" si="9"/>
        <v>708.55742603610133</v>
      </c>
      <c r="L38" s="1133"/>
      <c r="M38" s="1125">
        <f t="shared" si="8"/>
        <v>708.55742603610133</v>
      </c>
      <c r="N38" s="1133"/>
      <c r="O38" s="1127"/>
      <c r="P38" s="1133"/>
      <c r="Q38" s="1127">
        <f t="shared" si="10"/>
        <v>256.723705085544</v>
      </c>
      <c r="R38" s="1133"/>
      <c r="S38" s="2114">
        <f ca="1">'wp - t-1 COSS'!$F$31</f>
        <v>3.8170000000000002</v>
      </c>
      <c r="T38" s="1133"/>
      <c r="U38" s="1143">
        <f t="shared" ca="1" si="11"/>
        <v>979.91438231152154</v>
      </c>
      <c r="V38" s="2029"/>
    </row>
    <row r="39" spans="2:22" ht="13.5" thickBot="1">
      <c r="B39" s="1109" t="s">
        <v>1439</v>
      </c>
      <c r="C39" s="1145">
        <f>SUM(C32:C38)</f>
        <v>1987.598511953732</v>
      </c>
      <c r="D39" s="1135"/>
      <c r="E39" s="1145">
        <f>SUM(E32:E38)</f>
        <v>156</v>
      </c>
      <c r="F39" s="1135"/>
      <c r="G39" s="1145">
        <f>SUM(G32:G38)</f>
        <v>1880.0269889013859</v>
      </c>
      <c r="H39" s="1135"/>
      <c r="I39" s="1678"/>
      <c r="J39" s="1135"/>
      <c r="K39" s="1136">
        <f>SUM(K32:K38)</f>
        <v>7661.6251355133136</v>
      </c>
      <c r="L39" s="1135"/>
      <c r="M39" s="1136">
        <f>SUM(M32:M38)</f>
        <v>7661.6251355133136</v>
      </c>
      <c r="N39" s="1135"/>
      <c r="O39" s="1145">
        <f>SUM(O32:O38)</f>
        <v>156</v>
      </c>
      <c r="P39" s="1135"/>
      <c r="Q39" s="1145">
        <f>SUM(Q32:Q38)</f>
        <v>1880.0269889013859</v>
      </c>
      <c r="R39" s="1135"/>
      <c r="S39" s="1128"/>
      <c r="T39" s="1135"/>
      <c r="U39" s="1136">
        <f ca="1">SUM(U32:U38)</f>
        <v>9598.7430166365884</v>
      </c>
      <c r="V39" s="2030"/>
    </row>
    <row r="40" spans="2:22" ht="13.5" thickTop="1">
      <c r="B40" s="1109"/>
      <c r="C40" s="1132"/>
      <c r="D40" s="1133"/>
      <c r="E40" s="1132"/>
      <c r="F40" s="1133"/>
      <c r="G40" s="1124"/>
      <c r="H40" s="1133"/>
      <c r="I40" s="1679"/>
      <c r="J40" s="1133"/>
      <c r="K40" s="1125"/>
      <c r="L40" s="1133"/>
      <c r="M40" s="1125"/>
      <c r="N40" s="1133"/>
      <c r="O40" s="1127"/>
      <c r="P40" s="1133"/>
      <c r="Q40" s="1127"/>
      <c r="R40" s="1133"/>
      <c r="S40" s="1128"/>
      <c r="T40" s="1133"/>
      <c r="U40" s="1093"/>
      <c r="V40" s="2031"/>
    </row>
    <row r="41" spans="2:22" ht="13.5" thickBot="1">
      <c r="B41" s="1111" t="s">
        <v>1438</v>
      </c>
      <c r="C41" s="1132"/>
      <c r="D41" s="1133"/>
      <c r="E41" s="1132"/>
      <c r="F41" s="1133"/>
      <c r="G41" s="1124"/>
      <c r="H41" s="1133"/>
      <c r="I41" s="1679"/>
      <c r="J41" s="1133"/>
      <c r="K41" s="1125"/>
      <c r="L41" s="1133"/>
      <c r="M41" s="1138">
        <f>+M39/$E39</f>
        <v>49.112981637905854</v>
      </c>
      <c r="N41" s="1133"/>
      <c r="O41" s="1127"/>
      <c r="P41" s="1133"/>
      <c r="Q41" s="1127"/>
      <c r="R41" s="1133"/>
      <c r="S41" s="1128"/>
      <c r="T41" s="1133"/>
      <c r="U41" s="1138">
        <f ca="1">+U39/$E39</f>
        <v>61.530403952798643</v>
      </c>
      <c r="V41" s="2032"/>
    </row>
    <row r="42" spans="2:22" ht="13.5" thickTop="1">
      <c r="B42" s="1106" t="s">
        <v>1437</v>
      </c>
      <c r="C42" s="1124">
        <v>691.54978422987779</v>
      </c>
      <c r="D42" s="1129"/>
      <c r="E42" s="1124"/>
      <c r="F42" s="1129"/>
      <c r="G42" s="1124"/>
      <c r="H42" s="1129"/>
      <c r="I42" s="1679"/>
      <c r="J42" s="1129"/>
      <c r="K42" s="1125"/>
      <c r="L42" s="1129"/>
      <c r="M42" s="1125"/>
      <c r="N42" s="1129"/>
      <c r="O42" s="1127"/>
      <c r="P42" s="1129"/>
      <c r="Q42" s="1127"/>
      <c r="R42" s="1129"/>
      <c r="S42" s="1128"/>
      <c r="T42" s="1129"/>
      <c r="U42" s="1131"/>
      <c r="V42" s="2028"/>
    </row>
    <row r="43" spans="2:22">
      <c r="B43" s="1141" t="s">
        <v>459</v>
      </c>
      <c r="C43" s="1124"/>
      <c r="D43" s="1133"/>
      <c r="E43" s="1124">
        <v>95</v>
      </c>
      <c r="F43" s="1133"/>
      <c r="G43" s="826"/>
      <c r="H43" s="1133"/>
      <c r="I43" s="1680">
        <v>9.42</v>
      </c>
      <c r="J43" s="1133"/>
      <c r="K43" s="1125">
        <f>+E43*I43</f>
        <v>894.9</v>
      </c>
      <c r="L43" s="1133"/>
      <c r="M43" s="1125">
        <f>+K43</f>
        <v>894.9</v>
      </c>
      <c r="N43" s="1133"/>
      <c r="O43" s="1127">
        <f>+E43</f>
        <v>95</v>
      </c>
      <c r="P43" s="1133"/>
      <c r="Q43" s="1127"/>
      <c r="R43" s="1133"/>
      <c r="S43" s="1142">
        <f ca="1">'wp - t-1 COSS'!$F$13</f>
        <v>15.53</v>
      </c>
      <c r="T43" s="1133"/>
      <c r="U43" s="1143">
        <f ca="1">+O43*S43</f>
        <v>1475.35</v>
      </c>
      <c r="V43" s="2029"/>
    </row>
    <row r="44" spans="2:22">
      <c r="B44" s="1141" t="s">
        <v>513</v>
      </c>
      <c r="C44" s="1124"/>
      <c r="D44" s="1133"/>
      <c r="E44" s="1124"/>
      <c r="F44" s="1133"/>
      <c r="G44" s="1124">
        <v>311.97773439665684</v>
      </c>
      <c r="H44" s="1133"/>
      <c r="I44" s="1680">
        <v>3.86</v>
      </c>
      <c r="J44" s="1133"/>
      <c r="K44" s="1127">
        <f>+G44*I44</f>
        <v>1204.2340547710953</v>
      </c>
      <c r="L44" s="1133"/>
      <c r="M44" s="1125">
        <f t="shared" ref="M44:M48" si="12">+K44</f>
        <v>1204.2340547710953</v>
      </c>
      <c r="N44" s="1133"/>
      <c r="O44" s="1127"/>
      <c r="P44" s="1133"/>
      <c r="Q44" s="1127">
        <f>+G44</f>
        <v>311.97773439665684</v>
      </c>
      <c r="R44" s="1133"/>
      <c r="S44" s="2114">
        <f ca="1">'wp - t-1 COSS'!$F$31</f>
        <v>3.8170000000000002</v>
      </c>
      <c r="T44" s="1133"/>
      <c r="U44" s="1143">
        <f ca="1">+Q44*S44</f>
        <v>1190.8190121920393</v>
      </c>
      <c r="V44" s="2029"/>
    </row>
    <row r="45" spans="2:22">
      <c r="B45" s="1141" t="s">
        <v>706</v>
      </c>
      <c r="C45" s="1124"/>
      <c r="D45" s="1133"/>
      <c r="E45" s="1124"/>
      <c r="F45" s="1133"/>
      <c r="G45" s="1124">
        <v>232.83469465512084</v>
      </c>
      <c r="H45" s="1133"/>
      <c r="I45" s="1680">
        <v>3.53</v>
      </c>
      <c r="J45" s="1133"/>
      <c r="K45" s="1127">
        <f t="shared" ref="K45:K48" si="13">+G45*I45</f>
        <v>821.90647213257648</v>
      </c>
      <c r="L45" s="1133"/>
      <c r="M45" s="1125">
        <f t="shared" si="12"/>
        <v>821.90647213257648</v>
      </c>
      <c r="N45" s="1133"/>
      <c r="O45" s="1127"/>
      <c r="P45" s="1133"/>
      <c r="Q45" s="1127">
        <f t="shared" ref="Q45:Q48" si="14">+G45</f>
        <v>232.83469465512084</v>
      </c>
      <c r="R45" s="1133"/>
      <c r="S45" s="2114">
        <f ca="1">'wp - t-1 COSS'!$F$31</f>
        <v>3.8170000000000002</v>
      </c>
      <c r="T45" s="1133"/>
      <c r="U45" s="1143">
        <f t="shared" ref="U45:U48" ca="1" si="15">+Q45*S45</f>
        <v>888.73002949859631</v>
      </c>
      <c r="V45" s="2029"/>
    </row>
    <row r="46" spans="2:22">
      <c r="B46" s="1141" t="s">
        <v>707</v>
      </c>
      <c r="C46" s="1124"/>
      <c r="D46" s="1133"/>
      <c r="E46" s="1124"/>
      <c r="F46" s="1133"/>
      <c r="G46" s="1124">
        <v>48.698596428810134</v>
      </c>
      <c r="H46" s="1133"/>
      <c r="I46" s="1680">
        <v>3.35</v>
      </c>
      <c r="J46" s="1133"/>
      <c r="K46" s="1127">
        <f t="shared" si="13"/>
        <v>163.14029803651397</v>
      </c>
      <c r="L46" s="1133"/>
      <c r="M46" s="1125">
        <f t="shared" si="12"/>
        <v>163.14029803651397</v>
      </c>
      <c r="N46" s="1133"/>
      <c r="O46" s="1127"/>
      <c r="P46" s="1133"/>
      <c r="Q46" s="1127">
        <f t="shared" si="14"/>
        <v>48.698596428810134</v>
      </c>
      <c r="R46" s="1133"/>
      <c r="S46" s="2114">
        <f ca="1">'wp - t-1 COSS'!$F$31</f>
        <v>3.8170000000000002</v>
      </c>
      <c r="T46" s="1133"/>
      <c r="U46" s="1143">
        <f t="shared" ca="1" si="15"/>
        <v>185.88254256876829</v>
      </c>
      <c r="V46" s="2029"/>
    </row>
    <row r="47" spans="2:22">
      <c r="B47" s="1141" t="s">
        <v>708</v>
      </c>
      <c r="C47" s="1124"/>
      <c r="D47" s="1133"/>
      <c r="E47" s="1124"/>
      <c r="F47" s="1133"/>
      <c r="G47" s="1124">
        <v>16.677772568695147</v>
      </c>
      <c r="H47" s="1133"/>
      <c r="I47" s="1680">
        <v>3.01</v>
      </c>
      <c r="J47" s="1133"/>
      <c r="K47" s="1127">
        <f t="shared" si="13"/>
        <v>50.20009543177239</v>
      </c>
      <c r="L47" s="1133"/>
      <c r="M47" s="1125">
        <f t="shared" si="12"/>
        <v>50.20009543177239</v>
      </c>
      <c r="N47" s="1133"/>
      <c r="O47" s="1127"/>
      <c r="P47" s="1133"/>
      <c r="Q47" s="1127">
        <f t="shared" si="14"/>
        <v>16.677772568695147</v>
      </c>
      <c r="R47" s="1133"/>
      <c r="S47" s="2114">
        <f ca="1">'wp - t-1 COSS'!$F$31</f>
        <v>3.8170000000000002</v>
      </c>
      <c r="T47" s="1133"/>
      <c r="U47" s="1143">
        <f t="shared" ca="1" si="15"/>
        <v>63.659057894709377</v>
      </c>
      <c r="V47" s="2029"/>
    </row>
    <row r="48" spans="2:22">
      <c r="B48" s="1141" t="s">
        <v>711</v>
      </c>
      <c r="C48" s="1124"/>
      <c r="D48" s="1133"/>
      <c r="E48" s="1124"/>
      <c r="F48" s="1133"/>
      <c r="G48" s="1124">
        <v>0</v>
      </c>
      <c r="H48" s="1133"/>
      <c r="I48" s="1680">
        <v>2.76</v>
      </c>
      <c r="J48" s="1133"/>
      <c r="K48" s="1127">
        <f t="shared" si="13"/>
        <v>0</v>
      </c>
      <c r="L48" s="1133"/>
      <c r="M48" s="1125">
        <f t="shared" si="12"/>
        <v>0</v>
      </c>
      <c r="N48" s="1133"/>
      <c r="O48" s="1127"/>
      <c r="P48" s="1133"/>
      <c r="Q48" s="1127">
        <f t="shared" si="14"/>
        <v>0</v>
      </c>
      <c r="R48" s="1133"/>
      <c r="S48" s="2114">
        <f ca="1">'wp - t-1 COSS'!$F$31</f>
        <v>3.8170000000000002</v>
      </c>
      <c r="T48" s="1133"/>
      <c r="U48" s="1143">
        <f t="shared" ca="1" si="15"/>
        <v>0</v>
      </c>
      <c r="V48" s="2029"/>
    </row>
    <row r="49" spans="2:22" ht="13.5" thickBot="1">
      <c r="B49" s="1109" t="s">
        <v>1436</v>
      </c>
      <c r="C49" s="1145">
        <f>SUM(C42:C48)</f>
        <v>691.54978422987779</v>
      </c>
      <c r="D49" s="1135"/>
      <c r="E49" s="1145">
        <f>SUM(E42:E48)</f>
        <v>95</v>
      </c>
      <c r="F49" s="1135"/>
      <c r="G49" s="1145">
        <f>SUM(G42:G48)</f>
        <v>610.18879804928292</v>
      </c>
      <c r="H49" s="1135"/>
      <c r="I49" s="1678"/>
      <c r="J49" s="1135"/>
      <c r="K49" s="1136">
        <f>SUM(K42:K48)</f>
        <v>3134.3809203719579</v>
      </c>
      <c r="L49" s="1135"/>
      <c r="M49" s="1136">
        <f>SUM(M42:M48)</f>
        <v>3134.3809203719579</v>
      </c>
      <c r="N49" s="1135"/>
      <c r="O49" s="1145">
        <f>SUM(O42:O48)</f>
        <v>95</v>
      </c>
      <c r="P49" s="1135"/>
      <c r="Q49" s="1145">
        <f>SUM(Q42:Q48)</f>
        <v>610.18879804928292</v>
      </c>
      <c r="R49" s="1135"/>
      <c r="S49" s="1128"/>
      <c r="T49" s="1135"/>
      <c r="U49" s="1136">
        <f ca="1">SUM(U42:U48)</f>
        <v>3804.440642154113</v>
      </c>
      <c r="V49" s="2030"/>
    </row>
    <row r="50" spans="2:22" ht="13.5" thickTop="1">
      <c r="B50" s="1109"/>
      <c r="C50" s="1132"/>
      <c r="D50" s="1133"/>
      <c r="E50" s="1132"/>
      <c r="F50" s="1133"/>
      <c r="G50" s="1124"/>
      <c r="H50" s="1133"/>
      <c r="I50" s="1679"/>
      <c r="J50" s="1133"/>
      <c r="K50" s="1125"/>
      <c r="L50" s="1133"/>
      <c r="M50" s="1125"/>
      <c r="N50" s="1133"/>
      <c r="O50" s="1127"/>
      <c r="P50" s="1133"/>
      <c r="Q50" s="1127"/>
      <c r="R50" s="1133"/>
      <c r="S50" s="1128"/>
      <c r="T50" s="1133"/>
      <c r="U50" s="1093"/>
      <c r="V50" s="2031"/>
    </row>
    <row r="51" spans="2:22" ht="13.5" thickBot="1">
      <c r="B51" s="1111" t="s">
        <v>1435</v>
      </c>
      <c r="C51" s="1132"/>
      <c r="D51" s="1133"/>
      <c r="E51" s="1132"/>
      <c r="F51" s="1133"/>
      <c r="G51" s="1124"/>
      <c r="H51" s="1133"/>
      <c r="I51" s="1679"/>
      <c r="J51" s="1133"/>
      <c r="K51" s="1125"/>
      <c r="L51" s="1133"/>
      <c r="M51" s="1138">
        <f>+M49/$E49</f>
        <v>32.993483372336399</v>
      </c>
      <c r="N51" s="1133"/>
      <c r="O51" s="1127"/>
      <c r="P51" s="1133"/>
      <c r="Q51" s="1127"/>
      <c r="R51" s="1133"/>
      <c r="S51" s="1128"/>
      <c r="T51" s="1133"/>
      <c r="U51" s="1138">
        <f ca="1">+U49/$E49</f>
        <v>40.046743601622239</v>
      </c>
      <c r="V51" s="2032"/>
    </row>
    <row r="52" spans="2:22" ht="13.5" thickTop="1">
      <c r="B52" s="1106" t="s">
        <v>1382</v>
      </c>
      <c r="C52" s="1124">
        <v>11.83510818548233</v>
      </c>
      <c r="D52" s="1129"/>
      <c r="E52" s="1124"/>
      <c r="F52" s="1129"/>
      <c r="G52" s="1124"/>
      <c r="H52" s="1129"/>
      <c r="I52" s="1679"/>
      <c r="J52" s="1129"/>
      <c r="K52" s="1125"/>
      <c r="L52" s="1129"/>
      <c r="M52" s="1125"/>
      <c r="N52" s="1129"/>
      <c r="O52" s="1127"/>
      <c r="P52" s="1129"/>
      <c r="Q52" s="1127"/>
      <c r="R52" s="1129"/>
      <c r="S52" s="1128"/>
      <c r="T52" s="1129"/>
      <c r="U52" s="1131"/>
      <c r="V52" s="2028"/>
    </row>
    <row r="53" spans="2:22">
      <c r="B53" s="1141" t="s">
        <v>459</v>
      </c>
      <c r="C53" s="1124"/>
      <c r="D53" s="1133"/>
      <c r="E53" s="1124">
        <v>24</v>
      </c>
      <c r="F53" s="1133"/>
      <c r="G53" s="1124"/>
      <c r="H53" s="1133"/>
      <c r="I53" s="1680">
        <v>9.42</v>
      </c>
      <c r="J53" s="1133"/>
      <c r="K53" s="1681">
        <f>+E53*I53</f>
        <v>226.07999999999998</v>
      </c>
      <c r="L53" s="1133"/>
      <c r="M53" s="1125">
        <f>+K53</f>
        <v>226.07999999999998</v>
      </c>
      <c r="N53" s="1133"/>
      <c r="O53" s="1127">
        <f>+E53</f>
        <v>24</v>
      </c>
      <c r="P53" s="1133"/>
      <c r="Q53" s="1127"/>
      <c r="R53" s="1133"/>
      <c r="S53" s="1142">
        <f ca="1">'wp - t-1 COSS'!$F$14</f>
        <v>15.53</v>
      </c>
      <c r="T53" s="1133"/>
      <c r="U53" s="1143">
        <f ca="1">+O53*S53</f>
        <v>372.71999999999997</v>
      </c>
      <c r="V53" s="2029"/>
    </row>
    <row r="54" spans="2:22">
      <c r="B54" s="1141" t="s">
        <v>513</v>
      </c>
      <c r="C54" s="1124"/>
      <c r="D54" s="1133"/>
      <c r="E54" s="1124"/>
      <c r="F54" s="1133"/>
      <c r="G54" s="1124">
        <v>0</v>
      </c>
      <c r="H54" s="1133"/>
      <c r="I54" s="1680">
        <v>3.86</v>
      </c>
      <c r="J54" s="1133"/>
      <c r="K54" s="1127">
        <f>+G54*I54</f>
        <v>0</v>
      </c>
      <c r="L54" s="1133"/>
      <c r="M54" s="1125">
        <f t="shared" ref="M54:M58" si="16">+K54</f>
        <v>0</v>
      </c>
      <c r="N54" s="1133"/>
      <c r="O54" s="1127"/>
      <c r="P54" s="1133"/>
      <c r="Q54" s="1127">
        <f>+G54</f>
        <v>0</v>
      </c>
      <c r="R54" s="1133"/>
      <c r="S54" s="2114">
        <f ca="1">'wp - t-1 COSS'!$F$32</f>
        <v>3.8170000000000002</v>
      </c>
      <c r="T54" s="1133"/>
      <c r="U54" s="1143">
        <f ca="1">+Q54*S54</f>
        <v>0</v>
      </c>
      <c r="V54" s="2029"/>
    </row>
    <row r="55" spans="2:22">
      <c r="B55" s="1141" t="s">
        <v>706</v>
      </c>
      <c r="C55" s="1124"/>
      <c r="D55" s="1133"/>
      <c r="E55" s="1124"/>
      <c r="F55" s="1133"/>
      <c r="G55" s="1124">
        <v>0</v>
      </c>
      <c r="H55" s="1133"/>
      <c r="I55" s="1680">
        <v>3.53</v>
      </c>
      <c r="J55" s="1133"/>
      <c r="K55" s="1127">
        <f t="shared" ref="K55:K58" si="17">+G55*I55</f>
        <v>0</v>
      </c>
      <c r="L55" s="1133"/>
      <c r="M55" s="1125">
        <f t="shared" si="16"/>
        <v>0</v>
      </c>
      <c r="N55" s="1133"/>
      <c r="O55" s="1127"/>
      <c r="P55" s="1133"/>
      <c r="Q55" s="1127">
        <f t="shared" ref="Q55:Q58" si="18">+G55</f>
        <v>0</v>
      </c>
      <c r="R55" s="1133"/>
      <c r="S55" s="2114">
        <f ca="1">'wp - t-1 COSS'!$F$32</f>
        <v>3.8170000000000002</v>
      </c>
      <c r="T55" s="1133"/>
      <c r="U55" s="1143">
        <f t="shared" ref="U55:U58" ca="1" si="19">+Q55*S55</f>
        <v>0</v>
      </c>
      <c r="V55" s="2029"/>
    </row>
    <row r="56" spans="2:22">
      <c r="B56" s="1141" t="s">
        <v>707</v>
      </c>
      <c r="C56" s="1124"/>
      <c r="D56" s="1133"/>
      <c r="E56" s="1124"/>
      <c r="F56" s="1133"/>
      <c r="G56" s="1124">
        <v>0</v>
      </c>
      <c r="H56" s="1133"/>
      <c r="I56" s="1680">
        <v>3.35</v>
      </c>
      <c r="J56" s="1133"/>
      <c r="K56" s="1127">
        <f t="shared" si="17"/>
        <v>0</v>
      </c>
      <c r="L56" s="1133"/>
      <c r="M56" s="1125">
        <f t="shared" si="16"/>
        <v>0</v>
      </c>
      <c r="N56" s="1133"/>
      <c r="O56" s="1127"/>
      <c r="P56" s="1133"/>
      <c r="Q56" s="1127">
        <f t="shared" si="18"/>
        <v>0</v>
      </c>
      <c r="R56" s="1133"/>
      <c r="S56" s="2114">
        <f ca="1">'wp - t-1 COSS'!$F$32</f>
        <v>3.8170000000000002</v>
      </c>
      <c r="T56" s="1133"/>
      <c r="U56" s="1143">
        <f t="shared" ca="1" si="19"/>
        <v>0</v>
      </c>
      <c r="V56" s="2029"/>
    </row>
    <row r="57" spans="2:22">
      <c r="B57" s="1141" t="s">
        <v>708</v>
      </c>
      <c r="C57" s="1124"/>
      <c r="D57" s="1133"/>
      <c r="E57" s="1124"/>
      <c r="F57" s="1133"/>
      <c r="G57" s="1124">
        <v>0</v>
      </c>
      <c r="H57" s="1133"/>
      <c r="I57" s="1680">
        <v>3.01</v>
      </c>
      <c r="J57" s="1133"/>
      <c r="K57" s="1127">
        <f t="shared" si="17"/>
        <v>0</v>
      </c>
      <c r="L57" s="1133"/>
      <c r="M57" s="1125">
        <f t="shared" si="16"/>
        <v>0</v>
      </c>
      <c r="N57" s="1133"/>
      <c r="O57" s="1127"/>
      <c r="P57" s="1133"/>
      <c r="Q57" s="1127">
        <f t="shared" si="18"/>
        <v>0</v>
      </c>
      <c r="R57" s="1133"/>
      <c r="S57" s="2114">
        <f ca="1">'wp - t-1 COSS'!$F$32</f>
        <v>3.8170000000000002</v>
      </c>
      <c r="T57" s="1133"/>
      <c r="U57" s="1143">
        <f t="shared" ca="1" si="19"/>
        <v>0</v>
      </c>
      <c r="V57" s="2029"/>
    </row>
    <row r="58" spans="2:22">
      <c r="B58" s="1141" t="s">
        <v>711</v>
      </c>
      <c r="C58" s="1124"/>
      <c r="D58" s="1133"/>
      <c r="E58" s="1124"/>
      <c r="F58" s="1133"/>
      <c r="G58" s="1124">
        <v>0</v>
      </c>
      <c r="H58" s="1133"/>
      <c r="I58" s="1680">
        <v>2.76</v>
      </c>
      <c r="J58" s="1133"/>
      <c r="K58" s="1127">
        <f t="shared" si="17"/>
        <v>0</v>
      </c>
      <c r="L58" s="1133"/>
      <c r="M58" s="1125">
        <f t="shared" si="16"/>
        <v>0</v>
      </c>
      <c r="N58" s="1133"/>
      <c r="O58" s="1127"/>
      <c r="P58" s="1133"/>
      <c r="Q58" s="1127">
        <f t="shared" si="18"/>
        <v>0</v>
      </c>
      <c r="R58" s="1133"/>
      <c r="S58" s="2114">
        <f ca="1">'wp - t-1 COSS'!$F$32</f>
        <v>3.8170000000000002</v>
      </c>
      <c r="T58" s="1133"/>
      <c r="U58" s="1143">
        <f t="shared" ca="1" si="19"/>
        <v>0</v>
      </c>
      <c r="V58" s="2029"/>
    </row>
    <row r="59" spans="2:22" ht="13.5" thickBot="1">
      <c r="B59" s="1109" t="s">
        <v>1381</v>
      </c>
      <c r="C59" s="1145">
        <f>SUM(C52:C58)</f>
        <v>11.83510818548233</v>
      </c>
      <c r="D59" s="1135"/>
      <c r="E59" s="1145">
        <f>SUM(E52:E58)</f>
        <v>24</v>
      </c>
      <c r="F59" s="1135"/>
      <c r="G59" s="1145">
        <f>SUM(G52:G58)</f>
        <v>0</v>
      </c>
      <c r="H59" s="1135"/>
      <c r="I59" s="1678"/>
      <c r="J59" s="1135"/>
      <c r="K59" s="1136">
        <f>SUM(K52:K58)</f>
        <v>226.07999999999998</v>
      </c>
      <c r="L59" s="1135"/>
      <c r="M59" s="1136">
        <f>SUM(M52:M58)</f>
        <v>226.07999999999998</v>
      </c>
      <c r="N59" s="1135"/>
      <c r="O59" s="1145">
        <f>SUM(O52:O58)</f>
        <v>24</v>
      </c>
      <c r="P59" s="1135"/>
      <c r="Q59" s="1145">
        <f>SUM(Q52:Q58)</f>
        <v>0</v>
      </c>
      <c r="R59" s="1135"/>
      <c r="S59" s="1128"/>
      <c r="T59" s="1135"/>
      <c r="U59" s="1136">
        <f ca="1">SUM(U52:U58)</f>
        <v>372.71999999999997</v>
      </c>
      <c r="V59" s="2030"/>
    </row>
    <row r="60" spans="2:22" ht="13.5" thickTop="1">
      <c r="B60" s="1109"/>
      <c r="C60" s="1132"/>
      <c r="D60" s="1133"/>
      <c r="E60" s="1132"/>
      <c r="F60" s="1133"/>
      <c r="G60" s="1124"/>
      <c r="H60" s="1133"/>
      <c r="I60" s="1679"/>
      <c r="J60" s="1133"/>
      <c r="K60" s="1125"/>
      <c r="L60" s="1133"/>
      <c r="M60" s="1125"/>
      <c r="N60" s="1133"/>
      <c r="O60" s="1127"/>
      <c r="P60" s="1133"/>
      <c r="Q60" s="1127"/>
      <c r="R60" s="1133"/>
      <c r="S60" s="1128"/>
      <c r="T60" s="1133"/>
      <c r="U60" s="1093"/>
      <c r="V60" s="2031"/>
    </row>
    <row r="61" spans="2:22" ht="13.5" thickBot="1">
      <c r="B61" s="1111" t="s">
        <v>1380</v>
      </c>
      <c r="C61" s="1132"/>
      <c r="D61" s="1133"/>
      <c r="E61" s="1132"/>
      <c r="F61" s="1133"/>
      <c r="G61" s="1124"/>
      <c r="H61" s="1133"/>
      <c r="I61" s="1679"/>
      <c r="J61" s="1133"/>
      <c r="K61" s="1125"/>
      <c r="L61" s="1133"/>
      <c r="M61" s="1138">
        <f>+M59/$E59</f>
        <v>9.42</v>
      </c>
      <c r="N61" s="1133"/>
      <c r="O61" s="1127"/>
      <c r="P61" s="1133"/>
      <c r="Q61" s="1127"/>
      <c r="R61" s="1133"/>
      <c r="S61" s="1128"/>
      <c r="T61" s="1133"/>
      <c r="U61" s="1138">
        <f ca="1">+U59/$E59</f>
        <v>15.53</v>
      </c>
      <c r="V61" s="2032"/>
    </row>
    <row r="62" spans="2:22" ht="13.5" thickTop="1">
      <c r="B62" s="1106" t="s">
        <v>1373</v>
      </c>
      <c r="C62" s="1124">
        <v>12177.586628599722</v>
      </c>
      <c r="D62" s="1129"/>
      <c r="E62" s="1124"/>
      <c r="F62" s="1129"/>
      <c r="G62" s="1124"/>
      <c r="H62" s="1129"/>
      <c r="I62" s="1679"/>
      <c r="J62" s="1129"/>
      <c r="K62" s="1125"/>
      <c r="L62" s="1129"/>
      <c r="M62" s="1125"/>
      <c r="N62" s="1129"/>
      <c r="O62" s="1127"/>
      <c r="P62" s="1129"/>
      <c r="Q62" s="1127"/>
      <c r="R62" s="1129"/>
      <c r="S62" s="1128"/>
      <c r="T62" s="1129"/>
      <c r="U62" s="1131"/>
      <c r="V62" s="2028"/>
    </row>
    <row r="63" spans="2:22">
      <c r="B63" s="1141" t="s">
        <v>660</v>
      </c>
      <c r="C63" s="1124"/>
      <c r="D63" s="1133"/>
      <c r="E63" s="1124">
        <v>800</v>
      </c>
      <c r="F63" s="1133"/>
      <c r="G63" s="1124"/>
      <c r="H63" s="1133"/>
      <c r="I63" s="1680">
        <v>28.67</v>
      </c>
      <c r="J63" s="1133"/>
      <c r="K63" s="1125">
        <f>+E63*I63</f>
        <v>22936</v>
      </c>
      <c r="L63" s="1133"/>
      <c r="M63" s="1125">
        <f>+K63</f>
        <v>22936</v>
      </c>
      <c r="N63" s="1133"/>
      <c r="O63" s="1127">
        <f>+E63</f>
        <v>800</v>
      </c>
      <c r="P63" s="1133"/>
      <c r="Q63" s="1127"/>
      <c r="R63" s="1133"/>
      <c r="S63" s="1142">
        <f ca="1">'wp - t-1 COSS'!$F$15</f>
        <v>40.229999999999997</v>
      </c>
      <c r="T63" s="1133"/>
      <c r="U63" s="1143">
        <f ca="1">+O63*S63</f>
        <v>32183.999999999996</v>
      </c>
      <c r="V63" s="2029"/>
    </row>
    <row r="64" spans="2:22">
      <c r="B64" s="1141" t="s">
        <v>661</v>
      </c>
      <c r="C64" s="1124"/>
      <c r="D64" s="1133"/>
      <c r="E64" s="1124"/>
      <c r="F64" s="1133"/>
      <c r="G64" s="1124">
        <v>1491.1664535700945</v>
      </c>
      <c r="H64" s="1133"/>
      <c r="I64" s="1680">
        <v>3.86</v>
      </c>
      <c r="J64" s="1133"/>
      <c r="K64" s="1127">
        <f>+G64*I64</f>
        <v>5755.9025107805646</v>
      </c>
      <c r="L64" s="1133"/>
      <c r="M64" s="1125">
        <f t="shared" ref="M64:M68" si="20">+K64</f>
        <v>5755.9025107805646</v>
      </c>
      <c r="N64" s="1133"/>
      <c r="O64" s="1127"/>
      <c r="P64" s="1133"/>
      <c r="Q64" s="1127">
        <f>+G64</f>
        <v>1491.1664535700945</v>
      </c>
      <c r="R64" s="1133"/>
      <c r="S64" s="2114">
        <f ca="1">'wp - t-1 COSS'!$F$33</f>
        <v>3.8170000000000002</v>
      </c>
      <c r="T64" s="1133"/>
      <c r="U64" s="1143">
        <f ca="1">+Q64*S64</f>
        <v>5691.7823532770508</v>
      </c>
      <c r="V64" s="2029"/>
    </row>
    <row r="65" spans="2:22">
      <c r="B65" s="1141" t="s">
        <v>706</v>
      </c>
      <c r="C65" s="1124"/>
      <c r="D65" s="1133"/>
      <c r="E65" s="1124"/>
      <c r="F65" s="1133"/>
      <c r="G65" s="1124">
        <v>3455.8482552460218</v>
      </c>
      <c r="H65" s="1133"/>
      <c r="I65" s="1680">
        <v>3.53</v>
      </c>
      <c r="J65" s="1133"/>
      <c r="K65" s="1127">
        <f t="shared" ref="K65:K68" si="21">+G65*I65</f>
        <v>12199.144341018457</v>
      </c>
      <c r="L65" s="1133"/>
      <c r="M65" s="1125">
        <f t="shared" si="20"/>
        <v>12199.144341018457</v>
      </c>
      <c r="N65" s="1133"/>
      <c r="O65" s="1127"/>
      <c r="P65" s="1133"/>
      <c r="Q65" s="1127">
        <f t="shared" ref="Q65:Q68" si="22">+G65</f>
        <v>3455.8482552460218</v>
      </c>
      <c r="R65" s="1133"/>
      <c r="S65" s="2114">
        <f ca="1">'wp - t-1 COSS'!$F$33</f>
        <v>3.8170000000000002</v>
      </c>
      <c r="T65" s="1133"/>
      <c r="U65" s="1143">
        <f t="shared" ref="U65:U68" ca="1" si="23">+Q65*S65</f>
        <v>13190.972790274065</v>
      </c>
      <c r="V65" s="2029"/>
    </row>
    <row r="66" spans="2:22">
      <c r="B66" s="1141" t="s">
        <v>707</v>
      </c>
      <c r="C66" s="1124"/>
      <c r="D66" s="1133"/>
      <c r="E66" s="1124"/>
      <c r="F66" s="1133"/>
      <c r="G66" s="1124">
        <v>2424.901505717829</v>
      </c>
      <c r="H66" s="1133"/>
      <c r="I66" s="1680">
        <v>3.35</v>
      </c>
      <c r="J66" s="1133"/>
      <c r="K66" s="1127">
        <f t="shared" si="21"/>
        <v>8123.4200441547273</v>
      </c>
      <c r="L66" s="1133"/>
      <c r="M66" s="1125">
        <f t="shared" si="20"/>
        <v>8123.4200441547273</v>
      </c>
      <c r="N66" s="1133"/>
      <c r="O66" s="1127"/>
      <c r="P66" s="1133"/>
      <c r="Q66" s="1127">
        <f t="shared" si="22"/>
        <v>2424.901505717829</v>
      </c>
      <c r="R66" s="1133"/>
      <c r="S66" s="2114">
        <f ca="1">'wp - t-1 COSS'!$F$33</f>
        <v>3.8170000000000002</v>
      </c>
      <c r="T66" s="1133"/>
      <c r="U66" s="1143">
        <f t="shared" ca="1" si="23"/>
        <v>9255.8490473249531</v>
      </c>
      <c r="V66" s="2029"/>
    </row>
    <row r="67" spans="2:22">
      <c r="B67" s="1141" t="s">
        <v>708</v>
      </c>
      <c r="C67" s="1124"/>
      <c r="D67" s="1133"/>
      <c r="E67" s="1124"/>
      <c r="F67" s="1133"/>
      <c r="G67" s="1124">
        <v>1051.5711706819873</v>
      </c>
      <c r="H67" s="1133"/>
      <c r="I67" s="1680">
        <v>3.01</v>
      </c>
      <c r="J67" s="1133"/>
      <c r="K67" s="1127">
        <f t="shared" si="21"/>
        <v>3165.2292237527813</v>
      </c>
      <c r="L67" s="1133"/>
      <c r="M67" s="1125">
        <f t="shared" si="20"/>
        <v>3165.2292237527813</v>
      </c>
      <c r="N67" s="1133"/>
      <c r="O67" s="1127"/>
      <c r="P67" s="1133"/>
      <c r="Q67" s="1127">
        <f t="shared" si="22"/>
        <v>1051.5711706819873</v>
      </c>
      <c r="R67" s="1133"/>
      <c r="S67" s="2114">
        <f ca="1">'wp - t-1 COSS'!$F$33</f>
        <v>3.8170000000000002</v>
      </c>
      <c r="T67" s="1133"/>
      <c r="U67" s="1143">
        <f t="shared" ca="1" si="23"/>
        <v>4013.8471584931458</v>
      </c>
      <c r="V67" s="2029"/>
    </row>
    <row r="68" spans="2:22">
      <c r="B68" s="1141" t="s">
        <v>711</v>
      </c>
      <c r="C68" s="1124"/>
      <c r="D68" s="1133"/>
      <c r="E68" s="1124"/>
      <c r="F68" s="1133"/>
      <c r="G68" s="1124">
        <v>134.01439592262963</v>
      </c>
      <c r="H68" s="1133"/>
      <c r="I68" s="1680">
        <v>2.76</v>
      </c>
      <c r="J68" s="1133"/>
      <c r="K68" s="1127">
        <f t="shared" si="21"/>
        <v>369.87973274645776</v>
      </c>
      <c r="L68" s="1133"/>
      <c r="M68" s="1125">
        <f t="shared" si="20"/>
        <v>369.87973274645776</v>
      </c>
      <c r="N68" s="1133"/>
      <c r="O68" s="1127"/>
      <c r="P68" s="1133"/>
      <c r="Q68" s="1127">
        <f t="shared" si="22"/>
        <v>134.01439592262963</v>
      </c>
      <c r="R68" s="1133"/>
      <c r="S68" s="2114">
        <f ca="1">'wp - t-1 COSS'!$F$33</f>
        <v>3.8170000000000002</v>
      </c>
      <c r="T68" s="1133"/>
      <c r="U68" s="1143">
        <f t="shared" ca="1" si="23"/>
        <v>511.53294923667733</v>
      </c>
      <c r="V68" s="2029"/>
    </row>
    <row r="69" spans="2:22" ht="13.5" thickBot="1">
      <c r="B69" s="1109" t="s">
        <v>1434</v>
      </c>
      <c r="C69" s="1145">
        <f>SUM(C62:C68)</f>
        <v>12177.586628599722</v>
      </c>
      <c r="D69" s="1135"/>
      <c r="E69" s="1145">
        <f>SUM(E62:E68)</f>
        <v>800</v>
      </c>
      <c r="F69" s="1135"/>
      <c r="G69" s="1145">
        <f>SUM(G62:G68)</f>
        <v>8557.5017811385624</v>
      </c>
      <c r="H69" s="1135"/>
      <c r="I69" s="1678"/>
      <c r="J69" s="1135"/>
      <c r="K69" s="1136">
        <f>SUM(K62:K68)</f>
        <v>52549.575852452988</v>
      </c>
      <c r="L69" s="1135"/>
      <c r="M69" s="1136">
        <f>SUM(M62:M68)</f>
        <v>52549.575852452988</v>
      </c>
      <c r="N69" s="1135"/>
      <c r="O69" s="1145">
        <f>SUM(O62:O68)</f>
        <v>800</v>
      </c>
      <c r="P69" s="1135"/>
      <c r="Q69" s="1145">
        <f>SUM(Q62:Q68)</f>
        <v>8557.5017811385624</v>
      </c>
      <c r="R69" s="1135"/>
      <c r="S69" s="1128"/>
      <c r="T69" s="1135"/>
      <c r="U69" s="1136">
        <f ca="1">SUM(U62:U68)</f>
        <v>64847.984298605894</v>
      </c>
      <c r="V69" s="2030"/>
    </row>
    <row r="70" spans="2:22" ht="13.5" thickTop="1">
      <c r="B70" s="1109"/>
      <c r="C70" s="1132"/>
      <c r="D70" s="1133"/>
      <c r="E70" s="1132"/>
      <c r="F70" s="1133"/>
      <c r="G70" s="1124"/>
      <c r="H70" s="1133"/>
      <c r="I70" s="1679"/>
      <c r="J70" s="1133"/>
      <c r="K70" s="1125"/>
      <c r="L70" s="1133"/>
      <c r="M70" s="1125"/>
      <c r="N70" s="1133"/>
      <c r="O70" s="1127"/>
      <c r="P70" s="1133"/>
      <c r="Q70" s="1127"/>
      <c r="R70" s="1133"/>
      <c r="S70" s="1128"/>
      <c r="T70" s="1133"/>
      <c r="U70" s="1093"/>
      <c r="V70" s="2031"/>
    </row>
    <row r="71" spans="2:22" ht="13.5" thickBot="1">
      <c r="B71" s="1111" t="s">
        <v>1433</v>
      </c>
      <c r="C71" s="1132"/>
      <c r="D71" s="1133"/>
      <c r="E71" s="1132"/>
      <c r="F71" s="1133"/>
      <c r="G71" s="1124"/>
      <c r="H71" s="1133"/>
      <c r="I71" s="1679"/>
      <c r="J71" s="1133"/>
      <c r="K71" s="1125"/>
      <c r="L71" s="1133"/>
      <c r="M71" s="1138">
        <f>+M69/$E69</f>
        <v>65.686969815566229</v>
      </c>
      <c r="N71" s="1133"/>
      <c r="O71" s="1127"/>
      <c r="P71" s="1133"/>
      <c r="Q71" s="1127"/>
      <c r="R71" s="1133"/>
      <c r="S71" s="1128"/>
      <c r="T71" s="1133"/>
      <c r="U71" s="1138">
        <f ca="1">+U69/$E69</f>
        <v>81.05998037325736</v>
      </c>
      <c r="V71" s="2032"/>
    </row>
    <row r="72" spans="2:22" ht="13.5" thickTop="1">
      <c r="B72" s="1106" t="s">
        <v>1376</v>
      </c>
      <c r="C72" s="1124">
        <v>1766.884641617748</v>
      </c>
      <c r="D72" s="1129"/>
      <c r="E72" s="1124"/>
      <c r="F72" s="1129"/>
      <c r="G72" s="1124"/>
      <c r="H72" s="1129"/>
      <c r="I72" s="1679"/>
      <c r="J72" s="1129"/>
      <c r="K72" s="1125"/>
      <c r="L72" s="1129"/>
      <c r="M72" s="1125"/>
      <c r="N72" s="1129"/>
      <c r="O72" s="1127"/>
      <c r="P72" s="1129"/>
      <c r="Q72" s="1127"/>
      <c r="R72" s="1129"/>
      <c r="S72" s="1128"/>
      <c r="T72" s="1129"/>
      <c r="U72" s="1131"/>
      <c r="V72" s="2028"/>
    </row>
    <row r="73" spans="2:22">
      <c r="B73" s="1141" t="s">
        <v>660</v>
      </c>
      <c r="C73" s="1124"/>
      <c r="D73" s="1133"/>
      <c r="E73" s="1124">
        <v>288</v>
      </c>
      <c r="F73" s="1133"/>
      <c r="G73" s="1124"/>
      <c r="H73" s="1133"/>
      <c r="I73" s="1680">
        <v>28.67</v>
      </c>
      <c r="J73" s="1133"/>
      <c r="K73" s="1125">
        <f>+E73*I73</f>
        <v>8256.9600000000009</v>
      </c>
      <c r="L73" s="1133"/>
      <c r="M73" s="1125">
        <f>+K73</f>
        <v>8256.9600000000009</v>
      </c>
      <c r="N73" s="1133"/>
      <c r="O73" s="1127">
        <f>+E73</f>
        <v>288</v>
      </c>
      <c r="P73" s="1133"/>
      <c r="Q73" s="1127"/>
      <c r="R73" s="1133"/>
      <c r="S73" s="1142">
        <f ca="1">'wp - t-1 COSS'!$F$15</f>
        <v>40.229999999999997</v>
      </c>
      <c r="T73" s="1133"/>
      <c r="U73" s="1143">
        <f ca="1">+O73*S73</f>
        <v>11586.24</v>
      </c>
      <c r="V73" s="2029"/>
    </row>
    <row r="74" spans="2:22">
      <c r="B74" s="1141" t="s">
        <v>661</v>
      </c>
      <c r="C74" s="1124"/>
      <c r="D74" s="1133"/>
      <c r="E74" s="1124"/>
      <c r="F74" s="1133"/>
      <c r="G74" s="1124">
        <v>282.89883583800111</v>
      </c>
      <c r="H74" s="1133"/>
      <c r="I74" s="1680">
        <v>3.86</v>
      </c>
      <c r="J74" s="1133"/>
      <c r="K74" s="1127">
        <f>+G74*I74</f>
        <v>1091.9895063346842</v>
      </c>
      <c r="L74" s="1133"/>
      <c r="M74" s="1125">
        <f t="shared" ref="M74:M78" si="24">+K74</f>
        <v>1091.9895063346842</v>
      </c>
      <c r="N74" s="1133"/>
      <c r="O74" s="1127"/>
      <c r="P74" s="1133"/>
      <c r="Q74" s="1127">
        <f>+G74</f>
        <v>282.89883583800111</v>
      </c>
      <c r="R74" s="1133"/>
      <c r="S74" s="2114">
        <f ca="1">'wp - t-1 COSS'!$F$33</f>
        <v>3.8170000000000002</v>
      </c>
      <c r="T74" s="1133"/>
      <c r="U74" s="1143">
        <f ca="1">+Q74*S74</f>
        <v>1079.8248563936502</v>
      </c>
      <c r="V74" s="2029"/>
    </row>
    <row r="75" spans="2:22">
      <c r="B75" s="1141" t="s">
        <v>706</v>
      </c>
      <c r="C75" s="1124"/>
      <c r="D75" s="1133"/>
      <c r="E75" s="1124"/>
      <c r="F75" s="1133"/>
      <c r="G75" s="1124">
        <v>165.3775643948612</v>
      </c>
      <c r="H75" s="1133"/>
      <c r="I75" s="1680">
        <v>3.53</v>
      </c>
      <c r="J75" s="1133"/>
      <c r="K75" s="1127">
        <f t="shared" ref="K75:K78" si="25">+G75*I75</f>
        <v>583.78280231385997</v>
      </c>
      <c r="L75" s="1133"/>
      <c r="M75" s="1125">
        <f t="shared" si="24"/>
        <v>583.78280231385997</v>
      </c>
      <c r="N75" s="1133"/>
      <c r="O75" s="1127"/>
      <c r="P75" s="1133"/>
      <c r="Q75" s="1127">
        <f t="shared" ref="Q75:Q78" si="26">+G75</f>
        <v>165.3775643948612</v>
      </c>
      <c r="R75" s="1133"/>
      <c r="S75" s="2114">
        <f ca="1">'wp - t-1 COSS'!$F$33</f>
        <v>3.8170000000000002</v>
      </c>
      <c r="T75" s="1133"/>
      <c r="U75" s="1143">
        <f t="shared" ref="U75:U78" ca="1" si="27">+Q75*S75</f>
        <v>631.24616329518517</v>
      </c>
      <c r="V75" s="2029"/>
    </row>
    <row r="76" spans="2:22">
      <c r="B76" s="1141" t="s">
        <v>707</v>
      </c>
      <c r="C76" s="1124"/>
      <c r="D76" s="1133"/>
      <c r="E76" s="1124"/>
      <c r="F76" s="1133"/>
      <c r="G76" s="1124">
        <v>41.138178257567368</v>
      </c>
      <c r="H76" s="1133"/>
      <c r="I76" s="1680">
        <v>3.35</v>
      </c>
      <c r="J76" s="1133"/>
      <c r="K76" s="1127">
        <f t="shared" si="25"/>
        <v>137.81289716285067</v>
      </c>
      <c r="L76" s="1133"/>
      <c r="M76" s="1125">
        <f t="shared" si="24"/>
        <v>137.81289716285067</v>
      </c>
      <c r="N76" s="1133"/>
      <c r="O76" s="1127"/>
      <c r="P76" s="1133"/>
      <c r="Q76" s="1127">
        <f t="shared" si="26"/>
        <v>41.138178257567368</v>
      </c>
      <c r="R76" s="1133"/>
      <c r="S76" s="2114">
        <f ca="1">'wp - t-1 COSS'!$F$33</f>
        <v>3.8170000000000002</v>
      </c>
      <c r="T76" s="1133"/>
      <c r="U76" s="1143">
        <f t="shared" ca="1" si="27"/>
        <v>157.02442640913466</v>
      </c>
      <c r="V76" s="2029"/>
    </row>
    <row r="77" spans="2:22">
      <c r="B77" s="1141" t="s">
        <v>708</v>
      </c>
      <c r="C77" s="1124"/>
      <c r="D77" s="1133"/>
      <c r="E77" s="1124"/>
      <c r="F77" s="1133"/>
      <c r="G77" s="1124">
        <v>0</v>
      </c>
      <c r="H77" s="1133"/>
      <c r="I77" s="1680">
        <v>3.01</v>
      </c>
      <c r="J77" s="1133"/>
      <c r="K77" s="1127">
        <f t="shared" si="25"/>
        <v>0</v>
      </c>
      <c r="L77" s="1133"/>
      <c r="M77" s="1125">
        <f t="shared" si="24"/>
        <v>0</v>
      </c>
      <c r="N77" s="1133"/>
      <c r="O77" s="1127"/>
      <c r="P77" s="1133"/>
      <c r="Q77" s="1127">
        <f t="shared" si="26"/>
        <v>0</v>
      </c>
      <c r="R77" s="1133"/>
      <c r="S77" s="2114">
        <f ca="1">'wp - t-1 COSS'!$F$33</f>
        <v>3.8170000000000002</v>
      </c>
      <c r="T77" s="1133"/>
      <c r="U77" s="1143">
        <f t="shared" ca="1" si="27"/>
        <v>0</v>
      </c>
      <c r="V77" s="2029"/>
    </row>
    <row r="78" spans="2:22">
      <c r="B78" s="1141" t="s">
        <v>711</v>
      </c>
      <c r="C78" s="1124"/>
      <c r="D78" s="1133"/>
      <c r="E78" s="1124"/>
      <c r="F78" s="1133"/>
      <c r="G78" s="1124">
        <v>0</v>
      </c>
      <c r="H78" s="1133"/>
      <c r="I78" s="1680">
        <v>2.76</v>
      </c>
      <c r="J78" s="1133"/>
      <c r="K78" s="1127">
        <f t="shared" si="25"/>
        <v>0</v>
      </c>
      <c r="L78" s="1133"/>
      <c r="M78" s="1125">
        <f t="shared" si="24"/>
        <v>0</v>
      </c>
      <c r="N78" s="1133"/>
      <c r="O78" s="1127"/>
      <c r="P78" s="1133"/>
      <c r="Q78" s="1127">
        <f t="shared" si="26"/>
        <v>0</v>
      </c>
      <c r="R78" s="1133"/>
      <c r="S78" s="2114">
        <f ca="1">'wp - t-1 COSS'!$F$33</f>
        <v>3.8170000000000002</v>
      </c>
      <c r="T78" s="1133"/>
      <c r="U78" s="1143">
        <f t="shared" ca="1" si="27"/>
        <v>0</v>
      </c>
      <c r="V78" s="2029"/>
    </row>
    <row r="79" spans="2:22" ht="13.5" thickBot="1">
      <c r="B79" s="1109" t="s">
        <v>1375</v>
      </c>
      <c r="C79" s="1145">
        <f>SUM(C72:C78)</f>
        <v>1766.884641617748</v>
      </c>
      <c r="D79" s="1135"/>
      <c r="E79" s="1145">
        <f>SUM(E72:E78)</f>
        <v>288</v>
      </c>
      <c r="F79" s="1135"/>
      <c r="G79" s="1145">
        <f>SUM(G72:G78)</f>
        <v>489.41457849042968</v>
      </c>
      <c r="H79" s="1135"/>
      <c r="I79" s="1678"/>
      <c r="J79" s="1135"/>
      <c r="K79" s="1136">
        <f>SUM(K72:K78)</f>
        <v>10070.545205811395</v>
      </c>
      <c r="L79" s="1135"/>
      <c r="M79" s="1136">
        <f>SUM(M72:M78)</f>
        <v>10070.545205811395</v>
      </c>
      <c r="N79" s="1135"/>
      <c r="O79" s="1145">
        <f>SUM(O72:O78)</f>
        <v>288</v>
      </c>
      <c r="P79" s="1135"/>
      <c r="Q79" s="1145">
        <f>SUM(Q72:Q78)</f>
        <v>489.41457849042968</v>
      </c>
      <c r="R79" s="1135"/>
      <c r="S79" s="1128"/>
      <c r="T79" s="1135"/>
      <c r="U79" s="1136">
        <f ca="1">SUM(U72:U78)</f>
        <v>13454.33544609797</v>
      </c>
      <c r="V79" s="2030"/>
    </row>
    <row r="80" spans="2:22" ht="13.5" thickTop="1">
      <c r="B80" s="1109"/>
      <c r="C80" s="1132"/>
      <c r="D80" s="1133"/>
      <c r="E80" s="1132"/>
      <c r="F80" s="1133"/>
      <c r="G80" s="1124"/>
      <c r="H80" s="1133"/>
      <c r="I80" s="1679"/>
      <c r="J80" s="1133"/>
      <c r="K80" s="1125"/>
      <c r="L80" s="1133"/>
      <c r="M80" s="1125"/>
      <c r="N80" s="1133"/>
      <c r="O80" s="1127"/>
      <c r="P80" s="1133"/>
      <c r="Q80" s="1127"/>
      <c r="R80" s="1133"/>
      <c r="S80" s="1128"/>
      <c r="T80" s="1133"/>
      <c r="U80" s="1093"/>
      <c r="V80" s="2031"/>
    </row>
    <row r="81" spans="2:22" ht="13.5" thickBot="1">
      <c r="B81" s="1111" t="s">
        <v>1374</v>
      </c>
      <c r="C81" s="1132"/>
      <c r="D81" s="1133"/>
      <c r="E81" s="1132"/>
      <c r="F81" s="1133"/>
      <c r="G81" s="1124"/>
      <c r="H81" s="1133"/>
      <c r="I81" s="1679"/>
      <c r="J81" s="1133"/>
      <c r="K81" s="1125"/>
      <c r="L81" s="1133"/>
      <c r="M81" s="1138">
        <f>+M79/$E79</f>
        <v>34.967170853511789</v>
      </c>
      <c r="N81" s="1133"/>
      <c r="O81" s="1127"/>
      <c r="P81" s="1133"/>
      <c r="Q81" s="1127"/>
      <c r="R81" s="1133"/>
      <c r="S81" s="1128"/>
      <c r="T81" s="1133"/>
      <c r="U81" s="1138">
        <f ca="1">+U79/$E79</f>
        <v>46.716442521173505</v>
      </c>
      <c r="V81" s="2032"/>
    </row>
    <row r="82" spans="2:22" ht="13.5" thickTop="1">
      <c r="B82" s="1106" t="s">
        <v>1370</v>
      </c>
      <c r="C82" s="1124">
        <v>562.89001241535846</v>
      </c>
      <c r="D82" s="1129"/>
      <c r="E82" s="1124"/>
      <c r="F82" s="1129"/>
      <c r="G82" s="1124"/>
      <c r="H82" s="1129"/>
      <c r="I82" s="1679"/>
      <c r="J82" s="1129"/>
      <c r="K82" s="1125"/>
      <c r="L82" s="1129"/>
      <c r="M82" s="1125"/>
      <c r="N82" s="1129"/>
      <c r="O82" s="1127"/>
      <c r="P82" s="1129"/>
      <c r="Q82" s="1127"/>
      <c r="R82" s="1129"/>
      <c r="S82" s="1128"/>
      <c r="T82" s="1129"/>
      <c r="U82" s="1131"/>
      <c r="V82" s="2028"/>
    </row>
    <row r="83" spans="2:22">
      <c r="B83" s="1141" t="s">
        <v>660</v>
      </c>
      <c r="C83" s="1124"/>
      <c r="D83" s="1133"/>
      <c r="E83" s="1124">
        <v>36</v>
      </c>
      <c r="F83" s="1133"/>
      <c r="G83" s="1124"/>
      <c r="H83" s="1133"/>
      <c r="I83" s="1680">
        <v>28.67</v>
      </c>
      <c r="J83" s="1133"/>
      <c r="K83" s="1125">
        <f>+E83*I83</f>
        <v>1032.1200000000001</v>
      </c>
      <c r="L83" s="1133"/>
      <c r="M83" s="1125">
        <f>+K83</f>
        <v>1032.1200000000001</v>
      </c>
      <c r="N83" s="1133"/>
      <c r="O83" s="1127">
        <f>+E83</f>
        <v>36</v>
      </c>
      <c r="P83" s="1133"/>
      <c r="Q83" s="1127"/>
      <c r="R83" s="1133"/>
      <c r="S83" s="1142">
        <f ca="1">'wp - t-1 COSS'!$F$15</f>
        <v>40.229999999999997</v>
      </c>
      <c r="T83" s="1133"/>
      <c r="U83" s="1143">
        <f ca="1">+O83*S83</f>
        <v>1448.28</v>
      </c>
      <c r="V83" s="2029"/>
    </row>
    <row r="84" spans="2:22">
      <c r="B84" s="1141" t="s">
        <v>661</v>
      </c>
      <c r="C84" s="1124"/>
      <c r="D84" s="1133"/>
      <c r="E84" s="1124"/>
      <c r="F84" s="1133"/>
      <c r="G84" s="1124">
        <v>94.627305192315248</v>
      </c>
      <c r="H84" s="1133"/>
      <c r="I84" s="1680">
        <v>3.86</v>
      </c>
      <c r="J84" s="1133"/>
      <c r="K84" s="1127">
        <f>+G84*I84</f>
        <v>365.26139804233685</v>
      </c>
      <c r="L84" s="1133"/>
      <c r="M84" s="1125">
        <f t="shared" ref="M84:M88" si="28">+K84</f>
        <v>365.26139804233685</v>
      </c>
      <c r="N84" s="1133"/>
      <c r="O84" s="1127"/>
      <c r="P84" s="1133"/>
      <c r="Q84" s="1127">
        <f>+G84</f>
        <v>94.627305192315248</v>
      </c>
      <c r="R84" s="1133"/>
      <c r="S84" s="2114">
        <f ca="1">'wp - t-1 COSS'!$F$33</f>
        <v>3.8170000000000002</v>
      </c>
      <c r="T84" s="1133"/>
      <c r="U84" s="1143">
        <f ca="1">+Q84*S84</f>
        <v>361.19242391906732</v>
      </c>
      <c r="V84" s="2029"/>
    </row>
    <row r="85" spans="2:22">
      <c r="B85" s="1141" t="s">
        <v>706</v>
      </c>
      <c r="C85" s="1124"/>
      <c r="D85" s="1133"/>
      <c r="E85" s="1124"/>
      <c r="F85" s="1133"/>
      <c r="G85" s="1124">
        <v>183.63942006960082</v>
      </c>
      <c r="H85" s="1133"/>
      <c r="I85" s="1680">
        <v>3.53</v>
      </c>
      <c r="J85" s="1133"/>
      <c r="K85" s="1127">
        <f t="shared" ref="K85:K88" si="29">+G85*I85</f>
        <v>648.24715284569083</v>
      </c>
      <c r="L85" s="1133"/>
      <c r="M85" s="1125">
        <f t="shared" si="28"/>
        <v>648.24715284569083</v>
      </c>
      <c r="N85" s="1133"/>
      <c r="O85" s="1127"/>
      <c r="P85" s="1133"/>
      <c r="Q85" s="1127">
        <f t="shared" ref="Q85:Q88" si="30">+G85</f>
        <v>183.63942006960082</v>
      </c>
      <c r="R85" s="1133"/>
      <c r="S85" s="2114">
        <f ca="1">'wp - t-1 COSS'!$F$33</f>
        <v>3.8170000000000002</v>
      </c>
      <c r="T85" s="1133"/>
      <c r="U85" s="1143">
        <f t="shared" ref="U85:U88" ca="1" si="31">+Q85*S85</f>
        <v>700.9516664056664</v>
      </c>
      <c r="V85" s="2029"/>
    </row>
    <row r="86" spans="2:22">
      <c r="B86" s="1141" t="s">
        <v>707</v>
      </c>
      <c r="C86" s="1124"/>
      <c r="D86" s="1133"/>
      <c r="E86" s="1124"/>
      <c r="F86" s="1133"/>
      <c r="G86" s="1124">
        <v>81.370607667494568</v>
      </c>
      <c r="H86" s="1133"/>
      <c r="I86" s="1680">
        <v>3.35</v>
      </c>
      <c r="J86" s="1133"/>
      <c r="K86" s="1127">
        <f t="shared" si="29"/>
        <v>272.59153568610679</v>
      </c>
      <c r="L86" s="1133"/>
      <c r="M86" s="1125">
        <f t="shared" si="28"/>
        <v>272.59153568610679</v>
      </c>
      <c r="N86" s="1133"/>
      <c r="O86" s="1127"/>
      <c r="P86" s="1133"/>
      <c r="Q86" s="1127">
        <f t="shared" si="30"/>
        <v>81.370607667494568</v>
      </c>
      <c r="R86" s="1133"/>
      <c r="S86" s="2114">
        <f ca="1">'wp - t-1 COSS'!$F$33</f>
        <v>3.8170000000000002</v>
      </c>
      <c r="T86" s="1133"/>
      <c r="U86" s="1143">
        <f t="shared" ca="1" si="31"/>
        <v>310.59160946682675</v>
      </c>
      <c r="V86" s="2029"/>
    </row>
    <row r="87" spans="2:22">
      <c r="B87" s="1141" t="s">
        <v>708</v>
      </c>
      <c r="C87" s="1124"/>
      <c r="D87" s="1133"/>
      <c r="E87" s="1124"/>
      <c r="F87" s="1133"/>
      <c r="G87" s="1124">
        <v>13.336189454321634</v>
      </c>
      <c r="H87" s="1133"/>
      <c r="I87" s="1680">
        <v>3.01</v>
      </c>
      <c r="J87" s="1133"/>
      <c r="K87" s="1127">
        <f t="shared" si="29"/>
        <v>40.141930257508115</v>
      </c>
      <c r="L87" s="1133"/>
      <c r="M87" s="1125">
        <f t="shared" si="28"/>
        <v>40.141930257508115</v>
      </c>
      <c r="N87" s="1133"/>
      <c r="O87" s="1127"/>
      <c r="P87" s="1133"/>
      <c r="Q87" s="1127">
        <f t="shared" si="30"/>
        <v>13.336189454321634</v>
      </c>
      <c r="R87" s="1133"/>
      <c r="S87" s="2114">
        <f ca="1">'wp - t-1 COSS'!$F$33</f>
        <v>3.8170000000000002</v>
      </c>
      <c r="T87" s="1133"/>
      <c r="U87" s="1143">
        <f t="shared" ca="1" si="31"/>
        <v>50.904235147145677</v>
      </c>
      <c r="V87" s="2029"/>
    </row>
    <row r="88" spans="2:22">
      <c r="B88" s="1141" t="s">
        <v>711</v>
      </c>
      <c r="C88" s="1124"/>
      <c r="D88" s="1133"/>
      <c r="E88" s="1124"/>
      <c r="F88" s="1133"/>
      <c r="G88" s="1124">
        <v>0</v>
      </c>
      <c r="H88" s="1133"/>
      <c r="I88" s="1680">
        <v>2.76</v>
      </c>
      <c r="J88" s="1133"/>
      <c r="K88" s="1127">
        <f t="shared" si="29"/>
        <v>0</v>
      </c>
      <c r="L88" s="1133"/>
      <c r="M88" s="1125">
        <f t="shared" si="28"/>
        <v>0</v>
      </c>
      <c r="N88" s="1133"/>
      <c r="O88" s="1127"/>
      <c r="P88" s="1133"/>
      <c r="Q88" s="1127">
        <f t="shared" si="30"/>
        <v>0</v>
      </c>
      <c r="R88" s="1133"/>
      <c r="S88" s="2114">
        <f ca="1">'wp - t-1 COSS'!$F$33</f>
        <v>3.8170000000000002</v>
      </c>
      <c r="T88" s="1133"/>
      <c r="U88" s="1143">
        <f t="shared" ca="1" si="31"/>
        <v>0</v>
      </c>
      <c r="V88" s="2029"/>
    </row>
    <row r="89" spans="2:22" ht="13.5" thickBot="1">
      <c r="B89" s="1109" t="s">
        <v>1369</v>
      </c>
      <c r="C89" s="1145">
        <f>SUM(C82:C88)</f>
        <v>562.89001241535846</v>
      </c>
      <c r="D89" s="1135"/>
      <c r="E89" s="1145">
        <f>SUM(E82:E88)</f>
        <v>36</v>
      </c>
      <c r="F89" s="1135"/>
      <c r="G89" s="1145">
        <f>SUM(G82:G88)</f>
        <v>372.97352238373225</v>
      </c>
      <c r="H89" s="1135"/>
      <c r="I89" s="1678"/>
      <c r="J89" s="1135"/>
      <c r="K89" s="1136">
        <f>SUM(K82:K88)</f>
        <v>2358.3620168316429</v>
      </c>
      <c r="L89" s="1135"/>
      <c r="M89" s="1136">
        <f>SUM(M82:M88)</f>
        <v>2358.3620168316429</v>
      </c>
      <c r="N89" s="1135"/>
      <c r="O89" s="1145">
        <f>SUM(O82:O88)</f>
        <v>36</v>
      </c>
      <c r="P89" s="1135"/>
      <c r="Q89" s="1145">
        <f>SUM(Q82:Q88)</f>
        <v>372.97352238373225</v>
      </c>
      <c r="R89" s="1135"/>
      <c r="S89" s="1128"/>
      <c r="T89" s="1135"/>
      <c r="U89" s="1136">
        <f ca="1">SUM(U82:U88)</f>
        <v>2871.9199349387063</v>
      </c>
      <c r="V89" s="2030"/>
    </row>
    <row r="90" spans="2:22" ht="13.5" thickTop="1">
      <c r="B90" s="1109"/>
      <c r="C90" s="1132"/>
      <c r="D90" s="1133"/>
      <c r="E90" s="1132"/>
      <c r="F90" s="1133"/>
      <c r="G90" s="1124"/>
      <c r="H90" s="1133"/>
      <c r="I90" s="1679"/>
      <c r="J90" s="1133"/>
      <c r="K90" s="1125"/>
      <c r="L90" s="1133"/>
      <c r="M90" s="1125"/>
      <c r="N90" s="1133"/>
      <c r="O90" s="1127"/>
      <c r="P90" s="1133"/>
      <c r="Q90" s="1127"/>
      <c r="R90" s="1133"/>
      <c r="S90" s="1128"/>
      <c r="T90" s="1133"/>
      <c r="U90" s="1093"/>
      <c r="V90" s="2031"/>
    </row>
    <row r="91" spans="2:22" ht="13.5" thickBot="1">
      <c r="B91" s="1111" t="s">
        <v>1368</v>
      </c>
      <c r="C91" s="1132"/>
      <c r="D91" s="1133"/>
      <c r="E91" s="1132"/>
      <c r="F91" s="1133"/>
      <c r="G91" s="1124"/>
      <c r="H91" s="1133"/>
      <c r="I91" s="1679"/>
      <c r="J91" s="1133"/>
      <c r="K91" s="1125"/>
      <c r="L91" s="1133"/>
      <c r="M91" s="1138">
        <f>+M89/$E89</f>
        <v>65.510056023101185</v>
      </c>
      <c r="N91" s="1133"/>
      <c r="O91" s="1127"/>
      <c r="P91" s="1133"/>
      <c r="Q91" s="1127"/>
      <c r="R91" s="1133"/>
      <c r="S91" s="1128"/>
      <c r="T91" s="1133"/>
      <c r="U91" s="1138">
        <f ca="1">+U89/$E89</f>
        <v>79.775553748297398</v>
      </c>
      <c r="V91" s="2032"/>
    </row>
    <row r="92" spans="2:22" ht="13.5" thickTop="1">
      <c r="B92" s="1106" t="s">
        <v>1432</v>
      </c>
      <c r="C92" s="1124">
        <v>152.76806120169394</v>
      </c>
      <c r="D92" s="1129"/>
      <c r="E92" s="1124"/>
      <c r="F92" s="1129"/>
      <c r="G92" s="1124"/>
      <c r="H92" s="1129"/>
      <c r="I92" s="1679"/>
      <c r="J92" s="1129"/>
      <c r="K92" s="1125"/>
      <c r="L92" s="1129"/>
      <c r="M92" s="1125"/>
      <c r="N92" s="1129"/>
      <c r="O92" s="1127"/>
      <c r="P92" s="1129"/>
      <c r="Q92" s="1127"/>
      <c r="R92" s="1129"/>
      <c r="S92" s="1128"/>
      <c r="T92" s="1129"/>
      <c r="U92" s="1131"/>
      <c r="V92" s="2028"/>
    </row>
    <row r="93" spans="2:22">
      <c r="B93" s="1141" t="s">
        <v>660</v>
      </c>
      <c r="C93" s="1124"/>
      <c r="D93" s="1133"/>
      <c r="E93" s="1124">
        <v>12</v>
      </c>
      <c r="F93" s="1133"/>
      <c r="G93" s="1124"/>
      <c r="H93" s="1133"/>
      <c r="I93" s="1680">
        <v>28.67</v>
      </c>
      <c r="J93" s="1133"/>
      <c r="K93" s="1125">
        <f>+E93*I93</f>
        <v>344.04</v>
      </c>
      <c r="L93" s="1133"/>
      <c r="M93" s="1125">
        <f>+K93</f>
        <v>344.04</v>
      </c>
      <c r="N93" s="1133"/>
      <c r="O93" s="1127">
        <f>+E93</f>
        <v>12</v>
      </c>
      <c r="P93" s="1133"/>
      <c r="Q93" s="1127"/>
      <c r="R93" s="1133"/>
      <c r="S93" s="1142">
        <f ca="1">'wp - t-1 COSS'!$F$15</f>
        <v>40.229999999999997</v>
      </c>
      <c r="T93" s="1133"/>
      <c r="U93" s="1143">
        <f ca="1">+O93*S93</f>
        <v>482.76</v>
      </c>
      <c r="V93" s="2029"/>
    </row>
    <row r="94" spans="2:22">
      <c r="B94" s="1141" t="s">
        <v>661</v>
      </c>
      <c r="C94" s="1124"/>
      <c r="D94" s="1133"/>
      <c r="E94" s="1124"/>
      <c r="F94" s="1133"/>
      <c r="G94" s="1124">
        <v>48</v>
      </c>
      <c r="H94" s="1133"/>
      <c r="I94" s="1680">
        <v>3.86</v>
      </c>
      <c r="J94" s="1133"/>
      <c r="K94" s="1127">
        <f>+G94*I94</f>
        <v>185.28</v>
      </c>
      <c r="L94" s="1133"/>
      <c r="M94" s="1125">
        <f t="shared" ref="M94:M98" si="32">+K94</f>
        <v>185.28</v>
      </c>
      <c r="N94" s="1133"/>
      <c r="O94" s="1127"/>
      <c r="P94" s="1133"/>
      <c r="Q94" s="1127">
        <f>+G94</f>
        <v>48</v>
      </c>
      <c r="R94" s="1133"/>
      <c r="S94" s="2114">
        <f ca="1">'wp - t-1 COSS'!$F$33</f>
        <v>3.8170000000000002</v>
      </c>
      <c r="T94" s="1133"/>
      <c r="U94" s="1143">
        <f ca="1">+Q94*S94</f>
        <v>183.21600000000001</v>
      </c>
      <c r="V94" s="2029"/>
    </row>
    <row r="95" spans="2:22">
      <c r="B95" s="1141" t="s">
        <v>706</v>
      </c>
      <c r="C95" s="1124"/>
      <c r="D95" s="1133"/>
      <c r="E95" s="1124"/>
      <c r="F95" s="1133"/>
      <c r="G95" s="1124">
        <v>32.768061201693939</v>
      </c>
      <c r="H95" s="1133"/>
      <c r="I95" s="1680">
        <v>3.53</v>
      </c>
      <c r="J95" s="1133"/>
      <c r="K95" s="1127">
        <f t="shared" ref="K95:K98" si="33">+G95*I95</f>
        <v>115.6712560419796</v>
      </c>
      <c r="L95" s="1133"/>
      <c r="M95" s="1125">
        <f t="shared" si="32"/>
        <v>115.6712560419796</v>
      </c>
      <c r="N95" s="1133"/>
      <c r="O95" s="1127"/>
      <c r="P95" s="1133"/>
      <c r="Q95" s="1127">
        <f t="shared" ref="Q95:Q98" si="34">+G95</f>
        <v>32.768061201693939</v>
      </c>
      <c r="R95" s="1133"/>
      <c r="S95" s="2114">
        <f ca="1">'wp - t-1 COSS'!$F$33</f>
        <v>3.8170000000000002</v>
      </c>
      <c r="T95" s="1133"/>
      <c r="U95" s="1143">
        <f t="shared" ref="U95:U98" ca="1" si="35">+Q95*S95</f>
        <v>125.07568960686577</v>
      </c>
      <c r="V95" s="2029"/>
    </row>
    <row r="96" spans="2:22">
      <c r="B96" s="1141" t="s">
        <v>707</v>
      </c>
      <c r="C96" s="1124"/>
      <c r="D96" s="1133"/>
      <c r="E96" s="1124"/>
      <c r="F96" s="1133"/>
      <c r="G96" s="1124">
        <v>0</v>
      </c>
      <c r="H96" s="1133"/>
      <c r="I96" s="1680">
        <v>3.35</v>
      </c>
      <c r="J96" s="1133"/>
      <c r="K96" s="1127">
        <f t="shared" si="33"/>
        <v>0</v>
      </c>
      <c r="L96" s="1133"/>
      <c r="M96" s="1125">
        <f t="shared" si="32"/>
        <v>0</v>
      </c>
      <c r="N96" s="1133"/>
      <c r="O96" s="1127"/>
      <c r="P96" s="1133"/>
      <c r="Q96" s="1127">
        <f t="shared" si="34"/>
        <v>0</v>
      </c>
      <c r="R96" s="1133"/>
      <c r="S96" s="2114">
        <f ca="1">'wp - t-1 COSS'!$F$33</f>
        <v>3.8170000000000002</v>
      </c>
      <c r="T96" s="1133"/>
      <c r="U96" s="1143">
        <f t="shared" ca="1" si="35"/>
        <v>0</v>
      </c>
      <c r="V96" s="2029"/>
    </row>
    <row r="97" spans="2:22">
      <c r="B97" s="1141" t="s">
        <v>708</v>
      </c>
      <c r="C97" s="1124"/>
      <c r="D97" s="1133"/>
      <c r="E97" s="1124"/>
      <c r="F97" s="1133"/>
      <c r="G97" s="1124">
        <v>0</v>
      </c>
      <c r="H97" s="1133"/>
      <c r="I97" s="1680">
        <v>3.01</v>
      </c>
      <c r="J97" s="1133"/>
      <c r="K97" s="1127">
        <f t="shared" si="33"/>
        <v>0</v>
      </c>
      <c r="L97" s="1133"/>
      <c r="M97" s="1125">
        <f t="shared" si="32"/>
        <v>0</v>
      </c>
      <c r="N97" s="1133"/>
      <c r="O97" s="1127"/>
      <c r="P97" s="1133"/>
      <c r="Q97" s="1127">
        <f t="shared" si="34"/>
        <v>0</v>
      </c>
      <c r="R97" s="1133"/>
      <c r="S97" s="2114">
        <f ca="1">'wp - t-1 COSS'!$F$33</f>
        <v>3.8170000000000002</v>
      </c>
      <c r="T97" s="1133"/>
      <c r="U97" s="1143">
        <f t="shared" ca="1" si="35"/>
        <v>0</v>
      </c>
      <c r="V97" s="2029"/>
    </row>
    <row r="98" spans="2:22">
      <c r="B98" s="1141" t="s">
        <v>711</v>
      </c>
      <c r="C98" s="1124"/>
      <c r="D98" s="1133"/>
      <c r="E98" s="1124"/>
      <c r="F98" s="1133"/>
      <c r="G98" s="1124">
        <v>0</v>
      </c>
      <c r="H98" s="1133"/>
      <c r="I98" s="1680">
        <v>2.76</v>
      </c>
      <c r="J98" s="1133"/>
      <c r="K98" s="1127">
        <f t="shared" si="33"/>
        <v>0</v>
      </c>
      <c r="L98" s="1133"/>
      <c r="M98" s="1125">
        <f t="shared" si="32"/>
        <v>0</v>
      </c>
      <c r="N98" s="1133"/>
      <c r="O98" s="1127"/>
      <c r="P98" s="1133"/>
      <c r="Q98" s="1127">
        <f t="shared" si="34"/>
        <v>0</v>
      </c>
      <c r="R98" s="1133"/>
      <c r="S98" s="2114">
        <f ca="1">'wp - t-1 COSS'!$F$33</f>
        <v>3.8170000000000002</v>
      </c>
      <c r="T98" s="1133"/>
      <c r="U98" s="1143">
        <f t="shared" ca="1" si="35"/>
        <v>0</v>
      </c>
      <c r="V98" s="2029"/>
    </row>
    <row r="99" spans="2:22" ht="13.5" thickBot="1">
      <c r="B99" s="1109" t="s">
        <v>1485</v>
      </c>
      <c r="C99" s="1145">
        <f>SUM(C92:C98)</f>
        <v>152.76806120169394</v>
      </c>
      <c r="D99" s="1135"/>
      <c r="E99" s="1145">
        <f>SUM(E92:E98)</f>
        <v>12</v>
      </c>
      <c r="F99" s="1135"/>
      <c r="G99" s="1145">
        <f>SUM(G92:G98)</f>
        <v>80.768061201693939</v>
      </c>
      <c r="H99" s="1135"/>
      <c r="I99" s="1678"/>
      <c r="J99" s="1135"/>
      <c r="K99" s="1136">
        <f>SUM(K92:K98)</f>
        <v>644.99125604197968</v>
      </c>
      <c r="L99" s="1135"/>
      <c r="M99" s="1136">
        <f>SUM(M92:M98)</f>
        <v>644.99125604197968</v>
      </c>
      <c r="N99" s="1135"/>
      <c r="O99" s="1145">
        <f>SUM(O92:O98)</f>
        <v>12</v>
      </c>
      <c r="P99" s="1135"/>
      <c r="Q99" s="1145">
        <f>SUM(Q92:Q98)</f>
        <v>80.768061201693939</v>
      </c>
      <c r="R99" s="1135"/>
      <c r="S99" s="1128"/>
      <c r="T99" s="1135"/>
      <c r="U99" s="1136">
        <f ca="1">SUM(U92:U98)</f>
        <v>791.05168960686581</v>
      </c>
      <c r="V99" s="2030"/>
    </row>
    <row r="100" spans="2:22" ht="13.5" thickTop="1">
      <c r="B100" s="1109"/>
      <c r="C100" s="1132"/>
      <c r="D100" s="1133"/>
      <c r="E100" s="1132"/>
      <c r="F100" s="1133"/>
      <c r="G100" s="1124"/>
      <c r="H100" s="1133"/>
      <c r="I100" s="1679"/>
      <c r="J100" s="1133"/>
      <c r="K100" s="1125"/>
      <c r="L100" s="1133"/>
      <c r="M100" s="1125"/>
      <c r="N100" s="1133"/>
      <c r="O100" s="1127"/>
      <c r="P100" s="1133"/>
      <c r="Q100" s="1127"/>
      <c r="R100" s="1133"/>
      <c r="S100" s="1128"/>
      <c r="T100" s="1133"/>
      <c r="U100" s="1093"/>
      <c r="V100" s="2031"/>
    </row>
    <row r="101" spans="2:22" ht="13.5" thickBot="1">
      <c r="B101" s="1111" t="s">
        <v>1431</v>
      </c>
      <c r="C101" s="1132"/>
      <c r="D101" s="1133"/>
      <c r="E101" s="1132"/>
      <c r="F101" s="1133"/>
      <c r="G101" s="1124"/>
      <c r="H101" s="1133"/>
      <c r="I101" s="1679"/>
      <c r="J101" s="1133"/>
      <c r="K101" s="1125"/>
      <c r="L101" s="1133"/>
      <c r="M101" s="1138">
        <f>+M99/$E99</f>
        <v>53.74927133683164</v>
      </c>
      <c r="N101" s="1133"/>
      <c r="O101" s="1127"/>
      <c r="P101" s="1133"/>
      <c r="Q101" s="1127"/>
      <c r="R101" s="1133"/>
      <c r="S101" s="1128"/>
      <c r="T101" s="1133"/>
      <c r="U101" s="1138">
        <f ca="1">+U99/$E99</f>
        <v>65.920974133905489</v>
      </c>
      <c r="V101" s="2032"/>
    </row>
    <row r="102" spans="2:22" ht="13.5" thickTop="1">
      <c r="B102" s="1111"/>
      <c r="C102" s="1132"/>
      <c r="D102" s="1133"/>
      <c r="E102" s="1132"/>
      <c r="F102" s="1133"/>
      <c r="G102" s="1124"/>
      <c r="H102" s="1133"/>
      <c r="I102" s="1679"/>
      <c r="J102" s="1133"/>
      <c r="K102" s="1125"/>
      <c r="L102" s="1133"/>
      <c r="M102" s="1125"/>
      <c r="N102" s="1133"/>
      <c r="O102" s="1127"/>
      <c r="P102" s="1133"/>
      <c r="Q102" s="1127"/>
      <c r="R102" s="1133"/>
      <c r="S102" s="1128"/>
      <c r="T102" s="1133"/>
      <c r="U102" s="1093"/>
      <c r="V102" s="2031"/>
    </row>
    <row r="103" spans="2:22">
      <c r="B103" s="1106" t="s">
        <v>1367</v>
      </c>
      <c r="C103" s="1124">
        <v>7118.2465295976735</v>
      </c>
      <c r="D103" s="1129"/>
      <c r="E103" s="1124"/>
      <c r="F103" s="1129"/>
      <c r="G103" s="1124"/>
      <c r="H103" s="1129"/>
      <c r="I103" s="1679"/>
      <c r="J103" s="1129"/>
      <c r="K103" s="1125"/>
      <c r="L103" s="1129"/>
      <c r="M103" s="1125"/>
      <c r="N103" s="1129"/>
      <c r="O103" s="1127"/>
      <c r="P103" s="1129"/>
      <c r="Q103" s="1127"/>
      <c r="R103" s="1129"/>
      <c r="S103" s="1128"/>
      <c r="T103" s="1129"/>
      <c r="U103" s="1131"/>
      <c r="V103" s="2028"/>
    </row>
    <row r="104" spans="2:22">
      <c r="B104" s="1141" t="s">
        <v>3571</v>
      </c>
      <c r="C104" s="1124"/>
      <c r="D104" s="1133"/>
      <c r="E104" s="1124">
        <v>202</v>
      </c>
      <c r="F104" s="1133"/>
      <c r="G104" s="1124"/>
      <c r="H104" s="1133"/>
      <c r="I104" s="1680">
        <v>54.62</v>
      </c>
      <c r="J104" s="1133"/>
      <c r="K104" s="1125">
        <f>+E104*I104</f>
        <v>11033.24</v>
      </c>
      <c r="L104" s="1133"/>
      <c r="M104" s="1125">
        <f>+K104</f>
        <v>11033.24</v>
      </c>
      <c r="N104" s="1133"/>
      <c r="O104" s="1127">
        <f>+E104</f>
        <v>202</v>
      </c>
      <c r="P104" s="1133"/>
      <c r="Q104" s="1127"/>
      <c r="R104" s="1133"/>
      <c r="S104" s="1142">
        <f ca="1">'wp - t-1 COSS'!$F$16</f>
        <v>81.41</v>
      </c>
      <c r="T104" s="1133"/>
      <c r="U104" s="1143">
        <f ca="1">+O104*S104</f>
        <v>16444.82</v>
      </c>
      <c r="V104" s="2029"/>
    </row>
    <row r="105" spans="2:22">
      <c r="B105" s="1141" t="s">
        <v>3572</v>
      </c>
      <c r="C105" s="1132"/>
      <c r="D105" s="1133"/>
      <c r="E105" s="1132"/>
      <c r="F105" s="1133"/>
      <c r="G105" s="1124">
        <v>1216.9152231441269</v>
      </c>
      <c r="H105" s="1133"/>
      <c r="I105" s="1680">
        <v>3.53</v>
      </c>
      <c r="J105" s="1133"/>
      <c r="K105" s="1127">
        <f>I105*G105</f>
        <v>4295.7107376987678</v>
      </c>
      <c r="L105" s="1133"/>
      <c r="M105" s="1125">
        <f t="shared" ref="M105:M108" si="36">+K105</f>
        <v>4295.7107376987678</v>
      </c>
      <c r="N105" s="1133"/>
      <c r="O105" s="1127"/>
      <c r="P105" s="1133"/>
      <c r="Q105" s="1127">
        <f>+G105</f>
        <v>1216.9152231441269</v>
      </c>
      <c r="R105" s="1133"/>
      <c r="S105" s="2114">
        <f ca="1">'wp - t-1 COSS'!$F$34</f>
        <v>3.8170000000000002</v>
      </c>
      <c r="T105" s="1133"/>
      <c r="U105" s="1143">
        <f ca="1">+Q105*S105</f>
        <v>4644.9654067411329</v>
      </c>
      <c r="V105" s="2029"/>
    </row>
    <row r="106" spans="2:22">
      <c r="B106" s="1141" t="s">
        <v>707</v>
      </c>
      <c r="C106" s="1132"/>
      <c r="D106" s="1133"/>
      <c r="E106" s="1132"/>
      <c r="F106" s="1133"/>
      <c r="G106" s="1124">
        <v>1778.7533332248056</v>
      </c>
      <c r="H106" s="1133"/>
      <c r="I106" s="1680">
        <v>3.35</v>
      </c>
      <c r="J106" s="1133"/>
      <c r="K106" s="1127">
        <f t="shared" ref="K106:K108" si="37">I106*G106</f>
        <v>5958.8236663030993</v>
      </c>
      <c r="L106" s="1133"/>
      <c r="M106" s="1125">
        <f t="shared" si="36"/>
        <v>5958.8236663030993</v>
      </c>
      <c r="N106" s="1133"/>
      <c r="O106" s="1127"/>
      <c r="P106" s="1133"/>
      <c r="Q106" s="1127">
        <f t="shared" ref="Q106:Q108" si="38">+G106</f>
        <v>1778.7533332248056</v>
      </c>
      <c r="R106" s="1133"/>
      <c r="S106" s="2114">
        <f ca="1">'wp - t-1 COSS'!$F$34</f>
        <v>3.8170000000000002</v>
      </c>
      <c r="T106" s="1133"/>
      <c r="U106" s="1143">
        <f t="shared" ref="U106:U108" ca="1" si="39">+Q106*S106</f>
        <v>6789.5014729190834</v>
      </c>
      <c r="V106" s="2029"/>
    </row>
    <row r="107" spans="2:22">
      <c r="B107" s="1141" t="s">
        <v>708</v>
      </c>
      <c r="C107" s="1132"/>
      <c r="D107" s="1133"/>
      <c r="E107" s="1132"/>
      <c r="F107" s="1133"/>
      <c r="G107" s="1124">
        <v>1050.8108432901329</v>
      </c>
      <c r="H107" s="1133"/>
      <c r="I107" s="1680">
        <v>3.01</v>
      </c>
      <c r="J107" s="1133"/>
      <c r="K107" s="1127">
        <f t="shared" si="37"/>
        <v>3162.9406383032997</v>
      </c>
      <c r="L107" s="1133"/>
      <c r="M107" s="1125">
        <f t="shared" si="36"/>
        <v>3162.9406383032997</v>
      </c>
      <c r="N107" s="1133"/>
      <c r="O107" s="1127"/>
      <c r="P107" s="1133"/>
      <c r="Q107" s="1127">
        <f t="shared" si="38"/>
        <v>1050.8108432901329</v>
      </c>
      <c r="R107" s="1133"/>
      <c r="S107" s="2114">
        <f ca="1">'wp - t-1 COSS'!$F$34</f>
        <v>3.8170000000000002</v>
      </c>
      <c r="T107" s="1133"/>
      <c r="U107" s="1143">
        <f t="shared" ca="1" si="39"/>
        <v>4010.9449888384374</v>
      </c>
      <c r="V107" s="2029"/>
    </row>
    <row r="108" spans="2:22">
      <c r="B108" s="1141" t="s">
        <v>711</v>
      </c>
      <c r="C108" s="1132"/>
      <c r="D108" s="1133"/>
      <c r="E108" s="1132"/>
      <c r="F108" s="1133"/>
      <c r="G108" s="1124">
        <v>1169.6845364381998</v>
      </c>
      <c r="H108" s="1133"/>
      <c r="I108" s="1680">
        <v>2.76</v>
      </c>
      <c r="J108" s="1133"/>
      <c r="K108" s="1127">
        <f t="shared" si="37"/>
        <v>3228.3293205694313</v>
      </c>
      <c r="L108" s="1133"/>
      <c r="M108" s="1125">
        <f t="shared" si="36"/>
        <v>3228.3293205694313</v>
      </c>
      <c r="N108" s="1133"/>
      <c r="O108" s="1127"/>
      <c r="P108" s="1133"/>
      <c r="Q108" s="1127">
        <f t="shared" si="38"/>
        <v>1169.6845364381998</v>
      </c>
      <c r="R108" s="1133"/>
      <c r="S108" s="2114">
        <f ca="1">'wp - t-1 COSS'!$F$34</f>
        <v>3.8170000000000002</v>
      </c>
      <c r="T108" s="1133"/>
      <c r="U108" s="1143">
        <f t="shared" ca="1" si="39"/>
        <v>4464.6858755846088</v>
      </c>
      <c r="V108" s="2029"/>
    </row>
    <row r="109" spans="2:22" ht="13.5" thickBot="1">
      <c r="B109" s="1109" t="s">
        <v>1366</v>
      </c>
      <c r="C109" s="1134">
        <f>SUM(C103:C108)</f>
        <v>7118.2465295976735</v>
      </c>
      <c r="D109" s="1135"/>
      <c r="E109" s="1134">
        <f>SUM(E103:E108)</f>
        <v>202</v>
      </c>
      <c r="F109" s="1135"/>
      <c r="G109" s="1134">
        <f>SUM(G103:G108)</f>
        <v>5216.1639360972649</v>
      </c>
      <c r="H109" s="1135"/>
      <c r="I109" s="1678"/>
      <c r="J109" s="1135"/>
      <c r="K109" s="1146">
        <f>SUM(K104:K108)</f>
        <v>27679.044362874596</v>
      </c>
      <c r="L109" s="1135"/>
      <c r="M109" s="1146">
        <f>SUM(M104:M108)</f>
        <v>27679.044362874596</v>
      </c>
      <c r="N109" s="1135"/>
      <c r="O109" s="1134">
        <f>SUM(O103:O108)</f>
        <v>202</v>
      </c>
      <c r="P109" s="1135"/>
      <c r="Q109" s="1134">
        <f>SUM(Q103:Q108)</f>
        <v>5216.1639360972649</v>
      </c>
      <c r="R109" s="1135"/>
      <c r="S109" s="1142"/>
      <c r="T109" s="1135"/>
      <c r="U109" s="1146">
        <f ca="1">SUM(U104:U108)</f>
        <v>36354.917744083265</v>
      </c>
      <c r="V109" s="2030"/>
    </row>
    <row r="110" spans="2:22" ht="13.5" thickTop="1">
      <c r="B110" s="1109"/>
      <c r="C110" s="1132"/>
      <c r="D110" s="1133"/>
      <c r="E110" s="1132"/>
      <c r="F110" s="1133"/>
      <c r="G110" s="1124"/>
      <c r="H110" s="1133"/>
      <c r="I110" s="1679"/>
      <c r="J110" s="1133"/>
      <c r="K110" s="1125"/>
      <c r="L110" s="1133"/>
      <c r="M110" s="1125"/>
      <c r="N110" s="1133"/>
      <c r="O110" s="1127"/>
      <c r="P110" s="1133"/>
      <c r="Q110" s="1127"/>
      <c r="R110" s="1133"/>
      <c r="S110" s="1128"/>
      <c r="T110" s="1133"/>
      <c r="U110" s="1093"/>
      <c r="V110" s="2031"/>
    </row>
    <row r="111" spans="2:22" ht="13.5" thickBot="1">
      <c r="B111" s="1111" t="s">
        <v>1365</v>
      </c>
      <c r="C111" s="1132"/>
      <c r="D111" s="1133"/>
      <c r="E111" s="1132"/>
      <c r="F111" s="1133"/>
      <c r="G111" s="1124"/>
      <c r="H111" s="1133"/>
      <c r="I111" s="1679"/>
      <c r="J111" s="1133"/>
      <c r="K111" s="1125"/>
      <c r="L111" s="1133"/>
      <c r="M111" s="1138">
        <f>+M109/$E109</f>
        <v>137.02497209343861</v>
      </c>
      <c r="N111" s="1133"/>
      <c r="O111" s="1127"/>
      <c r="P111" s="1133"/>
      <c r="Q111" s="1127"/>
      <c r="R111" s="1133"/>
      <c r="S111" s="1128"/>
      <c r="T111" s="1133"/>
      <c r="U111" s="1138">
        <f ca="1">+U109/$E109</f>
        <v>179.97484031724389</v>
      </c>
      <c r="V111" s="2032"/>
    </row>
    <row r="112" spans="2:22" ht="13.5" thickTop="1">
      <c r="B112" s="1106" t="s">
        <v>1364</v>
      </c>
      <c r="C112" s="1124">
        <v>3580.7453663753899</v>
      </c>
      <c r="D112" s="1129"/>
      <c r="E112" s="1124"/>
      <c r="F112" s="1129"/>
      <c r="G112" s="1124"/>
      <c r="H112" s="1129"/>
      <c r="I112" s="1679"/>
      <c r="J112" s="1129"/>
      <c r="K112" s="1125"/>
      <c r="L112" s="1129"/>
      <c r="M112" s="1125"/>
      <c r="N112" s="1129"/>
      <c r="O112" s="1127"/>
      <c r="P112" s="1129"/>
      <c r="Q112" s="1127"/>
      <c r="R112" s="1129"/>
      <c r="S112" s="1128"/>
      <c r="T112" s="1129"/>
      <c r="U112" s="1131"/>
      <c r="V112" s="2028"/>
    </row>
    <row r="113" spans="2:22">
      <c r="B113" s="1141" t="s">
        <v>3571</v>
      </c>
      <c r="C113" s="1124"/>
      <c r="D113" s="1133"/>
      <c r="E113" s="1124">
        <v>60</v>
      </c>
      <c r="F113" s="1133"/>
      <c r="G113" s="1124"/>
      <c r="H113" s="1133"/>
      <c r="I113" s="1680">
        <v>54.62</v>
      </c>
      <c r="J113" s="1133"/>
      <c r="K113" s="1125">
        <f>+E113*I113</f>
        <v>3277.2</v>
      </c>
      <c r="L113" s="1133"/>
      <c r="M113" s="1125">
        <f>+K113</f>
        <v>3277.2</v>
      </c>
      <c r="N113" s="1133"/>
      <c r="O113" s="1127">
        <f>+E113</f>
        <v>60</v>
      </c>
      <c r="P113" s="1133"/>
      <c r="Q113" s="1127"/>
      <c r="R113" s="1133"/>
      <c r="S113" s="1142">
        <f ca="1">'wp - t-1 COSS'!$F$16</f>
        <v>81.41</v>
      </c>
      <c r="T113" s="1133"/>
      <c r="U113" s="1143">
        <f ca="1">+O113*S113</f>
        <v>4884.5999999999995</v>
      </c>
      <c r="V113" s="2029"/>
    </row>
    <row r="114" spans="2:22">
      <c r="B114" s="1141" t="s">
        <v>3572</v>
      </c>
      <c r="C114" s="1132"/>
      <c r="D114" s="1133"/>
      <c r="E114" s="1132"/>
      <c r="F114" s="1133"/>
      <c r="G114" s="1124">
        <v>155.05390052176045</v>
      </c>
      <c r="H114" s="1133"/>
      <c r="I114" s="1680">
        <v>3.53</v>
      </c>
      <c r="J114" s="1133"/>
      <c r="K114" s="1127">
        <f>+G114*I114</f>
        <v>547.34026884181435</v>
      </c>
      <c r="L114" s="1133"/>
      <c r="M114" s="1125">
        <f t="shared" ref="M114:M117" si="40">+K114</f>
        <v>547.34026884181435</v>
      </c>
      <c r="N114" s="1133"/>
      <c r="O114" s="1127"/>
      <c r="P114" s="1133"/>
      <c r="Q114" s="1127">
        <f>+G114</f>
        <v>155.05390052176045</v>
      </c>
      <c r="R114" s="1133"/>
      <c r="S114" s="2114">
        <f ca="1">'wp - t-1 COSS'!$F$34</f>
        <v>3.8170000000000002</v>
      </c>
      <c r="T114" s="1133"/>
      <c r="U114" s="1143">
        <f ca="1">+Q114*S114</f>
        <v>591.84073829155966</v>
      </c>
      <c r="V114" s="2029"/>
    </row>
    <row r="115" spans="2:22">
      <c r="B115" s="1141" t="s">
        <v>707</v>
      </c>
      <c r="C115" s="1132"/>
      <c r="D115" s="1133"/>
      <c r="E115" s="1132"/>
      <c r="F115" s="1133"/>
      <c r="G115" s="1124">
        <v>275.12665922606305</v>
      </c>
      <c r="H115" s="1133"/>
      <c r="I115" s="1680">
        <v>3.35</v>
      </c>
      <c r="J115" s="1133"/>
      <c r="K115" s="1127">
        <f t="shared" ref="K115:K117" si="41">+G115*I115</f>
        <v>921.67430840731129</v>
      </c>
      <c r="L115" s="1133"/>
      <c r="M115" s="1125">
        <f t="shared" si="40"/>
        <v>921.67430840731129</v>
      </c>
      <c r="N115" s="1133"/>
      <c r="O115" s="1127"/>
      <c r="P115" s="1133"/>
      <c r="Q115" s="1127">
        <f t="shared" ref="Q115:Q117" si="42">+G115</f>
        <v>275.12665922606305</v>
      </c>
      <c r="R115" s="1133"/>
      <c r="S115" s="2114">
        <f ca="1">'wp - t-1 COSS'!$F$34</f>
        <v>3.8170000000000002</v>
      </c>
      <c r="T115" s="1133"/>
      <c r="U115" s="1143">
        <f t="shared" ref="U115:U117" ca="1" si="43">+Q115*S115</f>
        <v>1050.1584582658827</v>
      </c>
      <c r="V115" s="2029"/>
    </row>
    <row r="116" spans="2:22">
      <c r="B116" s="1141" t="s">
        <v>708</v>
      </c>
      <c r="C116" s="1132"/>
      <c r="D116" s="1133"/>
      <c r="E116" s="1132"/>
      <c r="F116" s="1133"/>
      <c r="G116" s="1124">
        <v>550</v>
      </c>
      <c r="H116" s="1133"/>
      <c r="I116" s="1680">
        <v>3.01</v>
      </c>
      <c r="J116" s="1133"/>
      <c r="K116" s="1127">
        <f t="shared" si="41"/>
        <v>1655.4999999999998</v>
      </c>
      <c r="L116" s="1133"/>
      <c r="M116" s="1125">
        <f t="shared" si="40"/>
        <v>1655.4999999999998</v>
      </c>
      <c r="N116" s="1133"/>
      <c r="O116" s="1127"/>
      <c r="P116" s="1133"/>
      <c r="Q116" s="1127">
        <f t="shared" si="42"/>
        <v>550</v>
      </c>
      <c r="R116" s="1133"/>
      <c r="S116" s="2114">
        <f ca="1">'wp - t-1 COSS'!$F$34</f>
        <v>3.8170000000000002</v>
      </c>
      <c r="T116" s="1133"/>
      <c r="U116" s="1143">
        <f t="shared" ca="1" si="43"/>
        <v>2099.35</v>
      </c>
      <c r="V116" s="2029"/>
    </row>
    <row r="117" spans="2:22">
      <c r="B117" s="1141" t="s">
        <v>711</v>
      </c>
      <c r="C117" s="1132"/>
      <c r="D117" s="1133"/>
      <c r="E117" s="1132"/>
      <c r="F117" s="1133"/>
      <c r="G117" s="1124">
        <v>2331.6834546960749</v>
      </c>
      <c r="H117" s="1133"/>
      <c r="I117" s="1680">
        <v>2.76</v>
      </c>
      <c r="J117" s="1133"/>
      <c r="K117" s="1127">
        <f t="shared" si="41"/>
        <v>6435.446334961166</v>
      </c>
      <c r="L117" s="1133"/>
      <c r="M117" s="1125">
        <f t="shared" si="40"/>
        <v>6435.446334961166</v>
      </c>
      <c r="N117" s="1133"/>
      <c r="O117" s="1127"/>
      <c r="P117" s="1133"/>
      <c r="Q117" s="1127">
        <f t="shared" si="42"/>
        <v>2331.6834546960749</v>
      </c>
      <c r="R117" s="1133"/>
      <c r="S117" s="2114">
        <f ca="1">'wp - t-1 COSS'!$F$34</f>
        <v>3.8170000000000002</v>
      </c>
      <c r="T117" s="1133"/>
      <c r="U117" s="1143">
        <f t="shared" ca="1" si="43"/>
        <v>8900.0357465749184</v>
      </c>
      <c r="V117" s="2029"/>
    </row>
    <row r="118" spans="2:22" ht="13.5" thickBot="1">
      <c r="B118" s="1109" t="s">
        <v>1363</v>
      </c>
      <c r="C118" s="1134">
        <f>SUM(C112:C117)</f>
        <v>3580.7453663753899</v>
      </c>
      <c r="D118" s="1135"/>
      <c r="E118" s="1134">
        <f>SUM(E112:E117)</f>
        <v>60</v>
      </c>
      <c r="F118" s="1135"/>
      <c r="G118" s="1134">
        <f>SUM(G112:G117)</f>
        <v>3311.8640144438987</v>
      </c>
      <c r="H118" s="1135"/>
      <c r="I118" s="1678"/>
      <c r="J118" s="1135"/>
      <c r="K118" s="1146">
        <f>SUM(K113:K117)</f>
        <v>12837.160912210293</v>
      </c>
      <c r="L118" s="1135"/>
      <c r="M118" s="1146">
        <f>SUM(M113:M117)</f>
        <v>12837.160912210293</v>
      </c>
      <c r="N118" s="1135"/>
      <c r="O118" s="1134">
        <f>SUM(O112:O117)</f>
        <v>60</v>
      </c>
      <c r="P118" s="1135"/>
      <c r="Q118" s="1134">
        <f>SUM(Q112:Q117)</f>
        <v>3311.8640144438987</v>
      </c>
      <c r="R118" s="1135"/>
      <c r="S118" s="1142"/>
      <c r="T118" s="1135"/>
      <c r="U118" s="1146">
        <f ca="1">SUM(U113:U117)</f>
        <v>17525.98494313236</v>
      </c>
      <c r="V118" s="2030"/>
    </row>
    <row r="119" spans="2:22" ht="13.5" thickTop="1">
      <c r="B119" s="1109"/>
      <c r="C119" s="1132"/>
      <c r="D119" s="1133"/>
      <c r="E119" s="1132"/>
      <c r="F119" s="1133"/>
      <c r="G119" s="1124"/>
      <c r="H119" s="1133"/>
      <c r="I119" s="1679"/>
      <c r="J119" s="1133"/>
      <c r="K119" s="1125"/>
      <c r="L119" s="1133"/>
      <c r="M119" s="1125"/>
      <c r="N119" s="1133"/>
      <c r="O119" s="1127"/>
      <c r="P119" s="1133"/>
      <c r="Q119" s="1127"/>
      <c r="R119" s="1133"/>
      <c r="S119" s="1128"/>
      <c r="T119" s="1133"/>
      <c r="U119" s="1093"/>
      <c r="V119" s="2031"/>
    </row>
    <row r="120" spans="2:22" ht="13.5" thickBot="1">
      <c r="B120" s="1111" t="s">
        <v>1362</v>
      </c>
      <c r="C120" s="1132"/>
      <c r="D120" s="1133"/>
      <c r="E120" s="1132"/>
      <c r="F120" s="1133"/>
      <c r="G120" s="1124"/>
      <c r="H120" s="1133"/>
      <c r="I120" s="1679"/>
      <c r="J120" s="1133"/>
      <c r="K120" s="1125"/>
      <c r="L120" s="1133"/>
      <c r="M120" s="1138">
        <f>+M118/$E118</f>
        <v>213.95268187017155</v>
      </c>
      <c r="N120" s="1133"/>
      <c r="O120" s="1127"/>
      <c r="P120" s="1133"/>
      <c r="Q120" s="1127"/>
      <c r="R120" s="1133"/>
      <c r="S120" s="1128"/>
      <c r="T120" s="1133"/>
      <c r="U120" s="1138">
        <f ca="1">+U118/$E118</f>
        <v>292.09974905220599</v>
      </c>
      <c r="V120" s="2032"/>
    </row>
    <row r="121" spans="2:22" ht="13.5" thickTop="1">
      <c r="B121" s="1106" t="s">
        <v>1430</v>
      </c>
      <c r="C121" s="1124">
        <v>1626.1052335470995</v>
      </c>
      <c r="D121" s="1129"/>
      <c r="E121" s="1124"/>
      <c r="F121" s="1129"/>
      <c r="G121" s="1124"/>
      <c r="H121" s="1129"/>
      <c r="I121" s="2105"/>
      <c r="J121" s="1129"/>
      <c r="K121" s="1125"/>
      <c r="L121" s="1129"/>
      <c r="M121" s="1125"/>
      <c r="N121" s="1129"/>
      <c r="O121" s="1127"/>
      <c r="P121" s="1129"/>
      <c r="Q121" s="1127"/>
      <c r="R121" s="1129"/>
      <c r="S121" s="1128"/>
      <c r="T121" s="1129"/>
      <c r="U121" s="1131"/>
      <c r="V121" s="2028"/>
    </row>
    <row r="122" spans="2:22">
      <c r="B122" s="1141" t="s">
        <v>3571</v>
      </c>
      <c r="C122" s="1124"/>
      <c r="D122" s="1133"/>
      <c r="E122" s="1124">
        <v>24</v>
      </c>
      <c r="F122" s="1133"/>
      <c r="G122" s="1124"/>
      <c r="H122" s="1133"/>
      <c r="I122" s="1680">
        <v>54.62</v>
      </c>
      <c r="J122" s="1133"/>
      <c r="K122" s="1125">
        <f>+E122*I122</f>
        <v>1310.8799999999999</v>
      </c>
      <c r="L122" s="1133"/>
      <c r="M122" s="1125">
        <f>+K122</f>
        <v>1310.8799999999999</v>
      </c>
      <c r="N122" s="1133"/>
      <c r="O122" s="1127">
        <f>+E122</f>
        <v>24</v>
      </c>
      <c r="P122" s="1133"/>
      <c r="Q122" s="1127"/>
      <c r="R122" s="1133"/>
      <c r="S122" s="1142">
        <f ca="1">'wp - t-1 COSS'!$F$16</f>
        <v>81.41</v>
      </c>
      <c r="T122" s="1133"/>
      <c r="U122" s="1143">
        <f ca="1">+O122*S122</f>
        <v>1953.84</v>
      </c>
      <c r="V122" s="2029"/>
    </row>
    <row r="123" spans="2:22">
      <c r="B123" s="1141" t="s">
        <v>3572</v>
      </c>
      <c r="C123" s="1132"/>
      <c r="D123" s="1133"/>
      <c r="E123" s="1132"/>
      <c r="F123" s="1133"/>
      <c r="G123" s="1124">
        <v>198.20151045490906</v>
      </c>
      <c r="H123" s="1133"/>
      <c r="I123" s="1680">
        <v>3.53</v>
      </c>
      <c r="J123" s="1133"/>
      <c r="K123" s="1127">
        <f>+G123*I123</f>
        <v>699.6513319058289</v>
      </c>
      <c r="L123" s="1133"/>
      <c r="M123" s="1125">
        <f t="shared" ref="M123:M126" si="44">+K123</f>
        <v>699.6513319058289</v>
      </c>
      <c r="N123" s="1133"/>
      <c r="O123" s="1127"/>
      <c r="P123" s="1133"/>
      <c r="Q123" s="1127">
        <f>+G123</f>
        <v>198.20151045490906</v>
      </c>
      <c r="R123" s="1133"/>
      <c r="S123" s="2114">
        <f ca="1">'wp - t-1 COSS'!$F$34</f>
        <v>3.8170000000000002</v>
      </c>
      <c r="T123" s="1133"/>
      <c r="U123" s="1143">
        <f ca="1">+Q123*S123</f>
        <v>756.53516540638793</v>
      </c>
      <c r="V123" s="2029"/>
    </row>
    <row r="124" spans="2:22">
      <c r="B124" s="1141" t="s">
        <v>707</v>
      </c>
      <c r="C124" s="1132"/>
      <c r="D124" s="1133"/>
      <c r="E124" s="1132"/>
      <c r="F124" s="1133"/>
      <c r="G124" s="1124">
        <v>344.85418502349489</v>
      </c>
      <c r="H124" s="1133"/>
      <c r="I124" s="1680">
        <v>3.35</v>
      </c>
      <c r="J124" s="1133"/>
      <c r="K124" s="1127">
        <f t="shared" ref="K124:K126" si="45">+G124*I124</f>
        <v>1155.2615198287078</v>
      </c>
      <c r="L124" s="1133"/>
      <c r="M124" s="1125">
        <f t="shared" si="44"/>
        <v>1155.2615198287078</v>
      </c>
      <c r="N124" s="1133"/>
      <c r="O124" s="1127"/>
      <c r="P124" s="1133"/>
      <c r="Q124" s="1127">
        <f t="shared" ref="Q124:Q126" si="46">+G124</f>
        <v>344.85418502349489</v>
      </c>
      <c r="R124" s="1133"/>
      <c r="S124" s="2114">
        <f ca="1">'wp - t-1 COSS'!$F$34</f>
        <v>3.8170000000000002</v>
      </c>
      <c r="T124" s="1133"/>
      <c r="U124" s="1143">
        <f t="shared" ref="U124:U126" ca="1" si="47">+Q124*S124</f>
        <v>1316.3084242346802</v>
      </c>
      <c r="V124" s="2029"/>
    </row>
    <row r="125" spans="2:22">
      <c r="B125" s="1141" t="s">
        <v>708</v>
      </c>
      <c r="C125" s="1132"/>
      <c r="D125" s="1133"/>
      <c r="E125" s="1132"/>
      <c r="F125" s="1133"/>
      <c r="G125" s="1124">
        <v>513.42384447612153</v>
      </c>
      <c r="H125" s="1133"/>
      <c r="I125" s="1680">
        <v>3.01</v>
      </c>
      <c r="J125" s="1133"/>
      <c r="K125" s="1127">
        <f t="shared" si="45"/>
        <v>1545.4057718731258</v>
      </c>
      <c r="L125" s="1133"/>
      <c r="M125" s="1125">
        <f t="shared" si="44"/>
        <v>1545.4057718731258</v>
      </c>
      <c r="N125" s="1133"/>
      <c r="O125" s="1127"/>
      <c r="P125" s="1133"/>
      <c r="Q125" s="1127">
        <f t="shared" si="46"/>
        <v>513.42384447612153</v>
      </c>
      <c r="R125" s="1133"/>
      <c r="S125" s="2114">
        <f ca="1">'wp - t-1 COSS'!$F$34</f>
        <v>3.8170000000000002</v>
      </c>
      <c r="T125" s="1133"/>
      <c r="U125" s="1143">
        <f t="shared" ca="1" si="47"/>
        <v>1959.7388143653559</v>
      </c>
      <c r="V125" s="2029"/>
    </row>
    <row r="126" spans="2:22">
      <c r="B126" s="1141" t="s">
        <v>711</v>
      </c>
      <c r="C126" s="1132"/>
      <c r="D126" s="1133"/>
      <c r="E126" s="1132"/>
      <c r="F126" s="1133"/>
      <c r="G126" s="1124">
        <v>319.08490827732976</v>
      </c>
      <c r="H126" s="1133"/>
      <c r="I126" s="1680">
        <v>2.76</v>
      </c>
      <c r="J126" s="1133"/>
      <c r="K126" s="1127">
        <f t="shared" si="45"/>
        <v>880.67434684543002</v>
      </c>
      <c r="L126" s="1133"/>
      <c r="M126" s="1125">
        <f t="shared" si="44"/>
        <v>880.67434684543002</v>
      </c>
      <c r="N126" s="1133"/>
      <c r="O126" s="1127"/>
      <c r="P126" s="1133"/>
      <c r="Q126" s="1127">
        <f t="shared" si="46"/>
        <v>319.08490827732976</v>
      </c>
      <c r="R126" s="1133"/>
      <c r="S126" s="2114">
        <f ca="1">'wp - t-1 COSS'!$F$34</f>
        <v>3.8170000000000002</v>
      </c>
      <c r="T126" s="1133"/>
      <c r="U126" s="1143">
        <f t="shared" ca="1" si="47"/>
        <v>1217.9470948945677</v>
      </c>
      <c r="V126" s="2029"/>
    </row>
    <row r="127" spans="2:22" ht="13.5" thickBot="1">
      <c r="B127" s="1109" t="s">
        <v>1429</v>
      </c>
      <c r="C127" s="1134">
        <f>SUM(C121:C126)</f>
        <v>1626.1052335470995</v>
      </c>
      <c r="D127" s="1135"/>
      <c r="E127" s="1134">
        <f>SUM(E121:E126)</f>
        <v>24</v>
      </c>
      <c r="F127" s="1135"/>
      <c r="G127" s="1134">
        <f>SUM(G121:G126)</f>
        <v>1375.5644482318553</v>
      </c>
      <c r="H127" s="1135"/>
      <c r="I127" s="1678"/>
      <c r="J127" s="1135"/>
      <c r="K127" s="1146">
        <f>SUM(K122:K126)</f>
        <v>5591.8729704530915</v>
      </c>
      <c r="L127" s="1135"/>
      <c r="M127" s="1146">
        <f>SUM(M122:N126)</f>
        <v>5591.8729704530915</v>
      </c>
      <c r="N127" s="1135"/>
      <c r="O127" s="1134">
        <f>SUM(O121:O126)</f>
        <v>24</v>
      </c>
      <c r="P127" s="1135"/>
      <c r="Q127" s="1134">
        <f>SUM(Q121:Q126)</f>
        <v>1375.5644482318553</v>
      </c>
      <c r="R127" s="1135"/>
      <c r="S127" s="1142"/>
      <c r="T127" s="1135"/>
      <c r="U127" s="1146">
        <f ca="1">SUM(U122:U126)</f>
        <v>7204.3694989009928</v>
      </c>
      <c r="V127" s="2030"/>
    </row>
    <row r="128" spans="2:22" ht="13.5" thickTop="1">
      <c r="B128" s="1109"/>
      <c r="C128" s="1132"/>
      <c r="D128" s="1133"/>
      <c r="E128" s="1132"/>
      <c r="F128" s="1133"/>
      <c r="G128" s="1124"/>
      <c r="H128" s="1133"/>
      <c r="I128" s="1679"/>
      <c r="J128" s="1133"/>
      <c r="K128" s="1125"/>
      <c r="L128" s="1133"/>
      <c r="M128" s="1125"/>
      <c r="N128" s="1133"/>
      <c r="O128" s="1127"/>
      <c r="P128" s="1133"/>
      <c r="Q128" s="1127"/>
      <c r="R128" s="1133"/>
      <c r="S128" s="1128"/>
      <c r="T128" s="1133"/>
      <c r="U128" s="1093"/>
      <c r="V128" s="2031"/>
    </row>
    <row r="129" spans="2:22" ht="13.5" thickBot="1">
      <c r="B129" s="1111" t="s">
        <v>1428</v>
      </c>
      <c r="C129" s="1132"/>
      <c r="D129" s="1133"/>
      <c r="E129" s="1132"/>
      <c r="F129" s="1133"/>
      <c r="G129" s="1124"/>
      <c r="H129" s="1133"/>
      <c r="I129" s="1679"/>
      <c r="J129" s="1133"/>
      <c r="K129" s="1125"/>
      <c r="L129" s="1133"/>
      <c r="M129" s="1138">
        <f>+M127/$E127</f>
        <v>232.99470710221215</v>
      </c>
      <c r="N129" s="1133"/>
      <c r="O129" s="1127"/>
      <c r="P129" s="1133"/>
      <c r="Q129" s="1127"/>
      <c r="R129" s="1133"/>
      <c r="S129" s="1128"/>
      <c r="T129" s="1133"/>
      <c r="U129" s="1138">
        <f ca="1">+U127/$E127</f>
        <v>300.18206245420805</v>
      </c>
      <c r="V129" s="2032"/>
    </row>
    <row r="130" spans="2:22" ht="13.5" thickTop="1">
      <c r="B130" s="1106" t="s">
        <v>1361</v>
      </c>
      <c r="C130" s="1124">
        <v>25695.463753880784</v>
      </c>
      <c r="D130" s="1129"/>
      <c r="E130" s="1124"/>
      <c r="F130" s="1129"/>
      <c r="G130" s="1124"/>
      <c r="H130" s="1129"/>
      <c r="I130" s="2105"/>
      <c r="J130" s="1129"/>
      <c r="K130" s="1125"/>
      <c r="L130" s="1129"/>
      <c r="M130" s="1125"/>
      <c r="N130" s="1129"/>
      <c r="O130" s="1127"/>
      <c r="P130" s="1129"/>
      <c r="Q130" s="1127"/>
      <c r="R130" s="1129"/>
      <c r="S130" s="1128"/>
      <c r="T130" s="1129"/>
      <c r="U130" s="1131"/>
      <c r="V130" s="2028"/>
    </row>
    <row r="131" spans="2:22">
      <c r="B131" s="1141" t="s">
        <v>3573</v>
      </c>
      <c r="C131" s="1124"/>
      <c r="D131" s="1133"/>
      <c r="E131" s="1124">
        <v>358</v>
      </c>
      <c r="F131" s="1133"/>
      <c r="G131" s="1124"/>
      <c r="H131" s="1133"/>
      <c r="I131" s="1680">
        <v>84.18</v>
      </c>
      <c r="J131" s="1133"/>
      <c r="K131" s="1125">
        <f>+E131*I131</f>
        <v>30136.440000000002</v>
      </c>
      <c r="L131" s="1133"/>
      <c r="M131" s="1125">
        <f>+K131</f>
        <v>30136.440000000002</v>
      </c>
      <c r="N131" s="1133"/>
      <c r="O131" s="1127">
        <f>+E131</f>
        <v>358</v>
      </c>
      <c r="P131" s="1133"/>
      <c r="Q131" s="1127"/>
      <c r="R131" s="1133"/>
      <c r="S131" s="1142">
        <f ca="1">'wp - t-1 COSS'!$F$17</f>
        <v>130.83000000000001</v>
      </c>
      <c r="T131" s="1133"/>
      <c r="U131" s="1143">
        <f ca="1">+O131*S131</f>
        <v>46837.140000000007</v>
      </c>
      <c r="V131" s="2029"/>
    </row>
    <row r="132" spans="2:22">
      <c r="B132" s="1141" t="s">
        <v>3574</v>
      </c>
      <c r="C132" s="1132"/>
      <c r="D132" s="1133"/>
      <c r="E132" s="1132"/>
      <c r="F132" s="1133"/>
      <c r="G132" s="1124">
        <v>606.99433387927013</v>
      </c>
      <c r="H132" s="1133"/>
      <c r="I132" s="1680">
        <v>3.53</v>
      </c>
      <c r="J132" s="1133"/>
      <c r="K132" s="1127">
        <f>+G132*I132</f>
        <v>2142.6899985938235</v>
      </c>
      <c r="L132" s="1133"/>
      <c r="M132" s="1125">
        <f t="shared" ref="M132:M135" si="48">+K132</f>
        <v>2142.6899985938235</v>
      </c>
      <c r="N132" s="1133"/>
      <c r="O132" s="1127"/>
      <c r="P132" s="1133"/>
      <c r="Q132" s="1127">
        <f>+G132</f>
        <v>606.99433387927013</v>
      </c>
      <c r="R132" s="1133"/>
      <c r="S132" s="2114">
        <f ca="1">'wp - t-1 COSS'!$F$35</f>
        <v>3.8170000000000002</v>
      </c>
      <c r="T132" s="1133"/>
      <c r="U132" s="1143">
        <f ca="1">+Q132*S132</f>
        <v>2316.8973724171742</v>
      </c>
      <c r="V132" s="2029"/>
    </row>
    <row r="133" spans="2:22">
      <c r="B133" s="1141" t="s">
        <v>707</v>
      </c>
      <c r="C133" s="1132"/>
      <c r="D133" s="1133"/>
      <c r="E133" s="1132"/>
      <c r="F133" s="1133"/>
      <c r="G133" s="1124">
        <v>3439.3433032412158</v>
      </c>
      <c r="H133" s="1133"/>
      <c r="I133" s="1680">
        <v>3.35</v>
      </c>
      <c r="J133" s="1133"/>
      <c r="K133" s="1127">
        <f t="shared" ref="K133:K135" si="49">+G133*I133</f>
        <v>11521.800065858073</v>
      </c>
      <c r="L133" s="1133"/>
      <c r="M133" s="1125">
        <f t="shared" si="48"/>
        <v>11521.800065858073</v>
      </c>
      <c r="N133" s="1133"/>
      <c r="O133" s="1127"/>
      <c r="P133" s="1133"/>
      <c r="Q133" s="1127">
        <f t="shared" ref="Q133:Q135" si="50">+G133</f>
        <v>3439.3433032412158</v>
      </c>
      <c r="R133" s="1133"/>
      <c r="S133" s="2114">
        <f ca="1">'wp - t-1 COSS'!$F$35</f>
        <v>3.8170000000000002</v>
      </c>
      <c r="T133" s="1133"/>
      <c r="U133" s="1143">
        <f t="shared" ref="U133:U135" ca="1" si="51">+Q133*S133</f>
        <v>13127.973388471721</v>
      </c>
      <c r="V133" s="2029"/>
    </row>
    <row r="134" spans="2:22">
      <c r="B134" s="1141" t="s">
        <v>708</v>
      </c>
      <c r="C134" s="1132"/>
      <c r="D134" s="1133"/>
      <c r="E134" s="1132"/>
      <c r="F134" s="1133"/>
      <c r="G134" s="1124">
        <v>4783.65665594028</v>
      </c>
      <c r="H134" s="1133"/>
      <c r="I134" s="1680">
        <v>3.01</v>
      </c>
      <c r="J134" s="1133"/>
      <c r="K134" s="1127">
        <f t="shared" si="49"/>
        <v>14398.806534380241</v>
      </c>
      <c r="L134" s="1133"/>
      <c r="M134" s="1125">
        <f t="shared" si="48"/>
        <v>14398.806534380241</v>
      </c>
      <c r="N134" s="1133"/>
      <c r="O134" s="1127"/>
      <c r="P134" s="1133"/>
      <c r="Q134" s="1127">
        <f t="shared" si="50"/>
        <v>4783.65665594028</v>
      </c>
      <c r="R134" s="1133"/>
      <c r="S134" s="2114">
        <f ca="1">'wp - t-1 COSS'!$F$35</f>
        <v>3.8170000000000002</v>
      </c>
      <c r="T134" s="1133"/>
      <c r="U134" s="1143">
        <f t="shared" ca="1" si="51"/>
        <v>18259.217455724051</v>
      </c>
      <c r="V134" s="2029"/>
    </row>
    <row r="135" spans="2:22">
      <c r="B135" s="1141" t="s">
        <v>711</v>
      </c>
      <c r="C135" s="1132"/>
      <c r="D135" s="1133"/>
      <c r="E135" s="1132"/>
      <c r="F135" s="1133"/>
      <c r="G135" s="1124">
        <v>11397.373906749441</v>
      </c>
      <c r="H135" s="1133"/>
      <c r="I135" s="1680">
        <v>2.76</v>
      </c>
      <c r="J135" s="1133"/>
      <c r="K135" s="1127">
        <f t="shared" si="49"/>
        <v>31456.751982628455</v>
      </c>
      <c r="L135" s="1133"/>
      <c r="M135" s="1125">
        <f t="shared" si="48"/>
        <v>31456.751982628455</v>
      </c>
      <c r="N135" s="1133"/>
      <c r="O135" s="1127"/>
      <c r="P135" s="1133"/>
      <c r="Q135" s="1127">
        <f t="shared" si="50"/>
        <v>11397.373906749441</v>
      </c>
      <c r="R135" s="1133"/>
      <c r="S135" s="2114">
        <f ca="1">'wp - t-1 COSS'!$F$35</f>
        <v>3.8170000000000002</v>
      </c>
      <c r="T135" s="1133"/>
      <c r="U135" s="1143">
        <f t="shared" ca="1" si="51"/>
        <v>43503.776202062618</v>
      </c>
      <c r="V135" s="2029"/>
    </row>
    <row r="136" spans="2:22" ht="13.5" thickBot="1">
      <c r="B136" s="1109" t="s">
        <v>1360</v>
      </c>
      <c r="C136" s="1134">
        <f>SUM(C130:C135)</f>
        <v>25695.463753880784</v>
      </c>
      <c r="D136" s="1135"/>
      <c r="E136" s="1134">
        <f>SUM(E130:E135)</f>
        <v>358</v>
      </c>
      <c r="F136" s="1135"/>
      <c r="G136" s="1134">
        <f>SUM(G130:G135)</f>
        <v>20227.368199810204</v>
      </c>
      <c r="H136" s="1135"/>
      <c r="I136" s="1678"/>
      <c r="J136" s="1135"/>
      <c r="K136" s="1146">
        <f>SUM(K131:K135)</f>
        <v>89656.488581460595</v>
      </c>
      <c r="L136" s="1135"/>
      <c r="M136" s="1146">
        <f>SUM(M131:M135)</f>
        <v>89656.488581460595</v>
      </c>
      <c r="N136" s="1135"/>
      <c r="O136" s="1134">
        <f>SUM(O130:O135)</f>
        <v>358</v>
      </c>
      <c r="P136" s="1135"/>
      <c r="Q136" s="1134">
        <f>SUM(Q130:R135)</f>
        <v>20227.368199810204</v>
      </c>
      <c r="R136" s="1135"/>
      <c r="S136" s="1142"/>
      <c r="T136" s="1135"/>
      <c r="U136" s="1146">
        <f ca="1">SUM(U131:U135)</f>
        <v>124045.00441867555</v>
      </c>
      <c r="V136" s="2030"/>
    </row>
    <row r="137" spans="2:22" ht="13.5" thickTop="1">
      <c r="B137" s="1109"/>
      <c r="C137" s="1132"/>
      <c r="D137" s="1133"/>
      <c r="E137" s="1132"/>
      <c r="F137" s="1133"/>
      <c r="G137" s="1124"/>
      <c r="H137" s="1133"/>
      <c r="I137" s="1679"/>
      <c r="J137" s="1133"/>
      <c r="K137" s="1125"/>
      <c r="L137" s="1133"/>
      <c r="M137" s="1125"/>
      <c r="N137" s="1133"/>
      <c r="O137" s="1127"/>
      <c r="P137" s="1133"/>
      <c r="Q137" s="1127"/>
      <c r="R137" s="1133"/>
      <c r="S137" s="1128"/>
      <c r="T137" s="1133"/>
      <c r="U137" s="1093"/>
      <c r="V137" s="2031"/>
    </row>
    <row r="138" spans="2:22" ht="13.5" thickBot="1">
      <c r="B138" s="1111" t="s">
        <v>1359</v>
      </c>
      <c r="C138" s="1132"/>
      <c r="D138" s="1133"/>
      <c r="E138" s="1132"/>
      <c r="F138" s="1133"/>
      <c r="G138" s="1124"/>
      <c r="H138" s="1133"/>
      <c r="I138" s="1679"/>
      <c r="J138" s="1133"/>
      <c r="K138" s="1125"/>
      <c r="L138" s="1133"/>
      <c r="M138" s="1138">
        <f>+M136/$E136</f>
        <v>250.43711894262736</v>
      </c>
      <c r="N138" s="1133"/>
      <c r="O138" s="1127"/>
      <c r="P138" s="1133"/>
      <c r="Q138" s="1127"/>
      <c r="R138" s="1133"/>
      <c r="S138" s="1128"/>
      <c r="T138" s="1133"/>
      <c r="U138" s="1138">
        <f ca="1">+U136/$E136</f>
        <v>346.49442575049039</v>
      </c>
      <c r="V138" s="2032"/>
    </row>
    <row r="139" spans="2:22" ht="13.5" thickTop="1">
      <c r="B139" s="1106" t="s">
        <v>1427</v>
      </c>
      <c r="C139" s="1124">
        <v>651.90183022463179</v>
      </c>
      <c r="D139" s="1129"/>
      <c r="E139" s="1124"/>
      <c r="F139" s="1129"/>
      <c r="G139" s="1124"/>
      <c r="H139" s="1129"/>
      <c r="I139" s="2105"/>
      <c r="J139" s="1129"/>
      <c r="K139" s="1125"/>
      <c r="L139" s="1129"/>
      <c r="M139" s="1125"/>
      <c r="N139" s="1129"/>
      <c r="O139" s="1127"/>
      <c r="P139" s="1129"/>
      <c r="Q139" s="1127"/>
      <c r="R139" s="1129"/>
      <c r="S139" s="1128"/>
      <c r="T139" s="1129"/>
      <c r="U139" s="1131"/>
      <c r="V139" s="2028"/>
    </row>
    <row r="140" spans="2:22">
      <c r="B140" s="1141" t="s">
        <v>3573</v>
      </c>
      <c r="C140" s="1124"/>
      <c r="D140" s="1133"/>
      <c r="E140" s="1124">
        <v>35</v>
      </c>
      <c r="F140" s="1133"/>
      <c r="G140" s="1124"/>
      <c r="H140" s="1133"/>
      <c r="I140" s="1680">
        <v>84.18</v>
      </c>
      <c r="J140" s="1133"/>
      <c r="K140" s="1125">
        <f>+E140*I140</f>
        <v>2946.3</v>
      </c>
      <c r="L140" s="1133"/>
      <c r="M140" s="1125">
        <f>+K140</f>
        <v>2946.3</v>
      </c>
      <c r="N140" s="1133"/>
      <c r="O140" s="1127">
        <f>+E140</f>
        <v>35</v>
      </c>
      <c r="P140" s="1133"/>
      <c r="Q140" s="1127"/>
      <c r="R140" s="1133"/>
      <c r="S140" s="1142">
        <f ca="1">'wp - t-1 COSS'!$F$17</f>
        <v>130.83000000000001</v>
      </c>
      <c r="T140" s="1133"/>
      <c r="U140" s="1143">
        <f ca="1">+O140*S140</f>
        <v>4579.05</v>
      </c>
      <c r="V140" s="2029"/>
    </row>
    <row r="141" spans="2:22">
      <c r="B141" s="1141" t="s">
        <v>3574</v>
      </c>
      <c r="C141" s="1132"/>
      <c r="D141" s="1133"/>
      <c r="E141" s="1132"/>
      <c r="F141" s="1133"/>
      <c r="G141" s="1124">
        <v>43.2</v>
      </c>
      <c r="H141" s="1133"/>
      <c r="I141" s="1680">
        <v>3.53</v>
      </c>
      <c r="J141" s="1133"/>
      <c r="K141" s="1127">
        <f>+G141*I141</f>
        <v>152.49600000000001</v>
      </c>
      <c r="L141" s="1133"/>
      <c r="M141" s="1125">
        <f t="shared" ref="M141:M144" si="52">+K141</f>
        <v>152.49600000000001</v>
      </c>
      <c r="N141" s="1133"/>
      <c r="O141" s="1127"/>
      <c r="P141" s="1133"/>
      <c r="Q141" s="1127">
        <f>+G141</f>
        <v>43.2</v>
      </c>
      <c r="R141" s="1133"/>
      <c r="S141" s="2114">
        <f ca="1">'wp - t-1 COSS'!$F$35</f>
        <v>3.8170000000000002</v>
      </c>
      <c r="T141" s="1133"/>
      <c r="U141" s="1143">
        <f ca="1">+Q141*S141</f>
        <v>164.89440000000002</v>
      </c>
      <c r="V141" s="2029"/>
    </row>
    <row r="142" spans="2:22">
      <c r="B142" s="1141" t="s">
        <v>707</v>
      </c>
      <c r="C142" s="1132"/>
      <c r="D142" s="1133"/>
      <c r="E142" s="1132"/>
      <c r="F142" s="1133"/>
      <c r="G142" s="1124">
        <v>240.0272101128844</v>
      </c>
      <c r="H142" s="1133"/>
      <c r="I142" s="1680">
        <v>3.35</v>
      </c>
      <c r="J142" s="1133"/>
      <c r="K142" s="1127">
        <f t="shared" ref="K142:K144" si="53">+G142*I142</f>
        <v>804.0911538781628</v>
      </c>
      <c r="L142" s="1133"/>
      <c r="M142" s="1125">
        <f t="shared" si="52"/>
        <v>804.0911538781628</v>
      </c>
      <c r="N142" s="1133"/>
      <c r="O142" s="1127"/>
      <c r="P142" s="1133"/>
      <c r="Q142" s="1127">
        <f t="shared" ref="Q142:Q144" si="54">+G142</f>
        <v>240.0272101128844</v>
      </c>
      <c r="R142" s="1133"/>
      <c r="S142" s="2114">
        <f ca="1">'wp - t-1 COSS'!$F$35</f>
        <v>3.8170000000000002</v>
      </c>
      <c r="T142" s="1133"/>
      <c r="U142" s="1143">
        <f t="shared" ref="U142:U144" ca="1" si="55">+Q142*S142</f>
        <v>916.1838610008798</v>
      </c>
      <c r="V142" s="2029"/>
    </row>
    <row r="143" spans="2:22">
      <c r="B143" s="1141" t="s">
        <v>708</v>
      </c>
      <c r="C143" s="1132"/>
      <c r="D143" s="1133"/>
      <c r="E143" s="1132"/>
      <c r="F143" s="1133"/>
      <c r="G143" s="1124">
        <v>43.297797058500784</v>
      </c>
      <c r="H143" s="1133"/>
      <c r="I143" s="1680">
        <v>3.01</v>
      </c>
      <c r="J143" s="1133"/>
      <c r="K143" s="1127">
        <f t="shared" si="53"/>
        <v>130.32636914608736</v>
      </c>
      <c r="L143" s="1133"/>
      <c r="M143" s="1125">
        <f t="shared" si="52"/>
        <v>130.32636914608736</v>
      </c>
      <c r="N143" s="1133"/>
      <c r="O143" s="1127"/>
      <c r="P143" s="1133"/>
      <c r="Q143" s="1127">
        <f t="shared" si="54"/>
        <v>43.297797058500784</v>
      </c>
      <c r="R143" s="1133"/>
      <c r="S143" s="2114">
        <f ca="1">'wp - t-1 COSS'!$F$35</f>
        <v>3.8170000000000002</v>
      </c>
      <c r="T143" s="1133"/>
      <c r="U143" s="1143">
        <f t="shared" ca="1" si="55"/>
        <v>165.26769137229749</v>
      </c>
      <c r="V143" s="2029"/>
    </row>
    <row r="144" spans="2:22">
      <c r="B144" s="1141" t="s">
        <v>711</v>
      </c>
      <c r="C144" s="1132"/>
      <c r="D144" s="1133"/>
      <c r="E144" s="1132"/>
      <c r="F144" s="1133"/>
      <c r="G144" s="1124">
        <v>0</v>
      </c>
      <c r="H144" s="1133"/>
      <c r="I144" s="1680">
        <v>2.76</v>
      </c>
      <c r="J144" s="1133"/>
      <c r="K144" s="1127">
        <f t="shared" si="53"/>
        <v>0</v>
      </c>
      <c r="L144" s="1133"/>
      <c r="M144" s="1125">
        <f t="shared" si="52"/>
        <v>0</v>
      </c>
      <c r="N144" s="1133"/>
      <c r="O144" s="1127"/>
      <c r="P144" s="1133"/>
      <c r="Q144" s="1127">
        <f t="shared" si="54"/>
        <v>0</v>
      </c>
      <c r="R144" s="1133"/>
      <c r="S144" s="2114">
        <f ca="1">'wp - t-1 COSS'!$F$35</f>
        <v>3.8170000000000002</v>
      </c>
      <c r="T144" s="1133"/>
      <c r="U144" s="1143">
        <f t="shared" ca="1" si="55"/>
        <v>0</v>
      </c>
      <c r="V144" s="2029"/>
    </row>
    <row r="145" spans="2:22" ht="13.5" thickBot="1">
      <c r="B145" s="1109" t="s">
        <v>1426</v>
      </c>
      <c r="C145" s="1134">
        <f>SUM(C139:C144)</f>
        <v>651.90183022463179</v>
      </c>
      <c r="D145" s="1135"/>
      <c r="E145" s="1134">
        <f>SUM(E139:E144)</f>
        <v>35</v>
      </c>
      <c r="F145" s="1135"/>
      <c r="G145" s="1134">
        <f>SUM(G139:G144)</f>
        <v>326.5250071713852</v>
      </c>
      <c r="H145" s="1135"/>
      <c r="I145" s="1678"/>
      <c r="J145" s="1135"/>
      <c r="K145" s="1146">
        <f>SUM(K140:L144)</f>
        <v>4033.2135230242507</v>
      </c>
      <c r="L145" s="1135"/>
      <c r="M145" s="1146">
        <f>SUM(M140:M144)</f>
        <v>4033.2135230242507</v>
      </c>
      <c r="N145" s="1135"/>
      <c r="O145" s="1134">
        <f>SUM(O139:O144)</f>
        <v>35</v>
      </c>
      <c r="P145" s="1135"/>
      <c r="Q145" s="1134">
        <f>SUM(Q139:Q144)</f>
        <v>326.5250071713852</v>
      </c>
      <c r="R145" s="1135"/>
      <c r="S145" s="1142"/>
      <c r="T145" s="1135"/>
      <c r="U145" s="1146">
        <f ca="1">SUM(U140:U144)</f>
        <v>5825.3959523731774</v>
      </c>
      <c r="V145" s="2030"/>
    </row>
    <row r="146" spans="2:22" ht="13.5" thickTop="1">
      <c r="B146" s="1109"/>
      <c r="C146" s="1132"/>
      <c r="D146" s="1133"/>
      <c r="E146" s="1132"/>
      <c r="F146" s="1133"/>
      <c r="G146" s="1124"/>
      <c r="H146" s="1133"/>
      <c r="I146" s="1679"/>
      <c r="J146" s="1133"/>
      <c r="K146" s="1125"/>
      <c r="L146" s="1133"/>
      <c r="M146" s="1125"/>
      <c r="N146" s="1133"/>
      <c r="O146" s="1127"/>
      <c r="P146" s="1133"/>
      <c r="Q146" s="1127"/>
      <c r="R146" s="1133"/>
      <c r="S146" s="1128"/>
      <c r="T146" s="1133"/>
      <c r="U146" s="1093"/>
      <c r="V146" s="2031"/>
    </row>
    <row r="147" spans="2:22" ht="13.5" thickBot="1">
      <c r="B147" s="1111" t="s">
        <v>1425</v>
      </c>
      <c r="C147" s="1132"/>
      <c r="D147" s="1133"/>
      <c r="E147" s="1132"/>
      <c r="F147" s="1133"/>
      <c r="G147" s="1124"/>
      <c r="H147" s="1133"/>
      <c r="I147" s="1679"/>
      <c r="J147" s="1133"/>
      <c r="K147" s="1125"/>
      <c r="L147" s="1133"/>
      <c r="M147" s="1138">
        <f>+M145/$E145</f>
        <v>115.23467208640716</v>
      </c>
      <c r="N147" s="1133"/>
      <c r="O147" s="1127"/>
      <c r="P147" s="1133"/>
      <c r="Q147" s="1127"/>
      <c r="R147" s="1133"/>
      <c r="S147" s="1128"/>
      <c r="T147" s="1133"/>
      <c r="U147" s="1138">
        <f ca="1">+U145/$E145</f>
        <v>166.43988435351935</v>
      </c>
      <c r="V147" s="2032"/>
    </row>
    <row r="148" spans="2:22" ht="13.5" thickTop="1">
      <c r="B148" s="1106" t="s">
        <v>1424</v>
      </c>
      <c r="C148" s="1124">
        <v>5902.8764303242451</v>
      </c>
      <c r="D148" s="1129"/>
      <c r="E148" s="1124"/>
      <c r="F148" s="1129"/>
      <c r="G148" s="1124"/>
      <c r="H148" s="1129"/>
      <c r="I148" s="2105"/>
      <c r="J148" s="1129"/>
      <c r="K148" s="1125"/>
      <c r="L148" s="1129"/>
      <c r="M148" s="1125"/>
      <c r="N148" s="1129"/>
      <c r="O148" s="1127"/>
      <c r="P148" s="1129"/>
      <c r="Q148" s="1127"/>
      <c r="R148" s="1129"/>
      <c r="S148" s="1128"/>
      <c r="T148" s="1129"/>
      <c r="U148" s="1131"/>
      <c r="V148" s="2028"/>
    </row>
    <row r="149" spans="2:22">
      <c r="B149" s="1141" t="s">
        <v>3573</v>
      </c>
      <c r="C149" s="1124"/>
      <c r="D149" s="1133"/>
      <c r="E149" s="1124">
        <v>192</v>
      </c>
      <c r="F149" s="1133"/>
      <c r="G149" s="1124"/>
      <c r="H149" s="1133"/>
      <c r="I149" s="1680">
        <v>84.18</v>
      </c>
      <c r="J149" s="1133"/>
      <c r="K149" s="1125">
        <f>+E149*I149</f>
        <v>16162.560000000001</v>
      </c>
      <c r="L149" s="1133"/>
      <c r="M149" s="1125">
        <f>+K149</f>
        <v>16162.560000000001</v>
      </c>
      <c r="N149" s="1133"/>
      <c r="O149" s="1127">
        <f>+E149</f>
        <v>192</v>
      </c>
      <c r="P149" s="1133"/>
      <c r="Q149" s="1127"/>
      <c r="R149" s="1133"/>
      <c r="S149" s="1142">
        <f ca="1">'wp - t-1 COSS'!$F$17</f>
        <v>130.83000000000001</v>
      </c>
      <c r="T149" s="1133"/>
      <c r="U149" s="1143">
        <f ca="1">+O149*S149</f>
        <v>25119.360000000001</v>
      </c>
      <c r="V149" s="2029"/>
    </row>
    <row r="150" spans="2:22">
      <c r="B150" s="1141" t="s">
        <v>3574</v>
      </c>
      <c r="C150" s="1132"/>
      <c r="D150" s="1133"/>
      <c r="E150" s="1132"/>
      <c r="F150" s="1133"/>
      <c r="G150" s="1124">
        <v>246.14481633783291</v>
      </c>
      <c r="H150" s="1133"/>
      <c r="I150" s="1680">
        <v>3.53</v>
      </c>
      <c r="J150" s="1133"/>
      <c r="K150" s="1127">
        <f>+G150*I150</f>
        <v>868.8912016725501</v>
      </c>
      <c r="L150" s="1133"/>
      <c r="M150" s="1125">
        <f t="shared" ref="M150:M153" si="56">+K150</f>
        <v>868.8912016725501</v>
      </c>
      <c r="N150" s="1133"/>
      <c r="O150" s="1127"/>
      <c r="P150" s="1133"/>
      <c r="Q150" s="1127">
        <f>+G150</f>
        <v>246.14481633783291</v>
      </c>
      <c r="R150" s="1133"/>
      <c r="S150" s="2114">
        <f ca="1">'wp - t-1 COSS'!$F$35</f>
        <v>3.8170000000000002</v>
      </c>
      <c r="T150" s="1133"/>
      <c r="U150" s="1143">
        <f ca="1">+Q150*S150</f>
        <v>939.53476396150825</v>
      </c>
      <c r="V150" s="2029"/>
    </row>
    <row r="151" spans="2:22">
      <c r="B151" s="1141" t="s">
        <v>707</v>
      </c>
      <c r="C151" s="1132"/>
      <c r="D151" s="1133"/>
      <c r="E151" s="1132"/>
      <c r="F151" s="1133"/>
      <c r="G151" s="1124">
        <v>1189.2866589349394</v>
      </c>
      <c r="H151" s="1133"/>
      <c r="I151" s="1680">
        <v>3.35</v>
      </c>
      <c r="J151" s="1133"/>
      <c r="K151" s="1127">
        <f t="shared" ref="K151:K153" si="57">+G151*I151</f>
        <v>3984.1103074320472</v>
      </c>
      <c r="L151" s="1133"/>
      <c r="M151" s="1125">
        <f t="shared" si="56"/>
        <v>3984.1103074320472</v>
      </c>
      <c r="N151" s="1133"/>
      <c r="O151" s="1127"/>
      <c r="P151" s="1133"/>
      <c r="Q151" s="1127">
        <f t="shared" ref="Q151:Q153" si="58">+G151</f>
        <v>1189.2866589349394</v>
      </c>
      <c r="R151" s="1133"/>
      <c r="S151" s="2114">
        <f ca="1">'wp - t-1 COSS'!$F$35</f>
        <v>3.8170000000000002</v>
      </c>
      <c r="T151" s="1133"/>
      <c r="U151" s="1143">
        <f t="shared" ref="U151:U153" ca="1" si="59">+Q151*S151</f>
        <v>4539.5071771546636</v>
      </c>
      <c r="V151" s="2029"/>
    </row>
    <row r="152" spans="2:22">
      <c r="B152" s="1141" t="s">
        <v>708</v>
      </c>
      <c r="C152" s="1132"/>
      <c r="D152" s="1133"/>
      <c r="E152" s="1132"/>
      <c r="F152" s="1133"/>
      <c r="G152" s="1124">
        <v>1137.9869154734497</v>
      </c>
      <c r="H152" s="1133"/>
      <c r="I152" s="1680">
        <v>3.01</v>
      </c>
      <c r="J152" s="1133"/>
      <c r="K152" s="1127">
        <f t="shared" si="57"/>
        <v>3425.3406155750836</v>
      </c>
      <c r="L152" s="1133"/>
      <c r="M152" s="1125">
        <f t="shared" si="56"/>
        <v>3425.3406155750836</v>
      </c>
      <c r="N152" s="1133"/>
      <c r="O152" s="1127"/>
      <c r="P152" s="1133"/>
      <c r="Q152" s="1127">
        <f t="shared" si="58"/>
        <v>1137.9869154734497</v>
      </c>
      <c r="R152" s="1133"/>
      <c r="S152" s="2114">
        <f ca="1">'wp - t-1 COSS'!$F$35</f>
        <v>3.8170000000000002</v>
      </c>
      <c r="T152" s="1133"/>
      <c r="U152" s="1143">
        <f t="shared" ca="1" si="59"/>
        <v>4343.6960563621578</v>
      </c>
      <c r="V152" s="2029"/>
    </row>
    <row r="153" spans="2:22">
      <c r="B153" s="1141" t="s">
        <v>711</v>
      </c>
      <c r="C153" s="1132"/>
      <c r="D153" s="1133"/>
      <c r="E153" s="1132"/>
      <c r="F153" s="1133"/>
      <c r="G153" s="1124">
        <v>1149.4622883951115</v>
      </c>
      <c r="H153" s="1133"/>
      <c r="I153" s="1680">
        <v>2.76</v>
      </c>
      <c r="J153" s="1133"/>
      <c r="K153" s="1127">
        <f t="shared" si="57"/>
        <v>3172.5159159705076</v>
      </c>
      <c r="L153" s="1133"/>
      <c r="M153" s="1125">
        <f t="shared" si="56"/>
        <v>3172.5159159705076</v>
      </c>
      <c r="N153" s="1133"/>
      <c r="O153" s="1127"/>
      <c r="P153" s="1133"/>
      <c r="Q153" s="1127">
        <f t="shared" si="58"/>
        <v>1149.4622883951115</v>
      </c>
      <c r="R153" s="1133"/>
      <c r="S153" s="2114">
        <f ca="1">'wp - t-1 COSS'!$F$35</f>
        <v>3.8170000000000002</v>
      </c>
      <c r="T153" s="1133"/>
      <c r="U153" s="1143">
        <f t="shared" ca="1" si="59"/>
        <v>4387.4975548041411</v>
      </c>
      <c r="V153" s="2029"/>
    </row>
    <row r="154" spans="2:22" ht="13.5" thickBot="1">
      <c r="B154" s="1109" t="s">
        <v>1423</v>
      </c>
      <c r="C154" s="1134">
        <f>SUM(C148:C153)</f>
        <v>5902.8764303242451</v>
      </c>
      <c r="D154" s="1135"/>
      <c r="E154" s="1134">
        <f>SUM(E148:E153)</f>
        <v>192</v>
      </c>
      <c r="F154" s="1135"/>
      <c r="G154" s="1134">
        <f>SUM(G148:G153)</f>
        <v>3722.8806791413335</v>
      </c>
      <c r="H154" s="1135"/>
      <c r="I154" s="1678"/>
      <c r="J154" s="1135"/>
      <c r="K154" s="1146">
        <f>SUM(K149:K153)</f>
        <v>27613.418040650191</v>
      </c>
      <c r="L154" s="1135"/>
      <c r="M154" s="1146">
        <f>SUM(M149:M153)</f>
        <v>27613.418040650191</v>
      </c>
      <c r="N154" s="1135"/>
      <c r="O154" s="1134">
        <f>SUM(O148:O153)</f>
        <v>192</v>
      </c>
      <c r="P154" s="1135"/>
      <c r="Q154" s="1134">
        <f>SUM(Q148:Q153)</f>
        <v>3722.8806791413335</v>
      </c>
      <c r="R154" s="1135"/>
      <c r="S154" s="1142"/>
      <c r="T154" s="1135"/>
      <c r="U154" s="1146">
        <f ca="1">SUM(U149:U153)</f>
        <v>39329.595552282466</v>
      </c>
      <c r="V154" s="2030"/>
    </row>
    <row r="155" spans="2:22" ht="13.5" thickTop="1">
      <c r="B155" s="1109"/>
      <c r="C155" s="1132"/>
      <c r="D155" s="1133"/>
      <c r="E155" s="1132"/>
      <c r="F155" s="1133"/>
      <c r="G155" s="1124"/>
      <c r="H155" s="1133"/>
      <c r="I155" s="1679"/>
      <c r="J155" s="1133"/>
      <c r="K155" s="1125"/>
      <c r="L155" s="1133"/>
      <c r="M155" s="1125"/>
      <c r="N155" s="1133"/>
      <c r="O155" s="1127"/>
      <c r="P155" s="1133"/>
      <c r="Q155" s="1127"/>
      <c r="R155" s="1133"/>
      <c r="S155" s="1128"/>
      <c r="T155" s="1133"/>
      <c r="U155" s="1093"/>
      <c r="V155" s="2031"/>
    </row>
    <row r="156" spans="2:22" ht="13.5" thickBot="1">
      <c r="B156" s="1111" t="s">
        <v>1422</v>
      </c>
      <c r="C156" s="1132"/>
      <c r="D156" s="1133"/>
      <c r="E156" s="1132"/>
      <c r="F156" s="1133"/>
      <c r="G156" s="1124"/>
      <c r="H156" s="1133"/>
      <c r="I156" s="1679"/>
      <c r="J156" s="1133"/>
      <c r="K156" s="1125"/>
      <c r="L156" s="1133"/>
      <c r="M156" s="1138">
        <f>+M154/$E154</f>
        <v>143.8198856283864</v>
      </c>
      <c r="N156" s="1133"/>
      <c r="O156" s="1127"/>
      <c r="P156" s="1133"/>
      <c r="Q156" s="1127"/>
      <c r="R156" s="1133"/>
      <c r="S156" s="1128"/>
      <c r="T156" s="1133"/>
      <c r="U156" s="1138">
        <f ca="1">+U154/$E154</f>
        <v>204.84164350147117</v>
      </c>
      <c r="V156" s="2032"/>
    </row>
    <row r="157" spans="2:22" ht="13.5" thickTop="1">
      <c r="B157" s="1111"/>
      <c r="C157" s="1132"/>
      <c r="D157" s="1133"/>
      <c r="E157" s="1132"/>
      <c r="F157" s="1133"/>
      <c r="G157" s="1124"/>
      <c r="H157" s="1133"/>
      <c r="I157" s="1679"/>
      <c r="J157" s="1133"/>
      <c r="K157" s="1125"/>
      <c r="L157" s="1133"/>
      <c r="M157" s="1125"/>
      <c r="N157" s="1133"/>
      <c r="O157" s="1127"/>
      <c r="P157" s="1133"/>
      <c r="Q157" s="1127"/>
      <c r="R157" s="1133"/>
      <c r="S157" s="1128"/>
      <c r="T157" s="1133"/>
      <c r="U157" s="1112"/>
      <c r="V157" s="2032"/>
    </row>
    <row r="158" spans="2:22">
      <c r="B158" s="1106" t="s">
        <v>1421</v>
      </c>
      <c r="C158" s="1124">
        <v>3118.1663658585667</v>
      </c>
      <c r="D158" s="1129"/>
      <c r="E158" s="1124"/>
      <c r="F158" s="1129"/>
      <c r="G158" s="1124"/>
      <c r="H158" s="1129"/>
      <c r="I158" s="2105"/>
      <c r="J158" s="1129"/>
      <c r="K158" s="1125"/>
      <c r="L158" s="1129"/>
      <c r="M158" s="1125"/>
      <c r="N158" s="1129"/>
      <c r="O158" s="1127"/>
      <c r="P158" s="1129"/>
      <c r="Q158" s="1127"/>
      <c r="R158" s="1129"/>
      <c r="S158" s="1128"/>
      <c r="T158" s="1129"/>
      <c r="U158" s="1131"/>
      <c r="V158" s="2028"/>
    </row>
    <row r="159" spans="2:22">
      <c r="B159" s="1141" t="s">
        <v>460</v>
      </c>
      <c r="C159" s="1124"/>
      <c r="D159" s="1133"/>
      <c r="E159" s="1124">
        <v>36</v>
      </c>
      <c r="F159" s="1133"/>
      <c r="G159" s="1124"/>
      <c r="H159" s="1133"/>
      <c r="I159" s="1680">
        <v>235.96</v>
      </c>
      <c r="J159" s="1133"/>
      <c r="K159" s="1125">
        <f>+E159*I159</f>
        <v>8494.56</v>
      </c>
      <c r="L159" s="1133"/>
      <c r="M159" s="1125">
        <f>+K159</f>
        <v>8494.56</v>
      </c>
      <c r="N159" s="1133"/>
      <c r="O159" s="1127">
        <f>+E159</f>
        <v>36</v>
      </c>
      <c r="P159" s="1133"/>
      <c r="Q159" s="1127"/>
      <c r="R159" s="1133"/>
      <c r="S159" s="1142">
        <f ca="1">'wp - t-1 COSS'!$F$18</f>
        <v>246.14</v>
      </c>
      <c r="T159" s="1133"/>
      <c r="U159" s="1143">
        <f ca="1">+O159*S159</f>
        <v>8861.0399999999991</v>
      </c>
      <c r="V159" s="2029"/>
    </row>
    <row r="160" spans="2:22">
      <c r="B160" s="1141" t="s">
        <v>461</v>
      </c>
      <c r="C160" s="1132"/>
      <c r="D160" s="1133"/>
      <c r="E160" s="1132"/>
      <c r="F160" s="1133"/>
      <c r="G160" s="1124">
        <v>636.25582132350064</v>
      </c>
      <c r="H160" s="1133"/>
      <c r="I160" s="1680">
        <v>3.01</v>
      </c>
      <c r="J160" s="1133"/>
      <c r="K160" s="1127">
        <f>+G160*I160</f>
        <v>1915.1300221837369</v>
      </c>
      <c r="L160" s="1133"/>
      <c r="M160" s="1125">
        <f>+K160</f>
        <v>1915.1300221837369</v>
      </c>
      <c r="N160" s="1133"/>
      <c r="O160" s="1127"/>
      <c r="P160" s="1133"/>
      <c r="Q160" s="1127">
        <f>+G160</f>
        <v>636.25582132350064</v>
      </c>
      <c r="R160" s="1133"/>
      <c r="S160" s="2114">
        <f ca="1">'wp - t-1 COSS'!$F$36</f>
        <v>3.8170000000000002</v>
      </c>
      <c r="T160" s="1133"/>
      <c r="U160" s="1143">
        <f ca="1">+Q160*S160</f>
        <v>2428.588469991802</v>
      </c>
      <c r="V160" s="2029"/>
    </row>
    <row r="161" spans="2:22">
      <c r="B161" s="1141" t="s">
        <v>711</v>
      </c>
      <c r="C161" s="1132"/>
      <c r="D161" s="1133"/>
      <c r="E161" s="1132"/>
      <c r="F161" s="1133"/>
      <c r="G161" s="1124">
        <v>652.32957618898763</v>
      </c>
      <c r="H161" s="1133"/>
      <c r="I161" s="1680">
        <v>2.76</v>
      </c>
      <c r="J161" s="1133"/>
      <c r="K161" s="1127">
        <f>+G161*I161</f>
        <v>1800.4296302816058</v>
      </c>
      <c r="L161" s="1133"/>
      <c r="M161" s="1125">
        <f>+K161</f>
        <v>1800.4296302816058</v>
      </c>
      <c r="N161" s="1133"/>
      <c r="O161" s="1127"/>
      <c r="P161" s="1133"/>
      <c r="Q161" s="1127">
        <f t="shared" ref="Q161" si="60">+G161</f>
        <v>652.32957618898763</v>
      </c>
      <c r="R161" s="1133"/>
      <c r="S161" s="2114">
        <f ca="1">'wp - t-1 COSS'!$F$36</f>
        <v>3.8170000000000002</v>
      </c>
      <c r="T161" s="1133"/>
      <c r="U161" s="1143">
        <f t="shared" ref="U161" ca="1" si="61">+Q161*S161</f>
        <v>2489.941992313366</v>
      </c>
      <c r="V161" s="2029"/>
    </row>
    <row r="162" spans="2:22" ht="13.5" thickBot="1">
      <c r="B162" s="1109" t="s">
        <v>1420</v>
      </c>
      <c r="C162" s="1134">
        <f>SUM(C158:C161)</f>
        <v>3118.1663658585667</v>
      </c>
      <c r="D162" s="1135"/>
      <c r="E162" s="1134">
        <f>SUM(E158:E161)</f>
        <v>36</v>
      </c>
      <c r="F162" s="1135"/>
      <c r="G162" s="1134">
        <f>SUM(G158:G161)</f>
        <v>1288.5853975124883</v>
      </c>
      <c r="H162" s="1135"/>
      <c r="I162" s="1678"/>
      <c r="J162" s="1135"/>
      <c r="K162" s="1136">
        <f>SUM(K159:K161)</f>
        <v>12210.119652465342</v>
      </c>
      <c r="L162" s="1135"/>
      <c r="M162" s="1136">
        <f>SUM(M159:N161)</f>
        <v>12210.119652465342</v>
      </c>
      <c r="N162" s="1135"/>
      <c r="O162" s="1147">
        <f>SUM(O159:O161)</f>
        <v>36</v>
      </c>
      <c r="P162" s="1135"/>
      <c r="Q162" s="1147">
        <f>SUM(Q159:R161)</f>
        <v>1288.5853975124883</v>
      </c>
      <c r="R162" s="1135"/>
      <c r="S162" s="1128"/>
      <c r="T162" s="1135"/>
      <c r="U162" s="1147">
        <f ca="1">SUM(U159:U161)</f>
        <v>13779.570462305168</v>
      </c>
      <c r="V162" s="2033"/>
    </row>
    <row r="163" spans="2:22" ht="13.5" thickTop="1">
      <c r="B163" s="1109"/>
      <c r="C163" s="1132"/>
      <c r="D163" s="1133"/>
      <c r="E163" s="1132"/>
      <c r="F163" s="1133"/>
      <c r="G163" s="1124"/>
      <c r="H163" s="1133"/>
      <c r="I163" s="1679"/>
      <c r="J163" s="1133"/>
      <c r="K163" s="1125"/>
      <c r="L163" s="1133"/>
      <c r="M163" s="1125"/>
      <c r="N163" s="1133"/>
      <c r="O163" s="1127"/>
      <c r="P163" s="1133"/>
      <c r="Q163" s="1127"/>
      <c r="R163" s="1133"/>
      <c r="S163" s="1128"/>
      <c r="T163" s="1133"/>
      <c r="U163" s="1093"/>
      <c r="V163" s="2031"/>
    </row>
    <row r="164" spans="2:22" ht="13.5" thickBot="1">
      <c r="B164" s="1111" t="s">
        <v>1419</v>
      </c>
      <c r="C164" s="1132"/>
      <c r="D164" s="1133"/>
      <c r="E164" s="1132"/>
      <c r="F164" s="1133"/>
      <c r="G164" s="1124"/>
      <c r="H164" s="1133"/>
      <c r="I164" s="1679"/>
      <c r="J164" s="1133"/>
      <c r="K164" s="1125"/>
      <c r="L164" s="1133"/>
      <c r="M164" s="1138">
        <f>+M162/$E162</f>
        <v>339.16999034625951</v>
      </c>
      <c r="N164" s="1133"/>
      <c r="O164" s="1127"/>
      <c r="P164" s="1133"/>
      <c r="Q164" s="1127"/>
      <c r="R164" s="1133"/>
      <c r="S164" s="1128"/>
      <c r="T164" s="1133"/>
      <c r="U164" s="1138">
        <f ca="1">+U162/$E162</f>
        <v>382.76584617514357</v>
      </c>
      <c r="V164" s="2032"/>
    </row>
    <row r="165" spans="2:22" ht="13.5" thickTop="1">
      <c r="B165" s="1106" t="s">
        <v>1418</v>
      </c>
      <c r="C165" s="1124">
        <v>5698.9656139875333</v>
      </c>
      <c r="D165" s="1129"/>
      <c r="E165" s="1124"/>
      <c r="F165" s="1129"/>
      <c r="G165" s="1124"/>
      <c r="H165" s="1129"/>
      <c r="I165" s="2105"/>
      <c r="J165" s="1129"/>
      <c r="K165" s="1125"/>
      <c r="L165" s="1129"/>
      <c r="M165" s="1125"/>
      <c r="N165" s="1129"/>
      <c r="O165" s="1127"/>
      <c r="P165" s="1129"/>
      <c r="Q165" s="1127"/>
      <c r="R165" s="1129"/>
      <c r="S165" s="1128"/>
      <c r="T165" s="1129"/>
      <c r="U165" s="1131"/>
      <c r="V165" s="2028"/>
    </row>
    <row r="166" spans="2:22">
      <c r="B166" s="1141" t="s">
        <v>460</v>
      </c>
      <c r="C166" s="1124"/>
      <c r="D166" s="1133"/>
      <c r="E166" s="1124">
        <v>48</v>
      </c>
      <c r="F166" s="1133"/>
      <c r="G166" s="1124"/>
      <c r="H166" s="1133"/>
      <c r="I166" s="1680">
        <v>235.96</v>
      </c>
      <c r="J166" s="1133"/>
      <c r="K166" s="1125">
        <f>+E166*I166</f>
        <v>11326.08</v>
      </c>
      <c r="L166" s="1133"/>
      <c r="M166" s="1125">
        <f>+K166</f>
        <v>11326.08</v>
      </c>
      <c r="N166" s="1133"/>
      <c r="O166" s="1127">
        <f>+E166</f>
        <v>48</v>
      </c>
      <c r="P166" s="1133"/>
      <c r="Q166" s="1127"/>
      <c r="R166" s="1133"/>
      <c r="S166" s="1142">
        <f ca="1">'wp - t-1 COSS'!$F$18</f>
        <v>246.14</v>
      </c>
      <c r="T166" s="1133"/>
      <c r="U166" s="1143">
        <f ca="1">+O166*S166</f>
        <v>11814.72</v>
      </c>
      <c r="V166" s="2029"/>
    </row>
    <row r="167" spans="2:22">
      <c r="B167" s="1141" t="s">
        <v>461</v>
      </c>
      <c r="C167" s="1132"/>
      <c r="D167" s="1133"/>
      <c r="E167" s="1132"/>
      <c r="F167" s="1133"/>
      <c r="G167" s="1124">
        <v>379.2</v>
      </c>
      <c r="H167" s="1133"/>
      <c r="I167" s="1680">
        <v>3.01</v>
      </c>
      <c r="J167" s="1133"/>
      <c r="K167" s="1127">
        <f>+G167*I167</f>
        <v>1141.3919999999998</v>
      </c>
      <c r="L167" s="1133"/>
      <c r="M167" s="1125">
        <f t="shared" ref="M167:M168" si="62">+K167</f>
        <v>1141.3919999999998</v>
      </c>
      <c r="N167" s="1133"/>
      <c r="O167" s="1127"/>
      <c r="P167" s="1133"/>
      <c r="Q167" s="1127">
        <f>+G167</f>
        <v>379.2</v>
      </c>
      <c r="R167" s="1133"/>
      <c r="S167" s="2114">
        <f ca="1">'wp - t-1 COSS'!$F$36</f>
        <v>3.8170000000000002</v>
      </c>
      <c r="T167" s="1133"/>
      <c r="U167" s="1143">
        <f ca="1">+Q167*S167</f>
        <v>1447.4064000000001</v>
      </c>
      <c r="V167" s="2029"/>
    </row>
    <row r="168" spans="2:22">
      <c r="B168" s="1141" t="s">
        <v>711</v>
      </c>
      <c r="C168" s="1132"/>
      <c r="D168" s="1133"/>
      <c r="E168" s="1132"/>
      <c r="F168" s="1133"/>
      <c r="G168" s="1124">
        <v>4274.0221885351575</v>
      </c>
      <c r="H168" s="1133"/>
      <c r="I168" s="1680">
        <v>2.76</v>
      </c>
      <c r="J168" s="1133"/>
      <c r="K168" s="1127">
        <f t="shared" ref="K168" si="63">+G168*I168</f>
        <v>11796.301240357034</v>
      </c>
      <c r="L168" s="1133"/>
      <c r="M168" s="1125">
        <f t="shared" si="62"/>
        <v>11796.301240357034</v>
      </c>
      <c r="N168" s="1133"/>
      <c r="O168" s="1127"/>
      <c r="P168" s="1133"/>
      <c r="Q168" s="1127">
        <f t="shared" ref="Q168" si="64">+G168</f>
        <v>4274.0221885351575</v>
      </c>
      <c r="R168" s="1133"/>
      <c r="S168" s="2114">
        <f ca="1">'wp - t-1 COSS'!$F$36</f>
        <v>3.8170000000000002</v>
      </c>
      <c r="T168" s="1133"/>
      <c r="U168" s="1143">
        <f t="shared" ref="U168" ca="1" si="65">+Q168*S168</f>
        <v>16313.942693638697</v>
      </c>
      <c r="V168" s="2029"/>
    </row>
    <row r="169" spans="2:22" ht="13.5" thickBot="1">
      <c r="B169" s="1109" t="s">
        <v>1417</v>
      </c>
      <c r="C169" s="1134">
        <f>SUM(C165:C168)</f>
        <v>5698.9656139875333</v>
      </c>
      <c r="D169" s="1135"/>
      <c r="E169" s="1134">
        <f>SUM(E165:E168)</f>
        <v>48</v>
      </c>
      <c r="F169" s="1135"/>
      <c r="G169" s="1134">
        <f>SUM(G165:G168)</f>
        <v>4653.2221885351573</v>
      </c>
      <c r="H169" s="1135"/>
      <c r="I169" s="1678"/>
      <c r="J169" s="1135"/>
      <c r="K169" s="1136">
        <f>SUM(K166:L168)</f>
        <v>24263.773240357034</v>
      </c>
      <c r="L169" s="1135"/>
      <c r="M169" s="1136">
        <f>SUM(M166:N168)</f>
        <v>24263.773240357034</v>
      </c>
      <c r="N169" s="1135"/>
      <c r="O169" s="1147">
        <f>SUM(O166:O168)</f>
        <v>48</v>
      </c>
      <c r="P169" s="1135"/>
      <c r="Q169" s="1147">
        <f>SUM(Q166:Q168)</f>
        <v>4653.2221885351573</v>
      </c>
      <c r="R169" s="1135"/>
      <c r="S169" s="1128"/>
      <c r="T169" s="1135"/>
      <c r="U169" s="1147">
        <f ca="1">SUM(U166:U168)</f>
        <v>29576.069093638696</v>
      </c>
      <c r="V169" s="2033"/>
    </row>
    <row r="170" spans="2:22" ht="13.5" thickTop="1">
      <c r="B170" s="1109"/>
      <c r="C170" s="1132"/>
      <c r="D170" s="1133"/>
      <c r="E170" s="1132"/>
      <c r="F170" s="1133"/>
      <c r="G170" s="1124"/>
      <c r="H170" s="1133"/>
      <c r="I170" s="1679"/>
      <c r="J170" s="1133"/>
      <c r="K170" s="1125"/>
      <c r="L170" s="1133"/>
      <c r="M170" s="1125"/>
      <c r="N170" s="1133"/>
      <c r="O170" s="1127"/>
      <c r="P170" s="1133"/>
      <c r="Q170" s="1127"/>
      <c r="R170" s="1133"/>
      <c r="S170" s="1128"/>
      <c r="T170" s="1133"/>
      <c r="U170" s="1093"/>
      <c r="V170" s="2031"/>
    </row>
    <row r="171" spans="2:22" ht="13.5" thickBot="1">
      <c r="B171" s="1111" t="s">
        <v>1416</v>
      </c>
      <c r="C171" s="1132"/>
      <c r="D171" s="1133"/>
      <c r="E171" s="1132"/>
      <c r="F171" s="1133"/>
      <c r="G171" s="1124"/>
      <c r="H171" s="1133"/>
      <c r="I171" s="1679"/>
      <c r="J171" s="1133"/>
      <c r="K171" s="1125"/>
      <c r="L171" s="1133"/>
      <c r="M171" s="1138">
        <f>+M169/$E169</f>
        <v>505.49527584077151</v>
      </c>
      <c r="N171" s="1133"/>
      <c r="O171" s="1127"/>
      <c r="P171" s="1133"/>
      <c r="Q171" s="1127"/>
      <c r="R171" s="1133"/>
      <c r="S171" s="1128"/>
      <c r="T171" s="1133"/>
      <c r="U171" s="1138">
        <f ca="1">+U169/$E169</f>
        <v>616.1681061174728</v>
      </c>
      <c r="V171" s="2032"/>
    </row>
    <row r="172" spans="2:22" ht="13.5" thickTop="1">
      <c r="B172" s="1106" t="s">
        <v>1415</v>
      </c>
      <c r="C172" s="1124">
        <v>9785.5961412841934</v>
      </c>
      <c r="D172" s="1129"/>
      <c r="E172" s="1124"/>
      <c r="F172" s="1129"/>
      <c r="G172" s="1124"/>
      <c r="H172" s="1129"/>
      <c r="I172" s="2105"/>
      <c r="J172" s="1129"/>
      <c r="K172" s="1125"/>
      <c r="L172" s="1129"/>
      <c r="M172" s="1125"/>
      <c r="N172" s="1129"/>
      <c r="O172" s="1127"/>
      <c r="P172" s="1129"/>
      <c r="Q172" s="1127"/>
      <c r="R172" s="1129"/>
      <c r="S172" s="1128"/>
      <c r="T172" s="1129"/>
      <c r="U172" s="1131"/>
      <c r="V172" s="2028"/>
    </row>
    <row r="173" spans="2:22">
      <c r="B173" s="1141" t="s">
        <v>460</v>
      </c>
      <c r="C173" s="1124"/>
      <c r="D173" s="1133"/>
      <c r="E173" s="1124">
        <v>12</v>
      </c>
      <c r="F173" s="1133"/>
      <c r="G173" s="1124"/>
      <c r="H173" s="1133"/>
      <c r="I173" s="1680">
        <v>235.96</v>
      </c>
      <c r="J173" s="1133"/>
      <c r="K173" s="1125">
        <f>+E173*I173</f>
        <v>2831.52</v>
      </c>
      <c r="L173" s="1133"/>
      <c r="M173" s="1125">
        <f>+K173</f>
        <v>2831.52</v>
      </c>
      <c r="N173" s="1133"/>
      <c r="O173" s="1127">
        <f>+E173</f>
        <v>12</v>
      </c>
      <c r="P173" s="1133"/>
      <c r="Q173" s="1127"/>
      <c r="R173" s="1133"/>
      <c r="S173" s="1142">
        <f ca="1">'wp - t-1 COSS'!$F$18</f>
        <v>246.14</v>
      </c>
      <c r="T173" s="1133"/>
      <c r="U173" s="1143">
        <f ca="1">+O173*S173</f>
        <v>2953.68</v>
      </c>
      <c r="V173" s="2029"/>
    </row>
    <row r="174" spans="2:22">
      <c r="B174" s="1141" t="s">
        <v>461</v>
      </c>
      <c r="C174" s="1132"/>
      <c r="D174" s="1133"/>
      <c r="E174" s="1132"/>
      <c r="F174" s="1133"/>
      <c r="G174" s="1124">
        <v>379.2</v>
      </c>
      <c r="H174" s="1133"/>
      <c r="I174" s="1680">
        <v>3.01</v>
      </c>
      <c r="J174" s="1133"/>
      <c r="K174" s="1127">
        <f>+G174*I174</f>
        <v>1141.3919999999998</v>
      </c>
      <c r="L174" s="1133"/>
      <c r="M174" s="1125">
        <f t="shared" ref="M174:M175" si="66">+K174</f>
        <v>1141.3919999999998</v>
      </c>
      <c r="N174" s="1133"/>
      <c r="O174" s="1127"/>
      <c r="P174" s="1133"/>
      <c r="Q174" s="1127">
        <f>+G174</f>
        <v>379.2</v>
      </c>
      <c r="R174" s="1133"/>
      <c r="S174" s="2114">
        <f ca="1">'wp - t-1 COSS'!$F$36</f>
        <v>3.8170000000000002</v>
      </c>
      <c r="T174" s="1133"/>
      <c r="U174" s="1143">
        <f ca="1">+Q174*S174</f>
        <v>1447.4064000000001</v>
      </c>
      <c r="V174" s="2029"/>
    </row>
    <row r="175" spans="2:22">
      <c r="B175" s="1141" t="s">
        <v>711</v>
      </c>
      <c r="C175" s="1132"/>
      <c r="D175" s="1133"/>
      <c r="E175" s="1132"/>
      <c r="F175" s="1133"/>
      <c r="G175" s="1124">
        <v>8585.5961412841971</v>
      </c>
      <c r="H175" s="1133"/>
      <c r="I175" s="1680">
        <v>2.76</v>
      </c>
      <c r="J175" s="1133"/>
      <c r="K175" s="1127">
        <f t="shared" ref="K175" si="67">+G175*I175</f>
        <v>23696.245349944384</v>
      </c>
      <c r="L175" s="1133"/>
      <c r="M175" s="1125">
        <f t="shared" si="66"/>
        <v>23696.245349944384</v>
      </c>
      <c r="N175" s="1133"/>
      <c r="O175" s="1127"/>
      <c r="P175" s="1133"/>
      <c r="Q175" s="1127">
        <f t="shared" ref="Q175" si="68">+G175</f>
        <v>8585.5961412841971</v>
      </c>
      <c r="R175" s="1133"/>
      <c r="S175" s="2114">
        <f ca="1">'wp - t-1 COSS'!$F$36</f>
        <v>3.8170000000000002</v>
      </c>
      <c r="T175" s="1133"/>
      <c r="U175" s="1143">
        <f t="shared" ref="U175" ca="1" si="69">+Q175*S175</f>
        <v>32771.220471281784</v>
      </c>
      <c r="V175" s="2029"/>
    </row>
    <row r="176" spans="2:22" ht="13.5" thickBot="1">
      <c r="B176" s="1109" t="s">
        <v>1414</v>
      </c>
      <c r="C176" s="1134">
        <f>SUM(C172:C175)</f>
        <v>9785.5961412841934</v>
      </c>
      <c r="D176" s="1135"/>
      <c r="E176" s="1134">
        <f>SUM(E172:E175)</f>
        <v>12</v>
      </c>
      <c r="F176" s="1135"/>
      <c r="G176" s="1134">
        <f>SUM(G172:H175)</f>
        <v>8964.7961412841978</v>
      </c>
      <c r="H176" s="1135"/>
      <c r="I176" s="1678"/>
      <c r="J176" s="1135"/>
      <c r="K176" s="1136">
        <f>SUM(K173:L175)</f>
        <v>27669.157349944384</v>
      </c>
      <c r="L176" s="1135"/>
      <c r="M176" s="1136">
        <f>SUM(M173:N175)</f>
        <v>27669.157349944384</v>
      </c>
      <c r="N176" s="1135"/>
      <c r="O176" s="1147">
        <f>SUM(O173:O175)</f>
        <v>12</v>
      </c>
      <c r="P176" s="1135"/>
      <c r="Q176" s="1147">
        <f>SUM(Q173:R175)</f>
        <v>8964.7961412841978</v>
      </c>
      <c r="R176" s="1135"/>
      <c r="S176" s="1128"/>
      <c r="T176" s="1135"/>
      <c r="U176" s="1147">
        <f ca="1">SUM(U173:U175)</f>
        <v>37172.306871281784</v>
      </c>
      <c r="V176" s="2033"/>
    </row>
    <row r="177" spans="2:22" ht="13.5" thickTop="1">
      <c r="B177" s="1109"/>
      <c r="C177" s="1132"/>
      <c r="D177" s="1133"/>
      <c r="E177" s="1132"/>
      <c r="F177" s="1133"/>
      <c r="G177" s="1124"/>
      <c r="H177" s="1133"/>
      <c r="I177" s="1679"/>
      <c r="J177" s="1133"/>
      <c r="K177" s="1125"/>
      <c r="L177" s="1133"/>
      <c r="M177" s="1125"/>
      <c r="N177" s="1133"/>
      <c r="O177" s="1127"/>
      <c r="P177" s="1133"/>
      <c r="Q177" s="1127"/>
      <c r="R177" s="1133"/>
      <c r="S177" s="1128"/>
      <c r="T177" s="1133"/>
      <c r="U177" s="1093"/>
      <c r="V177" s="2031"/>
    </row>
    <row r="178" spans="2:22" ht="13.5" thickBot="1">
      <c r="B178" s="1111" t="s">
        <v>1413</v>
      </c>
      <c r="C178" s="1132"/>
      <c r="D178" s="1133"/>
      <c r="E178" s="1132"/>
      <c r="F178" s="1133"/>
      <c r="G178" s="1124"/>
      <c r="H178" s="1133"/>
      <c r="I178" s="1679"/>
      <c r="J178" s="1133"/>
      <c r="K178" s="1125"/>
      <c r="L178" s="1133"/>
      <c r="M178" s="1138">
        <f>+M176/$E176</f>
        <v>2305.7631124953655</v>
      </c>
      <c r="N178" s="1133"/>
      <c r="O178" s="1127"/>
      <c r="P178" s="1133"/>
      <c r="Q178" s="1127"/>
      <c r="R178" s="1133"/>
      <c r="S178" s="1128"/>
      <c r="T178" s="1133"/>
      <c r="U178" s="1138">
        <f ca="1">+U176/$E176</f>
        <v>3097.6922392734818</v>
      </c>
      <c r="V178" s="2032"/>
    </row>
    <row r="179" spans="2:22" ht="13.5" thickTop="1">
      <c r="B179" s="1106" t="s">
        <v>1412</v>
      </c>
      <c r="C179" s="1124">
        <v>1924.1913391563355</v>
      </c>
      <c r="D179" s="1129"/>
      <c r="E179" s="1124"/>
      <c r="F179" s="1129"/>
      <c r="G179" s="1124"/>
      <c r="H179" s="1129"/>
      <c r="I179" s="2105"/>
      <c r="J179" s="1129"/>
      <c r="K179" s="1125"/>
      <c r="L179" s="1129"/>
      <c r="M179" s="1125"/>
      <c r="N179" s="1129"/>
      <c r="O179" s="1127"/>
      <c r="P179" s="1129"/>
      <c r="Q179" s="1127"/>
      <c r="R179" s="1129"/>
      <c r="S179" s="1128"/>
      <c r="T179" s="1129"/>
      <c r="U179" s="1131"/>
      <c r="V179" s="2028"/>
    </row>
    <row r="180" spans="2:22">
      <c r="B180" s="1141" t="s">
        <v>712</v>
      </c>
      <c r="C180" s="1124"/>
      <c r="D180" s="1133"/>
      <c r="E180" s="1124">
        <v>12</v>
      </c>
      <c r="F180" s="1133"/>
      <c r="G180" s="1124"/>
      <c r="H180" s="1133"/>
      <c r="I180" s="1680">
        <v>406.82</v>
      </c>
      <c r="J180" s="1133"/>
      <c r="K180" s="1125">
        <f>+E180*I180</f>
        <v>4881.84</v>
      </c>
      <c r="L180" s="1133"/>
      <c r="M180" s="1125">
        <f>+K180</f>
        <v>4881.84</v>
      </c>
      <c r="N180" s="1133"/>
      <c r="O180" s="1127">
        <f>+E180</f>
        <v>12</v>
      </c>
      <c r="P180" s="1133"/>
      <c r="Q180" s="1127"/>
      <c r="R180" s="1133"/>
      <c r="S180" s="1142">
        <f ca="1">'wp - t-1 COSS'!$F$19</f>
        <v>410.86</v>
      </c>
      <c r="T180" s="1133"/>
      <c r="U180" s="1143">
        <f ca="1">+O180*S180</f>
        <v>4930.32</v>
      </c>
      <c r="V180" s="2029"/>
    </row>
    <row r="181" spans="2:22">
      <c r="B181" s="1141" t="s">
        <v>713</v>
      </c>
      <c r="C181" s="1132"/>
      <c r="D181" s="1133"/>
      <c r="E181" s="1132"/>
      <c r="F181" s="1133"/>
      <c r="G181" s="1124">
        <v>442.05957276591556</v>
      </c>
      <c r="H181" s="1133"/>
      <c r="I181" s="1680">
        <v>2.76</v>
      </c>
      <c r="J181" s="1133"/>
      <c r="K181" s="1127">
        <f>+G181*I181</f>
        <v>1220.0844208339267</v>
      </c>
      <c r="L181" s="1133"/>
      <c r="M181" s="1125">
        <f t="shared" ref="M181" si="70">+K181</f>
        <v>1220.0844208339267</v>
      </c>
      <c r="N181" s="1133"/>
      <c r="O181" s="1127"/>
      <c r="P181" s="1133"/>
      <c r="Q181" s="1127">
        <f>+G181</f>
        <v>442.05957276591556</v>
      </c>
      <c r="R181" s="1133"/>
      <c r="S181" s="2114">
        <f ca="1">'wp - t-1 COSS'!$F$37</f>
        <v>3.8170000000000002</v>
      </c>
      <c r="T181" s="1133"/>
      <c r="U181" s="1143">
        <f ca="1">+Q181*S181</f>
        <v>1687.3413892474998</v>
      </c>
      <c r="V181" s="2029"/>
    </row>
    <row r="182" spans="2:22" ht="13.5" thickBot="1">
      <c r="B182" s="1109" t="s">
        <v>1411</v>
      </c>
      <c r="C182" s="1134">
        <f>SUM(C178:C181)</f>
        <v>1924.1913391563355</v>
      </c>
      <c r="D182" s="1135"/>
      <c r="E182" s="1134">
        <f>SUM(E178:E181)</f>
        <v>12</v>
      </c>
      <c r="F182" s="1135"/>
      <c r="G182" s="1134">
        <f>SUM(G179:G181)</f>
        <v>442.05957276591556</v>
      </c>
      <c r="H182" s="1135"/>
      <c r="I182" s="1678"/>
      <c r="J182" s="1135"/>
      <c r="K182" s="1136">
        <f>SUM(K179:L181)</f>
        <v>6101.9244208339269</v>
      </c>
      <c r="L182" s="1135"/>
      <c r="M182" s="1136">
        <f>SUM(M179:N181)</f>
        <v>6101.9244208339269</v>
      </c>
      <c r="N182" s="1135"/>
      <c r="O182" s="1147">
        <f>SUM(O179:O181)</f>
        <v>12</v>
      </c>
      <c r="P182" s="1135"/>
      <c r="Q182" s="1147">
        <f>SUM(Q179:Q181)</f>
        <v>442.05957276591556</v>
      </c>
      <c r="R182" s="1135"/>
      <c r="S182" s="1128"/>
      <c r="T182" s="1135"/>
      <c r="U182" s="1147">
        <f ca="1">SUM(U179:U181)</f>
        <v>6617.6613892474998</v>
      </c>
      <c r="V182" s="2033"/>
    </row>
    <row r="183" spans="2:22" ht="13.5" thickTop="1">
      <c r="B183" s="1109"/>
      <c r="C183" s="1132"/>
      <c r="D183" s="1133"/>
      <c r="E183" s="1132"/>
      <c r="F183" s="1133"/>
      <c r="G183" s="1124"/>
      <c r="H183" s="1133"/>
      <c r="I183" s="1679"/>
      <c r="J183" s="1133"/>
      <c r="K183" s="1125"/>
      <c r="L183" s="1133"/>
      <c r="M183" s="1125"/>
      <c r="N183" s="1133"/>
      <c r="O183" s="1127"/>
      <c r="P183" s="1133"/>
      <c r="Q183" s="1127"/>
      <c r="R183" s="1133"/>
      <c r="S183" s="1128"/>
      <c r="T183" s="1133"/>
      <c r="U183" s="1093"/>
      <c r="V183" s="2031"/>
    </row>
    <row r="184" spans="2:22" ht="13.5" thickBot="1">
      <c r="B184" s="1111" t="s">
        <v>1410</v>
      </c>
      <c r="C184" s="1132"/>
      <c r="D184" s="1133"/>
      <c r="E184" s="1132"/>
      <c r="F184" s="1133"/>
      <c r="G184" s="1124"/>
      <c r="H184" s="1133"/>
      <c r="I184" s="1679"/>
      <c r="J184" s="1133"/>
      <c r="K184" s="1125"/>
      <c r="L184" s="1133"/>
      <c r="M184" s="1138">
        <f>+M182/$E182</f>
        <v>508.49370173616057</v>
      </c>
      <c r="N184" s="1133"/>
      <c r="O184" s="1127"/>
      <c r="P184" s="1133"/>
      <c r="Q184" s="1127"/>
      <c r="R184" s="1133"/>
      <c r="S184" s="1128"/>
      <c r="T184" s="1133"/>
      <c r="U184" s="1138">
        <f ca="1">+U182/$E182</f>
        <v>551.47178243729161</v>
      </c>
      <c r="V184" s="2032"/>
    </row>
    <row r="185" spans="2:22" ht="13.5" thickTop="1">
      <c r="B185" s="1106" t="s">
        <v>1409</v>
      </c>
      <c r="C185" s="1124">
        <v>369.92026082814999</v>
      </c>
      <c r="D185" s="1129"/>
      <c r="E185" s="1124"/>
      <c r="F185" s="1129"/>
      <c r="G185" s="1124"/>
      <c r="H185" s="1129"/>
      <c r="I185" s="2105"/>
      <c r="J185" s="1129"/>
      <c r="K185" s="1125"/>
      <c r="L185" s="1129"/>
      <c r="M185" s="1125"/>
      <c r="N185" s="1129"/>
      <c r="O185" s="1127"/>
      <c r="P185" s="1129"/>
      <c r="Q185" s="1127"/>
      <c r="R185" s="1129"/>
      <c r="S185" s="1128"/>
      <c r="T185" s="1129"/>
      <c r="U185" s="1131"/>
      <c r="V185" s="2028"/>
    </row>
    <row r="186" spans="2:22">
      <c r="B186" s="1141" t="s">
        <v>712</v>
      </c>
      <c r="C186" s="1124"/>
      <c r="D186" s="1133"/>
      <c r="E186" s="1124">
        <v>12</v>
      </c>
      <c r="F186" s="1133"/>
      <c r="G186" s="1124"/>
      <c r="H186" s="1133"/>
      <c r="I186" s="1680">
        <v>406.82</v>
      </c>
      <c r="J186" s="1133"/>
      <c r="K186" s="1125">
        <f>+E186*I186</f>
        <v>4881.84</v>
      </c>
      <c r="L186" s="1133"/>
      <c r="M186" s="1125">
        <f>+K186</f>
        <v>4881.84</v>
      </c>
      <c r="N186" s="1133"/>
      <c r="O186" s="1127">
        <f>+E186</f>
        <v>12</v>
      </c>
      <c r="P186" s="1133"/>
      <c r="Q186" s="1127"/>
      <c r="R186" s="1133"/>
      <c r="S186" s="1142">
        <f ca="1">'wp - t-1 COSS'!$F$19</f>
        <v>410.86</v>
      </c>
      <c r="T186" s="1133"/>
      <c r="U186" s="1143">
        <f ca="1">+O186*S186</f>
        <v>4930.32</v>
      </c>
      <c r="V186" s="2029"/>
    </row>
    <row r="187" spans="2:22">
      <c r="B187" s="1141" t="s">
        <v>713</v>
      </c>
      <c r="C187" s="1132"/>
      <c r="D187" s="1133"/>
      <c r="E187" s="1132"/>
      <c r="F187" s="1133"/>
      <c r="G187" s="1124">
        <v>0</v>
      </c>
      <c r="H187" s="1133"/>
      <c r="I187" s="1680">
        <v>2.76</v>
      </c>
      <c r="J187" s="1133"/>
      <c r="K187" s="1125">
        <f>+G187*I187</f>
        <v>0</v>
      </c>
      <c r="L187" s="1133"/>
      <c r="M187" s="1125">
        <f t="shared" ref="M187" si="71">+K187</f>
        <v>0</v>
      </c>
      <c r="N187" s="1133"/>
      <c r="O187" s="1127"/>
      <c r="P187" s="1133"/>
      <c r="Q187" s="1127">
        <f>+G187</f>
        <v>0</v>
      </c>
      <c r="R187" s="1133"/>
      <c r="S187" s="2114">
        <f ca="1">'wp - t-1 COSS'!$F$37</f>
        <v>3.8170000000000002</v>
      </c>
      <c r="T187" s="1133"/>
      <c r="U187" s="1143">
        <f ca="1">+Q187*S187</f>
        <v>0</v>
      </c>
      <c r="V187" s="2029"/>
    </row>
    <row r="188" spans="2:22" ht="13.5" thickBot="1">
      <c r="B188" s="1109" t="s">
        <v>1408</v>
      </c>
      <c r="C188" s="1134">
        <f>SUM(C185:C187)</f>
        <v>369.92026082814999</v>
      </c>
      <c r="D188" s="1135"/>
      <c r="E188" s="1134">
        <f>SUM(E185:E187)</f>
        <v>12</v>
      </c>
      <c r="F188" s="1135"/>
      <c r="G188" s="1134">
        <f>SUM(G185:H187)</f>
        <v>0</v>
      </c>
      <c r="H188" s="1135"/>
      <c r="I188" s="1678"/>
      <c r="J188" s="1135"/>
      <c r="K188" s="1136">
        <f>SUM(K185:L187)</f>
        <v>4881.84</v>
      </c>
      <c r="L188" s="1135"/>
      <c r="M188" s="1136">
        <f>SUM(M185:N187)</f>
        <v>4881.84</v>
      </c>
      <c r="N188" s="1135"/>
      <c r="O188" s="1137">
        <f>SUM(O185:O187)</f>
        <v>12</v>
      </c>
      <c r="P188" s="1135"/>
      <c r="Q188" s="1137">
        <f>SUM(Q185:Q187)</f>
        <v>0</v>
      </c>
      <c r="R188" s="1135"/>
      <c r="S188" s="1128"/>
      <c r="T188" s="1135"/>
      <c r="U188" s="1136">
        <f ca="1">SUM(U185:U187)</f>
        <v>4930.32</v>
      </c>
      <c r="V188" s="2030"/>
    </row>
    <row r="189" spans="2:22" ht="13.5" thickTop="1">
      <c r="B189" s="1109"/>
      <c r="C189" s="1132"/>
      <c r="D189" s="1133"/>
      <c r="E189" s="1132"/>
      <c r="F189" s="1133"/>
      <c r="G189" s="1124"/>
      <c r="H189" s="1133"/>
      <c r="I189" s="1679"/>
      <c r="J189" s="1133"/>
      <c r="K189" s="1125"/>
      <c r="L189" s="1133"/>
      <c r="M189" s="1125"/>
      <c r="N189" s="1133"/>
      <c r="O189" s="1127"/>
      <c r="P189" s="1133"/>
      <c r="Q189" s="1127"/>
      <c r="R189" s="1133"/>
      <c r="S189" s="1128"/>
      <c r="T189" s="1133"/>
      <c r="U189" s="1093"/>
      <c r="V189" s="2031"/>
    </row>
    <row r="190" spans="2:22" ht="13.5" thickBot="1">
      <c r="B190" s="1111" t="s">
        <v>1407</v>
      </c>
      <c r="C190" s="1132"/>
      <c r="D190" s="1133"/>
      <c r="E190" s="1132"/>
      <c r="F190" s="1133"/>
      <c r="G190" s="1124"/>
      <c r="H190" s="1133"/>
      <c r="I190" s="1679"/>
      <c r="J190" s="1133"/>
      <c r="K190" s="1125"/>
      <c r="L190" s="1133"/>
      <c r="M190" s="1138">
        <f>+M188/$E188</f>
        <v>406.82</v>
      </c>
      <c r="N190" s="1133"/>
      <c r="O190" s="1127"/>
      <c r="P190" s="1133"/>
      <c r="Q190" s="1127"/>
      <c r="R190" s="1133"/>
      <c r="S190" s="1128"/>
      <c r="T190" s="1133"/>
      <c r="U190" s="1138">
        <f ca="1">+U188/$E188</f>
        <v>410.85999999999996</v>
      </c>
      <c r="V190" s="2032"/>
    </row>
    <row r="191" spans="2:22" ht="13.5" thickTop="1">
      <c r="B191" s="1106" t="s">
        <v>1406</v>
      </c>
      <c r="C191" s="1124">
        <v>1523.4604998290474</v>
      </c>
      <c r="D191" s="1129"/>
      <c r="E191" s="1124"/>
      <c r="F191" s="1129"/>
      <c r="G191" s="1124"/>
      <c r="H191" s="1129"/>
      <c r="I191" s="2105"/>
      <c r="J191" s="1129"/>
      <c r="K191" s="1125"/>
      <c r="L191" s="1129"/>
      <c r="M191" s="1125"/>
      <c r="N191" s="1129"/>
      <c r="O191" s="1127"/>
      <c r="P191" s="1129"/>
      <c r="Q191" s="1127"/>
      <c r="R191" s="1129"/>
      <c r="S191" s="1128"/>
      <c r="T191" s="1129"/>
      <c r="U191" s="1131"/>
      <c r="V191" s="2028"/>
    </row>
    <row r="192" spans="2:22">
      <c r="B192" s="1141" t="s">
        <v>712</v>
      </c>
      <c r="C192" s="1124"/>
      <c r="D192" s="1133"/>
      <c r="E192" s="1124">
        <v>12</v>
      </c>
      <c r="F192" s="1133"/>
      <c r="G192" s="1124"/>
      <c r="H192" s="1133"/>
      <c r="I192" s="1680">
        <v>406.82</v>
      </c>
      <c r="J192" s="1133"/>
      <c r="K192" s="1125">
        <f>+E192*I192</f>
        <v>4881.84</v>
      </c>
      <c r="L192" s="1133"/>
      <c r="M192" s="1125">
        <f>+K192</f>
        <v>4881.84</v>
      </c>
      <c r="N192" s="1133"/>
      <c r="O192" s="1127">
        <f>+E192</f>
        <v>12</v>
      </c>
      <c r="P192" s="1133"/>
      <c r="Q192" s="1127"/>
      <c r="R192" s="1133"/>
      <c r="S192" s="1142">
        <f ca="1">'wp - t-1 COSS'!$F$19</f>
        <v>410.86</v>
      </c>
      <c r="T192" s="1133"/>
      <c r="U192" s="1143">
        <f ca="1">+O192*S192</f>
        <v>4930.32</v>
      </c>
      <c r="V192" s="2029"/>
    </row>
    <row r="193" spans="2:22">
      <c r="B193" s="1141" t="s">
        <v>713</v>
      </c>
      <c r="C193" s="1132"/>
      <c r="D193" s="1133"/>
      <c r="E193" s="1132"/>
      <c r="F193" s="1133"/>
      <c r="G193" s="1124">
        <v>158.81287478956239</v>
      </c>
      <c r="H193" s="1133"/>
      <c r="I193" s="1680">
        <v>2.76</v>
      </c>
      <c r="J193" s="1133"/>
      <c r="K193" s="1127">
        <f>+G193*I193</f>
        <v>438.32353441919213</v>
      </c>
      <c r="L193" s="1133"/>
      <c r="M193" s="1125">
        <f t="shared" ref="M193" si="72">+K193</f>
        <v>438.32353441919213</v>
      </c>
      <c r="N193" s="1133"/>
      <c r="O193" s="1127"/>
      <c r="P193" s="1133"/>
      <c r="Q193" s="1127">
        <f>+G193</f>
        <v>158.81287478956239</v>
      </c>
      <c r="R193" s="1133"/>
      <c r="S193" s="2114">
        <f ca="1">'wp - t-1 COSS'!$F$37</f>
        <v>3.8170000000000002</v>
      </c>
      <c r="T193" s="1133"/>
      <c r="U193" s="1143">
        <f ca="1">+Q193*S193</f>
        <v>606.18874307175963</v>
      </c>
      <c r="V193" s="2029"/>
    </row>
    <row r="194" spans="2:22" ht="13.5" thickBot="1">
      <c r="B194" s="1109" t="s">
        <v>1405</v>
      </c>
      <c r="C194" s="1134">
        <f>SUM(C191:C193)</f>
        <v>1523.4604998290474</v>
      </c>
      <c r="D194" s="1135"/>
      <c r="E194" s="1134">
        <f>SUM(E191:E193)</f>
        <v>12</v>
      </c>
      <c r="F194" s="1135"/>
      <c r="G194" s="1134">
        <f>SUM(G191:G193)</f>
        <v>158.81287478956239</v>
      </c>
      <c r="H194" s="1135"/>
      <c r="I194" s="1678"/>
      <c r="J194" s="1135"/>
      <c r="K194" s="1136">
        <f>SUM(K191:K193)</f>
        <v>5320.1635344191927</v>
      </c>
      <c r="L194" s="1135"/>
      <c r="M194" s="1136">
        <f>SUM(M191:N193)</f>
        <v>5320.1635344191927</v>
      </c>
      <c r="N194" s="1135"/>
      <c r="O194" s="1137">
        <f>SUM(O191:O193)</f>
        <v>12</v>
      </c>
      <c r="P194" s="1135"/>
      <c r="Q194" s="1137">
        <f>SUM(Q191:Q193)</f>
        <v>158.81287478956239</v>
      </c>
      <c r="R194" s="1135"/>
      <c r="S194" s="1128"/>
      <c r="T194" s="1135"/>
      <c r="U194" s="1136">
        <f ca="1">SUM(U191:U193)</f>
        <v>5536.5087430717595</v>
      </c>
      <c r="V194" s="2030"/>
    </row>
    <row r="195" spans="2:22" ht="13.5" thickTop="1">
      <c r="B195" s="1109"/>
      <c r="C195" s="1132"/>
      <c r="D195" s="1133"/>
      <c r="E195" s="1132"/>
      <c r="F195" s="1133"/>
      <c r="G195" s="1124"/>
      <c r="H195" s="1133"/>
      <c r="I195" s="1679"/>
      <c r="J195" s="1133"/>
      <c r="K195" s="1125"/>
      <c r="L195" s="1133"/>
      <c r="M195" s="1125"/>
      <c r="N195" s="1133"/>
      <c r="O195" s="1127"/>
      <c r="P195" s="1133"/>
      <c r="Q195" s="1127"/>
      <c r="R195" s="1133"/>
      <c r="S195" s="1128"/>
      <c r="T195" s="1133"/>
      <c r="U195" s="1093"/>
      <c r="V195" s="2031"/>
    </row>
    <row r="196" spans="2:22" ht="13.5" thickBot="1">
      <c r="B196" s="1111" t="s">
        <v>1404</v>
      </c>
      <c r="C196" s="1132"/>
      <c r="D196" s="1133"/>
      <c r="E196" s="1132"/>
      <c r="F196" s="1133"/>
      <c r="G196" s="1124"/>
      <c r="H196" s="1133"/>
      <c r="I196" s="1679"/>
      <c r="J196" s="1133"/>
      <c r="K196" s="1125"/>
      <c r="L196" s="1133"/>
      <c r="M196" s="1138">
        <f>+M194/$E194</f>
        <v>443.34696120159941</v>
      </c>
      <c r="N196" s="1133"/>
      <c r="O196" s="1127"/>
      <c r="P196" s="1133"/>
      <c r="Q196" s="1127"/>
      <c r="R196" s="1133"/>
      <c r="S196" s="1128"/>
      <c r="T196" s="1133"/>
      <c r="U196" s="1138">
        <f ca="1">+U194/$E194</f>
        <v>461.37572858931327</v>
      </c>
      <c r="V196" s="2032"/>
    </row>
    <row r="197" spans="2:22" ht="13.5" thickTop="1">
      <c r="B197" s="1106" t="s">
        <v>1403</v>
      </c>
      <c r="C197" s="1124">
        <v>1670.3282685777397</v>
      </c>
      <c r="D197" s="1129"/>
      <c r="E197" s="1124"/>
      <c r="F197" s="1129"/>
      <c r="G197" s="1124"/>
      <c r="H197" s="1129"/>
      <c r="I197" s="2105"/>
      <c r="J197" s="1129"/>
      <c r="K197" s="1125"/>
      <c r="L197" s="1129"/>
      <c r="M197" s="1125"/>
      <c r="N197" s="1129"/>
      <c r="O197" s="1127"/>
      <c r="P197" s="1129"/>
      <c r="Q197" s="1127"/>
      <c r="R197" s="1129"/>
      <c r="S197" s="1128"/>
      <c r="T197" s="1129"/>
      <c r="U197" s="1131"/>
      <c r="V197" s="2028"/>
    </row>
    <row r="198" spans="2:22">
      <c r="B198" s="1141" t="s">
        <v>462</v>
      </c>
      <c r="C198" s="1124"/>
      <c r="D198" s="1133"/>
      <c r="E198" s="1124">
        <v>24</v>
      </c>
      <c r="F198" s="1133"/>
      <c r="G198" s="1124"/>
      <c r="H198" s="1133"/>
      <c r="I198" s="1680">
        <v>831.52</v>
      </c>
      <c r="J198" s="1133"/>
      <c r="K198" s="1125">
        <f>+E198*I198</f>
        <v>19956.48</v>
      </c>
      <c r="L198" s="1133"/>
      <c r="M198" s="1125">
        <f>+K198</f>
        <v>19956.48</v>
      </c>
      <c r="N198" s="1133"/>
      <c r="O198" s="1127">
        <f>+E198</f>
        <v>24</v>
      </c>
      <c r="P198" s="1133"/>
      <c r="Q198" s="1127"/>
      <c r="R198" s="1133"/>
      <c r="S198" s="1142">
        <f ca="1">'wp - t-1 COSS'!$F$20</f>
        <v>822.66</v>
      </c>
      <c r="T198" s="1133"/>
      <c r="U198" s="1143">
        <f ca="1">+O198*S198</f>
        <v>19743.84</v>
      </c>
      <c r="V198" s="2029"/>
    </row>
    <row r="199" spans="2:22">
      <c r="B199" s="1148" t="s">
        <v>710</v>
      </c>
      <c r="C199" s="1132"/>
      <c r="D199" s="1133"/>
      <c r="E199" s="1132"/>
      <c r="F199" s="1133"/>
      <c r="G199" s="1124">
        <v>0</v>
      </c>
      <c r="H199" s="1133"/>
      <c r="I199" s="1680">
        <v>2.76</v>
      </c>
      <c r="J199" s="1133"/>
      <c r="K199" s="1127">
        <f>+G199*I199</f>
        <v>0</v>
      </c>
      <c r="L199" s="1133"/>
      <c r="M199" s="1125">
        <f t="shared" ref="M199" si="73">+K199</f>
        <v>0</v>
      </c>
      <c r="N199" s="1133"/>
      <c r="O199" s="1127"/>
      <c r="P199" s="1133"/>
      <c r="Q199" s="1127">
        <f>+G199</f>
        <v>0</v>
      </c>
      <c r="R199" s="1133"/>
      <c r="S199" s="2114">
        <f ca="1">'wp - t-1 COSS'!$F$38</f>
        <v>3.8170000000000002</v>
      </c>
      <c r="T199" s="1133"/>
      <c r="U199" s="1143">
        <f ca="1">+Q199*S199</f>
        <v>0</v>
      </c>
      <c r="V199" s="2029"/>
    </row>
    <row r="200" spans="2:22" ht="13.5" thickBot="1">
      <c r="B200" s="1109" t="s">
        <v>1402</v>
      </c>
      <c r="C200" s="1134">
        <f>SUM(C197:C199)</f>
        <v>1670.3282685777397</v>
      </c>
      <c r="D200" s="1135"/>
      <c r="E200" s="1134">
        <f>SUM(E197:E199)</f>
        <v>24</v>
      </c>
      <c r="F200" s="1135"/>
      <c r="G200" s="1134">
        <f>SUM(G197:G199)</f>
        <v>0</v>
      </c>
      <c r="H200" s="1135"/>
      <c r="I200" s="1678"/>
      <c r="J200" s="1135"/>
      <c r="K200" s="1136">
        <f>SUM(K198:L199)</f>
        <v>19956.48</v>
      </c>
      <c r="L200" s="1135"/>
      <c r="M200" s="1136">
        <f>SUM(M198:N199)</f>
        <v>19956.48</v>
      </c>
      <c r="N200" s="1135"/>
      <c r="O200" s="1134">
        <f>SUM(O197:O199)</f>
        <v>24</v>
      </c>
      <c r="P200" s="1135"/>
      <c r="Q200" s="1134">
        <f>SUM(Q197:Q199)</f>
        <v>0</v>
      </c>
      <c r="R200" s="1135"/>
      <c r="S200" s="1128"/>
      <c r="T200" s="1135"/>
      <c r="U200" s="1136">
        <f ca="1">SUM(U198:U199)</f>
        <v>19743.84</v>
      </c>
      <c r="V200" s="2030"/>
    </row>
    <row r="201" spans="2:22" ht="13.5" thickTop="1">
      <c r="B201" s="1109"/>
      <c r="C201" s="1132"/>
      <c r="D201" s="1133"/>
      <c r="E201" s="1132"/>
      <c r="F201" s="1133"/>
      <c r="G201" s="1124"/>
      <c r="H201" s="1133"/>
      <c r="I201" s="1679"/>
      <c r="J201" s="1133"/>
      <c r="K201" s="1125"/>
      <c r="L201" s="1133"/>
      <c r="M201" s="1125"/>
      <c r="N201" s="1133"/>
      <c r="O201" s="1127"/>
      <c r="P201" s="1133"/>
      <c r="Q201" s="1127"/>
      <c r="R201" s="1133"/>
      <c r="S201" s="1128"/>
      <c r="T201" s="1133"/>
      <c r="U201" s="1093"/>
      <c r="V201" s="2031"/>
    </row>
    <row r="202" spans="2:22" ht="13.5" thickBot="1">
      <c r="B202" s="1111" t="s">
        <v>1401</v>
      </c>
      <c r="C202" s="1132"/>
      <c r="D202" s="1133"/>
      <c r="E202" s="1132"/>
      <c r="F202" s="1133"/>
      <c r="G202" s="1124"/>
      <c r="H202" s="1133"/>
      <c r="I202" s="1679"/>
      <c r="J202" s="1133"/>
      <c r="K202" s="1125"/>
      <c r="L202" s="1133"/>
      <c r="M202" s="1138">
        <f>+M200/$E200</f>
        <v>831.52</v>
      </c>
      <c r="N202" s="1133"/>
      <c r="O202" s="1127"/>
      <c r="P202" s="1133"/>
      <c r="Q202" s="1127"/>
      <c r="R202" s="1133"/>
      <c r="S202" s="1128"/>
      <c r="T202" s="1133"/>
      <c r="U202" s="1138">
        <f ca="1">+U200/$E200</f>
        <v>822.66</v>
      </c>
      <c r="V202" s="2032"/>
    </row>
    <row r="203" spans="2:22" ht="13.5" thickTop="1">
      <c r="B203" s="1106" t="s">
        <v>1400</v>
      </c>
      <c r="C203" s="1124">
        <v>42536.620797858392</v>
      </c>
      <c r="D203" s="1129"/>
      <c r="E203" s="1124"/>
      <c r="F203" s="1129"/>
      <c r="G203" s="1124"/>
      <c r="H203" s="1129"/>
      <c r="I203" s="2105"/>
      <c r="J203" s="1129"/>
      <c r="K203" s="1125"/>
      <c r="L203" s="1129"/>
      <c r="M203" s="1125"/>
      <c r="N203" s="1129"/>
      <c r="O203" s="1127"/>
      <c r="P203" s="1129"/>
      <c r="Q203" s="1127"/>
      <c r="R203" s="1129"/>
      <c r="S203" s="1128"/>
      <c r="T203" s="1129"/>
      <c r="U203" s="1131"/>
      <c r="V203" s="2028"/>
    </row>
    <row r="204" spans="2:22">
      <c r="B204" s="1141" t="s">
        <v>462</v>
      </c>
      <c r="C204" s="1124"/>
      <c r="D204" s="1133"/>
      <c r="E204" s="1124">
        <v>12</v>
      </c>
      <c r="F204" s="1133"/>
      <c r="G204" s="1124"/>
      <c r="H204" s="1133"/>
      <c r="I204" s="1680">
        <v>831.52</v>
      </c>
      <c r="J204" s="1133"/>
      <c r="K204" s="1125">
        <f>+E204*I204</f>
        <v>9978.24</v>
      </c>
      <c r="L204" s="1133"/>
      <c r="M204" s="1125">
        <f>+K204</f>
        <v>9978.24</v>
      </c>
      <c r="N204" s="1133"/>
      <c r="O204" s="1127">
        <f>+E204</f>
        <v>12</v>
      </c>
      <c r="P204" s="1133"/>
      <c r="Q204" s="1127"/>
      <c r="R204" s="1133"/>
      <c r="S204" s="1142">
        <f ca="1">'wp - t-1 COSS'!$F$20</f>
        <v>822.66</v>
      </c>
      <c r="T204" s="1133"/>
      <c r="U204" s="1143">
        <f ca="1">+O204*S204</f>
        <v>9871.92</v>
      </c>
      <c r="V204" s="2029"/>
    </row>
    <row r="205" spans="2:22">
      <c r="B205" s="1148" t="s">
        <v>710</v>
      </c>
      <c r="C205" s="1132"/>
      <c r="D205" s="1133"/>
      <c r="E205" s="1132"/>
      <c r="F205" s="1133"/>
      <c r="G205" s="1124">
        <v>39158.620797858392</v>
      </c>
      <c r="H205" s="1133"/>
      <c r="I205" s="1680">
        <v>2.76</v>
      </c>
      <c r="J205" s="1133"/>
      <c r="K205" s="1127">
        <f>+G205*I205</f>
        <v>108077.79340208916</v>
      </c>
      <c r="L205" s="1133"/>
      <c r="M205" s="1125">
        <f t="shared" ref="M205" si="74">+K205</f>
        <v>108077.79340208916</v>
      </c>
      <c r="N205" s="1133"/>
      <c r="O205" s="1127"/>
      <c r="P205" s="1133"/>
      <c r="Q205" s="1127">
        <f>+G205</f>
        <v>39158.620797858392</v>
      </c>
      <c r="R205" s="1133"/>
      <c r="S205" s="2114">
        <f ca="1">'wp - t-1 COSS'!$F$38</f>
        <v>3.8170000000000002</v>
      </c>
      <c r="T205" s="1133"/>
      <c r="U205" s="1143">
        <f ca="1">+Q205*S205</f>
        <v>149468.45558542549</v>
      </c>
      <c r="V205" s="2029"/>
    </row>
    <row r="206" spans="2:22" ht="13.5" thickBot="1">
      <c r="B206" s="1109" t="s">
        <v>1399</v>
      </c>
      <c r="C206" s="1134">
        <f>SUM(C203:C205)</f>
        <v>42536.620797858392</v>
      </c>
      <c r="D206" s="1135"/>
      <c r="E206" s="1134">
        <f>SUM(E203:E205)</f>
        <v>12</v>
      </c>
      <c r="F206" s="1135"/>
      <c r="G206" s="1134">
        <f>SUM(G203:H205)</f>
        <v>39158.620797858392</v>
      </c>
      <c r="H206" s="1135"/>
      <c r="I206" s="1678"/>
      <c r="J206" s="1135"/>
      <c r="K206" s="1136">
        <f>SUM(K204:K205)</f>
        <v>118056.03340208916</v>
      </c>
      <c r="L206" s="1135"/>
      <c r="M206" s="1136">
        <f>SUM(M204:M205)</f>
        <v>118056.03340208916</v>
      </c>
      <c r="N206" s="1135"/>
      <c r="O206" s="1134">
        <f>SUM(O203:O205)</f>
        <v>12</v>
      </c>
      <c r="P206" s="1135"/>
      <c r="Q206" s="1134">
        <f>SUM(Q203:Q205)</f>
        <v>39158.620797858392</v>
      </c>
      <c r="R206" s="1135"/>
      <c r="S206" s="1128"/>
      <c r="T206" s="1135"/>
      <c r="U206" s="1136">
        <f ca="1">SUM(U204:U205)</f>
        <v>159340.3755854255</v>
      </c>
      <c r="V206" s="2030"/>
    </row>
    <row r="207" spans="2:22" ht="13.5" thickTop="1">
      <c r="B207" s="1109"/>
      <c r="C207" s="1132"/>
      <c r="D207" s="1133"/>
      <c r="E207" s="1132"/>
      <c r="F207" s="1133"/>
      <c r="G207" s="1124"/>
      <c r="H207" s="1133"/>
      <c r="I207" s="1679"/>
      <c r="J207" s="1133"/>
      <c r="K207" s="1125"/>
      <c r="L207" s="1133"/>
      <c r="M207" s="1125"/>
      <c r="N207" s="1133"/>
      <c r="O207" s="1127"/>
      <c r="P207" s="1133"/>
      <c r="Q207" s="1127"/>
      <c r="R207" s="1133"/>
      <c r="S207" s="1128"/>
      <c r="T207" s="1133"/>
      <c r="U207" s="1093"/>
      <c r="V207" s="2031"/>
    </row>
    <row r="208" spans="2:22" ht="13.5" thickBot="1">
      <c r="B208" s="1111" t="s">
        <v>1398</v>
      </c>
      <c r="C208" s="1132"/>
      <c r="D208" s="1133"/>
      <c r="E208" s="1132"/>
      <c r="F208" s="1133"/>
      <c r="G208" s="1124"/>
      <c r="H208" s="1133"/>
      <c r="I208" s="1679"/>
      <c r="J208" s="1133"/>
      <c r="K208" s="1125"/>
      <c r="L208" s="1133"/>
      <c r="M208" s="1138">
        <f>+M206/$E206</f>
        <v>9838.0027835074306</v>
      </c>
      <c r="N208" s="1133"/>
      <c r="O208" s="1127"/>
      <c r="P208" s="1133"/>
      <c r="Q208" s="1127"/>
      <c r="R208" s="1133"/>
      <c r="S208" s="1128"/>
      <c r="T208" s="1133"/>
      <c r="U208" s="1138">
        <f ca="1">+U206/$E206</f>
        <v>13278.364632118792</v>
      </c>
      <c r="V208" s="2032"/>
    </row>
    <row r="209" spans="2:22" ht="13.5" thickTop="1">
      <c r="B209" s="1106"/>
      <c r="C209" s="1132"/>
      <c r="D209" s="1133"/>
      <c r="E209" s="1132"/>
      <c r="F209" s="1133"/>
      <c r="G209" s="1124"/>
      <c r="H209" s="1133"/>
      <c r="I209" s="1679"/>
      <c r="J209" s="1133"/>
      <c r="K209" s="1125"/>
      <c r="L209" s="1133"/>
      <c r="M209" s="1125"/>
      <c r="N209" s="1133"/>
      <c r="O209" s="1127"/>
      <c r="P209" s="1133"/>
      <c r="Q209" s="1127"/>
      <c r="R209" s="1133"/>
      <c r="S209" s="1128"/>
      <c r="T209" s="1133"/>
      <c r="U209" s="1131"/>
      <c r="V209" s="2028"/>
    </row>
    <row r="210" spans="2:22">
      <c r="B210" s="1601" t="s">
        <v>2391</v>
      </c>
      <c r="C210" s="1132">
        <v>0</v>
      </c>
      <c r="D210" s="1133"/>
      <c r="E210" s="1132">
        <v>12</v>
      </c>
      <c r="F210" s="1133"/>
      <c r="G210" s="1124">
        <v>0</v>
      </c>
      <c r="H210" s="1133"/>
      <c r="I210" s="1680">
        <v>20.73</v>
      </c>
      <c r="J210" s="1133"/>
      <c r="K210" s="1125">
        <f>E210*I210*V210</f>
        <v>248.76</v>
      </c>
      <c r="L210" s="1133"/>
      <c r="M210" s="1125">
        <f t="shared" ref="M210" si="75">+K210</f>
        <v>248.76</v>
      </c>
      <c r="N210" s="1133"/>
      <c r="O210" s="1127">
        <f>+E210</f>
        <v>12</v>
      </c>
      <c r="P210" s="1133"/>
      <c r="Q210" s="1127">
        <f t="shared" ref="Q210" si="76">+G210</f>
        <v>0</v>
      </c>
      <c r="R210" s="1133"/>
      <c r="S210" s="1142">
        <f t="shared" ref="S210" ca="1" si="77">+I210*(1+$X$5)</f>
        <v>25.832786214997412</v>
      </c>
      <c r="T210" s="1133"/>
      <c r="U210" s="1143">
        <f ca="1">+O210*S210*V210</f>
        <v>309.99343457996895</v>
      </c>
      <c r="V210" s="2029">
        <v>1</v>
      </c>
    </row>
    <row r="211" spans="2:22" ht="13.5" thickBot="1">
      <c r="B211" s="1109" t="s">
        <v>2394</v>
      </c>
      <c r="C211" s="1134">
        <f>SUM(C210)</f>
        <v>0</v>
      </c>
      <c r="D211" s="1133"/>
      <c r="E211" s="1134">
        <f>SUM(E210)</f>
        <v>12</v>
      </c>
      <c r="F211" s="1133"/>
      <c r="G211" s="1134">
        <f>SUM(G210)</f>
        <v>0</v>
      </c>
      <c r="H211" s="1133"/>
      <c r="I211" s="1679"/>
      <c r="J211" s="1133"/>
      <c r="K211" s="1136">
        <f>K210</f>
        <v>248.76</v>
      </c>
      <c r="L211" s="1133"/>
      <c r="M211" s="1136">
        <f>+M210</f>
        <v>248.76</v>
      </c>
      <c r="N211" s="1133"/>
      <c r="O211" s="1137">
        <f>+O210</f>
        <v>12</v>
      </c>
      <c r="P211" s="1133"/>
      <c r="Q211" s="1137">
        <f>+Q210</f>
        <v>0</v>
      </c>
      <c r="R211" s="1133"/>
      <c r="S211" s="1128"/>
      <c r="T211" s="1133"/>
      <c r="U211" s="1136">
        <f ca="1">+U210</f>
        <v>309.99343457996895</v>
      </c>
      <c r="V211" s="2030"/>
    </row>
    <row r="212" spans="2:22" ht="13.5" thickTop="1">
      <c r="B212" s="1601"/>
      <c r="C212" s="1132"/>
      <c r="D212" s="1133"/>
      <c r="E212" s="1132"/>
      <c r="F212" s="1133"/>
      <c r="G212" s="1124"/>
      <c r="H212" s="1133"/>
      <c r="I212" s="1679"/>
      <c r="J212" s="1133"/>
      <c r="K212" s="1125"/>
      <c r="L212" s="1133"/>
      <c r="M212" s="1125"/>
      <c r="N212" s="1133"/>
      <c r="O212" s="1127"/>
      <c r="P212" s="1133"/>
      <c r="Q212" s="1127"/>
      <c r="R212" s="1133"/>
      <c r="S212" s="1128"/>
      <c r="T212" s="1133"/>
      <c r="U212" s="1131"/>
      <c r="V212" s="2028"/>
    </row>
    <row r="213" spans="2:22" ht="13.5" thickBot="1">
      <c r="B213" s="1111" t="s">
        <v>2395</v>
      </c>
      <c r="C213" s="1132"/>
      <c r="D213" s="1133"/>
      <c r="E213" s="1132"/>
      <c r="F213" s="1133"/>
      <c r="G213" s="1124"/>
      <c r="H213" s="1133"/>
      <c r="I213" s="1679"/>
      <c r="J213" s="1133"/>
      <c r="K213" s="1125"/>
      <c r="L213" s="1133"/>
      <c r="M213" s="1138">
        <f>+M211/$E211</f>
        <v>20.73</v>
      </c>
      <c r="N213" s="1133"/>
      <c r="O213" s="1127"/>
      <c r="P213" s="1133"/>
      <c r="Q213" s="1127"/>
      <c r="R213" s="1133"/>
      <c r="S213" s="1128"/>
      <c r="T213" s="1133"/>
      <c r="U213" s="1138">
        <f ca="1">+U211/$E211</f>
        <v>25.832786214997412</v>
      </c>
      <c r="V213" s="2032"/>
    </row>
    <row r="214" spans="2:22" ht="13.5" thickTop="1">
      <c r="B214" s="1111"/>
      <c r="C214" s="1132"/>
      <c r="D214" s="1133"/>
      <c r="E214" s="1132"/>
      <c r="F214" s="1133"/>
      <c r="G214" s="1124"/>
      <c r="H214" s="1133"/>
      <c r="I214" s="1679"/>
      <c r="J214" s="1133"/>
      <c r="K214" s="1125"/>
      <c r="L214" s="1133"/>
      <c r="M214" s="1125"/>
      <c r="N214" s="1133"/>
      <c r="O214" s="1127"/>
      <c r="P214" s="1133"/>
      <c r="Q214" s="1127"/>
      <c r="R214" s="1133"/>
      <c r="S214" s="1128"/>
      <c r="T214" s="1133"/>
      <c r="U214" s="1602"/>
      <c r="V214" s="2034"/>
    </row>
    <row r="215" spans="2:22">
      <c r="B215" s="1601" t="s">
        <v>2393</v>
      </c>
      <c r="C215" s="1132">
        <v>0</v>
      </c>
      <c r="D215" s="1133"/>
      <c r="E215" s="1132">
        <v>12</v>
      </c>
      <c r="F215" s="1133"/>
      <c r="G215" s="1124">
        <v>0</v>
      </c>
      <c r="H215" s="1133"/>
      <c r="I215" s="1680">
        <v>20.73</v>
      </c>
      <c r="J215" s="1133"/>
      <c r="K215" s="1125">
        <f>E215*I215*V215</f>
        <v>7960.32</v>
      </c>
      <c r="L215" s="1133"/>
      <c r="M215" s="1125">
        <f t="shared" ref="M215" si="78">+K215</f>
        <v>7960.32</v>
      </c>
      <c r="N215" s="1133"/>
      <c r="O215" s="1127">
        <f>+E215</f>
        <v>12</v>
      </c>
      <c r="P215" s="1133"/>
      <c r="Q215" s="1127">
        <f>+G215</f>
        <v>0</v>
      </c>
      <c r="R215" s="1133"/>
      <c r="S215" s="1142">
        <f t="shared" ref="S215" ca="1" si="79">+I215*(1+$X$5)</f>
        <v>25.832786214997412</v>
      </c>
      <c r="T215" s="1133"/>
      <c r="U215" s="1143">
        <f ca="1">+O215*S215*V215</f>
        <v>9919.7899065590063</v>
      </c>
      <c r="V215" s="2029">
        <v>32</v>
      </c>
    </row>
    <row r="216" spans="2:22" ht="13.5" thickBot="1">
      <c r="B216" s="1109" t="s">
        <v>3575</v>
      </c>
      <c r="C216" s="1134">
        <f>SUM(C215)</f>
        <v>0</v>
      </c>
      <c r="D216" s="1133"/>
      <c r="E216" s="1134">
        <f>SUM(E215)</f>
        <v>12</v>
      </c>
      <c r="F216" s="1133"/>
      <c r="G216" s="1134">
        <f>SUM(G215)</f>
        <v>0</v>
      </c>
      <c r="H216" s="1133"/>
      <c r="I216" s="1679"/>
      <c r="J216" s="1133"/>
      <c r="K216" s="1136">
        <f>K215</f>
        <v>7960.32</v>
      </c>
      <c r="L216" s="1133"/>
      <c r="M216" s="1136">
        <f>+M215</f>
        <v>7960.32</v>
      </c>
      <c r="N216" s="1133"/>
      <c r="O216" s="1137">
        <f>+O215</f>
        <v>12</v>
      </c>
      <c r="P216" s="1133"/>
      <c r="Q216" s="1137">
        <f>+Q215</f>
        <v>0</v>
      </c>
      <c r="R216" s="1133"/>
      <c r="S216" s="1128"/>
      <c r="T216" s="1133"/>
      <c r="U216" s="1136">
        <f ca="1">+U215</f>
        <v>9919.7899065590063</v>
      </c>
      <c r="V216" s="2030"/>
    </row>
    <row r="217" spans="2:22" ht="13.5" thickTop="1">
      <c r="B217" s="1601"/>
      <c r="C217" s="1132"/>
      <c r="D217" s="1133"/>
      <c r="E217" s="1132"/>
      <c r="F217" s="1133"/>
      <c r="G217" s="1124"/>
      <c r="H217" s="1133"/>
      <c r="I217" s="1679"/>
      <c r="J217" s="1133"/>
      <c r="K217" s="1125"/>
      <c r="L217" s="1133"/>
      <c r="M217" s="1125"/>
      <c r="N217" s="1133"/>
      <c r="O217" s="1127"/>
      <c r="P217" s="1133"/>
      <c r="Q217" s="1127"/>
      <c r="R217" s="1133"/>
      <c r="S217" s="1128"/>
      <c r="T217" s="1133"/>
      <c r="U217" s="1131"/>
      <c r="V217" s="2028"/>
    </row>
    <row r="218" spans="2:22" ht="13.5" thickBot="1">
      <c r="B218" s="1111" t="s">
        <v>3576</v>
      </c>
      <c r="C218" s="1132"/>
      <c r="D218" s="1133"/>
      <c r="E218" s="1132"/>
      <c r="F218" s="1133"/>
      <c r="G218" s="1124"/>
      <c r="H218" s="1133"/>
      <c r="I218" s="1679"/>
      <c r="J218" s="1133"/>
      <c r="K218" s="1125"/>
      <c r="L218" s="1133"/>
      <c r="M218" s="1138">
        <f>+M216/$E216</f>
        <v>663.36</v>
      </c>
      <c r="N218" s="1133"/>
      <c r="O218" s="1127"/>
      <c r="P218" s="1133"/>
      <c r="Q218" s="1127"/>
      <c r="R218" s="1133"/>
      <c r="S218" s="1128"/>
      <c r="T218" s="1133"/>
      <c r="U218" s="1138">
        <f ca="1">+U216/$E216</f>
        <v>826.6491588799172</v>
      </c>
      <c r="V218" s="2032"/>
    </row>
    <row r="219" spans="2:22" ht="13.5" thickTop="1">
      <c r="B219" s="1601" t="s">
        <v>2396</v>
      </c>
      <c r="C219" s="1132">
        <v>0</v>
      </c>
      <c r="D219" s="1133"/>
      <c r="E219" s="1132">
        <v>12</v>
      </c>
      <c r="F219" s="1133"/>
      <c r="G219" s="1124">
        <v>0</v>
      </c>
      <c r="H219" s="1133"/>
      <c r="I219" s="1680">
        <v>152.97999999999999</v>
      </c>
      <c r="J219" s="1133"/>
      <c r="K219" s="1125">
        <f>E219*I219*V219</f>
        <v>1835.7599999999998</v>
      </c>
      <c r="L219" s="1133"/>
      <c r="M219" s="1125">
        <f t="shared" ref="M219" si="80">+K219</f>
        <v>1835.7599999999998</v>
      </c>
      <c r="N219" s="1133"/>
      <c r="O219" s="1127">
        <f>+E219</f>
        <v>12</v>
      </c>
      <c r="P219" s="1133"/>
      <c r="Q219" s="1127">
        <f>+G219</f>
        <v>0</v>
      </c>
      <c r="R219" s="1133"/>
      <c r="S219" s="1142">
        <f t="shared" ref="S219" ca="1" si="81">+I219*(1+$X$5)</f>
        <v>190.63674072215647</v>
      </c>
      <c r="T219" s="1133"/>
      <c r="U219" s="1143">
        <f ca="1">+O219*S219*V219</f>
        <v>2287.6408886658778</v>
      </c>
      <c r="V219" s="2029">
        <v>1</v>
      </c>
    </row>
    <row r="220" spans="2:22" ht="13.5" thickBot="1">
      <c r="B220" s="1109" t="s">
        <v>3577</v>
      </c>
      <c r="C220" s="1134">
        <f>SUM(C219)</f>
        <v>0</v>
      </c>
      <c r="D220" s="1133"/>
      <c r="E220" s="1134">
        <f>SUM(E219)</f>
        <v>12</v>
      </c>
      <c r="F220" s="1133"/>
      <c r="G220" s="1134">
        <f>SUM(G219)</f>
        <v>0</v>
      </c>
      <c r="H220" s="1133"/>
      <c r="I220" s="1679"/>
      <c r="J220" s="1133"/>
      <c r="K220" s="1136">
        <f>K219</f>
        <v>1835.7599999999998</v>
      </c>
      <c r="L220" s="1133"/>
      <c r="M220" s="1136">
        <f>+M219</f>
        <v>1835.7599999999998</v>
      </c>
      <c r="N220" s="1133"/>
      <c r="O220" s="1137">
        <f>+O219</f>
        <v>12</v>
      </c>
      <c r="P220" s="1133"/>
      <c r="Q220" s="1137">
        <f>+Q219</f>
        <v>0</v>
      </c>
      <c r="R220" s="1133"/>
      <c r="S220" s="1128"/>
      <c r="T220" s="1133"/>
      <c r="U220" s="1136">
        <f ca="1">+U219</f>
        <v>2287.6408886658778</v>
      </c>
      <c r="V220" s="2030"/>
    </row>
    <row r="221" spans="2:22" ht="13.5" thickTop="1">
      <c r="B221" s="1601"/>
      <c r="C221" s="1132"/>
      <c r="D221" s="1133"/>
      <c r="E221" s="1132"/>
      <c r="F221" s="1133"/>
      <c r="G221" s="1124"/>
      <c r="H221" s="1133"/>
      <c r="I221" s="1679"/>
      <c r="J221" s="1133"/>
      <c r="K221" s="1125"/>
      <c r="L221" s="1133"/>
      <c r="M221" s="1125"/>
      <c r="N221" s="1133"/>
      <c r="O221" s="1127"/>
      <c r="P221" s="1133"/>
      <c r="Q221" s="1127"/>
      <c r="R221" s="1133"/>
      <c r="S221" s="1128"/>
      <c r="T221" s="1133"/>
      <c r="U221" s="1131"/>
      <c r="V221" s="2028"/>
    </row>
    <row r="222" spans="2:22" ht="13.5" thickBot="1">
      <c r="B222" s="1111" t="s">
        <v>3578</v>
      </c>
      <c r="C222" s="1132"/>
      <c r="D222" s="1133"/>
      <c r="E222" s="1132"/>
      <c r="F222" s="1133"/>
      <c r="G222" s="1124"/>
      <c r="H222" s="1133"/>
      <c r="I222" s="1679"/>
      <c r="J222" s="1133"/>
      <c r="K222" s="1125"/>
      <c r="L222" s="1133"/>
      <c r="M222" s="1138">
        <f>+M220/$E220</f>
        <v>152.97999999999999</v>
      </c>
      <c r="N222" s="1133"/>
      <c r="O222" s="1127"/>
      <c r="P222" s="1133"/>
      <c r="Q222" s="1127"/>
      <c r="R222" s="1133"/>
      <c r="S222" s="1128"/>
      <c r="T222" s="1133"/>
      <c r="U222" s="1138">
        <f ca="1">+U220/$E220</f>
        <v>190.63674072215647</v>
      </c>
      <c r="V222" s="2032"/>
    </row>
    <row r="223" spans="2:22" ht="13.5" thickTop="1">
      <c r="B223" s="1601" t="s">
        <v>2397</v>
      </c>
      <c r="C223" s="1132">
        <v>0</v>
      </c>
      <c r="D223" s="1133"/>
      <c r="E223" s="1132">
        <v>12</v>
      </c>
      <c r="F223" s="1133"/>
      <c r="G223" s="1124">
        <v>0</v>
      </c>
      <c r="H223" s="1133"/>
      <c r="I223" s="1680">
        <v>20.73</v>
      </c>
      <c r="J223" s="1133"/>
      <c r="K223" s="1125">
        <f>E223*I223*V223</f>
        <v>9950.4</v>
      </c>
      <c r="L223" s="1133"/>
      <c r="M223" s="1125">
        <f t="shared" ref="M223" si="82">+K223</f>
        <v>9950.4</v>
      </c>
      <c r="N223" s="1133"/>
      <c r="O223" s="1127">
        <f>+E223</f>
        <v>12</v>
      </c>
      <c r="P223" s="1133"/>
      <c r="Q223" s="1127">
        <f>+G223</f>
        <v>0</v>
      </c>
      <c r="R223" s="1133"/>
      <c r="S223" s="1142">
        <f t="shared" ref="S223" ca="1" si="83">+I223*(1+$X$5)</f>
        <v>25.832786214997412</v>
      </c>
      <c r="T223" s="1133"/>
      <c r="U223" s="1143">
        <f ca="1">+O223*S223*V223</f>
        <v>12399.737383198757</v>
      </c>
      <c r="V223" s="2029">
        <v>40</v>
      </c>
    </row>
    <row r="224" spans="2:22" ht="13.5" thickBot="1">
      <c r="B224" s="1109" t="s">
        <v>2398</v>
      </c>
      <c r="C224" s="1134">
        <f>SUM(C223)</f>
        <v>0</v>
      </c>
      <c r="D224" s="1133"/>
      <c r="E224" s="1134">
        <f>SUM(E223)</f>
        <v>12</v>
      </c>
      <c r="F224" s="1133"/>
      <c r="G224" s="1134">
        <f>SUM(G223)</f>
        <v>0</v>
      </c>
      <c r="H224" s="1133"/>
      <c r="I224" s="1679"/>
      <c r="J224" s="1133"/>
      <c r="K224" s="1136">
        <f>K223</f>
        <v>9950.4</v>
      </c>
      <c r="L224" s="1133"/>
      <c r="M224" s="1136">
        <f>+M223</f>
        <v>9950.4</v>
      </c>
      <c r="N224" s="1133"/>
      <c r="O224" s="1137">
        <f>+O223</f>
        <v>12</v>
      </c>
      <c r="P224" s="1133"/>
      <c r="Q224" s="1137">
        <f>+Q223</f>
        <v>0</v>
      </c>
      <c r="R224" s="1133"/>
      <c r="S224" s="1128"/>
      <c r="T224" s="1133"/>
      <c r="U224" s="1136">
        <f ca="1">+U223</f>
        <v>12399.737383198757</v>
      </c>
      <c r="V224" s="2030"/>
    </row>
    <row r="225" spans="2:22" ht="13.5" thickTop="1">
      <c r="B225" s="1601"/>
      <c r="C225" s="1132"/>
      <c r="D225" s="1133"/>
      <c r="E225" s="1132"/>
      <c r="F225" s="1133"/>
      <c r="G225" s="1124"/>
      <c r="H225" s="1133"/>
      <c r="I225" s="1679"/>
      <c r="J225" s="1133"/>
      <c r="K225" s="1125"/>
      <c r="L225" s="1133"/>
      <c r="M225" s="1125"/>
      <c r="N225" s="1133"/>
      <c r="O225" s="1127"/>
      <c r="P225" s="1133"/>
      <c r="Q225" s="1127"/>
      <c r="R225" s="1133"/>
      <c r="S225" s="1128"/>
      <c r="T225" s="1133"/>
      <c r="U225" s="1131"/>
      <c r="V225" s="2028"/>
    </row>
    <row r="226" spans="2:22" ht="13.5" thickBot="1">
      <c r="B226" s="1111" t="s">
        <v>2399</v>
      </c>
      <c r="C226" s="1132"/>
      <c r="D226" s="1133"/>
      <c r="E226" s="1132"/>
      <c r="F226" s="1133"/>
      <c r="G226" s="1124"/>
      <c r="H226" s="1133"/>
      <c r="I226" s="1679"/>
      <c r="J226" s="1133"/>
      <c r="K226" s="1125"/>
      <c r="L226" s="1133"/>
      <c r="M226" s="1138">
        <f>+M224/$E224</f>
        <v>829.19999999999993</v>
      </c>
      <c r="N226" s="1133"/>
      <c r="O226" s="1127"/>
      <c r="P226" s="1133"/>
      <c r="Q226" s="1127"/>
      <c r="R226" s="1133"/>
      <c r="S226" s="1128"/>
      <c r="T226" s="1133"/>
      <c r="U226" s="1138">
        <f ca="1">+U224/$E224</f>
        <v>1033.3114485998965</v>
      </c>
      <c r="V226" s="2032"/>
    </row>
    <row r="227" spans="2:22" ht="13.5" thickTop="1">
      <c r="B227" s="1601" t="s">
        <v>3579</v>
      </c>
      <c r="C227" s="1132">
        <v>0</v>
      </c>
      <c r="D227" s="1133"/>
      <c r="E227" s="1132">
        <v>12</v>
      </c>
      <c r="F227" s="1133"/>
      <c r="G227" s="1124">
        <v>0</v>
      </c>
      <c r="H227" s="1133"/>
      <c r="I227" s="1680">
        <v>4.6100000000000003</v>
      </c>
      <c r="J227" s="1133"/>
      <c r="K227" s="1125">
        <f>E227*I227*V227</f>
        <v>15213.000000000002</v>
      </c>
      <c r="L227" s="1133"/>
      <c r="M227" s="1125">
        <f t="shared" ref="M227" si="84">+K227</f>
        <v>15213.000000000002</v>
      </c>
      <c r="N227" s="1133"/>
      <c r="O227" s="1127">
        <f>+E227</f>
        <v>12</v>
      </c>
      <c r="P227" s="1133"/>
      <c r="Q227" s="1127">
        <f>+G227</f>
        <v>0</v>
      </c>
      <c r="R227" s="1133"/>
      <c r="S227" s="1142">
        <f t="shared" ref="S227" ca="1" si="85">+I227*(1+$X$5)</f>
        <v>5.7447730077731833</v>
      </c>
      <c r="T227" s="1133"/>
      <c r="U227" s="1143">
        <f ca="1">+O227*S227*V227</f>
        <v>18957.750925651504</v>
      </c>
      <c r="V227" s="2029">
        <v>275</v>
      </c>
    </row>
    <row r="228" spans="2:22" ht="13.5" thickBot="1">
      <c r="B228" s="1109" t="s">
        <v>3580</v>
      </c>
      <c r="C228" s="1134">
        <f>SUM(C227)</f>
        <v>0</v>
      </c>
      <c r="D228" s="1133"/>
      <c r="E228" s="1134">
        <f>SUM(E227)</f>
        <v>12</v>
      </c>
      <c r="F228" s="1133"/>
      <c r="G228" s="1134">
        <f>SUM(G227)</f>
        <v>0</v>
      </c>
      <c r="H228" s="1133"/>
      <c r="I228" s="1679"/>
      <c r="J228" s="1133"/>
      <c r="K228" s="1136">
        <f>K227</f>
        <v>15213.000000000002</v>
      </c>
      <c r="L228" s="1133"/>
      <c r="M228" s="1136">
        <f>+M227</f>
        <v>15213.000000000002</v>
      </c>
      <c r="N228" s="1133"/>
      <c r="O228" s="1137">
        <f>+O227</f>
        <v>12</v>
      </c>
      <c r="P228" s="1133"/>
      <c r="Q228" s="1137">
        <f>+Q227</f>
        <v>0</v>
      </c>
      <c r="R228" s="1133"/>
      <c r="S228" s="1128"/>
      <c r="T228" s="1133"/>
      <c r="U228" s="1136">
        <f ca="1">+U227</f>
        <v>18957.750925651504</v>
      </c>
      <c r="V228" s="2030"/>
    </row>
    <row r="229" spans="2:22" ht="13.5" thickTop="1">
      <c r="B229" s="1601"/>
      <c r="C229" s="1132"/>
      <c r="D229" s="1133"/>
      <c r="E229" s="1132"/>
      <c r="F229" s="1133"/>
      <c r="G229" s="1124"/>
      <c r="H229" s="1133"/>
      <c r="I229" s="1679"/>
      <c r="J229" s="1133"/>
      <c r="K229" s="1125"/>
      <c r="L229" s="1133"/>
      <c r="M229" s="1125"/>
      <c r="N229" s="1133"/>
      <c r="O229" s="1127"/>
      <c r="P229" s="1133"/>
      <c r="Q229" s="1127"/>
      <c r="R229" s="1133"/>
      <c r="S229" s="1128"/>
      <c r="T229" s="1133"/>
      <c r="U229" s="1131"/>
      <c r="V229" s="2028"/>
    </row>
    <row r="230" spans="2:22" ht="13.5" thickBot="1">
      <c r="B230" s="1111" t="s">
        <v>3581</v>
      </c>
      <c r="C230" s="1132"/>
      <c r="D230" s="1133"/>
      <c r="E230" s="1132"/>
      <c r="F230" s="1133"/>
      <c r="G230" s="1124"/>
      <c r="H230" s="1133"/>
      <c r="I230" s="1679"/>
      <c r="J230" s="1133"/>
      <c r="K230" s="1125"/>
      <c r="L230" s="1133"/>
      <c r="M230" s="1138">
        <f>+M228/$E228</f>
        <v>1267.7500000000002</v>
      </c>
      <c r="N230" s="1133"/>
      <c r="O230" s="1127"/>
      <c r="P230" s="1133"/>
      <c r="Q230" s="1127"/>
      <c r="R230" s="1133"/>
      <c r="S230" s="1128"/>
      <c r="T230" s="1133"/>
      <c r="U230" s="1138">
        <f ca="1">+U228/$E228</f>
        <v>1579.8125771376253</v>
      </c>
      <c r="V230" s="2032"/>
    </row>
    <row r="231" spans="2:22" ht="13.5" thickTop="1">
      <c r="B231" s="1106"/>
      <c r="C231" s="1132"/>
      <c r="D231" s="1133"/>
      <c r="E231" s="1132"/>
      <c r="F231" s="1133"/>
      <c r="G231" s="1124"/>
      <c r="H231" s="1133"/>
      <c r="I231" s="1679"/>
      <c r="J231" s="1133"/>
      <c r="K231" s="1125"/>
      <c r="L231" s="1133"/>
      <c r="M231" s="1604"/>
      <c r="N231" s="1133"/>
      <c r="O231" s="1127"/>
      <c r="P231" s="1133"/>
      <c r="Q231" s="1127"/>
      <c r="R231" s="1133"/>
      <c r="S231" s="1128"/>
      <c r="T231" s="1133"/>
      <c r="U231" s="1604"/>
      <c r="V231" s="2032"/>
    </row>
    <row r="232" spans="2:22" ht="13.5" thickBot="1">
      <c r="B232" s="1103" t="s">
        <v>1395</v>
      </c>
      <c r="C232" s="1139">
        <f>+C216+C211+C206+C200+C194+C188+C182+C176+C169+C162+C154+C145+C136+C127+C118+C109+C99+C89+C79+C69+C59+C49+C39+C29+C19</f>
        <v>379959.65014406509</v>
      </c>
      <c r="D232" s="1133"/>
      <c r="E232" s="1139">
        <f>+E216+E211+E206+E200+E194+E188+E182+E176+E169+E162+E154+E145+E136+E127+E118+E109+E99+E89+E79+E69+E59+E49+E39+E29+E19</f>
        <v>68167</v>
      </c>
      <c r="F232" s="1133"/>
      <c r="G232" s="1139">
        <f>+G216+G211+G206+G200+G194+G188+G182+G176+G169+G162+G154+G145+G136+G127+G118+G109+G99+G89+G79+G69+G59+G49+G39+G29+G19</f>
        <v>293828.2598312003</v>
      </c>
      <c r="H232" s="1133"/>
      <c r="I232" s="1679"/>
      <c r="J232" s="1133"/>
      <c r="K232" s="1090">
        <f>+K216+K211+K206+K200+K194+K188+K182+K176+K169+K162+K154+K145+K136+K127+K118+K109+K99+K89+K79+K69+K59+K49+K39+K29+K19+K228+K224+K220</f>
        <v>1847650.6985235193</v>
      </c>
      <c r="L232" s="1133"/>
      <c r="M232" s="1090">
        <f>+M216+M211+M206+M200+M194+M188+M182+M176+M169+M162+M154+M145+M136+M127+M118+M109+M99+M89+M79+M69+M59+M49+M39+M29+M19+M228+M224+M220</f>
        <v>1847650.6985235193</v>
      </c>
      <c r="N232" s="1133"/>
      <c r="O232" s="1139">
        <f>+O216+O211+O206+O200+O194+O188+O182+O176+O169+O162+O154+O145+O136+O127+O118+O109+O99+O89+O79+O69+O59+O49+O39+O29+O19</f>
        <v>68167</v>
      </c>
      <c r="P232" s="1133"/>
      <c r="Q232" s="1139">
        <f>+Q216+Q211+Q206+Q200+Q194+Q188+Q182+Q176+Q169+Q162+Q154+Q145+Q136+Q127+Q118+Q109+Q99+Q89+Q79+Q69+Q59+Q49+Q39+Q29+Q19</f>
        <v>293828.2598312003</v>
      </c>
      <c r="R232" s="1133"/>
      <c r="S232" s="1101"/>
      <c r="T232" s="1133"/>
      <c r="U232" s="1090">
        <f ca="1">+U216+U211+U206+U200+U194+U188+U182+U176+U169+U162+U154+U145+U136+U127+U118+U109+U99+U89+U79+U69+U59+U49+U39+U29+U19+U228+U224+U220</f>
        <v>2403456.6703143469</v>
      </c>
      <c r="V232" s="2035"/>
    </row>
    <row r="233" spans="2:22" ht="13.5" thickTop="1">
      <c r="B233" s="1106"/>
      <c r="C233" s="1132"/>
      <c r="D233" s="1133"/>
      <c r="E233" s="1132"/>
      <c r="F233" s="1133"/>
      <c r="G233" s="1124"/>
      <c r="H233" s="1133"/>
      <c r="I233" s="1679"/>
      <c r="J233" s="1133"/>
      <c r="K233" s="1125"/>
      <c r="L233" s="1133"/>
      <c r="M233" s="1129"/>
      <c r="N233" s="1133"/>
      <c r="O233" s="1127"/>
      <c r="P233" s="1133"/>
      <c r="Q233" s="1127"/>
      <c r="R233" s="1133"/>
      <c r="S233" s="1128"/>
      <c r="T233" s="1133"/>
      <c r="U233" s="1131"/>
      <c r="V233" s="2028"/>
    </row>
    <row r="234" spans="2:22">
      <c r="B234" s="1684" t="s">
        <v>809</v>
      </c>
      <c r="C234" s="1115"/>
      <c r="D234" s="1133"/>
      <c r="E234" s="1115"/>
      <c r="F234" s="1133"/>
      <c r="G234" s="1126"/>
      <c r="H234" s="1133"/>
      <c r="I234" s="1685"/>
      <c r="J234" s="1133"/>
      <c r="K234" s="1116"/>
      <c r="L234" s="1133"/>
      <c r="M234" s="1116"/>
      <c r="N234" s="1133"/>
      <c r="O234" s="1108"/>
      <c r="P234" s="1133"/>
      <c r="Q234" s="1107"/>
      <c r="R234" s="1133"/>
      <c r="S234" s="1128"/>
      <c r="T234" s="1133"/>
      <c r="U234" s="1117"/>
      <c r="V234" s="2036"/>
    </row>
    <row r="235" spans="2:22">
      <c r="B235" s="1106" t="s">
        <v>1394</v>
      </c>
      <c r="C235" s="1124">
        <v>757.1316897052136</v>
      </c>
      <c r="D235" s="1129"/>
      <c r="E235" s="1124"/>
      <c r="F235" s="1129"/>
      <c r="G235" s="1124"/>
      <c r="H235" s="1104"/>
      <c r="I235" s="1679"/>
      <c r="J235" s="1104"/>
      <c r="K235" s="846"/>
      <c r="L235" s="1104"/>
      <c r="M235" s="846"/>
      <c r="N235" s="1104"/>
      <c r="O235" s="1149"/>
      <c r="P235" s="1104"/>
      <c r="Q235" s="1149"/>
      <c r="R235" s="1104"/>
      <c r="S235" s="848"/>
      <c r="T235" s="1104"/>
      <c r="U235" s="1131"/>
      <c r="V235" s="2028"/>
    </row>
    <row r="236" spans="2:22">
      <c r="B236" s="1141" t="s">
        <v>459</v>
      </c>
      <c r="C236" s="1124"/>
      <c r="D236" s="1129"/>
      <c r="E236" s="1124">
        <v>225</v>
      </c>
      <c r="F236" s="1129"/>
      <c r="G236" s="826"/>
      <c r="H236" s="1133"/>
      <c r="I236" s="1686">
        <v>12.47</v>
      </c>
      <c r="J236" s="1133"/>
      <c r="K236" s="1125">
        <f>+E236*I236</f>
        <v>2805.75</v>
      </c>
      <c r="L236" s="1133"/>
      <c r="M236" s="1125">
        <f>+K236</f>
        <v>2805.75</v>
      </c>
      <c r="N236" s="1133"/>
      <c r="O236" s="1127">
        <f>+E236</f>
        <v>225</v>
      </c>
      <c r="P236" s="1133"/>
      <c r="Q236" s="1127"/>
      <c r="R236" s="1133"/>
      <c r="S236" s="1142">
        <f ca="1">'wp - t-1 COSS'!$F$13</f>
        <v>15.53</v>
      </c>
      <c r="T236" s="1133"/>
      <c r="U236" s="1143">
        <f ca="1">+O236*S236</f>
        <v>3494.25</v>
      </c>
      <c r="V236" s="2029"/>
    </row>
    <row r="237" spans="2:22">
      <c r="B237" s="1141" t="s">
        <v>513</v>
      </c>
      <c r="C237" s="1124"/>
      <c r="D237" s="1129"/>
      <c r="E237" s="1124"/>
      <c r="F237" s="1129"/>
      <c r="G237" s="1124">
        <v>481.56517701871581</v>
      </c>
      <c r="H237" s="1113"/>
      <c r="I237" s="1686">
        <v>7.06</v>
      </c>
      <c r="J237" s="1113"/>
      <c r="K237" s="1127">
        <f>+G237*I237</f>
        <v>3399.8501497521333</v>
      </c>
      <c r="L237" s="1113"/>
      <c r="M237" s="1125">
        <f t="shared" ref="M237:M241" si="86">+K237</f>
        <v>3399.8501497521333</v>
      </c>
      <c r="N237" s="1113"/>
      <c r="O237" s="1127"/>
      <c r="P237" s="1113"/>
      <c r="Q237" s="1127">
        <f>+G237</f>
        <v>481.56517701871581</v>
      </c>
      <c r="R237" s="1113"/>
      <c r="S237" s="2114">
        <f ca="1">'wp - t-1 COSS'!$F$31</f>
        <v>3.8170000000000002</v>
      </c>
      <c r="T237" s="1113"/>
      <c r="U237" s="1143">
        <f ca="1">+Q237*S237</f>
        <v>1838.1342806804385</v>
      </c>
      <c r="V237" s="2029"/>
    </row>
    <row r="238" spans="2:22">
      <c r="B238" s="1141" t="s">
        <v>706</v>
      </c>
      <c r="C238" s="1124"/>
      <c r="D238" s="1129"/>
      <c r="E238" s="1124"/>
      <c r="F238" s="1129"/>
      <c r="G238" s="1124">
        <v>52.549049942523403</v>
      </c>
      <c r="H238" s="1129"/>
      <c r="I238" s="1686">
        <v>6.48</v>
      </c>
      <c r="J238" s="1129"/>
      <c r="K238" s="1127">
        <f t="shared" ref="K238:K241" si="87">+G238*I238</f>
        <v>340.51784362755166</v>
      </c>
      <c r="L238" s="1129"/>
      <c r="M238" s="1125">
        <f t="shared" si="86"/>
        <v>340.51784362755166</v>
      </c>
      <c r="N238" s="1129"/>
      <c r="O238" s="1127"/>
      <c r="P238" s="1129"/>
      <c r="Q238" s="1127">
        <f t="shared" ref="Q238:Q241" si="88">+G238</f>
        <v>52.549049942523403</v>
      </c>
      <c r="R238" s="1129"/>
      <c r="S238" s="2114">
        <f ca="1">'wp - t-1 COSS'!$F$31</f>
        <v>3.8170000000000002</v>
      </c>
      <c r="T238" s="1129"/>
      <c r="U238" s="1143">
        <f t="shared" ref="U238:U241" ca="1" si="89">+Q238*S238</f>
        <v>200.57972363061185</v>
      </c>
      <c r="V238" s="2029"/>
    </row>
    <row r="239" spans="2:22">
      <c r="B239" s="1141" t="s">
        <v>707</v>
      </c>
      <c r="C239" s="1124"/>
      <c r="D239" s="1129"/>
      <c r="E239" s="1124"/>
      <c r="F239" s="1129"/>
      <c r="G239" s="1124">
        <v>5.2783135676091693</v>
      </c>
      <c r="H239" s="1129"/>
      <c r="I239" s="1686">
        <v>5.91</v>
      </c>
      <c r="J239" s="1129"/>
      <c r="K239" s="1127">
        <f t="shared" si="87"/>
        <v>31.194833184570189</v>
      </c>
      <c r="L239" s="1129"/>
      <c r="M239" s="1125">
        <f t="shared" si="86"/>
        <v>31.194833184570189</v>
      </c>
      <c r="N239" s="1129"/>
      <c r="O239" s="1127"/>
      <c r="P239" s="1129"/>
      <c r="Q239" s="1127">
        <f t="shared" si="88"/>
        <v>5.2783135676091693</v>
      </c>
      <c r="R239" s="1129"/>
      <c r="S239" s="2114">
        <f ca="1">'wp - t-1 COSS'!$F$31</f>
        <v>3.8170000000000002</v>
      </c>
      <c r="T239" s="1129"/>
      <c r="U239" s="1143">
        <f t="shared" ca="1" si="89"/>
        <v>20.147322887564201</v>
      </c>
      <c r="V239" s="2029"/>
    </row>
    <row r="240" spans="2:22">
      <c r="B240" s="1141" t="s">
        <v>708</v>
      </c>
      <c r="C240" s="1124"/>
      <c r="D240" s="1129"/>
      <c r="E240" s="1124"/>
      <c r="F240" s="1129"/>
      <c r="G240" s="1124">
        <v>0</v>
      </c>
      <c r="H240" s="1129"/>
      <c r="I240" s="1686">
        <v>5.24</v>
      </c>
      <c r="J240" s="1129"/>
      <c r="K240" s="1127">
        <f t="shared" si="87"/>
        <v>0</v>
      </c>
      <c r="L240" s="1129"/>
      <c r="M240" s="1125">
        <f t="shared" si="86"/>
        <v>0</v>
      </c>
      <c r="N240" s="1129"/>
      <c r="O240" s="1127"/>
      <c r="P240" s="1129"/>
      <c r="Q240" s="1127">
        <f t="shared" si="88"/>
        <v>0</v>
      </c>
      <c r="R240" s="1129"/>
      <c r="S240" s="2114">
        <f ca="1">'wp - t-1 COSS'!$F$31</f>
        <v>3.8170000000000002</v>
      </c>
      <c r="T240" s="1129"/>
      <c r="U240" s="1143">
        <f t="shared" ca="1" si="89"/>
        <v>0</v>
      </c>
      <c r="V240" s="2029"/>
    </row>
    <row r="241" spans="2:22">
      <c r="B241" s="1141" t="s">
        <v>711</v>
      </c>
      <c r="C241" s="1124"/>
      <c r="D241" s="1129"/>
      <c r="E241" s="1124"/>
      <c r="F241" s="1129"/>
      <c r="G241" s="1124">
        <v>0</v>
      </c>
      <c r="H241" s="1129"/>
      <c r="I241" s="1686">
        <v>4.58</v>
      </c>
      <c r="J241" s="1129"/>
      <c r="K241" s="1127">
        <f t="shared" si="87"/>
        <v>0</v>
      </c>
      <c r="L241" s="1129"/>
      <c r="M241" s="1125">
        <f t="shared" si="86"/>
        <v>0</v>
      </c>
      <c r="N241" s="1129"/>
      <c r="O241" s="1127"/>
      <c r="P241" s="1129"/>
      <c r="Q241" s="1127">
        <f t="shared" si="88"/>
        <v>0</v>
      </c>
      <c r="R241" s="1129"/>
      <c r="S241" s="2114">
        <f ca="1">'wp - t-1 COSS'!$F$31</f>
        <v>3.8170000000000002</v>
      </c>
      <c r="T241" s="1129"/>
      <c r="U241" s="1143">
        <f t="shared" ca="1" si="89"/>
        <v>0</v>
      </c>
      <c r="V241" s="2029"/>
    </row>
    <row r="242" spans="2:22" ht="13.5" thickBot="1">
      <c r="B242" s="1109" t="s">
        <v>1393</v>
      </c>
      <c r="C242" s="1145">
        <f>SUM(C235:C241)</f>
        <v>757.1316897052136</v>
      </c>
      <c r="D242" s="1135"/>
      <c r="E242" s="1145">
        <f>SUM(E235:E241)</f>
        <v>225</v>
      </c>
      <c r="F242" s="1135"/>
      <c r="G242" s="1145">
        <f>SUM(G235:G241)</f>
        <v>539.39254052884837</v>
      </c>
      <c r="H242" s="1129"/>
      <c r="I242" s="1678"/>
      <c r="J242" s="1129"/>
      <c r="K242" s="1136">
        <f>SUM(K235:K241)</f>
        <v>6577.3128265642563</v>
      </c>
      <c r="L242" s="1129"/>
      <c r="M242" s="1136">
        <f>SUM(M235:M241)</f>
        <v>6577.3128265642563</v>
      </c>
      <c r="N242" s="1129"/>
      <c r="O242" s="1145">
        <f>SUM(O235:O241)</f>
        <v>225</v>
      </c>
      <c r="P242" s="1129"/>
      <c r="Q242" s="1145">
        <f>SUM(Q235:Q241)</f>
        <v>539.39254052884837</v>
      </c>
      <c r="R242" s="1129"/>
      <c r="S242" s="1128"/>
      <c r="T242" s="1129"/>
      <c r="U242" s="1136">
        <f ca="1">SUM(U235:U241)</f>
        <v>5553.1113271986142</v>
      </c>
      <c r="V242" s="2030"/>
    </row>
    <row r="243" spans="2:22" ht="13.5" thickTop="1">
      <c r="B243" s="1109"/>
      <c r="C243" s="1132"/>
      <c r="D243" s="1133"/>
      <c r="E243" s="1132"/>
      <c r="F243" s="1129"/>
      <c r="G243" s="1124"/>
      <c r="H243" s="1129"/>
      <c r="I243" s="1679"/>
      <c r="J243" s="1129"/>
      <c r="K243" s="1125"/>
      <c r="L243" s="1129"/>
      <c r="M243" s="1125"/>
      <c r="N243" s="1129"/>
      <c r="O243" s="1127"/>
      <c r="P243" s="1129"/>
      <c r="Q243" s="1127"/>
      <c r="R243" s="1129"/>
      <c r="S243" s="1128"/>
      <c r="T243" s="1129"/>
      <c r="U243" s="1093"/>
      <c r="V243" s="2031"/>
    </row>
    <row r="244" spans="2:22" ht="13.5" thickBot="1">
      <c r="B244" s="1111" t="s">
        <v>1392</v>
      </c>
      <c r="C244" s="1132"/>
      <c r="D244" s="1133"/>
      <c r="E244" s="1132"/>
      <c r="F244" s="1129"/>
      <c r="G244" s="1124"/>
      <c r="H244" s="1129"/>
      <c r="I244" s="1679"/>
      <c r="J244" s="1129"/>
      <c r="K244" s="1125"/>
      <c r="L244" s="1129"/>
      <c r="M244" s="1138">
        <f>+M242/$E242</f>
        <v>29.232501451396693</v>
      </c>
      <c r="N244" s="1129"/>
      <c r="O244" s="1127"/>
      <c r="P244" s="1129"/>
      <c r="Q244" s="1127"/>
      <c r="R244" s="1129"/>
      <c r="S244" s="1128"/>
      <c r="T244" s="1129"/>
      <c r="U244" s="1138">
        <f ca="1">+U242/$E242</f>
        <v>24.680494787549396</v>
      </c>
      <c r="V244" s="2032"/>
    </row>
    <row r="245" spans="2:22" ht="13.5" thickTop="1">
      <c r="B245" s="1106" t="s">
        <v>1391</v>
      </c>
      <c r="C245" s="1124">
        <v>114.28796036636984</v>
      </c>
      <c r="D245" s="1129"/>
      <c r="E245" s="1124"/>
      <c r="F245" s="1129"/>
      <c r="G245" s="1124"/>
      <c r="H245" s="1135"/>
      <c r="I245" s="1679"/>
      <c r="J245" s="1135"/>
      <c r="K245" s="846"/>
      <c r="L245" s="1135"/>
      <c r="M245" s="1125"/>
      <c r="N245" s="1135"/>
      <c r="O245" s="1127"/>
      <c r="P245" s="1135"/>
      <c r="Q245" s="1127"/>
      <c r="R245" s="1135"/>
      <c r="S245" s="1128"/>
      <c r="T245" s="1135"/>
      <c r="U245" s="1143"/>
      <c r="V245" s="2029"/>
    </row>
    <row r="246" spans="2:22">
      <c r="B246" s="1141" t="s">
        <v>459</v>
      </c>
      <c r="C246" s="1124"/>
      <c r="D246" s="1129"/>
      <c r="E246" s="1124">
        <v>46</v>
      </c>
      <c r="F246" s="1129"/>
      <c r="G246" s="826"/>
      <c r="H246" s="1133"/>
      <c r="I246" s="1680">
        <v>12.47</v>
      </c>
      <c r="J246" s="1133"/>
      <c r="K246" s="1125">
        <f>+E246*I246</f>
        <v>573.62</v>
      </c>
      <c r="L246" s="1133"/>
      <c r="M246" s="1125">
        <f>+K246</f>
        <v>573.62</v>
      </c>
      <c r="N246" s="1133"/>
      <c r="O246" s="1127">
        <f>+E246</f>
        <v>46</v>
      </c>
      <c r="P246" s="1133"/>
      <c r="Q246" s="1127"/>
      <c r="R246" s="1133"/>
      <c r="S246" s="1142">
        <f ca="1">'wp - t-1 COSS'!$F$13</f>
        <v>15.53</v>
      </c>
      <c r="T246" s="1133"/>
      <c r="U246" s="1143">
        <f ca="1">+O246*S246</f>
        <v>714.38</v>
      </c>
      <c r="V246" s="2029"/>
    </row>
    <row r="247" spans="2:22">
      <c r="B247" s="1141" t="s">
        <v>513</v>
      </c>
      <c r="C247" s="1124"/>
      <c r="D247" s="1129"/>
      <c r="E247" s="1124"/>
      <c r="F247" s="1129"/>
      <c r="G247" s="1124">
        <v>77.10606192175068</v>
      </c>
      <c r="H247" s="1133"/>
      <c r="I247" s="1680">
        <v>7.06</v>
      </c>
      <c r="J247" s="1133"/>
      <c r="K247" s="1127">
        <f>+G247*I247</f>
        <v>544.36879716755982</v>
      </c>
      <c r="L247" s="1133"/>
      <c r="M247" s="1125">
        <f t="shared" ref="M247:M251" si="90">+K247</f>
        <v>544.36879716755982</v>
      </c>
      <c r="N247" s="1133"/>
      <c r="O247" s="1127"/>
      <c r="P247" s="1133"/>
      <c r="Q247" s="1127">
        <f>+G247</f>
        <v>77.10606192175068</v>
      </c>
      <c r="R247" s="1133"/>
      <c r="S247" s="2114">
        <f ca="1">'wp - t-1 COSS'!$F$31</f>
        <v>3.8170000000000002</v>
      </c>
      <c r="T247" s="1133"/>
      <c r="U247" s="1143">
        <f ca="1">+Q247*S247</f>
        <v>294.31383835532233</v>
      </c>
      <c r="V247" s="2029"/>
    </row>
    <row r="248" spans="2:22">
      <c r="B248" s="1141" t="s">
        <v>706</v>
      </c>
      <c r="C248" s="1124"/>
      <c r="D248" s="1129"/>
      <c r="E248" s="1124"/>
      <c r="F248" s="1129"/>
      <c r="G248" s="1124">
        <v>1.1475954311661316</v>
      </c>
      <c r="H248" s="1129"/>
      <c r="I248" s="1680">
        <v>6.48</v>
      </c>
      <c r="J248" s="1129"/>
      <c r="K248" s="1127">
        <f t="shared" ref="K248:K251" si="91">+G248*I248</f>
        <v>7.4364183939565329</v>
      </c>
      <c r="L248" s="1129"/>
      <c r="M248" s="1125">
        <f t="shared" si="90"/>
        <v>7.4364183939565329</v>
      </c>
      <c r="N248" s="1129"/>
      <c r="O248" s="1127"/>
      <c r="P248" s="1129"/>
      <c r="Q248" s="1127">
        <f t="shared" ref="Q248:Q251" si="92">+G248</f>
        <v>1.1475954311661316</v>
      </c>
      <c r="R248" s="1129"/>
      <c r="S248" s="2114">
        <f ca="1">'wp - t-1 COSS'!$F$31</f>
        <v>3.8170000000000002</v>
      </c>
      <c r="T248" s="1129"/>
      <c r="U248" s="1143">
        <f t="shared" ref="U248:U251" ca="1" si="93">+Q248*S248</f>
        <v>4.3803717607611246</v>
      </c>
      <c r="V248" s="2029"/>
    </row>
    <row r="249" spans="2:22">
      <c r="B249" s="1141" t="s">
        <v>707</v>
      </c>
      <c r="C249" s="1124"/>
      <c r="D249" s="1129"/>
      <c r="E249" s="1124"/>
      <c r="F249" s="1129"/>
      <c r="G249" s="1124">
        <v>0</v>
      </c>
      <c r="H249" s="1129"/>
      <c r="I249" s="1680">
        <v>5.91</v>
      </c>
      <c r="J249" s="1129"/>
      <c r="K249" s="1127">
        <f t="shared" si="91"/>
        <v>0</v>
      </c>
      <c r="L249" s="1129"/>
      <c r="M249" s="1125">
        <f t="shared" si="90"/>
        <v>0</v>
      </c>
      <c r="N249" s="1129"/>
      <c r="O249" s="1127"/>
      <c r="P249" s="1129"/>
      <c r="Q249" s="1127">
        <f t="shared" si="92"/>
        <v>0</v>
      </c>
      <c r="R249" s="1129"/>
      <c r="S249" s="2114">
        <f ca="1">'wp - t-1 COSS'!$F$31</f>
        <v>3.8170000000000002</v>
      </c>
      <c r="T249" s="1129"/>
      <c r="U249" s="1143">
        <f t="shared" ca="1" si="93"/>
        <v>0</v>
      </c>
      <c r="V249" s="2029"/>
    </row>
    <row r="250" spans="2:22">
      <c r="B250" s="1141" t="s">
        <v>708</v>
      </c>
      <c r="C250" s="1124"/>
      <c r="D250" s="1129"/>
      <c r="E250" s="1124"/>
      <c r="F250" s="1129"/>
      <c r="G250" s="1124">
        <v>0</v>
      </c>
      <c r="H250" s="1129"/>
      <c r="I250" s="1680">
        <v>5.24</v>
      </c>
      <c r="J250" s="1129"/>
      <c r="K250" s="1127">
        <f t="shared" si="91"/>
        <v>0</v>
      </c>
      <c r="L250" s="1129"/>
      <c r="M250" s="1125">
        <f t="shared" si="90"/>
        <v>0</v>
      </c>
      <c r="N250" s="1129"/>
      <c r="O250" s="1127"/>
      <c r="P250" s="1129"/>
      <c r="Q250" s="1127">
        <f t="shared" si="92"/>
        <v>0</v>
      </c>
      <c r="R250" s="1129"/>
      <c r="S250" s="2114">
        <f ca="1">'wp - t-1 COSS'!$F$31</f>
        <v>3.8170000000000002</v>
      </c>
      <c r="T250" s="1129"/>
      <c r="U250" s="1143">
        <f t="shared" ca="1" si="93"/>
        <v>0</v>
      </c>
      <c r="V250" s="2029"/>
    </row>
    <row r="251" spans="2:22">
      <c r="B251" s="1141" t="s">
        <v>711</v>
      </c>
      <c r="C251" s="1124"/>
      <c r="D251" s="1129"/>
      <c r="E251" s="1124"/>
      <c r="F251" s="1129"/>
      <c r="G251" s="1124">
        <v>0</v>
      </c>
      <c r="H251" s="1129"/>
      <c r="I251" s="1680">
        <v>4.58</v>
      </c>
      <c r="J251" s="1129"/>
      <c r="K251" s="1127">
        <f t="shared" si="91"/>
        <v>0</v>
      </c>
      <c r="L251" s="1129"/>
      <c r="M251" s="1125">
        <f t="shared" si="90"/>
        <v>0</v>
      </c>
      <c r="N251" s="1129"/>
      <c r="O251" s="1127"/>
      <c r="P251" s="1129"/>
      <c r="Q251" s="1127">
        <f t="shared" si="92"/>
        <v>0</v>
      </c>
      <c r="R251" s="1129"/>
      <c r="S251" s="2114">
        <f ca="1">'wp - t-1 COSS'!$F$31</f>
        <v>3.8170000000000002</v>
      </c>
      <c r="T251" s="1129"/>
      <c r="U251" s="1143">
        <f t="shared" ca="1" si="93"/>
        <v>0</v>
      </c>
      <c r="V251" s="2029"/>
    </row>
    <row r="252" spans="2:22" ht="13.5" thickBot="1">
      <c r="B252" s="1150" t="s">
        <v>1390</v>
      </c>
      <c r="C252" s="1145">
        <f>SUM(C245:C251)</f>
        <v>114.28796036636984</v>
      </c>
      <c r="D252" s="1135"/>
      <c r="E252" s="1145">
        <f>SUM(E245:E251)</f>
        <v>46</v>
      </c>
      <c r="F252" s="1135"/>
      <c r="G252" s="1145">
        <f>SUM(G245:G251)</f>
        <v>78.253657352916818</v>
      </c>
      <c r="H252" s="1129"/>
      <c r="I252" s="1678"/>
      <c r="J252" s="1129"/>
      <c r="K252" s="1136">
        <f>SUM(K245:K251)</f>
        <v>1125.4252155615163</v>
      </c>
      <c r="L252" s="1129"/>
      <c r="M252" s="1136">
        <f>SUM(M245:M251)</f>
        <v>1125.4252155615163</v>
      </c>
      <c r="N252" s="1129"/>
      <c r="O252" s="1145">
        <f>SUM(O245:O251)</f>
        <v>46</v>
      </c>
      <c r="P252" s="1129"/>
      <c r="Q252" s="1145">
        <f>SUM(Q245:Q251)</f>
        <v>78.253657352916818</v>
      </c>
      <c r="R252" s="1129"/>
      <c r="S252" s="1128"/>
      <c r="T252" s="1129"/>
      <c r="U252" s="1136">
        <f ca="1">SUM(U245:U251)</f>
        <v>1013.0742101160835</v>
      </c>
      <c r="V252" s="2030"/>
    </row>
    <row r="253" spans="2:22" ht="13.5" thickTop="1">
      <c r="B253" s="1150"/>
      <c r="C253" s="1132"/>
      <c r="D253" s="1133"/>
      <c r="E253" s="1132"/>
      <c r="F253" s="1129"/>
      <c r="G253" s="1124"/>
      <c r="H253" s="1129"/>
      <c r="I253" s="1679"/>
      <c r="J253" s="1129"/>
      <c r="K253" s="1125"/>
      <c r="L253" s="1129"/>
      <c r="M253" s="1125"/>
      <c r="N253" s="1129"/>
      <c r="O253" s="1127"/>
      <c r="P253" s="1129"/>
      <c r="Q253" s="1127"/>
      <c r="R253" s="1129"/>
      <c r="S253" s="1128"/>
      <c r="T253" s="1129"/>
      <c r="U253" s="1093"/>
      <c r="V253" s="2031"/>
    </row>
    <row r="254" spans="2:22" ht="13.5" thickBot="1">
      <c r="B254" s="1151" t="s">
        <v>1389</v>
      </c>
      <c r="C254" s="1132"/>
      <c r="D254" s="1133"/>
      <c r="E254" s="1132"/>
      <c r="F254" s="1129"/>
      <c r="G254" s="1124"/>
      <c r="H254" s="1129"/>
      <c r="I254" s="1679"/>
      <c r="J254" s="1129"/>
      <c r="K254" s="1125"/>
      <c r="L254" s="1129"/>
      <c r="M254" s="1138">
        <f>+M252/$E252</f>
        <v>24.465765555685138</v>
      </c>
      <c r="N254" s="1129"/>
      <c r="O254" s="1127"/>
      <c r="P254" s="1129"/>
      <c r="Q254" s="1127"/>
      <c r="R254" s="1129"/>
      <c r="S254" s="1128"/>
      <c r="T254" s="1129"/>
      <c r="U254" s="1138">
        <f ca="1">+U252/$E252</f>
        <v>22.023352393827903</v>
      </c>
      <c r="V254" s="2032"/>
    </row>
    <row r="255" spans="2:22" ht="13.5" thickTop="1">
      <c r="B255" s="1106" t="s">
        <v>1388</v>
      </c>
      <c r="C255" s="1124">
        <v>62.293832208752782</v>
      </c>
      <c r="D255" s="1129"/>
      <c r="E255" s="1124"/>
      <c r="F255" s="1129"/>
      <c r="G255" s="1124"/>
      <c r="H255" s="1135"/>
      <c r="I255" s="1679"/>
      <c r="J255" s="1135"/>
      <c r="K255" s="1125"/>
      <c r="L255" s="1135"/>
      <c r="M255" s="1125"/>
      <c r="N255" s="1135"/>
      <c r="O255" s="1127"/>
      <c r="P255" s="1135"/>
      <c r="Q255" s="1127"/>
      <c r="R255" s="1135"/>
      <c r="S255" s="1128"/>
      <c r="T255" s="1135"/>
      <c r="U255" s="1143"/>
      <c r="V255" s="2029"/>
    </row>
    <row r="256" spans="2:22">
      <c r="B256" s="1141" t="s">
        <v>459</v>
      </c>
      <c r="C256" s="1124"/>
      <c r="D256" s="1129"/>
      <c r="E256" s="1124">
        <v>24</v>
      </c>
      <c r="F256" s="1129"/>
      <c r="G256" s="826"/>
      <c r="H256" s="1133"/>
      <c r="I256" s="1680">
        <v>12.47</v>
      </c>
      <c r="J256" s="1133"/>
      <c r="K256" s="1125">
        <f>+E256*I256</f>
        <v>299.28000000000003</v>
      </c>
      <c r="L256" s="1133"/>
      <c r="M256" s="1125">
        <f>+K256</f>
        <v>299.28000000000003</v>
      </c>
      <c r="N256" s="1133"/>
      <c r="O256" s="1127">
        <f>+E256</f>
        <v>24</v>
      </c>
      <c r="P256" s="1133"/>
      <c r="Q256" s="1127"/>
      <c r="R256" s="1133"/>
      <c r="S256" s="1142">
        <f ca="1">'wp - t-1 COSS'!$F$13</f>
        <v>15.53</v>
      </c>
      <c r="T256" s="1133"/>
      <c r="U256" s="1143">
        <f ca="1">+O256*S256</f>
        <v>372.71999999999997</v>
      </c>
      <c r="V256" s="2029"/>
    </row>
    <row r="257" spans="2:22">
      <c r="B257" s="1141" t="s">
        <v>513</v>
      </c>
      <c r="C257" s="1124"/>
      <c r="D257" s="1129"/>
      <c r="E257" s="1124"/>
      <c r="F257" s="1129"/>
      <c r="G257" s="1124">
        <v>33.414889551647867</v>
      </c>
      <c r="H257" s="1133"/>
      <c r="I257" s="1680">
        <v>7.06</v>
      </c>
      <c r="J257" s="1133"/>
      <c r="K257" s="1127">
        <f>+G257*I257</f>
        <v>235.90912023463392</v>
      </c>
      <c r="L257" s="1133"/>
      <c r="M257" s="1125">
        <f t="shared" ref="M257:M261" si="94">+K257</f>
        <v>235.90912023463392</v>
      </c>
      <c r="N257" s="1133"/>
      <c r="O257" s="1127"/>
      <c r="P257" s="1133"/>
      <c r="Q257" s="1127">
        <f>+G257</f>
        <v>33.414889551647867</v>
      </c>
      <c r="R257" s="1133"/>
      <c r="S257" s="2114">
        <f ca="1">'wp - t-1 COSS'!$F$31</f>
        <v>3.8170000000000002</v>
      </c>
      <c r="T257" s="1133"/>
      <c r="U257" s="1143">
        <f ca="1">+Q257*S257</f>
        <v>127.54463341863992</v>
      </c>
      <c r="V257" s="2029"/>
    </row>
    <row r="258" spans="2:22">
      <c r="B258" s="1141" t="s">
        <v>706</v>
      </c>
      <c r="C258" s="1124"/>
      <c r="D258" s="1129"/>
      <c r="E258" s="1124"/>
      <c r="F258" s="1129"/>
      <c r="G258" s="1124">
        <v>7.8269215897786086</v>
      </c>
      <c r="H258" s="1129"/>
      <c r="I258" s="1680">
        <v>6.48</v>
      </c>
      <c r="J258" s="1129"/>
      <c r="K258" s="1127">
        <f t="shared" ref="K258:K261" si="95">+G258*I258</f>
        <v>50.718451901765384</v>
      </c>
      <c r="L258" s="1129"/>
      <c r="M258" s="1125">
        <f t="shared" si="94"/>
        <v>50.718451901765384</v>
      </c>
      <c r="N258" s="1129"/>
      <c r="O258" s="1127"/>
      <c r="P258" s="1129"/>
      <c r="Q258" s="1127">
        <f t="shared" ref="Q258:Q261" si="96">+G258</f>
        <v>7.8269215897786086</v>
      </c>
      <c r="R258" s="1129"/>
      <c r="S258" s="2114">
        <f ca="1">'wp - t-1 COSS'!$F$31</f>
        <v>3.8170000000000002</v>
      </c>
      <c r="T258" s="1129"/>
      <c r="U258" s="1143">
        <f t="shared" ref="U258:U261" ca="1" si="97">+Q258*S258</f>
        <v>29.875359708184952</v>
      </c>
      <c r="V258" s="2029"/>
    </row>
    <row r="259" spans="2:22">
      <c r="B259" s="1141" t="s">
        <v>707</v>
      </c>
      <c r="C259" s="1124"/>
      <c r="D259" s="1129"/>
      <c r="E259" s="1124"/>
      <c r="F259" s="1129"/>
      <c r="G259" s="1124">
        <v>0</v>
      </c>
      <c r="H259" s="1129"/>
      <c r="I259" s="1680">
        <v>5.91</v>
      </c>
      <c r="J259" s="1129"/>
      <c r="K259" s="1127">
        <f t="shared" si="95"/>
        <v>0</v>
      </c>
      <c r="L259" s="1129"/>
      <c r="M259" s="1125">
        <f t="shared" si="94"/>
        <v>0</v>
      </c>
      <c r="N259" s="1129"/>
      <c r="O259" s="1127"/>
      <c r="P259" s="1129"/>
      <c r="Q259" s="1127">
        <f t="shared" si="96"/>
        <v>0</v>
      </c>
      <c r="R259" s="1129"/>
      <c r="S259" s="2114">
        <f ca="1">'wp - t-1 COSS'!$F$31</f>
        <v>3.8170000000000002</v>
      </c>
      <c r="T259" s="1129"/>
      <c r="U259" s="1143">
        <f t="shared" ca="1" si="97"/>
        <v>0</v>
      </c>
      <c r="V259" s="2029"/>
    </row>
    <row r="260" spans="2:22">
      <c r="B260" s="1141" t="s">
        <v>708</v>
      </c>
      <c r="C260" s="1124"/>
      <c r="D260" s="1129"/>
      <c r="E260" s="1124"/>
      <c r="F260" s="1129"/>
      <c r="G260" s="1124">
        <v>0</v>
      </c>
      <c r="H260" s="1129"/>
      <c r="I260" s="1680">
        <v>5.24</v>
      </c>
      <c r="J260" s="1129"/>
      <c r="K260" s="1127">
        <f t="shared" si="95"/>
        <v>0</v>
      </c>
      <c r="L260" s="1129"/>
      <c r="M260" s="1125">
        <f t="shared" si="94"/>
        <v>0</v>
      </c>
      <c r="N260" s="1129"/>
      <c r="O260" s="1127"/>
      <c r="P260" s="1129"/>
      <c r="Q260" s="1127">
        <f t="shared" si="96"/>
        <v>0</v>
      </c>
      <c r="R260" s="1129"/>
      <c r="S260" s="2114">
        <f ca="1">'wp - t-1 COSS'!$F$31</f>
        <v>3.8170000000000002</v>
      </c>
      <c r="T260" s="1129"/>
      <c r="U260" s="1143">
        <f t="shared" ca="1" si="97"/>
        <v>0</v>
      </c>
      <c r="V260" s="2029"/>
    </row>
    <row r="261" spans="2:22">
      <c r="B261" s="1141" t="s">
        <v>711</v>
      </c>
      <c r="C261" s="1124"/>
      <c r="D261" s="1129"/>
      <c r="E261" s="1124"/>
      <c r="F261" s="1129"/>
      <c r="G261" s="1124">
        <v>0</v>
      </c>
      <c r="H261" s="1129"/>
      <c r="I261" s="1680">
        <v>4.58</v>
      </c>
      <c r="J261" s="1129"/>
      <c r="K261" s="1127">
        <f t="shared" si="95"/>
        <v>0</v>
      </c>
      <c r="L261" s="1129"/>
      <c r="M261" s="1125">
        <f t="shared" si="94"/>
        <v>0</v>
      </c>
      <c r="N261" s="1129"/>
      <c r="O261" s="1127"/>
      <c r="P261" s="1129"/>
      <c r="Q261" s="1127">
        <f t="shared" si="96"/>
        <v>0</v>
      </c>
      <c r="R261" s="1129"/>
      <c r="S261" s="2114">
        <f ca="1">'wp - t-1 COSS'!$F$31</f>
        <v>3.8170000000000002</v>
      </c>
      <c r="T261" s="1129"/>
      <c r="U261" s="1143">
        <f t="shared" ca="1" si="97"/>
        <v>0</v>
      </c>
      <c r="V261" s="2029"/>
    </row>
    <row r="262" spans="2:22" ht="13.5" thickBot="1">
      <c r="B262" s="1150" t="s">
        <v>1387</v>
      </c>
      <c r="C262" s="1145">
        <f>SUM(C255:C261)</f>
        <v>62.293832208752782</v>
      </c>
      <c r="D262" s="1135"/>
      <c r="E262" s="1145">
        <f>SUM(E255:E261)</f>
        <v>24</v>
      </c>
      <c r="F262" s="1135"/>
      <c r="G262" s="1145">
        <f>SUM(G255:G261)</f>
        <v>41.241811141426474</v>
      </c>
      <c r="H262" s="1129"/>
      <c r="I262" s="1678"/>
      <c r="J262" s="1129"/>
      <c r="K262" s="1136">
        <f>SUM(K255:K261)</f>
        <v>585.90757213639938</v>
      </c>
      <c r="L262" s="1129"/>
      <c r="M262" s="1136">
        <f>SUM(M255:M261)</f>
        <v>585.90757213639938</v>
      </c>
      <c r="N262" s="1129"/>
      <c r="O262" s="1145">
        <f>SUM(O255:O261)</f>
        <v>24</v>
      </c>
      <c r="P262" s="1129"/>
      <c r="Q262" s="1145">
        <f>SUM(Q255:Q261)</f>
        <v>41.241811141426474</v>
      </c>
      <c r="R262" s="1129"/>
      <c r="S262" s="1128"/>
      <c r="T262" s="1129"/>
      <c r="U262" s="1136">
        <f ca="1">SUM(U255:U261)</f>
        <v>530.13999312682483</v>
      </c>
      <c r="V262" s="2030"/>
    </row>
    <row r="263" spans="2:22" ht="13.5" thickTop="1">
      <c r="B263" s="1150"/>
      <c r="C263" s="1132"/>
      <c r="D263" s="1133"/>
      <c r="E263" s="1132"/>
      <c r="F263" s="1129"/>
      <c r="G263" s="1124"/>
      <c r="H263" s="1129"/>
      <c r="I263" s="1679"/>
      <c r="J263" s="1129"/>
      <c r="K263" s="1125"/>
      <c r="L263" s="1129"/>
      <c r="M263" s="1125"/>
      <c r="N263" s="1129"/>
      <c r="O263" s="1127"/>
      <c r="P263" s="1129"/>
      <c r="Q263" s="1127"/>
      <c r="R263" s="1129"/>
      <c r="S263" s="1128"/>
      <c r="T263" s="1129"/>
      <c r="U263" s="1093"/>
      <c r="V263" s="2031"/>
    </row>
    <row r="264" spans="2:22" ht="13.5" thickBot="1">
      <c r="B264" s="1151" t="s">
        <v>1386</v>
      </c>
      <c r="C264" s="1132"/>
      <c r="D264" s="1133"/>
      <c r="E264" s="1132"/>
      <c r="F264" s="1129"/>
      <c r="G264" s="1124"/>
      <c r="H264" s="1129"/>
      <c r="I264" s="1679"/>
      <c r="J264" s="1129"/>
      <c r="K264" s="1125"/>
      <c r="L264" s="1129"/>
      <c r="M264" s="1138">
        <f>+M262/$E262</f>
        <v>24.412815505683309</v>
      </c>
      <c r="N264" s="1129"/>
      <c r="O264" s="1127"/>
      <c r="P264" s="1129"/>
      <c r="Q264" s="1127"/>
      <c r="R264" s="1129"/>
      <c r="S264" s="1128"/>
      <c r="T264" s="1129"/>
      <c r="U264" s="1138">
        <f ca="1">+U262/$E262</f>
        <v>22.089166380284368</v>
      </c>
      <c r="V264" s="2032"/>
    </row>
    <row r="265" spans="2:22" ht="13.5" thickTop="1">
      <c r="B265" s="1106" t="s">
        <v>1385</v>
      </c>
      <c r="C265" s="1124">
        <v>17399.962598518679</v>
      </c>
      <c r="D265" s="1129"/>
      <c r="E265" s="1124"/>
      <c r="F265" s="1129"/>
      <c r="G265" s="1124"/>
      <c r="H265" s="1135"/>
      <c r="I265" s="2106"/>
      <c r="J265" s="1135"/>
      <c r="K265" s="846"/>
      <c r="L265" s="1135"/>
      <c r="M265" s="1125"/>
      <c r="N265" s="1135"/>
      <c r="O265" s="1127"/>
      <c r="P265" s="1135"/>
      <c r="Q265" s="1127"/>
      <c r="R265" s="1135"/>
      <c r="S265" s="1128"/>
      <c r="T265" s="1135"/>
      <c r="U265" s="1143"/>
      <c r="V265" s="2029"/>
    </row>
    <row r="266" spans="2:22">
      <c r="B266" s="1141" t="s">
        <v>459</v>
      </c>
      <c r="C266" s="1124"/>
      <c r="D266" s="1129"/>
      <c r="E266" s="1124">
        <v>5588</v>
      </c>
      <c r="F266" s="1129"/>
      <c r="G266" s="826"/>
      <c r="H266" s="1133"/>
      <c r="I266" s="1680">
        <v>12.47</v>
      </c>
      <c r="J266" s="1133"/>
      <c r="K266" s="1125">
        <f>+E266*I266</f>
        <v>69682.36</v>
      </c>
      <c r="L266" s="1133"/>
      <c r="M266" s="1125">
        <f>+K266</f>
        <v>69682.36</v>
      </c>
      <c r="N266" s="1133"/>
      <c r="O266" s="1127">
        <f>+E266</f>
        <v>5588</v>
      </c>
      <c r="P266" s="1133"/>
      <c r="Q266" s="1127"/>
      <c r="R266" s="1133"/>
      <c r="S266" s="1142">
        <v>15.53</v>
      </c>
      <c r="T266" s="1133"/>
      <c r="U266" s="1143">
        <f>+O266*S266</f>
        <v>86781.64</v>
      </c>
      <c r="V266" s="2029"/>
    </row>
    <row r="267" spans="2:22">
      <c r="B267" s="1141" t="s">
        <v>513</v>
      </c>
      <c r="C267" s="1124"/>
      <c r="D267" s="1129"/>
      <c r="E267" s="1124"/>
      <c r="F267" s="1129"/>
      <c r="G267" s="1124">
        <v>11584.138033007544</v>
      </c>
      <c r="H267" s="1133"/>
      <c r="I267" s="1680">
        <v>7.06</v>
      </c>
      <c r="J267" s="1133"/>
      <c r="K267" s="1127">
        <f>+G267*I267</f>
        <v>81784.014513033253</v>
      </c>
      <c r="L267" s="1133"/>
      <c r="M267" s="1125">
        <f t="shared" ref="M267:M271" si="98">+K267</f>
        <v>81784.014513033253</v>
      </c>
      <c r="N267" s="1133"/>
      <c r="O267" s="1127"/>
      <c r="P267" s="1133"/>
      <c r="Q267" s="1127">
        <f>+G267</f>
        <v>11584.138033007544</v>
      </c>
      <c r="R267" s="1133"/>
      <c r="S267" s="2114">
        <v>3.8170000000000002</v>
      </c>
      <c r="T267" s="1133"/>
      <c r="U267" s="1143">
        <f>+Q267*S267</f>
        <v>44216.654871989798</v>
      </c>
      <c r="V267" s="2029"/>
    </row>
    <row r="268" spans="2:22">
      <c r="B268" s="1141" t="s">
        <v>706</v>
      </c>
      <c r="C268" s="1124"/>
      <c r="D268" s="1129"/>
      <c r="E268" s="1124"/>
      <c r="F268" s="1129"/>
      <c r="G268" s="1124">
        <v>582.32553145551299</v>
      </c>
      <c r="H268" s="1129"/>
      <c r="I268" s="1680">
        <v>6.48</v>
      </c>
      <c r="J268" s="1129"/>
      <c r="K268" s="1127">
        <f t="shared" ref="K268:K271" si="99">+G268*I268</f>
        <v>3773.4694438317242</v>
      </c>
      <c r="L268" s="1129"/>
      <c r="M268" s="1125">
        <f t="shared" si="98"/>
        <v>3773.4694438317242</v>
      </c>
      <c r="N268" s="1129"/>
      <c r="O268" s="1127"/>
      <c r="P268" s="1129"/>
      <c r="Q268" s="1127">
        <f t="shared" ref="Q268:Q271" si="100">+G268</f>
        <v>582.32553145551299</v>
      </c>
      <c r="R268" s="1129"/>
      <c r="S268" s="2114">
        <v>3.8170000000000002</v>
      </c>
      <c r="T268" s="1129"/>
      <c r="U268" s="1143">
        <f t="shared" ref="U268:U271" si="101">+Q268*S268</f>
        <v>2222.7365535656932</v>
      </c>
      <c r="V268" s="2029"/>
    </row>
    <row r="269" spans="2:22">
      <c r="B269" s="1141" t="s">
        <v>707</v>
      </c>
      <c r="C269" s="1124"/>
      <c r="D269" s="1129"/>
      <c r="E269" s="1124"/>
      <c r="F269" s="1129"/>
      <c r="G269" s="1124">
        <v>131.11664989530263</v>
      </c>
      <c r="H269" s="1129"/>
      <c r="I269" s="1680">
        <v>5.91</v>
      </c>
      <c r="J269" s="1129"/>
      <c r="K269" s="1127">
        <f t="shared" si="99"/>
        <v>774.89940088123853</v>
      </c>
      <c r="L269" s="1129"/>
      <c r="M269" s="1125">
        <f t="shared" si="98"/>
        <v>774.89940088123853</v>
      </c>
      <c r="N269" s="1129"/>
      <c r="O269" s="1127"/>
      <c r="P269" s="1129"/>
      <c r="Q269" s="1127">
        <f t="shared" si="100"/>
        <v>131.11664989530263</v>
      </c>
      <c r="R269" s="1129"/>
      <c r="S269" s="2114">
        <v>3.8170000000000002</v>
      </c>
      <c r="T269" s="1129"/>
      <c r="U269" s="1143">
        <f t="shared" si="101"/>
        <v>500.47225265037014</v>
      </c>
      <c r="V269" s="2029"/>
    </row>
    <row r="270" spans="2:22">
      <c r="B270" s="1141" t="s">
        <v>708</v>
      </c>
      <c r="C270" s="1124"/>
      <c r="D270" s="1129"/>
      <c r="E270" s="1124"/>
      <c r="F270" s="1129"/>
      <c r="G270" s="1124">
        <v>4.694544040066881</v>
      </c>
      <c r="H270" s="1129"/>
      <c r="I270" s="1680">
        <v>5.24</v>
      </c>
      <c r="J270" s="1129"/>
      <c r="K270" s="1127">
        <f t="shared" si="99"/>
        <v>24.599410769950456</v>
      </c>
      <c r="L270" s="1129"/>
      <c r="M270" s="1125">
        <f t="shared" si="98"/>
        <v>24.599410769950456</v>
      </c>
      <c r="N270" s="1129"/>
      <c r="O270" s="1127"/>
      <c r="P270" s="1129"/>
      <c r="Q270" s="1127">
        <f t="shared" si="100"/>
        <v>4.694544040066881</v>
      </c>
      <c r="R270" s="1129"/>
      <c r="S270" s="2114">
        <v>3.8170000000000002</v>
      </c>
      <c r="T270" s="1129"/>
      <c r="U270" s="1143">
        <f t="shared" si="101"/>
        <v>17.919074600935286</v>
      </c>
      <c r="V270" s="2029"/>
    </row>
    <row r="271" spans="2:22">
      <c r="B271" s="1141" t="s">
        <v>711</v>
      </c>
      <c r="C271" s="1124"/>
      <c r="D271" s="1129"/>
      <c r="E271" s="1124"/>
      <c r="F271" s="1129"/>
      <c r="G271" s="1124">
        <v>0</v>
      </c>
      <c r="H271" s="1129"/>
      <c r="I271" s="1680">
        <v>4.58</v>
      </c>
      <c r="J271" s="1129"/>
      <c r="K271" s="1127">
        <f t="shared" si="99"/>
        <v>0</v>
      </c>
      <c r="L271" s="1129"/>
      <c r="M271" s="1125">
        <f t="shared" si="98"/>
        <v>0</v>
      </c>
      <c r="N271" s="1129"/>
      <c r="O271" s="1127"/>
      <c r="P271" s="1129"/>
      <c r="Q271" s="1127">
        <f t="shared" si="100"/>
        <v>0</v>
      </c>
      <c r="R271" s="1129"/>
      <c r="S271" s="2114">
        <v>3.8170000000000002</v>
      </c>
      <c r="T271" s="1129"/>
      <c r="U271" s="1143">
        <f t="shared" si="101"/>
        <v>0</v>
      </c>
      <c r="V271" s="2029"/>
    </row>
    <row r="272" spans="2:22" ht="13.5" thickBot="1">
      <c r="B272" s="1150" t="s">
        <v>1384</v>
      </c>
      <c r="C272" s="1145">
        <f>SUM(C265:C271)</f>
        <v>17399.962598518679</v>
      </c>
      <c r="D272" s="1135"/>
      <c r="E272" s="1145">
        <f>SUM(E265:E271)</f>
        <v>5588</v>
      </c>
      <c r="F272" s="1135"/>
      <c r="G272" s="1145">
        <f>SUM(G265:G271)</f>
        <v>12302.274758398427</v>
      </c>
      <c r="H272" s="1129"/>
      <c r="I272" s="1678"/>
      <c r="J272" s="1129"/>
      <c r="K272" s="1136">
        <f>SUM(K265:K271)</f>
        <v>156039.34276851616</v>
      </c>
      <c r="L272" s="1129"/>
      <c r="M272" s="1136">
        <f>SUM(M265:M271)</f>
        <v>156039.34276851616</v>
      </c>
      <c r="N272" s="1129"/>
      <c r="O272" s="1145">
        <f>SUM(O265:O271)</f>
        <v>5588</v>
      </c>
      <c r="P272" s="1129"/>
      <c r="Q272" s="1145">
        <f>SUM(Q265:Q271)</f>
        <v>12302.274758398427</v>
      </c>
      <c r="R272" s="1129"/>
      <c r="S272" s="1128"/>
      <c r="T272" s="1129"/>
      <c r="U272" s="1136">
        <f>SUM(U265:U271)</f>
        <v>133739.4227528068</v>
      </c>
      <c r="V272" s="2030"/>
    </row>
    <row r="273" spans="2:22" ht="13.5" thickTop="1">
      <c r="B273" s="1150"/>
      <c r="C273" s="1132"/>
      <c r="D273" s="1133"/>
      <c r="E273" s="1132"/>
      <c r="F273" s="1129"/>
      <c r="G273" s="1124"/>
      <c r="H273" s="1129"/>
      <c r="I273" s="1679"/>
      <c r="J273" s="1129"/>
      <c r="K273" s="1125"/>
      <c r="L273" s="1129"/>
      <c r="M273" s="1125"/>
      <c r="N273" s="1129"/>
      <c r="O273" s="1127"/>
      <c r="P273" s="1129"/>
      <c r="Q273" s="1127"/>
      <c r="R273" s="1129"/>
      <c r="S273" s="1128"/>
      <c r="T273" s="1129"/>
      <c r="U273" s="1093"/>
      <c r="V273" s="2031"/>
    </row>
    <row r="274" spans="2:22" ht="13.5" thickBot="1">
      <c r="B274" s="1151" t="s">
        <v>1383</v>
      </c>
      <c r="C274" s="1132"/>
      <c r="D274" s="1133"/>
      <c r="E274" s="1132"/>
      <c r="F274" s="1129"/>
      <c r="G274" s="1124"/>
      <c r="H274" s="1129"/>
      <c r="I274" s="1679"/>
      <c r="J274" s="1129"/>
      <c r="K274" s="1125"/>
      <c r="L274" s="1129"/>
      <c r="M274" s="1138">
        <f>+M272/$E272</f>
        <v>27.924005506176837</v>
      </c>
      <c r="N274" s="1129"/>
      <c r="O274" s="1127"/>
      <c r="P274" s="1129"/>
      <c r="Q274" s="1127"/>
      <c r="R274" s="1129"/>
      <c r="S274" s="1128"/>
      <c r="T274" s="1129"/>
      <c r="U274" s="1138">
        <f>+U272/$E272</f>
        <v>23.933325474732786</v>
      </c>
      <c r="V274" s="2032"/>
    </row>
    <row r="275" spans="2:22" ht="13.5" thickTop="1">
      <c r="B275" s="1106" t="s">
        <v>1382</v>
      </c>
      <c r="C275" s="1124">
        <v>2554.2164039310455</v>
      </c>
      <c r="D275" s="1129"/>
      <c r="E275" s="1124"/>
      <c r="F275" s="1129"/>
      <c r="G275" s="1124"/>
      <c r="H275" s="1135"/>
      <c r="I275" s="2106"/>
      <c r="J275" s="1135"/>
      <c r="K275" s="846"/>
      <c r="L275" s="1135"/>
      <c r="M275" s="1125"/>
      <c r="N275" s="1135"/>
      <c r="O275" s="1127"/>
      <c r="P275" s="1135"/>
      <c r="Q275" s="1127"/>
      <c r="R275" s="1135"/>
      <c r="S275" s="1128"/>
      <c r="T275" s="1135"/>
      <c r="U275" s="1143"/>
      <c r="V275" s="2029"/>
    </row>
    <row r="276" spans="2:22">
      <c r="B276" s="1141" t="s">
        <v>459</v>
      </c>
      <c r="C276" s="1124"/>
      <c r="D276" s="1129"/>
      <c r="E276" s="1124">
        <v>663</v>
      </c>
      <c r="F276" s="1129"/>
      <c r="G276" s="826"/>
      <c r="H276" s="1133"/>
      <c r="I276" s="1686">
        <v>12.47</v>
      </c>
      <c r="J276" s="1133"/>
      <c r="K276" s="1125">
        <f>+E276*I276</f>
        <v>8267.61</v>
      </c>
      <c r="L276" s="1133"/>
      <c r="M276" s="1125">
        <f>+K276</f>
        <v>8267.61</v>
      </c>
      <c r="N276" s="1133"/>
      <c r="O276" s="1127">
        <f>+E276</f>
        <v>663</v>
      </c>
      <c r="P276" s="1133"/>
      <c r="Q276" s="1127"/>
      <c r="R276" s="1133"/>
      <c r="S276" s="1142">
        <f ca="1">'wp - t-1 COSS'!$F$14</f>
        <v>15.53</v>
      </c>
      <c r="T276" s="1133"/>
      <c r="U276" s="1143">
        <f ca="1">+O276*S276</f>
        <v>10296.39</v>
      </c>
      <c r="V276" s="2029"/>
    </row>
    <row r="277" spans="2:22">
      <c r="B277" s="1141" t="s">
        <v>513</v>
      </c>
      <c r="C277" s="1124"/>
      <c r="D277" s="1129"/>
      <c r="E277" s="1124"/>
      <c r="F277" s="1129"/>
      <c r="G277" s="1124">
        <v>1293.4210627445295</v>
      </c>
      <c r="H277" s="1133"/>
      <c r="I277" s="1686">
        <v>7.06</v>
      </c>
      <c r="J277" s="1133"/>
      <c r="K277" s="1127">
        <f>+G277*I277</f>
        <v>9131.552702976378</v>
      </c>
      <c r="L277" s="1133"/>
      <c r="M277" s="1125">
        <f t="shared" ref="M277:M281" si="102">+K277</f>
        <v>9131.552702976378</v>
      </c>
      <c r="N277" s="1133"/>
      <c r="O277" s="1127"/>
      <c r="P277" s="1133"/>
      <c r="Q277" s="1127">
        <f>+G277</f>
        <v>1293.4210627445295</v>
      </c>
      <c r="R277" s="1133"/>
      <c r="S277" s="2114">
        <f ca="1">'wp - t-1 COSS'!$F$32</f>
        <v>3.8170000000000002</v>
      </c>
      <c r="T277" s="1133"/>
      <c r="U277" s="1143">
        <f ca="1">+Q277*S277</f>
        <v>4936.9881964958695</v>
      </c>
      <c r="V277" s="2029"/>
    </row>
    <row r="278" spans="2:22">
      <c r="B278" s="1141" t="s">
        <v>706</v>
      </c>
      <c r="C278" s="1124"/>
      <c r="D278" s="1129"/>
      <c r="E278" s="1124"/>
      <c r="F278" s="1129"/>
      <c r="G278" s="1124">
        <v>369.01457825895113</v>
      </c>
      <c r="H278" s="1129"/>
      <c r="I278" s="1686">
        <v>6.48</v>
      </c>
      <c r="J278" s="1129"/>
      <c r="K278" s="1127">
        <f t="shared" ref="K278:K281" si="103">+G278*I278</f>
        <v>2391.2144671180035</v>
      </c>
      <c r="L278" s="1129"/>
      <c r="M278" s="1125">
        <f t="shared" si="102"/>
        <v>2391.2144671180035</v>
      </c>
      <c r="N278" s="1129"/>
      <c r="O278" s="1127"/>
      <c r="P278" s="1129"/>
      <c r="Q278" s="1127">
        <f t="shared" ref="Q278:Q281" si="104">+G278</f>
        <v>369.01457825895113</v>
      </c>
      <c r="R278" s="1129"/>
      <c r="S278" s="2114">
        <f ca="1">'wp - t-1 COSS'!$F$32</f>
        <v>3.8170000000000002</v>
      </c>
      <c r="T278" s="1129"/>
      <c r="U278" s="1143">
        <f t="shared" ref="U278:U281" ca="1" si="105">+Q278*S278</f>
        <v>1408.5286452144164</v>
      </c>
      <c r="V278" s="2029"/>
    </row>
    <row r="279" spans="2:22">
      <c r="B279" s="1141" t="s">
        <v>707</v>
      </c>
      <c r="C279" s="1124"/>
      <c r="D279" s="1129"/>
      <c r="E279" s="1124"/>
      <c r="F279" s="1129"/>
      <c r="G279" s="1124">
        <v>149.95472053518989</v>
      </c>
      <c r="H279" s="1129"/>
      <c r="I279" s="1686">
        <v>5.91</v>
      </c>
      <c r="J279" s="1129"/>
      <c r="K279" s="1127">
        <f t="shared" si="103"/>
        <v>886.23239836297228</v>
      </c>
      <c r="L279" s="1129"/>
      <c r="M279" s="1125">
        <f t="shared" si="102"/>
        <v>886.23239836297228</v>
      </c>
      <c r="N279" s="1129"/>
      <c r="O279" s="1127"/>
      <c r="P279" s="1129"/>
      <c r="Q279" s="1127">
        <f t="shared" si="104"/>
        <v>149.95472053518989</v>
      </c>
      <c r="R279" s="1129"/>
      <c r="S279" s="2114">
        <f ca="1">'wp - t-1 COSS'!$F$32</f>
        <v>3.8170000000000002</v>
      </c>
      <c r="T279" s="1129"/>
      <c r="U279" s="1143">
        <f t="shared" ca="1" si="105"/>
        <v>572.37716828281987</v>
      </c>
      <c r="V279" s="2029"/>
    </row>
    <row r="280" spans="2:22">
      <c r="B280" s="1141" t="s">
        <v>708</v>
      </c>
      <c r="C280" s="1124"/>
      <c r="D280" s="1129"/>
      <c r="E280" s="1124"/>
      <c r="F280" s="1129"/>
      <c r="G280" s="1124">
        <v>152.52425595044943</v>
      </c>
      <c r="H280" s="1129"/>
      <c r="I280" s="1686">
        <v>5.24</v>
      </c>
      <c r="J280" s="1129"/>
      <c r="K280" s="1127">
        <f t="shared" si="103"/>
        <v>799.22710118035502</v>
      </c>
      <c r="L280" s="1129"/>
      <c r="M280" s="1125">
        <f t="shared" si="102"/>
        <v>799.22710118035502</v>
      </c>
      <c r="N280" s="1129"/>
      <c r="O280" s="1127"/>
      <c r="P280" s="1129"/>
      <c r="Q280" s="1127">
        <f t="shared" si="104"/>
        <v>152.52425595044943</v>
      </c>
      <c r="R280" s="1129"/>
      <c r="S280" s="2114">
        <f ca="1">'wp - t-1 COSS'!$F$32</f>
        <v>3.8170000000000002</v>
      </c>
      <c r="T280" s="1129"/>
      <c r="U280" s="1143">
        <f t="shared" ca="1" si="105"/>
        <v>582.18508496286552</v>
      </c>
      <c r="V280" s="2029"/>
    </row>
    <row r="281" spans="2:22">
      <c r="B281" s="1141" t="s">
        <v>711</v>
      </c>
      <c r="C281" s="1124"/>
      <c r="D281" s="1129"/>
      <c r="E281" s="1124"/>
      <c r="F281" s="1129"/>
      <c r="G281" s="1124">
        <v>169.6050111363318</v>
      </c>
      <c r="H281" s="1129"/>
      <c r="I281" s="1686">
        <v>4.58</v>
      </c>
      <c r="J281" s="1129"/>
      <c r="K281" s="1127">
        <f t="shared" si="103"/>
        <v>776.79095100439963</v>
      </c>
      <c r="L281" s="1129"/>
      <c r="M281" s="1125">
        <f t="shared" si="102"/>
        <v>776.79095100439963</v>
      </c>
      <c r="N281" s="1129"/>
      <c r="O281" s="1127"/>
      <c r="P281" s="1129"/>
      <c r="Q281" s="1127">
        <f t="shared" si="104"/>
        <v>169.6050111363318</v>
      </c>
      <c r="R281" s="1129"/>
      <c r="S281" s="2114">
        <f ca="1">'wp - t-1 COSS'!$F$32</f>
        <v>3.8170000000000002</v>
      </c>
      <c r="T281" s="1129"/>
      <c r="U281" s="1143">
        <f t="shared" ca="1" si="105"/>
        <v>647.38232750737848</v>
      </c>
      <c r="V281" s="2029"/>
    </row>
    <row r="282" spans="2:22" ht="13.5" thickBot="1">
      <c r="B282" s="1150" t="s">
        <v>1381</v>
      </c>
      <c r="C282" s="1145">
        <f>SUM(C275:C281)</f>
        <v>2554.2164039310455</v>
      </c>
      <c r="D282" s="1135"/>
      <c r="E282" s="1145">
        <f>SUM(E275:E281)</f>
        <v>663</v>
      </c>
      <c r="F282" s="1135"/>
      <c r="G282" s="1145">
        <f>SUM(G275:G281)</f>
        <v>2134.5196286254518</v>
      </c>
      <c r="H282" s="1129"/>
      <c r="I282" s="1678"/>
      <c r="J282" s="1129"/>
      <c r="K282" s="1136">
        <f>SUM(K275:K281)</f>
        <v>22252.627620642106</v>
      </c>
      <c r="L282" s="1129"/>
      <c r="M282" s="1136">
        <f>SUM(M275:M281)</f>
        <v>22252.627620642106</v>
      </c>
      <c r="N282" s="1129"/>
      <c r="O282" s="1145">
        <f>SUM(O275:O281)</f>
        <v>663</v>
      </c>
      <c r="P282" s="1129"/>
      <c r="Q282" s="1145">
        <f>SUM(Q275:Q281)</f>
        <v>2134.5196286254518</v>
      </c>
      <c r="R282" s="1129"/>
      <c r="S282" s="1128"/>
      <c r="T282" s="1129"/>
      <c r="U282" s="1136">
        <f ca="1">SUM(U275:U281)</f>
        <v>18443.851422463347</v>
      </c>
      <c r="V282" s="2030"/>
    </row>
    <row r="283" spans="2:22" ht="13.5" thickTop="1">
      <c r="B283" s="1150"/>
      <c r="C283" s="1132"/>
      <c r="D283" s="1133"/>
      <c r="E283" s="1132"/>
      <c r="F283" s="1129"/>
      <c r="G283" s="1124"/>
      <c r="H283" s="1129"/>
      <c r="I283" s="1679"/>
      <c r="J283" s="1129"/>
      <c r="K283" s="1125"/>
      <c r="L283" s="1129"/>
      <c r="M283" s="1125"/>
      <c r="N283" s="1129"/>
      <c r="O283" s="1127"/>
      <c r="P283" s="1129"/>
      <c r="Q283" s="1127"/>
      <c r="R283" s="1129"/>
      <c r="S283" s="1128"/>
      <c r="T283" s="1129"/>
      <c r="U283" s="1093"/>
      <c r="V283" s="2031"/>
    </row>
    <row r="284" spans="2:22" ht="13.5" thickBot="1">
      <c r="B284" s="1151" t="s">
        <v>1380</v>
      </c>
      <c r="C284" s="1132"/>
      <c r="D284" s="1133"/>
      <c r="E284" s="1132"/>
      <c r="F284" s="1129"/>
      <c r="G284" s="1124"/>
      <c r="H284" s="1129"/>
      <c r="I284" s="1679"/>
      <c r="J284" s="1129"/>
      <c r="K284" s="1125"/>
      <c r="L284" s="1129"/>
      <c r="M284" s="1138">
        <f>+M282/$E282</f>
        <v>33.563540905945864</v>
      </c>
      <c r="N284" s="1129"/>
      <c r="O284" s="1127"/>
      <c r="P284" s="1129"/>
      <c r="Q284" s="1127"/>
      <c r="R284" s="1129"/>
      <c r="S284" s="1128"/>
      <c r="T284" s="1129"/>
      <c r="U284" s="1138">
        <f ca="1">+U282/$E282</f>
        <v>27.818780426038231</v>
      </c>
      <c r="V284" s="2032"/>
    </row>
    <row r="285" spans="2:22" ht="13.5" thickTop="1">
      <c r="B285" s="1106" t="s">
        <v>1379</v>
      </c>
      <c r="C285" s="1124">
        <v>615.38874175600688</v>
      </c>
      <c r="D285" s="1129"/>
      <c r="E285" s="1124"/>
      <c r="F285" s="1129"/>
      <c r="G285" s="1124"/>
      <c r="H285" s="1135"/>
      <c r="I285" s="2106"/>
      <c r="J285" s="1135"/>
      <c r="K285" s="846"/>
      <c r="L285" s="1135"/>
      <c r="M285" s="1125"/>
      <c r="N285" s="1135"/>
      <c r="O285" s="1127"/>
      <c r="P285" s="1135"/>
      <c r="Q285" s="1127"/>
      <c r="R285" s="1135"/>
      <c r="S285" s="1128"/>
      <c r="T285" s="1135"/>
      <c r="U285" s="1143"/>
      <c r="V285" s="2029"/>
    </row>
    <row r="286" spans="2:22">
      <c r="B286" s="1141" t="s">
        <v>459</v>
      </c>
      <c r="C286" s="1124"/>
      <c r="D286" s="1129"/>
      <c r="E286" s="1124">
        <v>108</v>
      </c>
      <c r="F286" s="1129"/>
      <c r="G286" s="826"/>
      <c r="H286" s="1133"/>
      <c r="I286" s="1686">
        <v>12.47</v>
      </c>
      <c r="J286" s="1133"/>
      <c r="K286" s="1125">
        <f>+E286*I286</f>
        <v>1346.76</v>
      </c>
      <c r="L286" s="1133"/>
      <c r="M286" s="1125">
        <f>+K286</f>
        <v>1346.76</v>
      </c>
      <c r="N286" s="1133"/>
      <c r="O286" s="1127">
        <f>+E286</f>
        <v>108</v>
      </c>
      <c r="P286" s="1133"/>
      <c r="Q286" s="1127"/>
      <c r="R286" s="1133"/>
      <c r="S286" s="1142">
        <f ca="1">'wp - t-1 COSS'!$F$14</f>
        <v>15.53</v>
      </c>
      <c r="T286" s="1133"/>
      <c r="U286" s="1143">
        <f ca="1">+O286*S286</f>
        <v>1677.24</v>
      </c>
      <c r="V286" s="2029"/>
    </row>
    <row r="287" spans="2:22">
      <c r="B287" s="1141" t="s">
        <v>513</v>
      </c>
      <c r="C287" s="1124"/>
      <c r="D287" s="1129"/>
      <c r="E287" s="1124"/>
      <c r="F287" s="1129"/>
      <c r="G287" s="1124">
        <v>263.0487771784654</v>
      </c>
      <c r="H287" s="1133"/>
      <c r="I287" s="1686">
        <v>7.06</v>
      </c>
      <c r="J287" s="1133"/>
      <c r="K287" s="1127">
        <f>+G287*I287</f>
        <v>1857.1243668799657</v>
      </c>
      <c r="L287" s="1133"/>
      <c r="M287" s="1125">
        <f t="shared" ref="M287:M291" si="106">+K287</f>
        <v>1857.1243668799657</v>
      </c>
      <c r="N287" s="1133"/>
      <c r="O287" s="1127"/>
      <c r="P287" s="1133"/>
      <c r="Q287" s="1127">
        <f>+G287</f>
        <v>263.0487771784654</v>
      </c>
      <c r="R287" s="1133"/>
      <c r="S287" s="2114">
        <f ca="1">'wp - t-1 COSS'!$F$32</f>
        <v>3.8170000000000002</v>
      </c>
      <c r="T287" s="1133"/>
      <c r="U287" s="1143">
        <f ca="1">+Q287*S287</f>
        <v>1004.0571824902024</v>
      </c>
      <c r="V287" s="2029"/>
    </row>
    <row r="288" spans="2:22">
      <c r="B288" s="1141" t="s">
        <v>706</v>
      </c>
      <c r="C288" s="1124"/>
      <c r="D288" s="1129"/>
      <c r="E288" s="1124"/>
      <c r="F288" s="1129"/>
      <c r="G288" s="1124">
        <v>167.10817663274648</v>
      </c>
      <c r="H288" s="1129"/>
      <c r="I288" s="1686">
        <v>6.48</v>
      </c>
      <c r="J288" s="1129"/>
      <c r="K288" s="1127">
        <f t="shared" ref="K288:K291" si="107">+G288*I288</f>
        <v>1082.8609845801973</v>
      </c>
      <c r="L288" s="1129"/>
      <c r="M288" s="1125">
        <f t="shared" si="106"/>
        <v>1082.8609845801973</v>
      </c>
      <c r="N288" s="1129"/>
      <c r="O288" s="1127"/>
      <c r="P288" s="1129"/>
      <c r="Q288" s="1127">
        <f t="shared" ref="Q288:Q291" si="108">+G288</f>
        <v>167.10817663274648</v>
      </c>
      <c r="R288" s="1129"/>
      <c r="S288" s="2114">
        <f ca="1">'wp - t-1 COSS'!$F$32</f>
        <v>3.8170000000000002</v>
      </c>
      <c r="T288" s="1129"/>
      <c r="U288" s="1143">
        <f t="shared" ref="U288:U291" ca="1" si="109">+Q288*S288</f>
        <v>637.85191020719333</v>
      </c>
      <c r="V288" s="2029"/>
    </row>
    <row r="289" spans="2:22">
      <c r="B289" s="1141" t="s">
        <v>707</v>
      </c>
      <c r="C289" s="1124"/>
      <c r="D289" s="1129"/>
      <c r="E289" s="1124"/>
      <c r="F289" s="1129"/>
      <c r="G289" s="1124">
        <v>57.177210905929428</v>
      </c>
      <c r="H289" s="1129"/>
      <c r="I289" s="1686">
        <v>5.91</v>
      </c>
      <c r="J289" s="1129"/>
      <c r="K289" s="1127">
        <f t="shared" si="107"/>
        <v>337.91731645404292</v>
      </c>
      <c r="L289" s="1129"/>
      <c r="M289" s="1125">
        <f t="shared" si="106"/>
        <v>337.91731645404292</v>
      </c>
      <c r="N289" s="1129"/>
      <c r="O289" s="1127"/>
      <c r="P289" s="1129"/>
      <c r="Q289" s="1127">
        <f t="shared" si="108"/>
        <v>57.177210905929428</v>
      </c>
      <c r="R289" s="1129"/>
      <c r="S289" s="2114">
        <f ca="1">'wp - t-1 COSS'!$F$32</f>
        <v>3.8170000000000002</v>
      </c>
      <c r="T289" s="1129"/>
      <c r="U289" s="1143">
        <f t="shared" ca="1" si="109"/>
        <v>218.24541402793264</v>
      </c>
      <c r="V289" s="2029"/>
    </row>
    <row r="290" spans="2:22">
      <c r="B290" s="1141" t="s">
        <v>708</v>
      </c>
      <c r="C290" s="1124"/>
      <c r="D290" s="1129"/>
      <c r="E290" s="1124"/>
      <c r="F290" s="1129"/>
      <c r="G290" s="1124">
        <v>46.573510727551842</v>
      </c>
      <c r="H290" s="1129"/>
      <c r="I290" s="1686">
        <v>5.24</v>
      </c>
      <c r="J290" s="1129"/>
      <c r="K290" s="1127">
        <f t="shared" si="107"/>
        <v>244.04519621237165</v>
      </c>
      <c r="L290" s="1129"/>
      <c r="M290" s="1125">
        <f t="shared" si="106"/>
        <v>244.04519621237165</v>
      </c>
      <c r="N290" s="1129"/>
      <c r="O290" s="1127"/>
      <c r="P290" s="1129"/>
      <c r="Q290" s="1127">
        <f t="shared" si="108"/>
        <v>46.573510727551842</v>
      </c>
      <c r="R290" s="1129"/>
      <c r="S290" s="2114">
        <f ca="1">'wp - t-1 COSS'!$F$32</f>
        <v>3.8170000000000002</v>
      </c>
      <c r="T290" s="1129"/>
      <c r="U290" s="1143">
        <f t="shared" ca="1" si="109"/>
        <v>177.77109044706538</v>
      </c>
      <c r="V290" s="2029"/>
    </row>
    <row r="291" spans="2:22">
      <c r="B291" s="1141" t="s">
        <v>711</v>
      </c>
      <c r="C291" s="1124"/>
      <c r="D291" s="1129"/>
      <c r="E291" s="1124"/>
      <c r="F291" s="1129"/>
      <c r="G291" s="1124">
        <v>0</v>
      </c>
      <c r="H291" s="1129"/>
      <c r="I291" s="1686">
        <v>4.58</v>
      </c>
      <c r="J291" s="1129"/>
      <c r="K291" s="1127">
        <f t="shared" si="107"/>
        <v>0</v>
      </c>
      <c r="L291" s="1129"/>
      <c r="M291" s="1125">
        <f t="shared" si="106"/>
        <v>0</v>
      </c>
      <c r="N291" s="1129"/>
      <c r="O291" s="1127"/>
      <c r="P291" s="1129"/>
      <c r="Q291" s="1127">
        <f t="shared" si="108"/>
        <v>0</v>
      </c>
      <c r="R291" s="1129"/>
      <c r="S291" s="2114">
        <f ca="1">'wp - t-1 COSS'!$F$32</f>
        <v>3.8170000000000002</v>
      </c>
      <c r="T291" s="1129"/>
      <c r="U291" s="1143">
        <f t="shared" ca="1" si="109"/>
        <v>0</v>
      </c>
      <c r="V291" s="2029"/>
    </row>
    <row r="292" spans="2:22" ht="13.5" thickBot="1">
      <c r="B292" s="1150" t="s">
        <v>1378</v>
      </c>
      <c r="C292" s="1145">
        <f>SUM(C285:C291)</f>
        <v>615.38874175600688</v>
      </c>
      <c r="D292" s="1135"/>
      <c r="E292" s="1145">
        <f>SUM(E285:E291)</f>
        <v>108</v>
      </c>
      <c r="F292" s="1135"/>
      <c r="G292" s="1145">
        <f>SUM(G285:G291)</f>
        <v>533.90767544469315</v>
      </c>
      <c r="H292" s="1129"/>
      <c r="I292" s="1678"/>
      <c r="J292" s="1129"/>
      <c r="K292" s="1136">
        <f>SUM(K285:K291)</f>
        <v>4868.7078641265771</v>
      </c>
      <c r="L292" s="1129"/>
      <c r="M292" s="1136">
        <f>SUM(M285:M291)</f>
        <v>4868.7078641265771</v>
      </c>
      <c r="N292" s="1129"/>
      <c r="O292" s="1145">
        <f>SUM(O285:O291)</f>
        <v>108</v>
      </c>
      <c r="P292" s="1129"/>
      <c r="Q292" s="1145">
        <f>SUM(Q285:Q291)</f>
        <v>533.90767544469315</v>
      </c>
      <c r="R292" s="1129"/>
      <c r="S292" s="1128"/>
      <c r="T292" s="1129"/>
      <c r="U292" s="1136">
        <f ca="1">SUM(U285:U291)</f>
        <v>3715.165597172394</v>
      </c>
      <c r="V292" s="2030"/>
    </row>
    <row r="293" spans="2:22" ht="13.5" thickTop="1">
      <c r="B293" s="1150"/>
      <c r="C293" s="1132"/>
      <c r="D293" s="1133"/>
      <c r="E293" s="1132"/>
      <c r="F293" s="1129"/>
      <c r="G293" s="1124"/>
      <c r="H293" s="1129"/>
      <c r="I293" s="1679"/>
      <c r="J293" s="1129"/>
      <c r="K293" s="1125"/>
      <c r="L293" s="1129"/>
      <c r="M293" s="1125"/>
      <c r="N293" s="1129"/>
      <c r="O293" s="1127"/>
      <c r="P293" s="1129"/>
      <c r="Q293" s="1127"/>
      <c r="R293" s="1129"/>
      <c r="S293" s="1128"/>
      <c r="T293" s="1129"/>
      <c r="U293" s="1093"/>
      <c r="V293" s="2031"/>
    </row>
    <row r="294" spans="2:22" ht="13.5" thickBot="1">
      <c r="B294" s="1152" t="s">
        <v>1377</v>
      </c>
      <c r="C294" s="1132"/>
      <c r="D294" s="1133"/>
      <c r="E294" s="1132"/>
      <c r="F294" s="1129"/>
      <c r="G294" s="1124"/>
      <c r="H294" s="1129"/>
      <c r="I294" s="1679"/>
      <c r="J294" s="1129"/>
      <c r="K294" s="1125"/>
      <c r="L294" s="1129"/>
      <c r="M294" s="1138">
        <f>+M292/$E292</f>
        <v>45.080628371542382</v>
      </c>
      <c r="N294" s="1129"/>
      <c r="O294" s="1127"/>
      <c r="P294" s="1129"/>
      <c r="Q294" s="1127"/>
      <c r="R294" s="1129"/>
      <c r="S294" s="1128"/>
      <c r="T294" s="1129"/>
      <c r="U294" s="1138">
        <f ca="1">+U292/$E292</f>
        <v>34.399681455299941</v>
      </c>
      <c r="V294" s="2032"/>
    </row>
    <row r="295" spans="2:22" ht="13.5" thickTop="1">
      <c r="B295" s="1106" t="s">
        <v>1373</v>
      </c>
      <c r="C295" s="1124">
        <v>267.54429892374043</v>
      </c>
      <c r="D295" s="1129"/>
      <c r="E295" s="1124"/>
      <c r="F295" s="1129"/>
      <c r="G295" s="1124"/>
      <c r="H295" s="1135"/>
      <c r="I295" s="1679"/>
      <c r="J295" s="1135"/>
      <c r="K295" s="1125"/>
      <c r="L295" s="1135"/>
      <c r="M295" s="1116"/>
      <c r="N295" s="1135"/>
      <c r="O295" s="1127"/>
      <c r="P295" s="1135"/>
      <c r="Q295" s="1107"/>
      <c r="R295" s="1135"/>
      <c r="S295" s="1128"/>
      <c r="T295" s="1135"/>
      <c r="U295" s="1143"/>
      <c r="V295" s="2029"/>
    </row>
    <row r="296" spans="2:22">
      <c r="B296" s="1141" t="s">
        <v>660</v>
      </c>
      <c r="C296" s="1124"/>
      <c r="D296" s="1129"/>
      <c r="E296" s="1124">
        <v>36</v>
      </c>
      <c r="F296" s="1129"/>
      <c r="G296" s="1124"/>
      <c r="H296" s="1133"/>
      <c r="I296" s="1680">
        <v>42.84</v>
      </c>
      <c r="J296" s="1133"/>
      <c r="K296" s="1125">
        <f>+E296*I296</f>
        <v>1542.2400000000002</v>
      </c>
      <c r="L296" s="1133"/>
      <c r="M296" s="1125">
        <f>+K296</f>
        <v>1542.2400000000002</v>
      </c>
      <c r="N296" s="1133"/>
      <c r="O296" s="1127">
        <f>+E296</f>
        <v>36</v>
      </c>
      <c r="P296" s="1133"/>
      <c r="Q296" s="1127"/>
      <c r="R296" s="1133"/>
      <c r="S296" s="1142">
        <f ca="1">'wp - t-1 COSS'!$F$15</f>
        <v>40.229999999999997</v>
      </c>
      <c r="T296" s="1133"/>
      <c r="U296" s="1143">
        <f ca="1">+O296*S296</f>
        <v>1448.28</v>
      </c>
      <c r="V296" s="2029"/>
    </row>
    <row r="297" spans="2:22">
      <c r="B297" s="1141" t="s">
        <v>661</v>
      </c>
      <c r="C297" s="1124"/>
      <c r="D297" s="1129"/>
      <c r="E297" s="1124"/>
      <c r="F297" s="1129"/>
      <c r="G297" s="1124">
        <v>32</v>
      </c>
      <c r="H297" s="1133"/>
      <c r="I297" s="1680">
        <v>7.06</v>
      </c>
      <c r="J297" s="1133"/>
      <c r="K297" s="1127">
        <f>+G297*I297</f>
        <v>225.92</v>
      </c>
      <c r="L297" s="1133"/>
      <c r="M297" s="1125">
        <f t="shared" ref="M297:M301" si="110">+K297</f>
        <v>225.92</v>
      </c>
      <c r="N297" s="1133"/>
      <c r="O297" s="1127"/>
      <c r="P297" s="1133"/>
      <c r="Q297" s="1127">
        <f>+G297</f>
        <v>32</v>
      </c>
      <c r="R297" s="1133"/>
      <c r="S297" s="2114">
        <f ca="1">'wp - t-1 COSS'!$F$33</f>
        <v>3.8170000000000002</v>
      </c>
      <c r="T297" s="1133"/>
      <c r="U297" s="1143">
        <f ca="1">+Q297*S297</f>
        <v>122.14400000000001</v>
      </c>
      <c r="V297" s="2029"/>
    </row>
    <row r="298" spans="2:22">
      <c r="B298" s="1141" t="s">
        <v>706</v>
      </c>
      <c r="C298" s="1124"/>
      <c r="D298" s="1129"/>
      <c r="E298" s="1124"/>
      <c r="F298" s="1129"/>
      <c r="G298" s="1124">
        <v>90.902724093723322</v>
      </c>
      <c r="H298" s="1129"/>
      <c r="I298" s="1680">
        <v>6.48</v>
      </c>
      <c r="J298" s="1129"/>
      <c r="K298" s="1127">
        <f t="shared" ref="K298:K301" si="111">+G298*I298</f>
        <v>589.04965212732714</v>
      </c>
      <c r="L298" s="1129"/>
      <c r="M298" s="1125">
        <f t="shared" si="110"/>
        <v>589.04965212732714</v>
      </c>
      <c r="N298" s="1129"/>
      <c r="O298" s="1127"/>
      <c r="P298" s="1129"/>
      <c r="Q298" s="1127">
        <f t="shared" ref="Q298:Q301" si="112">+G298</f>
        <v>90.902724093723322</v>
      </c>
      <c r="R298" s="1129"/>
      <c r="S298" s="2114">
        <f ca="1">'wp - t-1 COSS'!$F$33</f>
        <v>3.8170000000000002</v>
      </c>
      <c r="T298" s="1129"/>
      <c r="U298" s="1143">
        <f t="shared" ref="U298:U301" ca="1" si="113">+Q298*S298</f>
        <v>346.97569786574195</v>
      </c>
      <c r="V298" s="2029"/>
    </row>
    <row r="299" spans="2:22">
      <c r="B299" s="1141" t="s">
        <v>707</v>
      </c>
      <c r="C299" s="1124"/>
      <c r="D299" s="1129"/>
      <c r="E299" s="1124"/>
      <c r="F299" s="1129"/>
      <c r="G299" s="1124">
        <v>28.247561852244594</v>
      </c>
      <c r="H299" s="1129"/>
      <c r="I299" s="1680">
        <v>5.91</v>
      </c>
      <c r="J299" s="1129"/>
      <c r="K299" s="1127">
        <f t="shared" si="111"/>
        <v>166.94309054676555</v>
      </c>
      <c r="L299" s="1129"/>
      <c r="M299" s="1125">
        <f t="shared" si="110"/>
        <v>166.94309054676555</v>
      </c>
      <c r="N299" s="1129"/>
      <c r="O299" s="1127"/>
      <c r="P299" s="1129"/>
      <c r="Q299" s="1127">
        <f t="shared" si="112"/>
        <v>28.247561852244594</v>
      </c>
      <c r="R299" s="1129"/>
      <c r="S299" s="2114">
        <f ca="1">'wp - t-1 COSS'!$F$33</f>
        <v>3.8170000000000002</v>
      </c>
      <c r="T299" s="1129"/>
      <c r="U299" s="1143">
        <f t="shared" ca="1" si="113"/>
        <v>107.82094359001762</v>
      </c>
      <c r="V299" s="2029"/>
    </row>
    <row r="300" spans="2:22">
      <c r="B300" s="1141" t="s">
        <v>708</v>
      </c>
      <c r="C300" s="1124"/>
      <c r="D300" s="1129"/>
      <c r="E300" s="1124"/>
      <c r="F300" s="1129"/>
      <c r="G300" s="1124">
        <v>0</v>
      </c>
      <c r="H300" s="1129"/>
      <c r="I300" s="1680">
        <v>5.24</v>
      </c>
      <c r="J300" s="1129"/>
      <c r="K300" s="1127">
        <f t="shared" si="111"/>
        <v>0</v>
      </c>
      <c r="L300" s="1129"/>
      <c r="M300" s="1125">
        <f t="shared" si="110"/>
        <v>0</v>
      </c>
      <c r="N300" s="1129"/>
      <c r="O300" s="1127"/>
      <c r="P300" s="1129"/>
      <c r="Q300" s="1127">
        <f t="shared" si="112"/>
        <v>0</v>
      </c>
      <c r="R300" s="1129"/>
      <c r="S300" s="2114">
        <f ca="1">'wp - t-1 COSS'!$F$33</f>
        <v>3.8170000000000002</v>
      </c>
      <c r="T300" s="1129"/>
      <c r="U300" s="1143">
        <f t="shared" ca="1" si="113"/>
        <v>0</v>
      </c>
      <c r="V300" s="2029"/>
    </row>
    <row r="301" spans="2:22">
      <c r="B301" s="1141" t="s">
        <v>711</v>
      </c>
      <c r="C301" s="1124"/>
      <c r="D301" s="1129"/>
      <c r="E301" s="1124"/>
      <c r="F301" s="1129"/>
      <c r="G301" s="1124">
        <v>0</v>
      </c>
      <c r="H301" s="1129"/>
      <c r="I301" s="1680">
        <v>4.58</v>
      </c>
      <c r="J301" s="1129"/>
      <c r="K301" s="1127">
        <f t="shared" si="111"/>
        <v>0</v>
      </c>
      <c r="L301" s="1129"/>
      <c r="M301" s="1125">
        <f t="shared" si="110"/>
        <v>0</v>
      </c>
      <c r="N301" s="1129"/>
      <c r="O301" s="1127"/>
      <c r="P301" s="1129"/>
      <c r="Q301" s="1127">
        <f t="shared" si="112"/>
        <v>0</v>
      </c>
      <c r="R301" s="1129"/>
      <c r="S301" s="2114">
        <f ca="1">'wp - t-1 COSS'!$F$33</f>
        <v>3.8170000000000002</v>
      </c>
      <c r="T301" s="1129"/>
      <c r="U301" s="1143">
        <f t="shared" ca="1" si="113"/>
        <v>0</v>
      </c>
      <c r="V301" s="2029"/>
    </row>
    <row r="302" spans="2:22" ht="13.5" thickBot="1">
      <c r="B302" s="1150" t="s">
        <v>1372</v>
      </c>
      <c r="C302" s="1145">
        <f>SUM(C295:C301)</f>
        <v>267.54429892374043</v>
      </c>
      <c r="D302" s="1135"/>
      <c r="E302" s="1145">
        <f>SUM(E295:E301)</f>
        <v>36</v>
      </c>
      <c r="F302" s="1135"/>
      <c r="G302" s="1145">
        <f>SUM(G295:G301)</f>
        <v>151.15028594596791</v>
      </c>
      <c r="H302" s="1129"/>
      <c r="I302" s="1678"/>
      <c r="J302" s="1129"/>
      <c r="K302" s="1136">
        <f>SUM(K295:K301)</f>
        <v>2524.1527426740931</v>
      </c>
      <c r="L302" s="1129"/>
      <c r="M302" s="1136">
        <f>SUM(M295:M301)</f>
        <v>2524.1527426740931</v>
      </c>
      <c r="N302" s="1129"/>
      <c r="O302" s="1145">
        <f>SUM(O295:O301)</f>
        <v>36</v>
      </c>
      <c r="P302" s="1129"/>
      <c r="Q302" s="1145">
        <f>SUM(Q295:Q301)</f>
        <v>151.15028594596791</v>
      </c>
      <c r="R302" s="1129"/>
      <c r="S302" s="1128"/>
      <c r="T302" s="1129"/>
      <c r="U302" s="1136">
        <f ca="1">SUM(U295:U301)</f>
        <v>2025.2206414557595</v>
      </c>
      <c r="V302" s="2030"/>
    </row>
    <row r="303" spans="2:22" ht="13.5" thickTop="1">
      <c r="B303" s="1150"/>
      <c r="C303" s="1132"/>
      <c r="D303" s="1133"/>
      <c r="E303" s="1132"/>
      <c r="F303" s="1129"/>
      <c r="G303" s="1124"/>
      <c r="H303" s="1129"/>
      <c r="I303" s="1679"/>
      <c r="J303" s="1129"/>
      <c r="K303" s="1125"/>
      <c r="L303" s="1129"/>
      <c r="M303" s="1125"/>
      <c r="N303" s="1129"/>
      <c r="O303" s="1127"/>
      <c r="P303" s="1129"/>
      <c r="Q303" s="1127"/>
      <c r="R303" s="1129"/>
      <c r="S303" s="1128"/>
      <c r="T303" s="1129"/>
      <c r="U303" s="1093"/>
      <c r="V303" s="2031"/>
    </row>
    <row r="304" spans="2:22" ht="13.5" thickBot="1">
      <c r="B304" s="1151" t="s">
        <v>1371</v>
      </c>
      <c r="C304" s="1132"/>
      <c r="D304" s="1133"/>
      <c r="E304" s="1132"/>
      <c r="F304" s="1129"/>
      <c r="G304" s="1124"/>
      <c r="H304" s="1129"/>
      <c r="I304" s="1679"/>
      <c r="J304" s="1129"/>
      <c r="K304" s="1125"/>
      <c r="L304" s="1129"/>
      <c r="M304" s="1138">
        <f>+M302/$E302</f>
        <v>70.115353963169255</v>
      </c>
      <c r="N304" s="1129"/>
      <c r="O304" s="1127"/>
      <c r="P304" s="1129"/>
      <c r="Q304" s="1127"/>
      <c r="R304" s="1129"/>
      <c r="S304" s="1128"/>
      <c r="T304" s="1129"/>
      <c r="U304" s="1138">
        <f ca="1">+U302/$E302</f>
        <v>56.25612892932665</v>
      </c>
      <c r="V304" s="2032"/>
    </row>
    <row r="305" spans="2:22" ht="13.5" thickTop="1">
      <c r="B305" s="1106" t="s">
        <v>1370</v>
      </c>
      <c r="C305" s="1124">
        <v>159.55393554299846</v>
      </c>
      <c r="D305" s="1129"/>
      <c r="E305" s="1124"/>
      <c r="F305" s="1129"/>
      <c r="G305" s="1124"/>
      <c r="H305" s="1135"/>
      <c r="I305" s="2106"/>
      <c r="J305" s="1135"/>
      <c r="K305" s="1125"/>
      <c r="L305" s="1135"/>
      <c r="M305" s="1125"/>
      <c r="N305" s="1135"/>
      <c r="O305" s="1127"/>
      <c r="P305" s="1135"/>
      <c r="Q305" s="1127"/>
      <c r="R305" s="1135"/>
      <c r="S305" s="1128"/>
      <c r="T305" s="1135"/>
      <c r="U305" s="1143"/>
      <c r="V305" s="2029"/>
    </row>
    <row r="306" spans="2:22">
      <c r="B306" s="1141" t="s">
        <v>660</v>
      </c>
      <c r="C306" s="1124"/>
      <c r="D306" s="1129"/>
      <c r="E306" s="1124">
        <v>48</v>
      </c>
      <c r="F306" s="1129"/>
      <c r="G306" s="1124"/>
      <c r="H306" s="1133"/>
      <c r="I306" s="1680">
        <v>42.84</v>
      </c>
      <c r="J306" s="1133"/>
      <c r="K306" s="1125">
        <f>+E306*I306</f>
        <v>2056.3200000000002</v>
      </c>
      <c r="L306" s="1133"/>
      <c r="M306" s="1125">
        <f>+K306</f>
        <v>2056.3200000000002</v>
      </c>
      <c r="N306" s="1133"/>
      <c r="O306" s="1127">
        <f>+E306</f>
        <v>48</v>
      </c>
      <c r="P306" s="1133"/>
      <c r="Q306" s="1127"/>
      <c r="R306" s="1133"/>
      <c r="S306" s="1142">
        <f ca="1">'wp - t-1 COSS'!$F$15</f>
        <v>40.229999999999997</v>
      </c>
      <c r="T306" s="1133"/>
      <c r="U306" s="1143">
        <f ca="1">+O306*S306</f>
        <v>1931.04</v>
      </c>
      <c r="V306" s="2029"/>
    </row>
    <row r="307" spans="2:22">
      <c r="B307" s="1141" t="s">
        <v>661</v>
      </c>
      <c r="C307" s="1124"/>
      <c r="D307" s="1129"/>
      <c r="E307" s="1124"/>
      <c r="F307" s="1129"/>
      <c r="G307" s="1124">
        <v>43.964010688774096</v>
      </c>
      <c r="H307" s="1133"/>
      <c r="I307" s="1680">
        <v>7.06</v>
      </c>
      <c r="J307" s="1133"/>
      <c r="K307" s="1127">
        <f>+G307*I307</f>
        <v>310.38591546274512</v>
      </c>
      <c r="L307" s="1133"/>
      <c r="M307" s="1125">
        <f t="shared" ref="M307:M311" si="114">+K307</f>
        <v>310.38591546274512</v>
      </c>
      <c r="N307" s="1133"/>
      <c r="O307" s="1127"/>
      <c r="P307" s="1133"/>
      <c r="Q307" s="1127">
        <f>+G307</f>
        <v>43.964010688774096</v>
      </c>
      <c r="R307" s="1133"/>
      <c r="S307" s="2114">
        <f ca="1">'wp - t-1 COSS'!$F$33</f>
        <v>3.8170000000000002</v>
      </c>
      <c r="T307" s="1133"/>
      <c r="U307" s="1143">
        <f ca="1">+Q307*S307</f>
        <v>167.81062879905073</v>
      </c>
      <c r="V307" s="2029"/>
    </row>
    <row r="308" spans="2:22">
      <c r="B308" s="1141" t="s">
        <v>706</v>
      </c>
      <c r="C308" s="1124"/>
      <c r="D308" s="1129"/>
      <c r="E308" s="1124"/>
      <c r="F308" s="1129"/>
      <c r="G308" s="1124">
        <v>5.4377006155188807</v>
      </c>
      <c r="H308" s="1129"/>
      <c r="I308" s="1680">
        <v>6.48</v>
      </c>
      <c r="J308" s="1129"/>
      <c r="K308" s="1127">
        <f t="shared" ref="K308:K311" si="115">+G308*I308</f>
        <v>35.236299988562351</v>
      </c>
      <c r="L308" s="1129"/>
      <c r="M308" s="1125">
        <f t="shared" si="114"/>
        <v>35.236299988562351</v>
      </c>
      <c r="N308" s="1129"/>
      <c r="O308" s="1127"/>
      <c r="P308" s="1129"/>
      <c r="Q308" s="1127">
        <f t="shared" ref="Q308:Q311" si="116">+G308</f>
        <v>5.4377006155188807</v>
      </c>
      <c r="R308" s="1129"/>
      <c r="S308" s="2114">
        <f ca="1">'wp - t-1 COSS'!$F$33</f>
        <v>3.8170000000000002</v>
      </c>
      <c r="T308" s="1129"/>
      <c r="U308" s="1143">
        <f t="shared" ref="U308:U311" ca="1" si="117">+Q308*S308</f>
        <v>20.75570324943557</v>
      </c>
      <c r="V308" s="2029"/>
    </row>
    <row r="309" spans="2:22">
      <c r="B309" s="1141" t="s">
        <v>707</v>
      </c>
      <c r="C309" s="1124"/>
      <c r="D309" s="1129"/>
      <c r="E309" s="1124"/>
      <c r="F309" s="1129"/>
      <c r="G309" s="1124">
        <v>0</v>
      </c>
      <c r="H309" s="1129"/>
      <c r="I309" s="1680">
        <v>5.91</v>
      </c>
      <c r="J309" s="1129"/>
      <c r="K309" s="1127">
        <f t="shared" si="115"/>
        <v>0</v>
      </c>
      <c r="L309" s="1129"/>
      <c r="M309" s="1125">
        <f t="shared" si="114"/>
        <v>0</v>
      </c>
      <c r="N309" s="1129"/>
      <c r="O309" s="1127"/>
      <c r="P309" s="1129"/>
      <c r="Q309" s="1127">
        <f t="shared" si="116"/>
        <v>0</v>
      </c>
      <c r="R309" s="1129"/>
      <c r="S309" s="2114">
        <f ca="1">'wp - t-1 COSS'!$F$33</f>
        <v>3.8170000000000002</v>
      </c>
      <c r="T309" s="1129"/>
      <c r="U309" s="1143">
        <f t="shared" ca="1" si="117"/>
        <v>0</v>
      </c>
      <c r="V309" s="2029"/>
    </row>
    <row r="310" spans="2:22">
      <c r="B310" s="1141" t="s">
        <v>708</v>
      </c>
      <c r="C310" s="1124"/>
      <c r="D310" s="1129"/>
      <c r="E310" s="1124"/>
      <c r="F310" s="1129"/>
      <c r="G310" s="1124">
        <v>0</v>
      </c>
      <c r="H310" s="1129"/>
      <c r="I310" s="1680">
        <v>5.24</v>
      </c>
      <c r="J310" s="1129"/>
      <c r="K310" s="1127">
        <f t="shared" si="115"/>
        <v>0</v>
      </c>
      <c r="L310" s="1129"/>
      <c r="M310" s="1125">
        <f t="shared" si="114"/>
        <v>0</v>
      </c>
      <c r="N310" s="1129"/>
      <c r="O310" s="1127"/>
      <c r="P310" s="1129"/>
      <c r="Q310" s="1127">
        <f t="shared" si="116"/>
        <v>0</v>
      </c>
      <c r="R310" s="1129"/>
      <c r="S310" s="2114">
        <f ca="1">'wp - t-1 COSS'!$F$33</f>
        <v>3.8170000000000002</v>
      </c>
      <c r="T310" s="1129"/>
      <c r="U310" s="1143">
        <f t="shared" ca="1" si="117"/>
        <v>0</v>
      </c>
      <c r="V310" s="2029"/>
    </row>
    <row r="311" spans="2:22">
      <c r="B311" s="1141" t="s">
        <v>711</v>
      </c>
      <c r="C311" s="1124"/>
      <c r="D311" s="1129"/>
      <c r="E311" s="1124"/>
      <c r="F311" s="1129"/>
      <c r="G311" s="1124">
        <v>0</v>
      </c>
      <c r="H311" s="1129"/>
      <c r="I311" s="1680">
        <v>4.58</v>
      </c>
      <c r="J311" s="1129"/>
      <c r="K311" s="1127">
        <f t="shared" si="115"/>
        <v>0</v>
      </c>
      <c r="L311" s="1129"/>
      <c r="M311" s="1125">
        <f t="shared" si="114"/>
        <v>0</v>
      </c>
      <c r="N311" s="1129"/>
      <c r="O311" s="1127"/>
      <c r="P311" s="1129"/>
      <c r="Q311" s="1127">
        <f t="shared" si="116"/>
        <v>0</v>
      </c>
      <c r="R311" s="1129"/>
      <c r="S311" s="2114">
        <f ca="1">'wp - t-1 COSS'!$F$33</f>
        <v>3.8170000000000002</v>
      </c>
      <c r="T311" s="1129"/>
      <c r="U311" s="1143">
        <f t="shared" ca="1" si="117"/>
        <v>0</v>
      </c>
      <c r="V311" s="2029"/>
    </row>
    <row r="312" spans="2:22" ht="13.5" thickBot="1">
      <c r="B312" s="1150" t="s">
        <v>1369</v>
      </c>
      <c r="C312" s="1145">
        <f>SUM(C305:C311)</f>
        <v>159.55393554299846</v>
      </c>
      <c r="D312" s="1135"/>
      <c r="E312" s="1145">
        <f>SUM(E305:E311)</f>
        <v>48</v>
      </c>
      <c r="F312" s="1135"/>
      <c r="G312" s="1145">
        <f>SUM(G305:G311)</f>
        <v>49.401711304292974</v>
      </c>
      <c r="H312" s="1129"/>
      <c r="I312" s="1678"/>
      <c r="J312" s="1129"/>
      <c r="K312" s="1136">
        <f>SUM(K305:K311)</f>
        <v>2401.9422154513077</v>
      </c>
      <c r="L312" s="1129"/>
      <c r="M312" s="1136">
        <f>SUM(M305:M311)</f>
        <v>2401.9422154513077</v>
      </c>
      <c r="N312" s="1129"/>
      <c r="O312" s="1145">
        <f>SUM(O305:O311)</f>
        <v>48</v>
      </c>
      <c r="P312" s="1129"/>
      <c r="Q312" s="1145">
        <f>SUM(Q305:Q311)</f>
        <v>49.401711304292974</v>
      </c>
      <c r="R312" s="1129"/>
      <c r="S312" s="1128"/>
      <c r="T312" s="1129"/>
      <c r="U312" s="1136">
        <f ca="1">SUM(U305:U311)</f>
        <v>2119.6063320484864</v>
      </c>
      <c r="V312" s="2030"/>
    </row>
    <row r="313" spans="2:22" ht="13.5" thickTop="1">
      <c r="B313" s="1150"/>
      <c r="C313" s="1132"/>
      <c r="D313" s="1133"/>
      <c r="E313" s="1132"/>
      <c r="F313" s="1129"/>
      <c r="G313" s="1124"/>
      <c r="H313" s="1129"/>
      <c r="I313" s="1679"/>
      <c r="J313" s="1129"/>
      <c r="K313" s="1125"/>
      <c r="L313" s="1129"/>
      <c r="M313" s="1125"/>
      <c r="N313" s="1129"/>
      <c r="O313" s="1127"/>
      <c r="P313" s="1129"/>
      <c r="Q313" s="1127"/>
      <c r="R313" s="1129"/>
      <c r="S313" s="1128"/>
      <c r="T313" s="1129"/>
      <c r="U313" s="1093"/>
      <c r="V313" s="2031"/>
    </row>
    <row r="314" spans="2:22" ht="13.5" thickBot="1">
      <c r="B314" s="1151" t="s">
        <v>1368</v>
      </c>
      <c r="C314" s="1132"/>
      <c r="D314" s="1133"/>
      <c r="E314" s="1132"/>
      <c r="F314" s="1129"/>
      <c r="G314" s="1124"/>
      <c r="H314" s="1129"/>
      <c r="I314" s="1679"/>
      <c r="J314" s="1129"/>
      <c r="K314" s="1125"/>
      <c r="L314" s="1129"/>
      <c r="M314" s="1138">
        <f>+M312/$E312</f>
        <v>50.040462821902246</v>
      </c>
      <c r="N314" s="1129"/>
      <c r="O314" s="1127"/>
      <c r="P314" s="1129"/>
      <c r="Q314" s="1127"/>
      <c r="R314" s="1129"/>
      <c r="S314" s="1128"/>
      <c r="T314" s="1129"/>
      <c r="U314" s="1138">
        <f ca="1">+U312/$E312</f>
        <v>44.158465251010135</v>
      </c>
      <c r="V314" s="2032"/>
    </row>
    <row r="315" spans="2:22" ht="13.5" thickTop="1">
      <c r="B315" s="1106" t="s">
        <v>3582</v>
      </c>
      <c r="C315" s="1124">
        <v>1340.8668423694721</v>
      </c>
      <c r="D315" s="1129"/>
      <c r="E315" s="1124"/>
      <c r="F315" s="1129"/>
      <c r="G315" s="1124"/>
      <c r="H315" s="1135"/>
      <c r="I315" s="1679"/>
      <c r="J315" s="1135"/>
      <c r="K315" s="1125"/>
      <c r="L315" s="1135"/>
      <c r="M315" s="1125"/>
      <c r="N315" s="1135"/>
      <c r="O315" s="1127"/>
      <c r="P315" s="1135"/>
      <c r="Q315" s="1127"/>
      <c r="R315" s="1135"/>
      <c r="S315" s="1128"/>
      <c r="T315" s="1135"/>
      <c r="U315" s="1143"/>
      <c r="V315" s="2029"/>
    </row>
    <row r="316" spans="2:22">
      <c r="B316" s="1141" t="s">
        <v>660</v>
      </c>
      <c r="C316" s="1124"/>
      <c r="D316" s="1129"/>
      <c r="E316" s="1124">
        <v>84</v>
      </c>
      <c r="F316" s="1129"/>
      <c r="G316" s="1124"/>
      <c r="H316" s="1133"/>
      <c r="I316" s="1680">
        <v>42.84</v>
      </c>
      <c r="J316" s="1133"/>
      <c r="K316" s="1125">
        <f>+E316*I316</f>
        <v>3598.5600000000004</v>
      </c>
      <c r="L316" s="1133"/>
      <c r="M316" s="1125">
        <f>+K316</f>
        <v>3598.5600000000004</v>
      </c>
      <c r="N316" s="1133"/>
      <c r="O316" s="1127">
        <f>+E316</f>
        <v>84</v>
      </c>
      <c r="P316" s="1133"/>
      <c r="Q316" s="1127"/>
      <c r="R316" s="1133"/>
      <c r="S316" s="1142">
        <f ca="1">'wp - t-1 COSS'!$F$15</f>
        <v>40.229999999999997</v>
      </c>
      <c r="T316" s="1133"/>
      <c r="U316" s="1143">
        <f ca="1">+O316*S316</f>
        <v>3379.3199999999997</v>
      </c>
      <c r="V316" s="2029"/>
    </row>
    <row r="317" spans="2:22">
      <c r="B317" s="1141" t="s">
        <v>661</v>
      </c>
      <c r="C317" s="1124"/>
      <c r="D317" s="1129"/>
      <c r="E317" s="1124"/>
      <c r="F317" s="1129"/>
      <c r="G317" s="1124">
        <v>315.3609584510769</v>
      </c>
      <c r="H317" s="1133"/>
      <c r="I317" s="1680">
        <v>7.06</v>
      </c>
      <c r="J317" s="1133"/>
      <c r="K317" s="1127">
        <f>+G317*I317</f>
        <v>2226.4483666646029</v>
      </c>
      <c r="L317" s="1133"/>
      <c r="M317" s="1125">
        <f t="shared" ref="M317:M321" si="118">+K317</f>
        <v>2226.4483666646029</v>
      </c>
      <c r="N317" s="1133"/>
      <c r="O317" s="1127"/>
      <c r="P317" s="1133"/>
      <c r="Q317" s="1127">
        <f>+G317</f>
        <v>315.3609584510769</v>
      </c>
      <c r="R317" s="1133"/>
      <c r="S317" s="2114">
        <f ca="1">'wp - t-1 COSS'!$F$33</f>
        <v>3.8170000000000002</v>
      </c>
      <c r="T317" s="1133"/>
      <c r="U317" s="1143">
        <f ca="1">+Q317*S317</f>
        <v>1203.7327784077606</v>
      </c>
      <c r="V317" s="2029"/>
    </row>
    <row r="318" spans="2:22">
      <c r="B318" s="1141" t="s">
        <v>706</v>
      </c>
      <c r="C318" s="1124"/>
      <c r="D318" s="1129"/>
      <c r="E318" s="1124"/>
      <c r="F318" s="1129"/>
      <c r="G318" s="1124">
        <v>477.64562652528889</v>
      </c>
      <c r="H318" s="1129"/>
      <c r="I318" s="1680">
        <v>6.48</v>
      </c>
      <c r="J318" s="1129"/>
      <c r="K318" s="1127">
        <f t="shared" ref="K318:K321" si="119">+G318*I318</f>
        <v>3095.1436598838723</v>
      </c>
      <c r="L318" s="1129"/>
      <c r="M318" s="1125">
        <f t="shared" si="118"/>
        <v>3095.1436598838723</v>
      </c>
      <c r="N318" s="1129"/>
      <c r="O318" s="1127"/>
      <c r="P318" s="1129"/>
      <c r="Q318" s="1127">
        <f t="shared" ref="Q318:Q321" si="120">+G318</f>
        <v>477.64562652528889</v>
      </c>
      <c r="R318" s="1129"/>
      <c r="S318" s="2114">
        <f ca="1">'wp - t-1 COSS'!$F$33</f>
        <v>3.8170000000000002</v>
      </c>
      <c r="T318" s="1129"/>
      <c r="U318" s="1143">
        <f t="shared" ref="U318:U321" ca="1" si="121">+Q318*S318</f>
        <v>1823.1733564470278</v>
      </c>
      <c r="V318" s="2029"/>
    </row>
    <row r="319" spans="2:22">
      <c r="B319" s="1141" t="s">
        <v>707</v>
      </c>
      <c r="C319" s="1124"/>
      <c r="D319" s="1129"/>
      <c r="E319" s="1124"/>
      <c r="F319" s="1129"/>
      <c r="G319" s="1124">
        <v>44.07506979677887</v>
      </c>
      <c r="H319" s="1129"/>
      <c r="I319" s="1680">
        <v>5.91</v>
      </c>
      <c r="J319" s="1129"/>
      <c r="K319" s="1127">
        <f t="shared" si="119"/>
        <v>260.4836624989631</v>
      </c>
      <c r="L319" s="1129"/>
      <c r="M319" s="1125">
        <f t="shared" si="118"/>
        <v>260.4836624989631</v>
      </c>
      <c r="N319" s="1129"/>
      <c r="O319" s="1127"/>
      <c r="P319" s="1129"/>
      <c r="Q319" s="1127">
        <f t="shared" si="120"/>
        <v>44.07506979677887</v>
      </c>
      <c r="R319" s="1129"/>
      <c r="S319" s="2114">
        <f ca="1">'wp - t-1 COSS'!$F$33</f>
        <v>3.8170000000000002</v>
      </c>
      <c r="T319" s="1129"/>
      <c r="U319" s="1143">
        <f t="shared" ca="1" si="121"/>
        <v>168.23454141430494</v>
      </c>
      <c r="V319" s="2029"/>
    </row>
    <row r="320" spans="2:22">
      <c r="B320" s="1141" t="s">
        <v>708</v>
      </c>
      <c r="C320" s="1124"/>
      <c r="D320" s="1129"/>
      <c r="E320" s="1124"/>
      <c r="F320" s="1129"/>
      <c r="G320" s="1124">
        <v>0</v>
      </c>
      <c r="H320" s="1129"/>
      <c r="I320" s="1680">
        <v>5.24</v>
      </c>
      <c r="J320" s="1129"/>
      <c r="K320" s="1127">
        <f t="shared" si="119"/>
        <v>0</v>
      </c>
      <c r="L320" s="1129"/>
      <c r="M320" s="1125">
        <f t="shared" si="118"/>
        <v>0</v>
      </c>
      <c r="N320" s="1129"/>
      <c r="O320" s="1127"/>
      <c r="P320" s="1129"/>
      <c r="Q320" s="1127">
        <f t="shared" si="120"/>
        <v>0</v>
      </c>
      <c r="R320" s="1129"/>
      <c r="S320" s="2114">
        <f ca="1">'wp - t-1 COSS'!$F$33</f>
        <v>3.8170000000000002</v>
      </c>
      <c r="T320" s="1129"/>
      <c r="U320" s="1143">
        <f t="shared" ca="1" si="121"/>
        <v>0</v>
      </c>
      <c r="V320" s="2029"/>
    </row>
    <row r="321" spans="2:22">
      <c r="B321" s="1141" t="s">
        <v>711</v>
      </c>
      <c r="C321" s="1124"/>
      <c r="D321" s="1129"/>
      <c r="E321" s="1124"/>
      <c r="F321" s="1129"/>
      <c r="G321" s="1124">
        <v>0</v>
      </c>
      <c r="H321" s="1129"/>
      <c r="I321" s="1680">
        <v>4.58</v>
      </c>
      <c r="J321" s="1129"/>
      <c r="K321" s="1127">
        <f t="shared" si="119"/>
        <v>0</v>
      </c>
      <c r="L321" s="1129"/>
      <c r="M321" s="1125">
        <f t="shared" si="118"/>
        <v>0</v>
      </c>
      <c r="N321" s="1129"/>
      <c r="O321" s="1127"/>
      <c r="P321" s="1129"/>
      <c r="Q321" s="1127">
        <f t="shared" si="120"/>
        <v>0</v>
      </c>
      <c r="R321" s="1129"/>
      <c r="S321" s="2114">
        <f ca="1">'wp - t-1 COSS'!$F$33</f>
        <v>3.8170000000000002</v>
      </c>
      <c r="T321" s="1129"/>
      <c r="U321" s="1143">
        <f t="shared" ca="1" si="121"/>
        <v>0</v>
      </c>
      <c r="V321" s="2029"/>
    </row>
    <row r="322" spans="2:22" ht="13.5" thickBot="1">
      <c r="B322" s="1150" t="s">
        <v>3583</v>
      </c>
      <c r="C322" s="1134">
        <f>SUM(C315:C320)</f>
        <v>1340.8668423694721</v>
      </c>
      <c r="D322" s="1135"/>
      <c r="E322" s="1134">
        <f>SUM(E315:E320)</f>
        <v>84</v>
      </c>
      <c r="F322" s="1135"/>
      <c r="G322" s="1134">
        <f>SUM(G315:G321)</f>
        <v>837.08165477314458</v>
      </c>
      <c r="H322" s="1129"/>
      <c r="I322" s="1678"/>
      <c r="J322" s="1129"/>
      <c r="K322" s="1146">
        <f>SUM(K316:K321)</f>
        <v>9180.6356890474399</v>
      </c>
      <c r="L322" s="1129"/>
      <c r="M322" s="1146">
        <f>SUM(M316:M321)</f>
        <v>9180.6356890474399</v>
      </c>
      <c r="N322" s="1129"/>
      <c r="O322" s="1134">
        <f>SUM(O315:O320)</f>
        <v>84</v>
      </c>
      <c r="P322" s="1129"/>
      <c r="Q322" s="1134">
        <f>SUM(Q315:R321)</f>
        <v>837.08165477314458</v>
      </c>
      <c r="R322" s="1129"/>
      <c r="S322" s="1142"/>
      <c r="T322" s="1129"/>
      <c r="U322" s="1146">
        <f ca="1">SUM(U316:U321)</f>
        <v>6574.4606762690928</v>
      </c>
      <c r="V322" s="2030"/>
    </row>
    <row r="323" spans="2:22" ht="13.5" thickTop="1">
      <c r="B323" s="1150"/>
      <c r="C323" s="1132"/>
      <c r="D323" s="1133"/>
      <c r="E323" s="1132"/>
      <c r="F323" s="1129"/>
      <c r="G323" s="1124"/>
      <c r="H323" s="1129"/>
      <c r="I323" s="1679"/>
      <c r="J323" s="1129"/>
      <c r="K323" s="1125"/>
      <c r="L323" s="1129"/>
      <c r="M323" s="1125"/>
      <c r="N323" s="1129"/>
      <c r="O323" s="1127"/>
      <c r="P323" s="1129"/>
      <c r="Q323" s="1127"/>
      <c r="R323" s="1129"/>
      <c r="S323" s="1128"/>
      <c r="T323" s="1129"/>
      <c r="U323" s="1093"/>
      <c r="V323" s="2031"/>
    </row>
    <row r="324" spans="2:22" ht="13.5" thickBot="1">
      <c r="B324" s="1119" t="s">
        <v>3584</v>
      </c>
      <c r="C324" s="1132"/>
      <c r="D324" s="1133"/>
      <c r="E324" s="1132"/>
      <c r="F324" s="1129"/>
      <c r="G324" s="1124"/>
      <c r="H324" s="1129"/>
      <c r="I324" s="1679"/>
      <c r="J324" s="1129"/>
      <c r="K324" s="1125"/>
      <c r="L324" s="1129"/>
      <c r="M324" s="1138">
        <f>+M322/$E322</f>
        <v>109.29328201246952</v>
      </c>
      <c r="N324" s="1129"/>
      <c r="O324" s="1127"/>
      <c r="P324" s="1129"/>
      <c r="Q324" s="1127"/>
      <c r="R324" s="1129"/>
      <c r="S324" s="1128"/>
      <c r="T324" s="1129"/>
      <c r="U324" s="1138">
        <f ca="1">+U322/$E322</f>
        <v>78.26738900320349</v>
      </c>
      <c r="V324" s="2032"/>
    </row>
    <row r="325" spans="2:22" ht="13.5" thickTop="1">
      <c r="B325" s="1106" t="s">
        <v>1367</v>
      </c>
      <c r="C325" s="1124">
        <v>1570.2061037674875</v>
      </c>
      <c r="D325" s="1129"/>
      <c r="E325" s="1124"/>
      <c r="F325" s="1129"/>
      <c r="G325" s="1124"/>
      <c r="H325" s="1135"/>
      <c r="I325" s="1679"/>
      <c r="J325" s="1135"/>
      <c r="K325" s="1125"/>
      <c r="L325" s="1135"/>
      <c r="M325" s="1125"/>
      <c r="N325" s="1135"/>
      <c r="O325" s="1127"/>
      <c r="P325" s="1135"/>
      <c r="Q325" s="1127"/>
      <c r="R325" s="1135"/>
      <c r="S325" s="1128"/>
      <c r="T325" s="1135"/>
      <c r="U325" s="1143"/>
      <c r="V325" s="2029"/>
    </row>
    <row r="326" spans="2:22">
      <c r="B326" s="1141" t="s">
        <v>3571</v>
      </c>
      <c r="C326" s="1124"/>
      <c r="D326" s="1129"/>
      <c r="E326" s="1124">
        <v>24</v>
      </c>
      <c r="F326" s="1129"/>
      <c r="G326" s="1124"/>
      <c r="H326" s="1133"/>
      <c r="I326" s="1680">
        <v>83.81</v>
      </c>
      <c r="J326" s="1133"/>
      <c r="K326" s="1125">
        <f>+E326*I326</f>
        <v>2011.44</v>
      </c>
      <c r="L326" s="1133"/>
      <c r="M326" s="1125">
        <f>+K326</f>
        <v>2011.44</v>
      </c>
      <c r="N326" s="1133"/>
      <c r="O326" s="1127">
        <f>+E326</f>
        <v>24</v>
      </c>
      <c r="P326" s="1133"/>
      <c r="Q326" s="1127"/>
      <c r="R326" s="1133"/>
      <c r="S326" s="1142">
        <f ca="1">'wp - t-1 COSS'!$F$16</f>
        <v>81.41</v>
      </c>
      <c r="T326" s="1133"/>
      <c r="U326" s="1143">
        <f ca="1">+O326*S326</f>
        <v>1953.84</v>
      </c>
      <c r="V326" s="2029"/>
    </row>
    <row r="327" spans="2:22">
      <c r="B327" s="1141" t="s">
        <v>3572</v>
      </c>
      <c r="C327" s="1132"/>
      <c r="D327" s="1133"/>
      <c r="E327" s="1132"/>
      <c r="F327" s="1129"/>
      <c r="G327" s="1124">
        <v>167.38262531254207</v>
      </c>
      <c r="H327" s="1133"/>
      <c r="I327" s="1680">
        <v>6.48</v>
      </c>
      <c r="J327" s="1133"/>
      <c r="K327" s="1127">
        <f>+G327*I327</f>
        <v>1084.6394120252728</v>
      </c>
      <c r="L327" s="1133"/>
      <c r="M327" s="1125">
        <f t="shared" ref="M327:M330" si="122">+K327</f>
        <v>1084.6394120252728</v>
      </c>
      <c r="N327" s="1133"/>
      <c r="O327" s="1127"/>
      <c r="P327" s="1133"/>
      <c r="Q327" s="1127">
        <f>+G327</f>
        <v>167.38262531254207</v>
      </c>
      <c r="R327" s="1133"/>
      <c r="S327" s="2114">
        <f ca="1">'wp - t-1 COSS'!$F$34</f>
        <v>3.8170000000000002</v>
      </c>
      <c r="T327" s="1133"/>
      <c r="U327" s="1143">
        <f ca="1">+Q327*S327</f>
        <v>638.89948081797309</v>
      </c>
      <c r="V327" s="2029"/>
    </row>
    <row r="328" spans="2:22">
      <c r="B328" s="1141" t="s">
        <v>707</v>
      </c>
      <c r="C328" s="1132"/>
      <c r="D328" s="1133"/>
      <c r="E328" s="1132"/>
      <c r="F328" s="1129"/>
      <c r="G328" s="1124">
        <v>301.11148479372247</v>
      </c>
      <c r="H328" s="1129"/>
      <c r="I328" s="1680">
        <v>5.91</v>
      </c>
      <c r="J328" s="1129"/>
      <c r="K328" s="1127">
        <f t="shared" ref="K328:K330" si="123">+G328*I328</f>
        <v>1779.5688751308999</v>
      </c>
      <c r="L328" s="1129"/>
      <c r="M328" s="1125">
        <f t="shared" si="122"/>
        <v>1779.5688751308999</v>
      </c>
      <c r="N328" s="1129"/>
      <c r="O328" s="1127"/>
      <c r="P328" s="1129"/>
      <c r="Q328" s="1127">
        <f t="shared" ref="Q328:Q330" si="124">+G328</f>
        <v>301.11148479372247</v>
      </c>
      <c r="R328" s="1129"/>
      <c r="S328" s="2114">
        <f ca="1">'wp - t-1 COSS'!$F$34</f>
        <v>3.8170000000000002</v>
      </c>
      <c r="T328" s="1129"/>
      <c r="U328" s="1143">
        <f t="shared" ref="U328:U330" ca="1" si="125">+Q328*S328</f>
        <v>1149.3425374576386</v>
      </c>
      <c r="V328" s="2029"/>
    </row>
    <row r="329" spans="2:22">
      <c r="B329" s="1141" t="s">
        <v>708</v>
      </c>
      <c r="C329" s="1132"/>
      <c r="D329" s="1133"/>
      <c r="E329" s="1132"/>
      <c r="F329" s="1129"/>
      <c r="G329" s="1124">
        <v>537.96994302086034</v>
      </c>
      <c r="H329" s="1129"/>
      <c r="I329" s="1680">
        <v>5.24</v>
      </c>
      <c r="J329" s="1129"/>
      <c r="K329" s="1127">
        <f t="shared" si="123"/>
        <v>2818.9625014293083</v>
      </c>
      <c r="L329" s="1129"/>
      <c r="M329" s="1125">
        <f t="shared" si="122"/>
        <v>2818.9625014293083</v>
      </c>
      <c r="N329" s="1129"/>
      <c r="O329" s="1127"/>
      <c r="P329" s="1129"/>
      <c r="Q329" s="1127">
        <f t="shared" si="124"/>
        <v>537.96994302086034</v>
      </c>
      <c r="R329" s="1129"/>
      <c r="S329" s="2114">
        <f ca="1">'wp - t-1 COSS'!$F$34</f>
        <v>3.8170000000000002</v>
      </c>
      <c r="T329" s="1129"/>
      <c r="U329" s="1143">
        <f t="shared" ca="1" si="125"/>
        <v>2053.4312725106242</v>
      </c>
      <c r="V329" s="2029"/>
    </row>
    <row r="330" spans="2:22">
      <c r="B330" s="1141" t="s">
        <v>711</v>
      </c>
      <c r="C330" s="1132"/>
      <c r="D330" s="1133"/>
      <c r="E330" s="1132"/>
      <c r="F330" s="1129"/>
      <c r="G330" s="1124">
        <v>262.51050529955415</v>
      </c>
      <c r="H330" s="1129"/>
      <c r="I330" s="1680">
        <v>4.58</v>
      </c>
      <c r="J330" s="1129"/>
      <c r="K330" s="1127">
        <f t="shared" si="123"/>
        <v>1202.298114271958</v>
      </c>
      <c r="L330" s="1129"/>
      <c r="M330" s="1125">
        <f t="shared" si="122"/>
        <v>1202.298114271958</v>
      </c>
      <c r="N330" s="1129"/>
      <c r="O330" s="1127"/>
      <c r="P330" s="1129"/>
      <c r="Q330" s="1127">
        <f t="shared" si="124"/>
        <v>262.51050529955415</v>
      </c>
      <c r="R330" s="1129"/>
      <c r="S330" s="2114">
        <f ca="1">'wp - t-1 COSS'!$F$34</f>
        <v>3.8170000000000002</v>
      </c>
      <c r="T330" s="1129"/>
      <c r="U330" s="1143">
        <f t="shared" ca="1" si="125"/>
        <v>1002.0025987283982</v>
      </c>
      <c r="V330" s="2029"/>
    </row>
    <row r="331" spans="2:22" ht="13.5" thickBot="1">
      <c r="B331" s="1150" t="s">
        <v>1366</v>
      </c>
      <c r="C331" s="1134">
        <f>SUM(C324:C330)</f>
        <v>1570.2061037674875</v>
      </c>
      <c r="D331" s="1135"/>
      <c r="E331" s="1134">
        <f>SUM(E324:E330)</f>
        <v>24</v>
      </c>
      <c r="F331" s="1135"/>
      <c r="G331" s="1134">
        <f>SUM(G324:G330)</f>
        <v>1268.9745584266791</v>
      </c>
      <c r="H331" s="1129"/>
      <c r="I331" s="1678"/>
      <c r="J331" s="1129"/>
      <c r="K331" s="1136">
        <f>SUM(K326:K330)</f>
        <v>8896.9089028574399</v>
      </c>
      <c r="L331" s="1129"/>
      <c r="M331" s="1136">
        <f>SUM(M326:M330)</f>
        <v>8896.9089028574399</v>
      </c>
      <c r="N331" s="1129"/>
      <c r="O331" s="1145">
        <f>SUM(O326:O330)</f>
        <v>24</v>
      </c>
      <c r="P331" s="1129"/>
      <c r="Q331" s="1145">
        <f>SUM(Q326:Q330)</f>
        <v>1268.9745584266791</v>
      </c>
      <c r="R331" s="1129"/>
      <c r="S331" s="1128"/>
      <c r="T331" s="1129"/>
      <c r="U331" s="1136">
        <f ca="1">SUM(U326:U330)</f>
        <v>6797.5158895146333</v>
      </c>
      <c r="V331" s="2030"/>
    </row>
    <row r="332" spans="2:22" ht="13.5" thickTop="1">
      <c r="B332" s="1150"/>
      <c r="C332" s="1132"/>
      <c r="D332" s="1133"/>
      <c r="E332" s="1132"/>
      <c r="F332" s="1129"/>
      <c r="G332" s="1124"/>
      <c r="H332" s="1129"/>
      <c r="I332" s="1679"/>
      <c r="J332" s="1129"/>
      <c r="K332" s="1125"/>
      <c r="L332" s="1129"/>
      <c r="M332" s="1125"/>
      <c r="N332" s="1129"/>
      <c r="O332" s="1127"/>
      <c r="P332" s="1129"/>
      <c r="Q332" s="1127"/>
      <c r="R332" s="1129"/>
      <c r="S332" s="1128"/>
      <c r="T332" s="1129"/>
      <c r="U332" s="1093"/>
      <c r="V332" s="2031"/>
    </row>
    <row r="333" spans="2:22" ht="13.5" thickBot="1">
      <c r="B333" s="1151" t="s">
        <v>1365</v>
      </c>
      <c r="C333" s="1132"/>
      <c r="D333" s="1133"/>
      <c r="E333" s="1132"/>
      <c r="F333" s="1129"/>
      <c r="G333" s="1124"/>
      <c r="H333" s="1129"/>
      <c r="I333" s="1679"/>
      <c r="J333" s="1129"/>
      <c r="K333" s="1125"/>
      <c r="L333" s="1129"/>
      <c r="M333" s="1138">
        <f>+M331/$E331</f>
        <v>370.70453761905998</v>
      </c>
      <c r="N333" s="1129"/>
      <c r="O333" s="1127"/>
      <c r="P333" s="1129"/>
      <c r="Q333" s="1127"/>
      <c r="R333" s="1129"/>
      <c r="S333" s="1128"/>
      <c r="T333" s="1129"/>
      <c r="U333" s="1138">
        <f ca="1">+U331/$E331</f>
        <v>283.22982872977639</v>
      </c>
      <c r="V333" s="2032"/>
    </row>
    <row r="334" spans="2:22" ht="13.5" thickTop="1">
      <c r="B334" s="1106" t="s">
        <v>1364</v>
      </c>
      <c r="C334" s="1124">
        <v>2177.0196292205974</v>
      </c>
      <c r="D334" s="1129"/>
      <c r="E334" s="1124"/>
      <c r="F334" s="1129"/>
      <c r="G334" s="1124"/>
      <c r="H334" s="1135"/>
      <c r="I334" s="1679"/>
      <c r="J334" s="1135"/>
      <c r="K334" s="1125"/>
      <c r="L334" s="1135"/>
      <c r="M334" s="1125"/>
      <c r="N334" s="1135"/>
      <c r="O334" s="1127"/>
      <c r="P334" s="1135"/>
      <c r="Q334" s="1127"/>
      <c r="R334" s="1135"/>
      <c r="S334" s="1128"/>
      <c r="T334" s="1135"/>
      <c r="U334" s="1143"/>
      <c r="V334" s="2029"/>
    </row>
    <row r="335" spans="2:22">
      <c r="B335" s="1141" t="s">
        <v>3571</v>
      </c>
      <c r="C335" s="1124"/>
      <c r="D335" s="1129"/>
      <c r="E335" s="1124">
        <v>35</v>
      </c>
      <c r="F335" s="1129"/>
      <c r="G335" s="1124"/>
      <c r="H335" s="1133"/>
      <c r="I335" s="1680">
        <v>83.81</v>
      </c>
      <c r="J335" s="1133"/>
      <c r="K335" s="1125">
        <f>+E335*I335</f>
        <v>2933.35</v>
      </c>
      <c r="L335" s="1133"/>
      <c r="M335" s="1125">
        <f>+K335</f>
        <v>2933.35</v>
      </c>
      <c r="N335" s="1133"/>
      <c r="O335" s="1127">
        <f>+E335</f>
        <v>35</v>
      </c>
      <c r="P335" s="1133"/>
      <c r="Q335" s="1127"/>
      <c r="R335" s="1133"/>
      <c r="S335" s="1142">
        <f ca="1">'wp - t-1 COSS'!$F$16</f>
        <v>81.41</v>
      </c>
      <c r="T335" s="1133"/>
      <c r="U335" s="1143">
        <f ca="1">+O335*S335</f>
        <v>2849.35</v>
      </c>
      <c r="V335" s="2029"/>
    </row>
    <row r="336" spans="2:22">
      <c r="B336" s="1141" t="s">
        <v>3572</v>
      </c>
      <c r="C336" s="1132"/>
      <c r="D336" s="1133"/>
      <c r="E336" s="1132"/>
      <c r="F336" s="1129"/>
      <c r="G336" s="1124">
        <v>277.00609739760642</v>
      </c>
      <c r="H336" s="1133"/>
      <c r="I336" s="1680">
        <v>6.48</v>
      </c>
      <c r="J336" s="1133"/>
      <c r="K336" s="1127">
        <f>+G336*I336</f>
        <v>1794.9995111364897</v>
      </c>
      <c r="L336" s="1133"/>
      <c r="M336" s="1125">
        <f t="shared" ref="M336:M339" si="126">+K336</f>
        <v>1794.9995111364897</v>
      </c>
      <c r="N336" s="1133"/>
      <c r="O336" s="1127"/>
      <c r="P336" s="1133"/>
      <c r="Q336" s="1127">
        <f>+G336</f>
        <v>277.00609739760642</v>
      </c>
      <c r="R336" s="1133"/>
      <c r="S336" s="2114">
        <f ca="1">'wp - t-1 COSS'!$F$34</f>
        <v>3.8170000000000002</v>
      </c>
      <c r="T336" s="1133"/>
      <c r="U336" s="1143">
        <f ca="1">+Q336*S336</f>
        <v>1057.3322737666638</v>
      </c>
      <c r="V336" s="2029"/>
    </row>
    <row r="337" spans="2:22">
      <c r="B337" s="1141" t="s">
        <v>707</v>
      </c>
      <c r="C337" s="1132"/>
      <c r="D337" s="1133"/>
      <c r="E337" s="1132"/>
      <c r="F337" s="1129"/>
      <c r="G337" s="1124">
        <v>524.85544768068382</v>
      </c>
      <c r="H337" s="1129"/>
      <c r="I337" s="1680">
        <v>5.91</v>
      </c>
      <c r="J337" s="1129"/>
      <c r="K337" s="1127">
        <f t="shared" ref="K337:K339" si="127">+G337*I337</f>
        <v>3101.8956957928413</v>
      </c>
      <c r="L337" s="1129"/>
      <c r="M337" s="1125">
        <f t="shared" si="126"/>
        <v>3101.8956957928413</v>
      </c>
      <c r="N337" s="1129"/>
      <c r="O337" s="1127"/>
      <c r="P337" s="1129"/>
      <c r="Q337" s="1127">
        <f t="shared" ref="Q337:Q339" si="128">+G337</f>
        <v>524.85544768068382</v>
      </c>
      <c r="R337" s="1129"/>
      <c r="S337" s="2114">
        <f ca="1">'wp - t-1 COSS'!$F$34</f>
        <v>3.8170000000000002</v>
      </c>
      <c r="T337" s="1129"/>
      <c r="U337" s="1143">
        <f t="shared" ref="U337:U339" ca="1" si="129">+Q337*S337</f>
        <v>2003.3732437971703</v>
      </c>
      <c r="V337" s="2029"/>
    </row>
    <row r="338" spans="2:22">
      <c r="B338" s="1141" t="s">
        <v>708</v>
      </c>
      <c r="C338" s="1132"/>
      <c r="D338" s="1133"/>
      <c r="E338" s="1132"/>
      <c r="F338" s="1129"/>
      <c r="G338" s="1124">
        <v>723.07465645730804</v>
      </c>
      <c r="H338" s="1129"/>
      <c r="I338" s="1680">
        <v>5.24</v>
      </c>
      <c r="J338" s="1129"/>
      <c r="K338" s="1127">
        <f t="shared" si="127"/>
        <v>3788.9111998362941</v>
      </c>
      <c r="L338" s="1129"/>
      <c r="M338" s="1125">
        <f t="shared" si="126"/>
        <v>3788.9111998362941</v>
      </c>
      <c r="N338" s="1129"/>
      <c r="O338" s="1127"/>
      <c r="P338" s="1129"/>
      <c r="Q338" s="1127">
        <f t="shared" si="128"/>
        <v>723.07465645730804</v>
      </c>
      <c r="R338" s="1129"/>
      <c r="S338" s="2114">
        <f ca="1">'wp - t-1 COSS'!$F$34</f>
        <v>3.8170000000000002</v>
      </c>
      <c r="T338" s="1129"/>
      <c r="U338" s="1143">
        <f t="shared" ca="1" si="129"/>
        <v>2759.975963697545</v>
      </c>
      <c r="V338" s="2029"/>
    </row>
    <row r="339" spans="2:22">
      <c r="B339" s="1141" t="s">
        <v>711</v>
      </c>
      <c r="C339" s="1132"/>
      <c r="D339" s="1133"/>
      <c r="E339" s="1132"/>
      <c r="F339" s="1129"/>
      <c r="G339" s="1124">
        <v>320.98322451361997</v>
      </c>
      <c r="H339" s="1129"/>
      <c r="I339" s="1680">
        <v>4.58</v>
      </c>
      <c r="J339" s="1129"/>
      <c r="K339" s="1127">
        <f t="shared" si="127"/>
        <v>1470.1031682723794</v>
      </c>
      <c r="L339" s="1129"/>
      <c r="M339" s="1125">
        <f t="shared" si="126"/>
        <v>1470.1031682723794</v>
      </c>
      <c r="N339" s="1129"/>
      <c r="O339" s="1127"/>
      <c r="P339" s="1129"/>
      <c r="Q339" s="1127">
        <f t="shared" si="128"/>
        <v>320.98322451361997</v>
      </c>
      <c r="R339" s="1129"/>
      <c r="S339" s="2114">
        <f ca="1">'wp - t-1 COSS'!$F$34</f>
        <v>3.8170000000000002</v>
      </c>
      <c r="T339" s="1129"/>
      <c r="U339" s="1143">
        <f t="shared" ca="1" si="129"/>
        <v>1225.1929679684874</v>
      </c>
      <c r="V339" s="2029"/>
    </row>
    <row r="340" spans="2:22" ht="13.5" thickBot="1">
      <c r="B340" s="1150" t="s">
        <v>1363</v>
      </c>
      <c r="C340" s="1134">
        <f>SUM(C334:C339)</f>
        <v>2177.0196292205974</v>
      </c>
      <c r="D340" s="1135"/>
      <c r="E340" s="1134">
        <f>SUM(E334:E339)</f>
        <v>35</v>
      </c>
      <c r="F340" s="1135"/>
      <c r="G340" s="1134">
        <f>SUM(G334:G339)</f>
        <v>1845.9194260492181</v>
      </c>
      <c r="H340" s="1129"/>
      <c r="I340" s="1678"/>
      <c r="J340" s="1129"/>
      <c r="K340" s="1146">
        <f>SUM(K335:K339)</f>
        <v>13089.259575038004</v>
      </c>
      <c r="L340" s="1129"/>
      <c r="M340" s="1146">
        <f>SUM(M335:M339)</f>
        <v>13089.259575038004</v>
      </c>
      <c r="N340" s="1129"/>
      <c r="O340" s="1134">
        <f>SUM(O334:O339)</f>
        <v>35</v>
      </c>
      <c r="P340" s="1129"/>
      <c r="Q340" s="1134">
        <f>SUM(Q334:Q339)</f>
        <v>1845.9194260492181</v>
      </c>
      <c r="R340" s="1129"/>
      <c r="S340" s="1142"/>
      <c r="T340" s="1129"/>
      <c r="U340" s="1146">
        <f ca="1">SUM(U335:U339)</f>
        <v>9895.2244492298669</v>
      </c>
      <c r="V340" s="2030"/>
    </row>
    <row r="341" spans="2:22" ht="13.5" thickTop="1">
      <c r="B341" s="1150"/>
      <c r="C341" s="1132"/>
      <c r="D341" s="1133"/>
      <c r="E341" s="1132"/>
      <c r="F341" s="1129"/>
      <c r="G341" s="1124"/>
      <c r="H341" s="1129"/>
      <c r="I341" s="1679"/>
      <c r="J341" s="1129"/>
      <c r="K341" s="1125"/>
      <c r="L341" s="1129"/>
      <c r="M341" s="1125"/>
      <c r="N341" s="1129"/>
      <c r="O341" s="1127"/>
      <c r="P341" s="1129"/>
      <c r="Q341" s="1127"/>
      <c r="R341" s="1129"/>
      <c r="S341" s="1128"/>
      <c r="T341" s="1129"/>
      <c r="U341" s="1093"/>
      <c r="V341" s="2031"/>
    </row>
    <row r="342" spans="2:22" ht="13.5" thickBot="1">
      <c r="B342" s="1151" t="s">
        <v>1362</v>
      </c>
      <c r="C342" s="1132"/>
      <c r="D342" s="1133"/>
      <c r="E342" s="1132"/>
      <c r="F342" s="1129"/>
      <c r="G342" s="1124"/>
      <c r="H342" s="1129"/>
      <c r="I342" s="1679"/>
      <c r="J342" s="1129"/>
      <c r="K342" s="1125"/>
      <c r="L342" s="1129"/>
      <c r="M342" s="1138">
        <f>+M340/$E340</f>
        <v>373.97884500108586</v>
      </c>
      <c r="N342" s="1129"/>
      <c r="O342" s="1127"/>
      <c r="P342" s="1129"/>
      <c r="Q342" s="1127"/>
      <c r="R342" s="1129"/>
      <c r="S342" s="1128"/>
      <c r="T342" s="1129"/>
      <c r="U342" s="1138">
        <f ca="1">+U340/$E340</f>
        <v>282.72069854942475</v>
      </c>
      <c r="V342" s="2032"/>
    </row>
    <row r="343" spans="2:22" ht="13.5" thickTop="1">
      <c r="B343" s="1106" t="s">
        <v>3585</v>
      </c>
      <c r="C343" s="1124">
        <v>0</v>
      </c>
      <c r="D343" s="1129"/>
      <c r="E343" s="1124"/>
      <c r="F343" s="1129"/>
      <c r="G343" s="1124"/>
      <c r="H343" s="1135"/>
      <c r="I343" s="2106"/>
      <c r="J343" s="1135"/>
      <c r="K343" s="846"/>
      <c r="L343" s="1135"/>
      <c r="M343" s="1125"/>
      <c r="N343" s="1135"/>
      <c r="O343" s="1127"/>
      <c r="P343" s="1135"/>
      <c r="Q343" s="1127"/>
      <c r="R343" s="1135"/>
      <c r="S343" s="1128"/>
      <c r="T343" s="1135"/>
      <c r="U343" s="1143"/>
      <c r="V343" s="2029"/>
    </row>
    <row r="344" spans="2:22">
      <c r="B344" s="1141" t="s">
        <v>3573</v>
      </c>
      <c r="C344" s="1124"/>
      <c r="D344" s="1129"/>
      <c r="E344" s="1124">
        <v>0</v>
      </c>
      <c r="F344" s="1129"/>
      <c r="G344" s="1124"/>
      <c r="H344" s="1133"/>
      <c r="I344" s="1689">
        <v>0</v>
      </c>
      <c r="J344" s="1133"/>
      <c r="K344" s="1125">
        <v>0</v>
      </c>
      <c r="L344" s="1133"/>
      <c r="M344" s="1125">
        <f>+K344</f>
        <v>0</v>
      </c>
      <c r="N344" s="1133"/>
      <c r="O344" s="1127">
        <f>+E344</f>
        <v>0</v>
      </c>
      <c r="P344" s="1133"/>
      <c r="Q344" s="1127"/>
      <c r="R344" s="1133"/>
      <c r="S344" s="1142">
        <f ca="1">'wp - t-1 COSS'!$F$17</f>
        <v>130.83000000000001</v>
      </c>
      <c r="T344" s="1133"/>
      <c r="U344" s="1143">
        <f ca="1">+O344*S344</f>
        <v>0</v>
      </c>
      <c r="V344" s="2029"/>
    </row>
    <row r="345" spans="2:22">
      <c r="B345" s="1141" t="s">
        <v>3574</v>
      </c>
      <c r="C345" s="1132"/>
      <c r="D345" s="1133"/>
      <c r="E345" s="1132"/>
      <c r="F345" s="1129"/>
      <c r="G345" s="1124">
        <v>0</v>
      </c>
      <c r="H345" s="1133"/>
      <c r="I345" s="1690">
        <v>0</v>
      </c>
      <c r="J345" s="1133"/>
      <c r="K345" s="1127">
        <v>0</v>
      </c>
      <c r="L345" s="1133"/>
      <c r="M345" s="1125">
        <f t="shared" ref="M345:M348" si="130">+K345</f>
        <v>0</v>
      </c>
      <c r="N345" s="1133"/>
      <c r="O345" s="1127"/>
      <c r="P345" s="1133"/>
      <c r="Q345" s="1127">
        <f>+G345</f>
        <v>0</v>
      </c>
      <c r="R345" s="1133"/>
      <c r="S345" s="2114">
        <f ca="1">'wp - t-1 COSS'!$F$35</f>
        <v>3.8170000000000002</v>
      </c>
      <c r="T345" s="1133"/>
      <c r="U345" s="1143">
        <f ca="1">+Q345*S345</f>
        <v>0</v>
      </c>
      <c r="V345" s="2029"/>
    </row>
    <row r="346" spans="2:22">
      <c r="B346" s="1141" t="s">
        <v>707</v>
      </c>
      <c r="C346" s="1132"/>
      <c r="D346" s="1133"/>
      <c r="E346" s="1132"/>
      <c r="F346" s="1129"/>
      <c r="G346" s="1124">
        <v>0</v>
      </c>
      <c r="H346" s="1129"/>
      <c r="I346" s="1690">
        <v>0</v>
      </c>
      <c r="J346" s="1129"/>
      <c r="K346" s="1127">
        <v>0</v>
      </c>
      <c r="L346" s="1129"/>
      <c r="M346" s="1125">
        <f t="shared" si="130"/>
        <v>0</v>
      </c>
      <c r="N346" s="1129"/>
      <c r="O346" s="1127"/>
      <c r="P346" s="1129"/>
      <c r="Q346" s="1127">
        <f t="shared" ref="Q346:Q348" si="131">+G346</f>
        <v>0</v>
      </c>
      <c r="R346" s="1129"/>
      <c r="S346" s="2114">
        <f ca="1">'wp - t-1 COSS'!$F$35</f>
        <v>3.8170000000000002</v>
      </c>
      <c r="T346" s="1129"/>
      <c r="U346" s="1143">
        <f t="shared" ref="U346:U348" ca="1" si="132">+Q346*S346</f>
        <v>0</v>
      </c>
      <c r="V346" s="2029"/>
    </row>
    <row r="347" spans="2:22">
      <c r="B347" s="1141" t="s">
        <v>708</v>
      </c>
      <c r="C347" s="1132"/>
      <c r="D347" s="1133"/>
      <c r="E347" s="1132"/>
      <c r="F347" s="1129"/>
      <c r="G347" s="1124">
        <v>0</v>
      </c>
      <c r="H347" s="1129"/>
      <c r="I347" s="1690">
        <v>0</v>
      </c>
      <c r="J347" s="1129"/>
      <c r="K347" s="1127">
        <f t="shared" ref="K347:K348" si="133">+G347*I347</f>
        <v>0</v>
      </c>
      <c r="L347" s="1129"/>
      <c r="M347" s="1125">
        <f t="shared" si="130"/>
        <v>0</v>
      </c>
      <c r="N347" s="1129"/>
      <c r="O347" s="1127"/>
      <c r="P347" s="1129"/>
      <c r="Q347" s="1127">
        <f t="shared" si="131"/>
        <v>0</v>
      </c>
      <c r="R347" s="1129"/>
      <c r="S347" s="2114">
        <f ca="1">'wp - t-1 COSS'!$F$35</f>
        <v>3.8170000000000002</v>
      </c>
      <c r="T347" s="1129"/>
      <c r="U347" s="1143">
        <f t="shared" ca="1" si="132"/>
        <v>0</v>
      </c>
      <c r="V347" s="2029"/>
    </row>
    <row r="348" spans="2:22">
      <c r="B348" s="1141" t="s">
        <v>711</v>
      </c>
      <c r="C348" s="1132"/>
      <c r="D348" s="1133"/>
      <c r="E348" s="1132"/>
      <c r="F348" s="1129"/>
      <c r="G348" s="1124">
        <v>0</v>
      </c>
      <c r="H348" s="1129"/>
      <c r="I348" s="1690">
        <v>0</v>
      </c>
      <c r="J348" s="1129"/>
      <c r="K348" s="1127">
        <f t="shared" si="133"/>
        <v>0</v>
      </c>
      <c r="L348" s="1129"/>
      <c r="M348" s="1125">
        <f t="shared" si="130"/>
        <v>0</v>
      </c>
      <c r="N348" s="1129"/>
      <c r="O348" s="1127"/>
      <c r="P348" s="1129"/>
      <c r="Q348" s="1127">
        <f t="shared" si="131"/>
        <v>0</v>
      </c>
      <c r="R348" s="1129"/>
      <c r="S348" s="2114">
        <f ca="1">'wp - t-1 COSS'!$F$35</f>
        <v>3.8170000000000002</v>
      </c>
      <c r="T348" s="1129"/>
      <c r="U348" s="1143">
        <f t="shared" ca="1" si="132"/>
        <v>0</v>
      </c>
      <c r="V348" s="2029"/>
    </row>
    <row r="349" spans="2:22" ht="13.5" thickBot="1">
      <c r="B349" s="1109" t="s">
        <v>3586</v>
      </c>
      <c r="C349" s="1134">
        <f>SUM(C343:C348)</f>
        <v>0</v>
      </c>
      <c r="D349" s="1135"/>
      <c r="E349" s="1134">
        <f>SUM(E343:E348)</f>
        <v>0</v>
      </c>
      <c r="F349" s="1135"/>
      <c r="G349" s="1134">
        <f>SUM(G343:G348)</f>
        <v>0</v>
      </c>
      <c r="H349" s="1129"/>
      <c r="I349" s="1678"/>
      <c r="J349" s="1129"/>
      <c r="K349" s="1146">
        <f>SUM(K344:K348)</f>
        <v>0</v>
      </c>
      <c r="L349" s="1129"/>
      <c r="M349" s="1146">
        <f>SUM(M344:M348)</f>
        <v>0</v>
      </c>
      <c r="N349" s="1129"/>
      <c r="O349" s="1134">
        <f>SUM(O343:O348)</f>
        <v>0</v>
      </c>
      <c r="P349" s="1129"/>
      <c r="Q349" s="1134">
        <f>SUM(Q343:Q348)</f>
        <v>0</v>
      </c>
      <c r="R349" s="1129"/>
      <c r="S349" s="1142"/>
      <c r="T349" s="1129"/>
      <c r="U349" s="1146">
        <f ca="1">SUM(U344:U348)</f>
        <v>0</v>
      </c>
      <c r="V349" s="2030"/>
    </row>
    <row r="350" spans="2:22" ht="13.5" thickTop="1">
      <c r="B350" s="1109"/>
      <c r="C350" s="1132"/>
      <c r="D350" s="1133"/>
      <c r="E350" s="1132"/>
      <c r="F350" s="1129"/>
      <c r="G350" s="1124"/>
      <c r="H350" s="1129"/>
      <c r="I350" s="1679"/>
      <c r="J350" s="1129"/>
      <c r="K350" s="1125"/>
      <c r="L350" s="1129"/>
      <c r="M350" s="1125"/>
      <c r="N350" s="1129"/>
      <c r="O350" s="1127"/>
      <c r="P350" s="1129"/>
      <c r="Q350" s="1127"/>
      <c r="R350" s="1129"/>
      <c r="S350" s="1128"/>
      <c r="T350" s="1129"/>
      <c r="U350" s="1093"/>
      <c r="V350" s="2031"/>
    </row>
    <row r="351" spans="2:22" ht="13.5" thickBot="1">
      <c r="B351" s="1111" t="s">
        <v>3587</v>
      </c>
      <c r="C351" s="1132"/>
      <c r="D351" s="1133"/>
      <c r="E351" s="1132"/>
      <c r="F351" s="1129"/>
      <c r="G351" s="1124"/>
      <c r="H351" s="1129"/>
      <c r="I351" s="1679"/>
      <c r="J351" s="1129"/>
      <c r="K351" s="1125"/>
      <c r="L351" s="1129"/>
      <c r="M351" s="1138">
        <f>IFERROR(+M349/$E349,0)</f>
        <v>0</v>
      </c>
      <c r="N351" s="1129"/>
      <c r="O351" s="1127"/>
      <c r="P351" s="1129"/>
      <c r="Q351" s="1127"/>
      <c r="R351" s="1129"/>
      <c r="S351" s="1128"/>
      <c r="T351" s="1129"/>
      <c r="U351" s="1138">
        <f ca="1">IFERROR(+U349/$E349,0)</f>
        <v>0</v>
      </c>
      <c r="V351" s="2032"/>
    </row>
    <row r="352" spans="2:22" ht="13.5" thickTop="1">
      <c r="B352" s="1106" t="s">
        <v>1361</v>
      </c>
      <c r="C352" s="1124">
        <v>1613.8916221152615</v>
      </c>
      <c r="D352" s="1129"/>
      <c r="E352" s="1124"/>
      <c r="F352" s="1129"/>
      <c r="G352" s="1124"/>
      <c r="H352" s="1135"/>
      <c r="I352" s="1679"/>
      <c r="J352" s="1135"/>
      <c r="K352" s="1125"/>
      <c r="L352" s="1135"/>
      <c r="M352" s="1125"/>
      <c r="N352" s="1135"/>
      <c r="O352" s="1127"/>
      <c r="P352" s="1135"/>
      <c r="Q352" s="1127"/>
      <c r="R352" s="1135"/>
      <c r="S352" s="1128"/>
      <c r="T352" s="1135"/>
      <c r="U352" s="1143"/>
      <c r="V352" s="2029"/>
    </row>
    <row r="353" spans="2:22">
      <c r="B353" s="1141" t="s">
        <v>3573</v>
      </c>
      <c r="C353" s="1124"/>
      <c r="D353" s="1129"/>
      <c r="E353" s="1124">
        <v>12</v>
      </c>
      <c r="F353" s="1129"/>
      <c r="G353" s="1124"/>
      <c r="H353" s="1133"/>
      <c r="I353" s="1680">
        <v>125.3</v>
      </c>
      <c r="J353" s="1133"/>
      <c r="K353" s="1125">
        <f>+E353*I353</f>
        <v>1503.6</v>
      </c>
      <c r="L353" s="1133"/>
      <c r="M353" s="1125">
        <f>+K353</f>
        <v>1503.6</v>
      </c>
      <c r="N353" s="1133"/>
      <c r="O353" s="1127">
        <f>+E353</f>
        <v>12</v>
      </c>
      <c r="P353" s="1133"/>
      <c r="Q353" s="1127"/>
      <c r="R353" s="1133"/>
      <c r="S353" s="1142">
        <f ca="1">'wp - t-1 COSS'!$F$17</f>
        <v>130.83000000000001</v>
      </c>
      <c r="T353" s="1133"/>
      <c r="U353" s="1143">
        <f ca="1">+O353*S353</f>
        <v>1569.96</v>
      </c>
      <c r="V353" s="2029"/>
    </row>
    <row r="354" spans="2:22">
      <c r="B354" s="1141" t="s">
        <v>3574</v>
      </c>
      <c r="C354" s="1132"/>
      <c r="D354" s="1133"/>
      <c r="E354" s="1132"/>
      <c r="F354" s="1129"/>
      <c r="G354" s="1124">
        <v>43.2</v>
      </c>
      <c r="H354" s="1133"/>
      <c r="I354" s="1680">
        <v>6.48</v>
      </c>
      <c r="J354" s="1133"/>
      <c r="K354" s="1127">
        <f>+G354*I354</f>
        <v>279.93600000000004</v>
      </c>
      <c r="L354" s="1133"/>
      <c r="M354" s="1125">
        <f t="shared" ref="M354:M357" si="134">+K354</f>
        <v>279.93600000000004</v>
      </c>
      <c r="N354" s="1133"/>
      <c r="O354" s="1127"/>
      <c r="P354" s="1133"/>
      <c r="Q354" s="1127">
        <f>+G354</f>
        <v>43.2</v>
      </c>
      <c r="R354" s="1133"/>
      <c r="S354" s="2114">
        <f ca="1">'wp - t-1 COSS'!$F$35</f>
        <v>3.8170000000000002</v>
      </c>
      <c r="T354" s="1133"/>
      <c r="U354" s="1143">
        <f ca="1">+Q354*S354</f>
        <v>164.89440000000002</v>
      </c>
      <c r="V354" s="2029"/>
    </row>
    <row r="355" spans="2:22">
      <c r="B355" s="1141" t="s">
        <v>707</v>
      </c>
      <c r="C355" s="1132"/>
      <c r="D355" s="1133"/>
      <c r="E355" s="1132"/>
      <c r="F355" s="1129"/>
      <c r="G355" s="1124">
        <v>300</v>
      </c>
      <c r="H355" s="1129"/>
      <c r="I355" s="1680">
        <v>5.91</v>
      </c>
      <c r="J355" s="1129"/>
      <c r="K355" s="1127">
        <f t="shared" ref="K355:K357" si="135">+G355*I355</f>
        <v>1773</v>
      </c>
      <c r="L355" s="1129"/>
      <c r="M355" s="1125">
        <f t="shared" si="134"/>
        <v>1773</v>
      </c>
      <c r="N355" s="1129"/>
      <c r="O355" s="1127"/>
      <c r="P355" s="1129"/>
      <c r="Q355" s="1127">
        <f t="shared" ref="Q355:Q357" si="136">+G355</f>
        <v>300</v>
      </c>
      <c r="R355" s="1129"/>
      <c r="S355" s="2114">
        <f ca="1">'wp - t-1 COSS'!$F$35</f>
        <v>3.8170000000000002</v>
      </c>
      <c r="T355" s="1129"/>
      <c r="U355" s="1143">
        <f t="shared" ref="U355:U357" ca="1" si="137">+Q355*S355</f>
        <v>1145.1000000000001</v>
      </c>
      <c r="V355" s="2029"/>
    </row>
    <row r="356" spans="2:22">
      <c r="B356" s="1141" t="s">
        <v>708</v>
      </c>
      <c r="C356" s="1132"/>
      <c r="D356" s="1133"/>
      <c r="E356" s="1132"/>
      <c r="F356" s="1129"/>
      <c r="G356" s="1124">
        <v>600</v>
      </c>
      <c r="H356" s="1129"/>
      <c r="I356" s="1680">
        <v>5.24</v>
      </c>
      <c r="J356" s="1129"/>
      <c r="K356" s="1127">
        <f t="shared" si="135"/>
        <v>3144</v>
      </c>
      <c r="L356" s="1129"/>
      <c r="M356" s="1125">
        <f t="shared" si="134"/>
        <v>3144</v>
      </c>
      <c r="N356" s="1129"/>
      <c r="O356" s="1127"/>
      <c r="P356" s="1129"/>
      <c r="Q356" s="1127">
        <f t="shared" si="136"/>
        <v>600</v>
      </c>
      <c r="R356" s="1129"/>
      <c r="S356" s="2114">
        <f ca="1">'wp - t-1 COSS'!$F$35</f>
        <v>3.8170000000000002</v>
      </c>
      <c r="T356" s="1129"/>
      <c r="U356" s="1143">
        <f t="shared" ca="1" si="137"/>
        <v>2290.2000000000003</v>
      </c>
      <c r="V356" s="2029"/>
    </row>
    <row r="357" spans="2:22">
      <c r="B357" s="1141" t="s">
        <v>711</v>
      </c>
      <c r="C357" s="1132"/>
      <c r="D357" s="1133"/>
      <c r="E357" s="1132"/>
      <c r="F357" s="1129"/>
      <c r="G357" s="1124">
        <v>413.89162211526161</v>
      </c>
      <c r="H357" s="1129"/>
      <c r="I357" s="1680">
        <v>4.58</v>
      </c>
      <c r="J357" s="1129"/>
      <c r="K357" s="1127">
        <f t="shared" si="135"/>
        <v>1895.6236292878982</v>
      </c>
      <c r="L357" s="1129"/>
      <c r="M357" s="1125">
        <f t="shared" si="134"/>
        <v>1895.6236292878982</v>
      </c>
      <c r="N357" s="1129"/>
      <c r="O357" s="1127"/>
      <c r="P357" s="1129"/>
      <c r="Q357" s="1127">
        <f t="shared" si="136"/>
        <v>413.89162211526161</v>
      </c>
      <c r="R357" s="1129"/>
      <c r="S357" s="2114">
        <f ca="1">'wp - t-1 COSS'!$F$35</f>
        <v>3.8170000000000002</v>
      </c>
      <c r="T357" s="1129"/>
      <c r="U357" s="1143">
        <f t="shared" ca="1" si="137"/>
        <v>1579.8243216139535</v>
      </c>
      <c r="V357" s="2029"/>
    </row>
    <row r="358" spans="2:22" ht="13.5" thickBot="1">
      <c r="B358" s="1150" t="s">
        <v>1360</v>
      </c>
      <c r="C358" s="1134">
        <f>SUM(C352:C357)</f>
        <v>1613.8916221152615</v>
      </c>
      <c r="D358" s="1135"/>
      <c r="E358" s="1134">
        <f>SUM(E352:E357)</f>
        <v>12</v>
      </c>
      <c r="F358" s="1135"/>
      <c r="G358" s="1134">
        <f>SUM(G352:G357)</f>
        <v>1357.0916221152615</v>
      </c>
      <c r="H358" s="1129"/>
      <c r="I358" s="1678"/>
      <c r="J358" s="1129"/>
      <c r="K358" s="1146">
        <f>SUM(K353:K357)</f>
        <v>8596.1596292878985</v>
      </c>
      <c r="L358" s="1129"/>
      <c r="M358" s="1146">
        <f>SUM(M353:M357)</f>
        <v>8596.1596292878985</v>
      </c>
      <c r="N358" s="1129"/>
      <c r="O358" s="1134">
        <f>SUM(O352:O357)</f>
        <v>12</v>
      </c>
      <c r="P358" s="1129"/>
      <c r="Q358" s="1134">
        <f>SUM(Q352:R357)</f>
        <v>1357.0916221152615</v>
      </c>
      <c r="R358" s="1129"/>
      <c r="S358" s="1142"/>
      <c r="T358" s="1129"/>
      <c r="U358" s="1146">
        <f ca="1">SUM(U353:U357)</f>
        <v>6749.9787216139548</v>
      </c>
      <c r="V358" s="2030"/>
    </row>
    <row r="359" spans="2:22" ht="13.5" thickTop="1">
      <c r="B359" s="1150"/>
      <c r="C359" s="1132"/>
      <c r="D359" s="1133"/>
      <c r="E359" s="1132"/>
      <c r="F359" s="1129"/>
      <c r="G359" s="1124"/>
      <c r="H359" s="1129"/>
      <c r="I359" s="1679"/>
      <c r="J359" s="1129"/>
      <c r="K359" s="1125"/>
      <c r="L359" s="1129"/>
      <c r="M359" s="1125"/>
      <c r="N359" s="1129"/>
      <c r="O359" s="1127"/>
      <c r="P359" s="1129"/>
      <c r="Q359" s="1127"/>
      <c r="R359" s="1129"/>
      <c r="S359" s="1128"/>
      <c r="T359" s="1129"/>
      <c r="U359" s="1093"/>
      <c r="V359" s="2031"/>
    </row>
    <row r="360" spans="2:22" ht="13.5" thickBot="1">
      <c r="B360" s="1151" t="s">
        <v>1359</v>
      </c>
      <c r="C360" s="1132"/>
      <c r="D360" s="1133"/>
      <c r="E360" s="1132"/>
      <c r="F360" s="1129"/>
      <c r="G360" s="1124"/>
      <c r="H360" s="1129"/>
      <c r="I360" s="1679"/>
      <c r="J360" s="1129"/>
      <c r="K360" s="1125"/>
      <c r="L360" s="1129"/>
      <c r="M360" s="1138">
        <f>+M358/$E358</f>
        <v>716.34663577399158</v>
      </c>
      <c r="N360" s="1129"/>
      <c r="O360" s="1127"/>
      <c r="P360" s="1129"/>
      <c r="Q360" s="1127"/>
      <c r="R360" s="1129"/>
      <c r="S360" s="1128"/>
      <c r="T360" s="1129"/>
      <c r="U360" s="1138">
        <f ca="1">+U358/$E358</f>
        <v>562.4982268011629</v>
      </c>
      <c r="V360" s="2032"/>
    </row>
    <row r="361" spans="2:22" ht="13.5" thickTop="1">
      <c r="B361" s="1106" t="s">
        <v>1358</v>
      </c>
      <c r="C361" s="1124">
        <v>1175.7286235025681</v>
      </c>
      <c r="D361" s="1129"/>
      <c r="E361" s="1124"/>
      <c r="F361" s="1129"/>
      <c r="G361" s="1124"/>
      <c r="H361" s="1135"/>
      <c r="I361" s="1679"/>
      <c r="J361" s="1135"/>
      <c r="K361" s="1125"/>
      <c r="L361" s="1135"/>
      <c r="M361" s="1125"/>
      <c r="N361" s="1135"/>
      <c r="O361" s="1127"/>
      <c r="P361" s="1135"/>
      <c r="Q361" s="1127"/>
      <c r="R361" s="1135"/>
      <c r="S361" s="1128"/>
      <c r="T361" s="1135"/>
      <c r="U361" s="1143"/>
      <c r="V361" s="2029"/>
    </row>
    <row r="362" spans="2:22">
      <c r="B362" s="1141" t="s">
        <v>3573</v>
      </c>
      <c r="C362" s="1124"/>
      <c r="D362" s="1129"/>
      <c r="E362" s="1124">
        <v>36</v>
      </c>
      <c r="F362" s="1129"/>
      <c r="G362" s="1124"/>
      <c r="H362" s="1133"/>
      <c r="I362" s="1680">
        <v>125.3</v>
      </c>
      <c r="J362" s="1133"/>
      <c r="K362" s="1125">
        <f>+E362*I362</f>
        <v>4510.8</v>
      </c>
      <c r="L362" s="1133"/>
      <c r="M362" s="1125">
        <f>+K362</f>
        <v>4510.8</v>
      </c>
      <c r="N362" s="1133"/>
      <c r="O362" s="1127">
        <f>+E362</f>
        <v>36</v>
      </c>
      <c r="P362" s="1133"/>
      <c r="Q362" s="1127"/>
      <c r="R362" s="1133"/>
      <c r="S362" s="1142">
        <f ca="1">'wp - t-1 COSS'!$F$17</f>
        <v>130.83000000000001</v>
      </c>
      <c r="T362" s="1133"/>
      <c r="U362" s="1143">
        <f ca="1">+O362*S362</f>
        <v>4709.88</v>
      </c>
      <c r="V362" s="2029"/>
    </row>
    <row r="363" spans="2:22">
      <c r="B363" s="1141" t="s">
        <v>3574</v>
      </c>
      <c r="C363" s="1132"/>
      <c r="D363" s="1133"/>
      <c r="E363" s="1132"/>
      <c r="F363" s="1129"/>
      <c r="G363" s="1124">
        <v>43.2</v>
      </c>
      <c r="H363" s="1133"/>
      <c r="I363" s="1680">
        <v>6.48</v>
      </c>
      <c r="J363" s="1133"/>
      <c r="K363" s="1127">
        <f>+G363*I363</f>
        <v>279.93600000000004</v>
      </c>
      <c r="L363" s="1133"/>
      <c r="M363" s="1125">
        <f t="shared" ref="M363:M366" si="138">+K363</f>
        <v>279.93600000000004</v>
      </c>
      <c r="N363" s="1133"/>
      <c r="O363" s="1127"/>
      <c r="P363" s="1133"/>
      <c r="Q363" s="1127">
        <f>+G363</f>
        <v>43.2</v>
      </c>
      <c r="R363" s="1133"/>
      <c r="S363" s="2114">
        <f ca="1">'wp - t-1 COSS'!$F$35</f>
        <v>3.8170000000000002</v>
      </c>
      <c r="T363" s="1133"/>
      <c r="U363" s="1143">
        <f ca="1">+Q363*S363</f>
        <v>164.89440000000002</v>
      </c>
      <c r="V363" s="2029"/>
    </row>
    <row r="364" spans="2:22">
      <c r="B364" s="1141" t="s">
        <v>707</v>
      </c>
      <c r="C364" s="1132"/>
      <c r="D364" s="1133"/>
      <c r="E364" s="1132"/>
      <c r="F364" s="1129"/>
      <c r="G364" s="1124">
        <v>292.2141816669116</v>
      </c>
      <c r="H364" s="1129"/>
      <c r="I364" s="1680">
        <v>5.91</v>
      </c>
      <c r="J364" s="1129"/>
      <c r="K364" s="1127">
        <f t="shared" ref="K364:K366" si="139">+G364*I364</f>
        <v>1726.9858136514476</v>
      </c>
      <c r="L364" s="1129"/>
      <c r="M364" s="1125">
        <f t="shared" si="138"/>
        <v>1726.9858136514476</v>
      </c>
      <c r="N364" s="1129"/>
      <c r="O364" s="1127"/>
      <c r="P364" s="1129"/>
      <c r="Q364" s="1127">
        <f t="shared" ref="Q364:Q366" si="140">+G364</f>
        <v>292.2141816669116</v>
      </c>
      <c r="R364" s="1129"/>
      <c r="S364" s="2114">
        <f ca="1">'wp - t-1 COSS'!$F$35</f>
        <v>3.8170000000000002</v>
      </c>
      <c r="T364" s="1129"/>
      <c r="U364" s="1143">
        <f t="shared" ref="U364:U366" ca="1" si="141">+Q364*S364</f>
        <v>1115.3815314226017</v>
      </c>
      <c r="V364" s="2029"/>
    </row>
    <row r="365" spans="2:22">
      <c r="B365" s="1141" t="s">
        <v>708</v>
      </c>
      <c r="C365" s="1132"/>
      <c r="D365" s="1133"/>
      <c r="E365" s="1132"/>
      <c r="F365" s="1129"/>
      <c r="G365" s="1124">
        <v>418.37015603075298</v>
      </c>
      <c r="H365" s="1129"/>
      <c r="I365" s="1680">
        <v>5.24</v>
      </c>
      <c r="J365" s="1129"/>
      <c r="K365" s="1127">
        <f t="shared" si="139"/>
        <v>2192.2596176011457</v>
      </c>
      <c r="L365" s="1129"/>
      <c r="M365" s="1125">
        <f t="shared" si="138"/>
        <v>2192.2596176011457</v>
      </c>
      <c r="N365" s="1129"/>
      <c r="O365" s="1127"/>
      <c r="P365" s="1129"/>
      <c r="Q365" s="1127">
        <f t="shared" si="140"/>
        <v>418.37015603075298</v>
      </c>
      <c r="R365" s="1129"/>
      <c r="S365" s="2114">
        <f ca="1">'wp - t-1 COSS'!$F$35</f>
        <v>3.8170000000000002</v>
      </c>
      <c r="T365" s="1129"/>
      <c r="U365" s="1143">
        <f t="shared" ca="1" si="141"/>
        <v>1596.9188855693842</v>
      </c>
      <c r="V365" s="2029"/>
    </row>
    <row r="366" spans="2:22">
      <c r="B366" s="1141" t="s">
        <v>711</v>
      </c>
      <c r="C366" s="1132"/>
      <c r="D366" s="1133"/>
      <c r="E366" s="1132"/>
      <c r="F366" s="1129"/>
      <c r="G366" s="1124">
        <v>112.05823832586393</v>
      </c>
      <c r="H366" s="1129"/>
      <c r="I366" s="1680">
        <v>4.58</v>
      </c>
      <c r="J366" s="1129"/>
      <c r="K366" s="1127">
        <f t="shared" si="139"/>
        <v>513.22673153245682</v>
      </c>
      <c r="L366" s="1129"/>
      <c r="M366" s="1125">
        <f t="shared" si="138"/>
        <v>513.22673153245682</v>
      </c>
      <c r="N366" s="1129"/>
      <c r="O366" s="1127"/>
      <c r="P366" s="1129"/>
      <c r="Q366" s="1127">
        <f t="shared" si="140"/>
        <v>112.05823832586393</v>
      </c>
      <c r="R366" s="1129"/>
      <c r="S366" s="2114">
        <f ca="1">'wp - t-1 COSS'!$F$35</f>
        <v>3.8170000000000002</v>
      </c>
      <c r="T366" s="1129"/>
      <c r="U366" s="1143">
        <f t="shared" ca="1" si="141"/>
        <v>427.72629568982262</v>
      </c>
      <c r="V366" s="2029"/>
    </row>
    <row r="367" spans="2:22" ht="13.5" thickBot="1">
      <c r="B367" s="1150" t="s">
        <v>1357</v>
      </c>
      <c r="C367" s="1134">
        <f>SUM(C361:C366)</f>
        <v>1175.7286235025681</v>
      </c>
      <c r="D367" s="1135"/>
      <c r="E367" s="1134">
        <f>SUM(E361:E366)</f>
        <v>36</v>
      </c>
      <c r="F367" s="1135"/>
      <c r="G367" s="1134">
        <f>SUM(G361:G366)</f>
        <v>865.84257602352852</v>
      </c>
      <c r="H367" s="1129"/>
      <c r="I367" s="1678"/>
      <c r="J367" s="1129"/>
      <c r="K367" s="1146">
        <f>SUM(K362:K366)</f>
        <v>9223.2081627850494</v>
      </c>
      <c r="L367" s="1129"/>
      <c r="M367" s="1146">
        <f>SUM(M362:M366)</f>
        <v>9223.2081627850494</v>
      </c>
      <c r="N367" s="1129"/>
      <c r="O367" s="1134">
        <f>SUM(O361:O366)</f>
        <v>36</v>
      </c>
      <c r="P367" s="1129"/>
      <c r="Q367" s="1134">
        <f>SUM(Q361:R366)</f>
        <v>865.84257602352852</v>
      </c>
      <c r="R367" s="1129"/>
      <c r="S367" s="1142"/>
      <c r="T367" s="1129"/>
      <c r="U367" s="1146">
        <f ca="1">SUM(U362:U366)</f>
        <v>8014.8011126818092</v>
      </c>
      <c r="V367" s="2030"/>
    </row>
    <row r="368" spans="2:22" ht="13.5" thickTop="1">
      <c r="B368" s="1150"/>
      <c r="C368" s="1132"/>
      <c r="D368" s="1133"/>
      <c r="E368" s="1132"/>
      <c r="F368" s="1129"/>
      <c r="G368" s="1124"/>
      <c r="H368" s="1129"/>
      <c r="I368" s="1679"/>
      <c r="J368" s="1129"/>
      <c r="K368" s="1125"/>
      <c r="L368" s="1129"/>
      <c r="M368" s="1125"/>
      <c r="N368" s="1129"/>
      <c r="O368" s="1127"/>
      <c r="P368" s="1129"/>
      <c r="Q368" s="1127"/>
      <c r="R368" s="1129"/>
      <c r="S368" s="1128"/>
      <c r="T368" s="1129"/>
      <c r="U368" s="1093"/>
      <c r="V368" s="2031"/>
    </row>
    <row r="369" spans="2:22" ht="13.5" thickBot="1">
      <c r="B369" s="1119" t="s">
        <v>1356</v>
      </c>
      <c r="C369" s="1132"/>
      <c r="D369" s="1133"/>
      <c r="E369" s="1132"/>
      <c r="F369" s="1129"/>
      <c r="G369" s="1124"/>
      <c r="H369" s="1129"/>
      <c r="I369" s="1679"/>
      <c r="J369" s="1129"/>
      <c r="K369" s="1125"/>
      <c r="L369" s="1129"/>
      <c r="M369" s="1138">
        <f>+M367/$E367</f>
        <v>256.20022674402912</v>
      </c>
      <c r="N369" s="1129"/>
      <c r="O369" s="1127"/>
      <c r="P369" s="1129"/>
      <c r="Q369" s="1127"/>
      <c r="R369" s="1129"/>
      <c r="S369" s="1128"/>
      <c r="T369" s="1129"/>
      <c r="U369" s="1138">
        <f ca="1">+U367/$E367</f>
        <v>222.63336424116136</v>
      </c>
      <c r="V369" s="2032"/>
    </row>
    <row r="370" spans="2:22" ht="13.5" thickTop="1">
      <c r="B370" s="1106" t="s">
        <v>3588</v>
      </c>
      <c r="C370" s="1124">
        <v>293.25016181169917</v>
      </c>
      <c r="D370" s="1129"/>
      <c r="E370" s="1124"/>
      <c r="F370" s="1129"/>
      <c r="G370" s="1124"/>
      <c r="H370" s="1135"/>
      <c r="I370" s="1679"/>
      <c r="J370" s="1135"/>
      <c r="K370" s="1125"/>
      <c r="L370" s="1135"/>
      <c r="M370" s="1125"/>
      <c r="N370" s="1135"/>
      <c r="O370" s="1127"/>
      <c r="P370" s="1135"/>
      <c r="Q370" s="1127"/>
      <c r="R370" s="1135"/>
      <c r="S370" s="1128"/>
      <c r="T370" s="1135"/>
      <c r="U370" s="1143"/>
      <c r="V370" s="2029"/>
    </row>
    <row r="371" spans="2:22">
      <c r="B371" s="1141" t="s">
        <v>3573</v>
      </c>
      <c r="C371" s="1124"/>
      <c r="D371" s="1129"/>
      <c r="E371" s="1124">
        <v>12</v>
      </c>
      <c r="F371" s="1129"/>
      <c r="G371" s="1124"/>
      <c r="H371" s="1133"/>
      <c r="I371" s="1680">
        <v>125.3</v>
      </c>
      <c r="J371" s="1133"/>
      <c r="K371" s="1125">
        <f>+E371*I371</f>
        <v>1503.6</v>
      </c>
      <c r="L371" s="1133"/>
      <c r="M371" s="1125">
        <f>+K371</f>
        <v>1503.6</v>
      </c>
      <c r="N371" s="1133"/>
      <c r="O371" s="1127">
        <f>+E371</f>
        <v>12</v>
      </c>
      <c r="P371" s="1133"/>
      <c r="Q371" s="1127"/>
      <c r="R371" s="1133"/>
      <c r="S371" s="1142">
        <f ca="1">'wp - t-1 COSS'!$F$17</f>
        <v>130.83000000000001</v>
      </c>
      <c r="T371" s="1133"/>
      <c r="U371" s="1143">
        <f ca="1">+O371*S371</f>
        <v>1569.96</v>
      </c>
      <c r="V371" s="2029"/>
    </row>
    <row r="372" spans="2:22">
      <c r="B372" s="1141" t="s">
        <v>3574</v>
      </c>
      <c r="C372" s="1132"/>
      <c r="D372" s="1133"/>
      <c r="E372" s="1132"/>
      <c r="F372" s="1129"/>
      <c r="G372" s="1124">
        <v>25.707303235387695</v>
      </c>
      <c r="H372" s="1133"/>
      <c r="I372" s="1680">
        <v>6.48</v>
      </c>
      <c r="J372" s="1133"/>
      <c r="K372" s="1127">
        <f>+G372*I372</f>
        <v>166.58332496531227</v>
      </c>
      <c r="L372" s="1133"/>
      <c r="M372" s="1125">
        <f t="shared" ref="M372:M375" si="142">+K372</f>
        <v>166.58332496531227</v>
      </c>
      <c r="N372" s="1133"/>
      <c r="O372" s="1127"/>
      <c r="P372" s="1133"/>
      <c r="Q372" s="1127">
        <f>+G372</f>
        <v>25.707303235387695</v>
      </c>
      <c r="R372" s="1133"/>
      <c r="S372" s="2114">
        <f ca="1">'wp - t-1 COSS'!$F$35</f>
        <v>3.8170000000000002</v>
      </c>
      <c r="T372" s="1133"/>
      <c r="U372" s="1143">
        <f ca="1">+Q372*S372</f>
        <v>98.124776449474837</v>
      </c>
      <c r="V372" s="2029"/>
    </row>
    <row r="373" spans="2:22">
      <c r="B373" s="1141" t="s">
        <v>707</v>
      </c>
      <c r="C373" s="1132"/>
      <c r="D373" s="1133"/>
      <c r="E373" s="1132"/>
      <c r="F373" s="1129"/>
      <c r="G373" s="1124">
        <v>17.634797633589621</v>
      </c>
      <c r="H373" s="1094"/>
      <c r="I373" s="1680">
        <v>5.91</v>
      </c>
      <c r="J373" s="1094"/>
      <c r="K373" s="1127">
        <f t="shared" ref="K373:K375" si="143">+G373*I373</f>
        <v>104.22165401451466</v>
      </c>
      <c r="L373" s="1094"/>
      <c r="M373" s="1125">
        <f t="shared" si="142"/>
        <v>104.22165401451466</v>
      </c>
      <c r="N373" s="1094"/>
      <c r="O373" s="1127"/>
      <c r="P373" s="1094"/>
      <c r="Q373" s="1127">
        <f t="shared" ref="Q373:Q375" si="144">+G373</f>
        <v>17.634797633589621</v>
      </c>
      <c r="R373" s="1094"/>
      <c r="S373" s="2114">
        <f ca="1">'wp - t-1 COSS'!$F$35</f>
        <v>3.8170000000000002</v>
      </c>
      <c r="T373" s="1094"/>
      <c r="U373" s="1143">
        <f t="shared" ref="U373:U375" ca="1" si="145">+Q373*S373</f>
        <v>67.312022567411589</v>
      </c>
      <c r="V373" s="2029"/>
    </row>
    <row r="374" spans="2:22">
      <c r="B374" s="1141" t="s">
        <v>708</v>
      </c>
      <c r="C374" s="1132"/>
      <c r="D374" s="1133"/>
      <c r="E374" s="1132"/>
      <c r="F374" s="1129"/>
      <c r="G374" s="1124">
        <v>0</v>
      </c>
      <c r="H374" s="1133"/>
      <c r="I374" s="1680">
        <v>5.24</v>
      </c>
      <c r="J374" s="1133"/>
      <c r="K374" s="1127">
        <f t="shared" si="143"/>
        <v>0</v>
      </c>
      <c r="L374" s="1133"/>
      <c r="M374" s="1125">
        <f t="shared" si="142"/>
        <v>0</v>
      </c>
      <c r="N374" s="1133"/>
      <c r="O374" s="1127"/>
      <c r="P374" s="1133"/>
      <c r="Q374" s="1127">
        <f t="shared" si="144"/>
        <v>0</v>
      </c>
      <c r="R374" s="1133"/>
      <c r="S374" s="2114">
        <f ca="1">'wp - t-1 COSS'!$F$35</f>
        <v>3.8170000000000002</v>
      </c>
      <c r="T374" s="1133"/>
      <c r="U374" s="1143">
        <f t="shared" ca="1" si="145"/>
        <v>0</v>
      </c>
      <c r="V374" s="2029"/>
    </row>
    <row r="375" spans="2:22">
      <c r="B375" s="1141" t="s">
        <v>711</v>
      </c>
      <c r="C375" s="1132"/>
      <c r="D375" s="1133"/>
      <c r="E375" s="1132"/>
      <c r="F375" s="1129"/>
      <c r="G375" s="1124">
        <v>0</v>
      </c>
      <c r="H375" s="1133"/>
      <c r="I375" s="1680">
        <v>4.58</v>
      </c>
      <c r="J375" s="1133"/>
      <c r="K375" s="1127">
        <f t="shared" si="143"/>
        <v>0</v>
      </c>
      <c r="L375" s="1133"/>
      <c r="M375" s="1125">
        <f t="shared" si="142"/>
        <v>0</v>
      </c>
      <c r="N375" s="1133"/>
      <c r="O375" s="1127"/>
      <c r="P375" s="1133"/>
      <c r="Q375" s="1127">
        <f t="shared" si="144"/>
        <v>0</v>
      </c>
      <c r="R375" s="1133"/>
      <c r="S375" s="2114">
        <f ca="1">'wp - t-1 COSS'!$F$35</f>
        <v>3.8170000000000002</v>
      </c>
      <c r="T375" s="1133"/>
      <c r="U375" s="1143">
        <f t="shared" ca="1" si="145"/>
        <v>0</v>
      </c>
      <c r="V375" s="2029"/>
    </row>
    <row r="376" spans="2:22" ht="13.5" thickBot="1">
      <c r="B376" s="1150" t="s">
        <v>3589</v>
      </c>
      <c r="C376" s="1134">
        <f>SUM(C370:C375)</f>
        <v>293.25016181169917</v>
      </c>
      <c r="D376" s="1135"/>
      <c r="E376" s="1134">
        <f>SUM(E370:E375)</f>
        <v>12</v>
      </c>
      <c r="F376" s="1135"/>
      <c r="G376" s="1134">
        <f>SUM(G370:G375)</f>
        <v>43.342100868977312</v>
      </c>
      <c r="H376" s="1133"/>
      <c r="I376" s="1678"/>
      <c r="J376" s="1133"/>
      <c r="K376" s="1146">
        <f>SUM(K371:K375)</f>
        <v>1774.4049789798269</v>
      </c>
      <c r="L376" s="1133"/>
      <c r="M376" s="1146">
        <f>SUM(M371:M375)</f>
        <v>1774.4049789798269</v>
      </c>
      <c r="N376" s="1133"/>
      <c r="O376" s="1134">
        <f>SUM(O370:O375)</f>
        <v>12</v>
      </c>
      <c r="P376" s="1133"/>
      <c r="Q376" s="1134">
        <f>SUM(Q370:R375)</f>
        <v>43.342100868977312</v>
      </c>
      <c r="R376" s="1133"/>
      <c r="S376" s="1142"/>
      <c r="T376" s="1133"/>
      <c r="U376" s="1146">
        <f ca="1">SUM(U371:U375)</f>
        <v>1735.3967990168865</v>
      </c>
      <c r="V376" s="2030"/>
    </row>
    <row r="377" spans="2:22" ht="13.5" thickTop="1">
      <c r="B377" s="1150"/>
      <c r="C377" s="1132"/>
      <c r="D377" s="1133"/>
      <c r="E377" s="1132"/>
      <c r="F377" s="1129"/>
      <c r="G377" s="1124"/>
      <c r="H377" s="1133"/>
      <c r="I377" s="1679"/>
      <c r="J377" s="1133"/>
      <c r="K377" s="1125"/>
      <c r="L377" s="1133"/>
      <c r="M377" s="1125"/>
      <c r="N377" s="1133"/>
      <c r="O377" s="1127"/>
      <c r="P377" s="1133"/>
      <c r="Q377" s="1127"/>
      <c r="R377" s="1133"/>
      <c r="S377" s="1128"/>
      <c r="T377" s="1133"/>
      <c r="U377" s="1093"/>
      <c r="V377" s="2031"/>
    </row>
    <row r="378" spans="2:22" ht="13.5" thickBot="1">
      <c r="B378" s="1119" t="s">
        <v>3590</v>
      </c>
      <c r="C378" s="1132"/>
      <c r="D378" s="1133"/>
      <c r="E378" s="1132"/>
      <c r="F378" s="1129"/>
      <c r="G378" s="1124"/>
      <c r="H378" s="1094"/>
      <c r="I378" s="1679"/>
      <c r="J378" s="1094"/>
      <c r="K378" s="1125"/>
      <c r="L378" s="1094"/>
      <c r="M378" s="1138">
        <f>+M376/$E376</f>
        <v>147.86708158165223</v>
      </c>
      <c r="N378" s="1094"/>
      <c r="O378" s="1127"/>
      <c r="P378" s="1094"/>
      <c r="Q378" s="1127"/>
      <c r="R378" s="1094"/>
      <c r="S378" s="1128"/>
      <c r="T378" s="1094"/>
      <c r="U378" s="1138">
        <f ca="1">+U376/$E376</f>
        <v>144.61639991807388</v>
      </c>
      <c r="V378" s="2032"/>
    </row>
    <row r="379" spans="2:22" ht="13.5" thickTop="1">
      <c r="B379" s="1106" t="s">
        <v>3591</v>
      </c>
      <c r="C379" s="1124">
        <v>0</v>
      </c>
      <c r="D379" s="1133"/>
      <c r="E379" s="1124"/>
      <c r="F379" s="1133"/>
      <c r="G379" s="1124"/>
      <c r="H379" s="1133"/>
      <c r="I379" s="1679"/>
      <c r="J379" s="1133"/>
      <c r="K379" s="1125"/>
      <c r="L379" s="1133"/>
      <c r="M379" s="1125"/>
      <c r="N379" s="1133"/>
      <c r="O379" s="1127"/>
      <c r="P379" s="1133"/>
      <c r="Q379" s="1127"/>
      <c r="R379" s="1133"/>
      <c r="S379" s="1128"/>
      <c r="T379" s="1133"/>
      <c r="U379" s="1143"/>
      <c r="V379" s="2029"/>
    </row>
    <row r="380" spans="2:22">
      <c r="B380" s="1141" t="s">
        <v>3592</v>
      </c>
      <c r="C380" s="1124"/>
      <c r="D380" s="1133"/>
      <c r="E380" s="1124">
        <v>0</v>
      </c>
      <c r="F380" s="1133"/>
      <c r="G380" s="1124"/>
      <c r="H380" s="1133"/>
      <c r="I380" s="1680">
        <v>0</v>
      </c>
      <c r="J380" s="1133"/>
      <c r="K380" s="1125">
        <f>+E380*I380</f>
        <v>0</v>
      </c>
      <c r="L380" s="1133"/>
      <c r="M380" s="1125">
        <f>+K380</f>
        <v>0</v>
      </c>
      <c r="N380" s="1133"/>
      <c r="O380" s="1127">
        <f>+E380</f>
        <v>0</v>
      </c>
      <c r="P380" s="1133"/>
      <c r="Q380" s="1127"/>
      <c r="R380" s="1133"/>
      <c r="S380" s="1142">
        <f ca="1">'wp - t-1 COSS'!$F$20</f>
        <v>822.66</v>
      </c>
      <c r="T380" s="1133"/>
      <c r="U380" s="1143">
        <f ca="1">+O380*S380</f>
        <v>0</v>
      </c>
      <c r="V380" s="2029"/>
    </row>
    <row r="381" spans="2:22">
      <c r="B381" s="1141" t="s">
        <v>3593</v>
      </c>
      <c r="C381" s="1132"/>
      <c r="D381" s="1133"/>
      <c r="E381" s="1132"/>
      <c r="F381" s="1133"/>
      <c r="G381" s="1124">
        <v>0</v>
      </c>
      <c r="H381" s="1133"/>
      <c r="I381" s="1680">
        <v>0</v>
      </c>
      <c r="J381" s="1133"/>
      <c r="K381" s="1127">
        <f>+G381*I381</f>
        <v>0</v>
      </c>
      <c r="L381" s="1133"/>
      <c r="M381" s="1125">
        <f t="shared" ref="M381" si="146">+K381</f>
        <v>0</v>
      </c>
      <c r="N381" s="1133"/>
      <c r="O381" s="1127"/>
      <c r="P381" s="1133"/>
      <c r="Q381" s="1127">
        <f>+G381</f>
        <v>0</v>
      </c>
      <c r="R381" s="1133"/>
      <c r="S381" s="2114">
        <f ca="1">'wp - t-1 COSS'!$F$38</f>
        <v>3.8170000000000002</v>
      </c>
      <c r="T381" s="1133"/>
      <c r="U381" s="1143">
        <f ca="1">+Q381*S381</f>
        <v>0</v>
      </c>
      <c r="V381" s="2029"/>
    </row>
    <row r="382" spans="2:22" ht="13.5" thickBot="1">
      <c r="B382" s="1150" t="s">
        <v>3594</v>
      </c>
      <c r="C382" s="1134">
        <f>SUM(C379:C381)</f>
        <v>0</v>
      </c>
      <c r="D382" s="1133"/>
      <c r="E382" s="1134">
        <f>SUM(E379:E381)</f>
        <v>0</v>
      </c>
      <c r="F382" s="1133"/>
      <c r="G382" s="1134">
        <f>SUM(G379:G381)</f>
        <v>0</v>
      </c>
      <c r="H382" s="1133"/>
      <c r="I382" s="1678"/>
      <c r="J382" s="1133"/>
      <c r="K382" s="1146">
        <f>SUM(K380:K381)</f>
        <v>0</v>
      </c>
      <c r="L382" s="1133"/>
      <c r="M382" s="1146">
        <f>SUM(M380:M381)</f>
        <v>0</v>
      </c>
      <c r="N382" s="1133"/>
      <c r="O382" s="1134">
        <f>SUM(O379:O381)</f>
        <v>0</v>
      </c>
      <c r="P382" s="1133"/>
      <c r="Q382" s="1134">
        <f>SUM(Q379:R381)</f>
        <v>0</v>
      </c>
      <c r="R382" s="1133"/>
      <c r="S382" s="1142"/>
      <c r="T382" s="1133"/>
      <c r="U382" s="1146">
        <f ca="1">SUM(U380:U381)</f>
        <v>0</v>
      </c>
      <c r="V382" s="2030"/>
    </row>
    <row r="383" spans="2:22" ht="13.5" thickTop="1">
      <c r="B383" s="1150"/>
      <c r="C383" s="1132"/>
      <c r="D383" s="1133"/>
      <c r="E383" s="1132"/>
      <c r="F383" s="1133"/>
      <c r="G383" s="1124"/>
      <c r="H383" s="1133"/>
      <c r="I383" s="1679"/>
      <c r="J383" s="1133"/>
      <c r="K383" s="1125"/>
      <c r="L383" s="1133"/>
      <c r="M383" s="1125"/>
      <c r="N383" s="1133"/>
      <c r="O383" s="1127"/>
      <c r="P383" s="1133"/>
      <c r="Q383" s="1127"/>
      <c r="R383" s="1133"/>
      <c r="S383" s="1128"/>
      <c r="T383" s="1133"/>
      <c r="U383" s="1093"/>
      <c r="V383" s="2031"/>
    </row>
    <row r="384" spans="2:22" ht="13.5" thickBot="1">
      <c r="B384" s="1119" t="s">
        <v>1401</v>
      </c>
      <c r="C384" s="1132"/>
      <c r="D384" s="1133"/>
      <c r="E384" s="1132"/>
      <c r="F384" s="1133"/>
      <c r="G384" s="1124"/>
      <c r="H384" s="1133"/>
      <c r="I384" s="1679"/>
      <c r="J384" s="1133"/>
      <c r="K384" s="1125"/>
      <c r="L384" s="1133"/>
      <c r="M384" s="1138">
        <f>IFERROR(+M382/$E382,0)</f>
        <v>0</v>
      </c>
      <c r="N384" s="1133"/>
      <c r="O384" s="1127"/>
      <c r="P384" s="1133"/>
      <c r="Q384" s="1127"/>
      <c r="R384" s="1133"/>
      <c r="S384" s="1128"/>
      <c r="T384" s="1133"/>
      <c r="U384" s="1138">
        <f ca="1">IFERROR(+U382/$E382,0)</f>
        <v>0</v>
      </c>
      <c r="V384" s="2032"/>
    </row>
    <row r="385" spans="2:22" ht="13.5" thickTop="1">
      <c r="B385" s="1119"/>
      <c r="C385" s="1132"/>
      <c r="D385" s="1133"/>
      <c r="E385" s="1132"/>
      <c r="F385" s="1133"/>
      <c r="G385" s="1124"/>
      <c r="H385" s="1133"/>
      <c r="I385" s="1679"/>
      <c r="J385" s="1133"/>
      <c r="K385" s="1125"/>
      <c r="L385" s="1133"/>
      <c r="M385" s="1604"/>
      <c r="N385" s="1133"/>
      <c r="O385" s="1127"/>
      <c r="P385" s="1133"/>
      <c r="Q385" s="1127"/>
      <c r="R385" s="1133"/>
      <c r="S385" s="1128"/>
      <c r="T385" s="1133"/>
      <c r="U385" s="1604"/>
      <c r="V385" s="2032"/>
    </row>
    <row r="386" spans="2:22">
      <c r="B386" s="1601" t="s">
        <v>2400</v>
      </c>
      <c r="C386" s="1132"/>
      <c r="D386" s="1133"/>
      <c r="E386" s="1132">
        <v>12</v>
      </c>
      <c r="F386" s="1133"/>
      <c r="G386" s="1124">
        <v>0</v>
      </c>
      <c r="H386" s="1133"/>
      <c r="I386" s="1680">
        <v>20.73</v>
      </c>
      <c r="J386" s="1133"/>
      <c r="K386" s="1125">
        <f>E386*I386*V386</f>
        <v>746.28</v>
      </c>
      <c r="L386" s="1133"/>
      <c r="M386" s="1125">
        <f>+K386</f>
        <v>746.28</v>
      </c>
      <c r="N386" s="1133"/>
      <c r="O386" s="1127">
        <f>+E386</f>
        <v>12</v>
      </c>
      <c r="P386" s="1133"/>
      <c r="Q386" s="1127">
        <f>C386</f>
        <v>0</v>
      </c>
      <c r="R386" s="1133"/>
      <c r="S386" s="1142">
        <f t="shared" ref="S386" ca="1" si="147">+I386*(1+$X$5)</f>
        <v>25.832786214997412</v>
      </c>
      <c r="T386" s="1133"/>
      <c r="U386" s="1143">
        <f ca="1">+O386*S386*V386</f>
        <v>929.98030373990684</v>
      </c>
      <c r="V386" s="2029">
        <v>3</v>
      </c>
    </row>
    <row r="387" spans="2:22" ht="13.5" thickBot="1">
      <c r="B387" s="1109" t="s">
        <v>2401</v>
      </c>
      <c r="C387" s="1134">
        <f>SUM(C386)</f>
        <v>0</v>
      </c>
      <c r="D387" s="1133"/>
      <c r="E387" s="1134">
        <f>SUM(E386)</f>
        <v>12</v>
      </c>
      <c r="F387" s="1133"/>
      <c r="G387" s="1134">
        <f>SUM(G386)</f>
        <v>0</v>
      </c>
      <c r="H387" s="1133"/>
      <c r="I387" s="1679"/>
      <c r="J387" s="1133"/>
      <c r="K387" s="1136">
        <f>K386</f>
        <v>746.28</v>
      </c>
      <c r="L387" s="1133"/>
      <c r="M387" s="1136">
        <f>+M386</f>
        <v>746.28</v>
      </c>
      <c r="N387" s="1133"/>
      <c r="O387" s="1137">
        <f>+O386</f>
        <v>12</v>
      </c>
      <c r="P387" s="1133"/>
      <c r="Q387" s="1137">
        <f>+Q386</f>
        <v>0</v>
      </c>
      <c r="R387" s="1133"/>
      <c r="S387" s="1128"/>
      <c r="T387" s="1133"/>
      <c r="U387" s="1136">
        <f ca="1">+U386</f>
        <v>929.98030373990684</v>
      </c>
      <c r="V387" s="2030"/>
    </row>
    <row r="388" spans="2:22" ht="13.5" thickTop="1">
      <c r="B388" s="1601"/>
      <c r="C388" s="1132"/>
      <c r="D388" s="1154"/>
      <c r="E388" s="1132"/>
      <c r="F388" s="1154"/>
      <c r="G388" s="1124"/>
      <c r="H388" s="1154"/>
      <c r="I388" s="1679"/>
      <c r="J388" s="1154"/>
      <c r="K388" s="1125"/>
      <c r="L388" s="1154"/>
      <c r="M388" s="1125"/>
      <c r="N388" s="1154"/>
      <c r="O388" s="1127"/>
      <c r="P388" s="1154"/>
      <c r="Q388" s="1127"/>
      <c r="R388" s="1154"/>
      <c r="S388" s="1128"/>
      <c r="T388" s="1154"/>
      <c r="U388" s="1131"/>
      <c r="V388" s="2028"/>
    </row>
    <row r="389" spans="2:22" ht="13.5" thickBot="1">
      <c r="B389" s="1111" t="s">
        <v>3595</v>
      </c>
      <c r="C389" s="1132"/>
      <c r="D389" s="1110"/>
      <c r="E389" s="1132"/>
      <c r="F389" s="1110"/>
      <c r="G389" s="1124"/>
      <c r="H389" s="1110"/>
      <c r="I389" s="1679"/>
      <c r="J389" s="1110"/>
      <c r="K389" s="1125"/>
      <c r="L389" s="1110"/>
      <c r="M389" s="1138">
        <f>+M387/$E387</f>
        <v>62.19</v>
      </c>
      <c r="N389" s="1110"/>
      <c r="O389" s="1127"/>
      <c r="P389" s="1110"/>
      <c r="Q389" s="1127"/>
      <c r="R389" s="1110"/>
      <c r="S389" s="1128"/>
      <c r="T389" s="1110"/>
      <c r="U389" s="1138">
        <f ca="1">+U387/$E387</f>
        <v>77.498358644992237</v>
      </c>
      <c r="V389" s="2032"/>
    </row>
    <row r="390" spans="2:22" ht="13.5" thickTop="1">
      <c r="B390" s="1601" t="s">
        <v>2402</v>
      </c>
      <c r="C390" s="1132"/>
      <c r="D390" s="1154"/>
      <c r="E390" s="1132">
        <v>12</v>
      </c>
      <c r="F390" s="1154"/>
      <c r="G390" s="1124">
        <v>0</v>
      </c>
      <c r="H390" s="1154"/>
      <c r="I390" s="1680">
        <v>20.73</v>
      </c>
      <c r="J390" s="1154"/>
      <c r="K390" s="1125">
        <f>E390*I390*V390</f>
        <v>1741.32</v>
      </c>
      <c r="L390" s="1154"/>
      <c r="M390" s="1125">
        <f>+K390</f>
        <v>1741.32</v>
      </c>
      <c r="N390" s="1154"/>
      <c r="O390" s="1127">
        <f>+E390</f>
        <v>12</v>
      </c>
      <c r="P390" s="1154"/>
      <c r="Q390" s="1127">
        <f>C390</f>
        <v>0</v>
      </c>
      <c r="R390" s="1154"/>
      <c r="S390" s="1142">
        <f t="shared" ref="S390" ca="1" si="148">+I390*(1+$X$5)</f>
        <v>25.832786214997412</v>
      </c>
      <c r="T390" s="1154"/>
      <c r="U390" s="1143">
        <f ca="1">+O390*S390*V390</f>
        <v>2169.9540420597828</v>
      </c>
      <c r="V390" s="2029">
        <v>7</v>
      </c>
    </row>
    <row r="391" spans="2:22" ht="13.5" thickBot="1">
      <c r="B391" s="1109" t="s">
        <v>3596</v>
      </c>
      <c r="C391" s="1134">
        <f>SUM(C390)</f>
        <v>0</v>
      </c>
      <c r="D391" s="1154"/>
      <c r="E391" s="1134">
        <f>SUM(E390)</f>
        <v>12</v>
      </c>
      <c r="F391" s="1154"/>
      <c r="G391" s="1134">
        <f>SUM(G390)</f>
        <v>0</v>
      </c>
      <c r="H391" s="1154"/>
      <c r="I391" s="1679"/>
      <c r="J391" s="1154"/>
      <c r="K391" s="1136">
        <f>K390</f>
        <v>1741.32</v>
      </c>
      <c r="L391" s="1154"/>
      <c r="M391" s="1136">
        <f>+M390</f>
        <v>1741.32</v>
      </c>
      <c r="N391" s="1154"/>
      <c r="O391" s="1137">
        <f>+O390</f>
        <v>12</v>
      </c>
      <c r="P391" s="1154"/>
      <c r="Q391" s="1137">
        <f>+Q390</f>
        <v>0</v>
      </c>
      <c r="R391" s="1154"/>
      <c r="S391" s="1128"/>
      <c r="T391" s="1154"/>
      <c r="U391" s="1136">
        <f ca="1">+U390</f>
        <v>2169.9540420597828</v>
      </c>
      <c r="V391" s="2030"/>
    </row>
    <row r="392" spans="2:22" ht="13.5" thickTop="1">
      <c r="B392" s="1601"/>
      <c r="C392" s="1132"/>
      <c r="D392" s="1110"/>
      <c r="E392" s="1132"/>
      <c r="F392" s="1110"/>
      <c r="G392" s="1124"/>
      <c r="H392" s="1110"/>
      <c r="I392" s="1679"/>
      <c r="J392" s="1110"/>
      <c r="K392" s="1125"/>
      <c r="L392" s="1110"/>
      <c r="M392" s="1125"/>
      <c r="N392" s="1110"/>
      <c r="O392" s="1127"/>
      <c r="P392" s="1110"/>
      <c r="Q392" s="1127"/>
      <c r="R392" s="1110"/>
      <c r="S392" s="1128"/>
      <c r="T392" s="1110"/>
      <c r="U392" s="1131"/>
      <c r="V392" s="2028"/>
    </row>
    <row r="393" spans="2:22" ht="13.5" thickBot="1">
      <c r="B393" s="1111" t="s">
        <v>3597</v>
      </c>
      <c r="C393" s="1132"/>
      <c r="E393" s="1132"/>
      <c r="G393" s="1124"/>
      <c r="I393" s="1679"/>
      <c r="K393" s="1125"/>
      <c r="M393" s="1138">
        <f>+M391/$E391</f>
        <v>145.10999999999999</v>
      </c>
      <c r="O393" s="1127"/>
      <c r="Q393" s="1127"/>
      <c r="S393" s="1128"/>
      <c r="U393" s="1138">
        <f ca="1">+U391/$E391</f>
        <v>180.82950350498189</v>
      </c>
      <c r="V393" s="2032"/>
    </row>
    <row r="394" spans="2:22" ht="13.5" thickTop="1">
      <c r="B394" s="1601" t="s">
        <v>3598</v>
      </c>
      <c r="C394" s="1132"/>
      <c r="E394" s="1132">
        <v>12</v>
      </c>
      <c r="G394" s="1124">
        <v>0</v>
      </c>
      <c r="I394" s="1680">
        <v>4.6100000000000003</v>
      </c>
      <c r="K394" s="1125">
        <f>E394*I394*V394</f>
        <v>2987.28</v>
      </c>
      <c r="M394" s="1125">
        <f>+K394</f>
        <v>2987.28</v>
      </c>
      <c r="O394" s="1127">
        <f>+E394</f>
        <v>12</v>
      </c>
      <c r="Q394" s="1127">
        <f>C394</f>
        <v>0</v>
      </c>
      <c r="S394" s="1142">
        <f t="shared" ref="S394" ca="1" si="149">+I394*(1+$X$5)</f>
        <v>5.7447730077731833</v>
      </c>
      <c r="U394" s="1143">
        <f ca="1">+O394*S394*V394</f>
        <v>3722.6129090370227</v>
      </c>
      <c r="V394" s="2029">
        <v>54</v>
      </c>
    </row>
    <row r="395" spans="2:22" ht="13.5" thickBot="1">
      <c r="B395" s="1109" t="s">
        <v>3599</v>
      </c>
      <c r="C395" s="1134">
        <f>SUM(C394)</f>
        <v>0</v>
      </c>
      <c r="E395" s="1134">
        <f>SUM(E394)</f>
        <v>12</v>
      </c>
      <c r="G395" s="1134">
        <f>SUM(G394)</f>
        <v>0</v>
      </c>
      <c r="I395" s="1679"/>
      <c r="K395" s="1136">
        <f>K394</f>
        <v>2987.28</v>
      </c>
      <c r="M395" s="1136">
        <f>+M394</f>
        <v>2987.28</v>
      </c>
      <c r="O395" s="1137">
        <f>+O394</f>
        <v>12</v>
      </c>
      <c r="Q395" s="1137">
        <f>+Q394</f>
        <v>0</v>
      </c>
      <c r="S395" s="1128"/>
      <c r="U395" s="1136">
        <f ca="1">+U394</f>
        <v>3722.6129090370227</v>
      </c>
      <c r="V395" s="2030"/>
    </row>
    <row r="396" spans="2:22" ht="13.5" thickTop="1">
      <c r="B396" s="1601"/>
      <c r="C396" s="1132"/>
      <c r="E396" s="1132"/>
      <c r="G396" s="1124"/>
      <c r="I396" s="1679"/>
      <c r="K396" s="1125"/>
      <c r="M396" s="1125"/>
      <c r="O396" s="1127"/>
      <c r="Q396" s="1127"/>
      <c r="S396" s="1128"/>
      <c r="U396" s="1131"/>
      <c r="V396" s="2028"/>
    </row>
    <row r="397" spans="2:22" ht="13.5" thickBot="1">
      <c r="B397" s="1111" t="s">
        <v>3600</v>
      </c>
      <c r="C397" s="1132"/>
      <c r="E397" s="1132"/>
      <c r="G397" s="1124"/>
      <c r="I397" s="1679"/>
      <c r="K397" s="1125"/>
      <c r="M397" s="1138">
        <f>+M395/$E395</f>
        <v>248.94000000000003</v>
      </c>
      <c r="O397" s="1127"/>
      <c r="Q397" s="1127"/>
      <c r="S397" s="1128"/>
      <c r="U397" s="1138">
        <f ca="1">+U395/$E395</f>
        <v>310.21774241975191</v>
      </c>
      <c r="V397" s="2032"/>
    </row>
    <row r="398" spans="2:22" ht="14.25" thickTop="1" thickBot="1">
      <c r="B398" s="1103" t="s">
        <v>1354</v>
      </c>
      <c r="C398" s="1140">
        <f>C376+C367+C358+C349+C340+C331+C322+C312+C302+C292+C282+C272+C262+C252+C242</f>
        <v>30101.342443739893</v>
      </c>
      <c r="E398" s="1140">
        <f>+E391+E387+E367+E358+E349+E340+E331+E312+E302+E292+E282+E272+E262+E252+E242</f>
        <v>6869</v>
      </c>
      <c r="G398" s="1140">
        <f>+G391+G387+G367+G358+G349+G340+G331+G312+G302+G292+G282+G272+G262+G252+G242</f>
        <v>21167.970251356714</v>
      </c>
      <c r="I398" s="2107"/>
      <c r="K398" s="1692">
        <f>+K391+K387+K367+K358+K349+K340+K331+K312+K302+K292+K282+K272+K262+K252+K242+K395+K376+K322+K382</f>
        <v>252610.87576366804</v>
      </c>
      <c r="M398" s="1692">
        <f>+M391+M387+M367+M358+M349+M340+M331+M312+M302+M292+M282+M272+M262+M252+M242+M395+M376+M322+M382</f>
        <v>252610.87576366804</v>
      </c>
      <c r="O398" s="1140">
        <f>+O391+O387+O367+O358+O349+O340+O331+O312+O302+O292+O282+O272+O262+O252+O242</f>
        <v>6869</v>
      </c>
      <c r="Q398" s="1140">
        <f>+Q391+Q387+Q367+Q358+Q349+Q340+Q331+Q312+Q302+Q292+Q282+Q272+Q262+Q252+Q242</f>
        <v>21167.970251356714</v>
      </c>
      <c r="S398" s="1122"/>
      <c r="U398" s="1692">
        <f ca="1">+U391+U387+U367+U358+U349+U340+U331+U312+U302+U292+U282+U272+U262+U252+U242+U395+U376+U322+U382</f>
        <v>213729.51717955124</v>
      </c>
      <c r="V398" s="2037"/>
    </row>
    <row r="399" spans="2:22" ht="13.5" thickTop="1">
      <c r="B399" s="1154"/>
      <c r="C399" s="1154"/>
      <c r="E399" s="1154"/>
      <c r="G399" s="1154"/>
      <c r="I399" s="2108"/>
      <c r="K399" s="1154"/>
      <c r="M399" s="1154"/>
      <c r="O399" s="1154"/>
      <c r="Q399" s="1154"/>
      <c r="S399" s="1154"/>
      <c r="U399" s="1154"/>
      <c r="V399" s="2038"/>
    </row>
    <row r="400" spans="2:22">
      <c r="B400" s="1154"/>
      <c r="C400" s="1154"/>
      <c r="E400" s="1154"/>
      <c r="G400" s="1154"/>
      <c r="I400" s="2108"/>
      <c r="K400" s="1154"/>
      <c r="M400" s="1154"/>
      <c r="O400" s="1154"/>
      <c r="Q400" s="1154"/>
      <c r="S400" s="1154"/>
      <c r="U400" s="1154"/>
      <c r="V400" s="2038"/>
    </row>
    <row r="401" spans="2:22" ht="13.5" thickBot="1">
      <c r="B401" s="1110" t="s">
        <v>1353</v>
      </c>
      <c r="C401" s="2112">
        <f>+C398+C232</f>
        <v>410060.99258780497</v>
      </c>
      <c r="E401" s="1140">
        <f>+E398+E232</f>
        <v>75036</v>
      </c>
      <c r="G401" s="1140">
        <f>+G398+G232</f>
        <v>314996.23008255701</v>
      </c>
      <c r="I401" s="2107"/>
      <c r="K401" s="1140">
        <f>+K398+K232</f>
        <v>2100261.5742871873</v>
      </c>
      <c r="M401" s="1694">
        <f>+M398+M232</f>
        <v>2100261.5742871873</v>
      </c>
      <c r="O401" s="1140">
        <f>+O398+O232</f>
        <v>75036</v>
      </c>
      <c r="Q401" s="1140">
        <f>+Q398+Q232</f>
        <v>314996.23008255701</v>
      </c>
      <c r="S401" s="1122"/>
      <c r="U401" s="1140">
        <f ca="1">+U398+U232</f>
        <v>2617186.187493898</v>
      </c>
      <c r="V401" s="2037"/>
    </row>
    <row r="402" spans="2:22" ht="13.5" thickTop="1"/>
    <row r="403" spans="2:22">
      <c r="M403" s="846">
        <f>+'Sch.B-I.S'!F73</f>
        <v>2107764.9900000007</v>
      </c>
      <c r="U403" s="846">
        <f ca="1">'Sch.B-I.S'!N11</f>
        <v>2617250.7594855195</v>
      </c>
    </row>
    <row r="404" spans="2:22">
      <c r="M404" s="846">
        <f>+M401-M403</f>
        <v>-7503.4157128133811</v>
      </c>
      <c r="U404" s="846">
        <f ca="1">+U401-U403</f>
        <v>-64.571991621516645</v>
      </c>
    </row>
    <row r="405" spans="2:22">
      <c r="M405" s="880">
        <f>+M404/M403</f>
        <v>-3.559891993847653E-3</v>
      </c>
      <c r="U405" s="880">
        <f ca="1">+U404/U403</f>
        <v>-2.4671687031704119E-5</v>
      </c>
    </row>
  </sheetData>
  <pageMargins left="0.7" right="0.7" top="0.75" bottom="0.75" header="0.3" footer="0.3"/>
  <pageSetup scale="48" orientation="portrait" r:id="rId1"/>
  <rowBreaks count="2" manualBreakCount="2">
    <brk id="195" max="20" man="1"/>
    <brk id="294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05"/>
  <sheetViews>
    <sheetView view="pageBreakPreview" zoomScaleNormal="100" zoomScaleSheetLayoutView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RowHeight="12"/>
  <cols>
    <col min="1" max="1" width="6.75" style="801" customWidth="1"/>
    <col min="2" max="2" width="49.125" style="801" customWidth="1"/>
    <col min="3" max="3" width="9.75" style="826" customWidth="1"/>
    <col min="4" max="4" width="0.625" style="801" customWidth="1"/>
    <col min="5" max="5" width="7.125" style="826" customWidth="1"/>
    <col min="6" max="6" width="0.625" style="801" customWidth="1"/>
    <col min="7" max="7" width="8.5" style="826" customWidth="1"/>
    <col min="8" max="8" width="0.625" style="826" customWidth="1"/>
    <col min="9" max="9" width="7.5" style="856" customWidth="1"/>
    <col min="10" max="10" width="0.625" style="801" customWidth="1"/>
    <col min="11" max="11" width="9.625" style="846" bestFit="1" customWidth="1"/>
    <col min="12" max="12" width="0.625" style="826" customWidth="1"/>
    <col min="13" max="13" width="10.75" style="846" bestFit="1" customWidth="1"/>
    <col min="14" max="14" width="0.625" style="826" customWidth="1"/>
    <col min="15" max="15" width="10.75" style="803" customWidth="1"/>
    <col min="16" max="16" width="0.625" style="847" customWidth="1"/>
    <col min="17" max="17" width="10.75" style="803" customWidth="1"/>
    <col min="18" max="18" width="0.625" style="826" customWidth="1"/>
    <col min="19" max="19" width="8.375" style="848" customWidth="1"/>
    <col min="20" max="20" width="0.625" style="801" customWidth="1"/>
    <col min="21" max="21" width="8.75" style="871" customWidth="1"/>
    <col min="22" max="22" width="8.75" style="2027" customWidth="1"/>
    <col min="23" max="23" width="8.75" style="801" customWidth="1"/>
    <col min="24" max="24" width="4.875" style="801" bestFit="1" customWidth="1"/>
    <col min="25" max="25" width="15.625" style="878" bestFit="1" customWidth="1"/>
    <col min="26" max="26" width="18.125" style="878" bestFit="1" customWidth="1"/>
    <col min="27" max="27" width="9.375" style="801" bestFit="1" customWidth="1"/>
    <col min="28" max="16384" width="9" style="801"/>
  </cols>
  <sheetData>
    <row r="1" spans="1:50">
      <c r="A1" s="795" t="str">
        <f>Company_Name</f>
        <v>WATER SERVICE CORPORATION OF KENTUCKY</v>
      </c>
      <c r="C1" s="796"/>
      <c r="D1" s="797"/>
      <c r="E1" s="796"/>
      <c r="F1" s="797"/>
      <c r="G1" s="796"/>
      <c r="H1" s="796"/>
      <c r="I1" s="798"/>
      <c r="J1" s="797"/>
      <c r="K1" s="799"/>
      <c r="L1" s="796"/>
      <c r="M1" s="801"/>
      <c r="N1" s="796"/>
      <c r="O1" s="802"/>
      <c r="P1" s="800"/>
      <c r="R1" s="804"/>
      <c r="S1" s="806"/>
      <c r="T1" s="797"/>
      <c r="U1" s="805" t="s">
        <v>4009</v>
      </c>
      <c r="V1" s="2025"/>
      <c r="W1" s="797"/>
      <c r="X1" s="797"/>
      <c r="Y1" s="807"/>
      <c r="Z1" s="807"/>
      <c r="AA1" s="797"/>
      <c r="AB1" s="797"/>
      <c r="AC1" s="797"/>
      <c r="AD1" s="797"/>
      <c r="AE1" s="797"/>
      <c r="AF1" s="797"/>
      <c r="AG1" s="797"/>
      <c r="AH1" s="797"/>
      <c r="AI1" s="797"/>
      <c r="AJ1" s="797"/>
      <c r="AK1" s="797"/>
      <c r="AL1" s="797"/>
      <c r="AM1" s="797"/>
      <c r="AN1" s="797"/>
      <c r="AO1" s="797"/>
      <c r="AP1" s="797"/>
      <c r="AQ1" s="797"/>
      <c r="AR1" s="797"/>
      <c r="AS1" s="797"/>
      <c r="AT1" s="797"/>
      <c r="AU1" s="797"/>
      <c r="AV1" s="797"/>
      <c r="AW1" s="797"/>
      <c r="AX1" s="797"/>
    </row>
    <row r="2" spans="1:50">
      <c r="A2" s="795" t="str">
        <f>Docket</f>
        <v>Case No. 2015 - 00382</v>
      </c>
      <c r="C2" s="796"/>
      <c r="D2" s="797"/>
      <c r="E2" s="796"/>
      <c r="F2" s="797"/>
      <c r="G2" s="796"/>
      <c r="H2" s="796"/>
      <c r="I2" s="798"/>
      <c r="J2" s="797"/>
      <c r="K2" s="799"/>
      <c r="L2" s="796"/>
      <c r="M2" s="801"/>
      <c r="N2" s="796"/>
      <c r="O2" s="802"/>
      <c r="P2" s="800"/>
      <c r="R2" s="804"/>
      <c r="S2" s="806"/>
      <c r="T2" s="797"/>
      <c r="U2" s="805"/>
      <c r="V2" s="2025"/>
      <c r="W2" s="797"/>
      <c r="X2" s="797"/>
      <c r="Y2" s="807"/>
      <c r="Z2" s="807"/>
      <c r="AA2" s="797"/>
      <c r="AB2" s="797"/>
      <c r="AC2" s="797"/>
      <c r="AD2" s="797"/>
      <c r="AE2" s="797"/>
      <c r="AF2" s="797"/>
      <c r="AG2" s="797"/>
      <c r="AH2" s="797"/>
      <c r="AI2" s="797"/>
      <c r="AJ2" s="797"/>
      <c r="AK2" s="797"/>
      <c r="AL2" s="797"/>
      <c r="AM2" s="797"/>
      <c r="AN2" s="797"/>
      <c r="AO2" s="797"/>
      <c r="AP2" s="797"/>
      <c r="AQ2" s="797"/>
      <c r="AR2" s="797"/>
      <c r="AS2" s="797"/>
      <c r="AT2" s="797"/>
      <c r="AU2" s="797"/>
      <c r="AV2" s="797"/>
      <c r="AW2" s="797"/>
      <c r="AX2" s="797"/>
    </row>
    <row r="3" spans="1:50">
      <c r="A3" s="808" t="s">
        <v>4011</v>
      </c>
      <c r="C3" s="796"/>
      <c r="D3" s="797"/>
      <c r="E3" s="796"/>
      <c r="F3" s="797"/>
      <c r="G3" s="796"/>
      <c r="H3" s="796"/>
      <c r="I3" s="798"/>
      <c r="J3" s="797"/>
      <c r="K3" s="799"/>
      <c r="L3" s="796"/>
      <c r="M3" s="799"/>
      <c r="N3" s="796"/>
      <c r="O3" s="802"/>
      <c r="P3" s="800"/>
      <c r="Q3" s="802"/>
      <c r="R3" s="796"/>
      <c r="S3" s="809"/>
      <c r="T3" s="797"/>
      <c r="U3" s="810"/>
      <c r="V3" s="2026"/>
      <c r="W3" s="797"/>
      <c r="X3" s="797"/>
      <c r="Y3" s="811" t="s">
        <v>514</v>
      </c>
      <c r="Z3" s="807"/>
      <c r="AA3" s="797"/>
      <c r="AB3" s="797"/>
      <c r="AC3" s="797"/>
      <c r="AD3" s="797"/>
      <c r="AE3" s="797"/>
      <c r="AF3" s="797"/>
      <c r="AG3" s="797"/>
      <c r="AH3" s="797"/>
      <c r="AI3" s="797"/>
      <c r="AJ3" s="797"/>
      <c r="AK3" s="797"/>
      <c r="AL3" s="797"/>
      <c r="AM3" s="797"/>
      <c r="AN3" s="797"/>
      <c r="AO3" s="797"/>
      <c r="AP3" s="797"/>
      <c r="AQ3" s="797"/>
      <c r="AR3" s="797"/>
      <c r="AS3" s="797"/>
      <c r="AT3" s="812"/>
      <c r="AU3" s="1092"/>
      <c r="AV3" s="812"/>
      <c r="AW3" s="1092"/>
      <c r="AX3" s="812"/>
    </row>
    <row r="4" spans="1:50" ht="12.75" thickBot="1">
      <c r="A4" s="813" t="str">
        <f>TestYearEnded</f>
        <v>Test Year Ended 6/30/2015</v>
      </c>
      <c r="C4" s="796"/>
      <c r="D4" s="814"/>
      <c r="E4" s="796"/>
      <c r="F4" s="797"/>
      <c r="G4" s="796"/>
      <c r="H4" s="796"/>
      <c r="I4" s="798"/>
      <c r="J4" s="797"/>
      <c r="K4" s="799"/>
      <c r="L4" s="796"/>
      <c r="M4" s="799"/>
      <c r="N4" s="796"/>
      <c r="O4" s="802"/>
      <c r="P4" s="800"/>
      <c r="Q4" s="802"/>
      <c r="R4" s="796"/>
      <c r="S4" s="809"/>
      <c r="T4" s="797"/>
      <c r="U4" s="810"/>
      <c r="V4" s="2026"/>
      <c r="W4" s="797"/>
      <c r="X4" s="797"/>
      <c r="Y4" s="811" t="s">
        <v>1443</v>
      </c>
      <c r="Z4" s="807"/>
      <c r="AA4" s="797"/>
      <c r="AB4" s="797"/>
      <c r="AC4" s="797"/>
      <c r="AD4" s="797"/>
      <c r="AE4" s="797"/>
      <c r="AF4" s="797"/>
      <c r="AG4" s="797"/>
      <c r="AH4" s="797"/>
      <c r="AI4" s="797"/>
      <c r="AJ4" s="797"/>
      <c r="AK4" s="797"/>
      <c r="AL4" s="797"/>
      <c r="AM4" s="797"/>
      <c r="AN4" s="797"/>
      <c r="AO4" s="797"/>
      <c r="AP4" s="797"/>
      <c r="AQ4" s="797"/>
      <c r="AR4" s="797"/>
      <c r="AS4" s="797"/>
      <c r="AT4" s="812"/>
      <c r="AU4" s="1092"/>
      <c r="AV4" s="812"/>
      <c r="AW4" s="1092"/>
      <c r="AX4" s="812"/>
    </row>
    <row r="5" spans="1:50" ht="12.75" thickBot="1">
      <c r="B5" s="815"/>
      <c r="C5" s="796"/>
      <c r="D5" s="814"/>
      <c r="E5" s="796"/>
      <c r="F5" s="797"/>
      <c r="G5" s="796"/>
      <c r="H5" s="796"/>
      <c r="I5" s="798"/>
      <c r="J5" s="797"/>
      <c r="K5" s="799"/>
      <c r="L5" s="796"/>
      <c r="M5" s="799"/>
      <c r="N5" s="796"/>
      <c r="O5" s="802"/>
      <c r="P5" s="800"/>
      <c r="Q5" s="802"/>
      <c r="R5" s="796"/>
      <c r="S5" s="809"/>
      <c r="T5" s="797"/>
      <c r="U5" s="810"/>
      <c r="V5" s="2026"/>
      <c r="W5" s="797"/>
      <c r="X5" s="797"/>
      <c r="Y5" s="816">
        <f ca="1">+'Sch.B-I.S'!P11</f>
        <v>0.24615466546056028</v>
      </c>
      <c r="Z5" s="1155">
        <v>1222.45</v>
      </c>
      <c r="AA5" s="797"/>
      <c r="AB5" s="797"/>
      <c r="AC5" s="797"/>
      <c r="AD5" s="797"/>
      <c r="AE5" s="797"/>
      <c r="AF5" s="797"/>
      <c r="AG5" s="797"/>
      <c r="AH5" s="797"/>
      <c r="AI5" s="797"/>
      <c r="AJ5" s="797"/>
      <c r="AK5" s="797"/>
      <c r="AL5" s="797"/>
      <c r="AM5" s="797"/>
      <c r="AN5" s="797"/>
      <c r="AO5" s="797"/>
      <c r="AP5" s="797"/>
      <c r="AQ5" s="797"/>
      <c r="AR5" s="797"/>
      <c r="AS5" s="797"/>
      <c r="AT5" s="812"/>
      <c r="AU5" s="1092"/>
      <c r="AV5" s="812"/>
      <c r="AW5" s="1092"/>
      <c r="AX5" s="812"/>
    </row>
    <row r="6" spans="1:50">
      <c r="A6" s="1515"/>
      <c r="B6" s="1516" t="s">
        <v>235</v>
      </c>
      <c r="C6" s="1517" t="s">
        <v>236</v>
      </c>
      <c r="D6" s="1516"/>
      <c r="E6" s="1517" t="s">
        <v>237</v>
      </c>
      <c r="F6" s="1516"/>
      <c r="G6" s="1517" t="s">
        <v>238</v>
      </c>
      <c r="H6" s="1517"/>
      <c r="I6" s="1518" t="s">
        <v>239</v>
      </c>
      <c r="J6" s="1516"/>
      <c r="K6" s="1519" t="s">
        <v>869</v>
      </c>
      <c r="L6" s="1517"/>
      <c r="M6" s="1519" t="s">
        <v>870</v>
      </c>
      <c r="N6" s="1517"/>
      <c r="O6" s="1520" t="s">
        <v>871</v>
      </c>
      <c r="P6" s="1521"/>
      <c r="Q6" s="1520" t="s">
        <v>872</v>
      </c>
      <c r="R6" s="1517"/>
      <c r="S6" s="1522" t="s">
        <v>873</v>
      </c>
      <c r="T6" s="1516"/>
      <c r="U6" s="1523" t="s">
        <v>874</v>
      </c>
      <c r="V6" s="2023" t="s">
        <v>2304</v>
      </c>
      <c r="W6" s="797"/>
      <c r="X6" s="797"/>
      <c r="Y6" s="807"/>
      <c r="Z6" s="1155">
        <f ca="1">+Z5*(1+Y5)</f>
        <v>1523.361770792262</v>
      </c>
      <c r="AA6" s="797"/>
      <c r="AB6" s="797"/>
      <c r="AC6" s="797"/>
      <c r="AD6" s="797"/>
      <c r="AE6" s="797"/>
      <c r="AF6" s="797"/>
      <c r="AG6" s="797"/>
      <c r="AH6" s="797"/>
      <c r="AI6" s="797"/>
      <c r="AJ6" s="797"/>
      <c r="AK6" s="797"/>
      <c r="AL6" s="797"/>
      <c r="AM6" s="797"/>
      <c r="AN6" s="797"/>
      <c r="AO6" s="797"/>
      <c r="AP6" s="797"/>
      <c r="AQ6" s="797"/>
      <c r="AR6" s="797"/>
      <c r="AS6" s="797"/>
      <c r="AT6" s="812"/>
      <c r="AU6" s="1092"/>
      <c r="AV6" s="812"/>
      <c r="AW6" s="1092"/>
      <c r="AX6" s="812"/>
    </row>
    <row r="7" spans="1:50">
      <c r="W7" s="817"/>
      <c r="X7" s="817"/>
      <c r="Y7" s="1039">
        <f ca="1">'Sch.B-I.S'!N11</f>
        <v>2617250.7594855195</v>
      </c>
      <c r="Z7" s="807"/>
      <c r="AA7" s="797"/>
      <c r="AB7" s="797"/>
      <c r="AC7" s="797"/>
      <c r="AD7" s="797"/>
      <c r="AE7" s="797"/>
      <c r="AF7" s="797"/>
      <c r="AG7" s="797"/>
      <c r="AH7" s="797"/>
      <c r="AI7" s="797"/>
      <c r="AJ7" s="797"/>
      <c r="AK7" s="797"/>
      <c r="AL7" s="797"/>
      <c r="AM7" s="797"/>
      <c r="AN7" s="797"/>
      <c r="AO7" s="797"/>
      <c r="AP7" s="797"/>
      <c r="AQ7" s="797"/>
      <c r="AR7" s="797"/>
      <c r="AS7" s="797"/>
      <c r="AT7" s="812"/>
      <c r="AU7" s="1092"/>
      <c r="AV7" s="812"/>
      <c r="AW7" s="1092"/>
      <c r="AX7" s="812"/>
    </row>
    <row r="8" spans="1:50" s="1507" customFormat="1" ht="48">
      <c r="A8" s="1525" t="s">
        <v>1786</v>
      </c>
      <c r="B8" s="818"/>
      <c r="C8" s="822" t="s">
        <v>1760</v>
      </c>
      <c r="D8" s="823"/>
      <c r="E8" s="822" t="s">
        <v>1761</v>
      </c>
      <c r="F8" s="801"/>
      <c r="G8" s="822" t="s">
        <v>1762</v>
      </c>
      <c r="H8" s="824"/>
      <c r="I8" s="2021" t="s">
        <v>1763</v>
      </c>
      <c r="J8" s="818"/>
      <c r="K8" s="825" t="s">
        <v>761</v>
      </c>
      <c r="L8" s="824"/>
      <c r="M8" s="825" t="s">
        <v>1442</v>
      </c>
      <c r="N8" s="818"/>
      <c r="O8" s="1037" t="s">
        <v>1444</v>
      </c>
      <c r="P8" s="824"/>
      <c r="Q8" s="1037" t="s">
        <v>1445</v>
      </c>
      <c r="R8" s="824"/>
      <c r="S8" s="1091" t="s">
        <v>1441</v>
      </c>
      <c r="T8" s="818"/>
      <c r="U8" s="829" t="s">
        <v>888</v>
      </c>
      <c r="V8" s="2024" t="s">
        <v>3929</v>
      </c>
      <c r="W8" s="818"/>
      <c r="X8" s="818"/>
      <c r="Y8" s="1042"/>
      <c r="Z8" s="1510"/>
      <c r="AA8" s="1511"/>
      <c r="AB8" s="1410"/>
      <c r="AC8" s="1410"/>
      <c r="AD8" s="1410"/>
      <c r="AE8" s="1511"/>
      <c r="AF8" s="1511"/>
      <c r="AG8" s="1511"/>
      <c r="AH8" s="1511"/>
      <c r="AI8" s="1511"/>
      <c r="AJ8" s="1511"/>
      <c r="AK8" s="1511"/>
      <c r="AL8" s="1511"/>
      <c r="AM8" s="1511"/>
      <c r="AN8" s="1511"/>
      <c r="AO8" s="1511"/>
      <c r="AP8" s="1511"/>
      <c r="AQ8" s="1511"/>
      <c r="AR8" s="1511"/>
      <c r="AS8" s="1511"/>
      <c r="AT8" s="1512"/>
      <c r="AU8" s="1513"/>
      <c r="AV8" s="1512"/>
      <c r="AW8" s="1514"/>
      <c r="AX8" s="1512"/>
    </row>
    <row r="9" spans="1:50">
      <c r="B9" s="818"/>
      <c r="C9" s="824"/>
      <c r="D9" s="823"/>
      <c r="E9" s="824"/>
      <c r="G9" s="824"/>
      <c r="H9" s="824"/>
      <c r="I9" s="1677"/>
      <c r="J9" s="818"/>
      <c r="K9" s="942"/>
      <c r="L9" s="824"/>
      <c r="M9" s="942"/>
      <c r="N9" s="818"/>
      <c r="O9" s="827"/>
      <c r="P9" s="824"/>
      <c r="Q9" s="827"/>
      <c r="R9" s="824"/>
      <c r="S9" s="828"/>
      <c r="T9" s="818"/>
      <c r="U9" s="943"/>
      <c r="V9" s="2024"/>
      <c r="W9" s="818"/>
      <c r="X9" s="818"/>
      <c r="Y9" s="1040"/>
      <c r="Z9" s="820"/>
      <c r="AA9" s="821"/>
      <c r="AB9" s="819"/>
      <c r="AC9" s="819"/>
      <c r="AD9" s="819"/>
      <c r="AE9" s="821"/>
      <c r="AF9" s="797"/>
      <c r="AG9" s="797"/>
      <c r="AH9" s="797"/>
      <c r="AI9" s="797"/>
      <c r="AJ9" s="797"/>
      <c r="AK9" s="797"/>
      <c r="AL9" s="797"/>
      <c r="AM9" s="797"/>
      <c r="AN9" s="797"/>
      <c r="AO9" s="797"/>
      <c r="AP9" s="797"/>
      <c r="AQ9" s="797"/>
      <c r="AR9" s="797"/>
      <c r="AS9" s="797"/>
      <c r="AT9" s="812"/>
      <c r="AU9" s="1094"/>
      <c r="AV9" s="812"/>
      <c r="AW9" s="1092"/>
      <c r="AX9" s="812"/>
    </row>
    <row r="10" spans="1:50">
      <c r="A10" s="1524">
        <v>1</v>
      </c>
      <c r="B10" s="1095" t="s">
        <v>808</v>
      </c>
      <c r="C10" s="1096"/>
      <c r="D10" s="1097"/>
      <c r="E10" s="1096"/>
      <c r="F10" s="1097"/>
      <c r="G10" s="1096"/>
      <c r="H10" s="1096"/>
      <c r="I10" s="1678"/>
      <c r="J10" s="1097"/>
      <c r="K10" s="1098"/>
      <c r="L10" s="1096"/>
      <c r="M10" s="1098"/>
      <c r="N10" s="1096"/>
      <c r="O10" s="1100"/>
      <c r="P10" s="1099"/>
      <c r="Q10" s="1100"/>
      <c r="R10" s="1096"/>
      <c r="S10" s="1101"/>
      <c r="T10" s="1097"/>
      <c r="U10" s="1102"/>
      <c r="V10" s="2023"/>
      <c r="W10" s="1097"/>
      <c r="X10" s="1097"/>
      <c r="Y10" s="1040"/>
      <c r="Z10" s="820"/>
      <c r="AA10" s="821"/>
      <c r="AB10" s="819"/>
      <c r="AC10" s="819"/>
      <c r="AD10" s="819"/>
      <c r="AE10" s="821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812"/>
      <c r="AU10" s="1094"/>
      <c r="AV10" s="812"/>
      <c r="AW10" s="1092"/>
      <c r="AX10" s="812"/>
    </row>
    <row r="11" spans="1:50">
      <c r="A11" s="1524">
        <v>2</v>
      </c>
      <c r="B11" s="1103"/>
      <c r="C11" s="1104"/>
      <c r="D11" s="1105"/>
      <c r="E11" s="1104"/>
      <c r="F11" s="1097"/>
      <c r="G11" s="1096"/>
      <c r="H11" s="1096"/>
      <c r="I11" s="1678"/>
      <c r="J11" s="1097"/>
      <c r="K11" s="1098"/>
      <c r="L11" s="1096"/>
      <c r="M11" s="1098"/>
      <c r="N11" s="1096"/>
      <c r="O11" s="1100"/>
      <c r="P11" s="1099"/>
      <c r="Q11" s="1100"/>
      <c r="R11" s="1096"/>
      <c r="S11" s="1101"/>
      <c r="T11" s="1097"/>
      <c r="U11" s="1102"/>
      <c r="V11" s="2023"/>
      <c r="W11" s="1097"/>
      <c r="X11" s="1097"/>
      <c r="Y11" s="1040"/>
      <c r="Z11" s="820"/>
      <c r="AA11" s="821"/>
      <c r="AB11" s="821"/>
      <c r="AC11" s="821"/>
      <c r="AD11" s="821"/>
      <c r="AE11" s="821"/>
      <c r="AF11" s="797"/>
      <c r="AG11" s="797"/>
      <c r="AH11" s="797"/>
      <c r="AI11" s="797"/>
      <c r="AJ11" s="797"/>
      <c r="AK11" s="797"/>
      <c r="AL11" s="797"/>
      <c r="AM11" s="797"/>
      <c r="AN11" s="797"/>
      <c r="AO11" s="797"/>
      <c r="AP11" s="797"/>
      <c r="AQ11" s="797"/>
      <c r="AR11" s="797"/>
      <c r="AS11" s="797"/>
      <c r="AT11" s="812"/>
      <c r="AU11" s="1094"/>
      <c r="AV11" s="812"/>
      <c r="AW11" s="812"/>
      <c r="AX11" s="812"/>
    </row>
    <row r="12" spans="1:50">
      <c r="A12" s="1524">
        <v>3</v>
      </c>
      <c r="B12" s="1106" t="s">
        <v>1394</v>
      </c>
      <c r="C12" s="1124">
        <v>228276.93700000001</v>
      </c>
      <c r="D12" s="1129"/>
      <c r="E12" s="1124"/>
      <c r="F12" s="1129"/>
      <c r="G12" s="1124"/>
      <c r="H12" s="1124"/>
      <c r="I12" s="1679"/>
      <c r="J12" s="1130"/>
      <c r="K12" s="1125"/>
      <c r="L12" s="1124"/>
      <c r="M12" s="1125"/>
      <c r="N12" s="1124"/>
      <c r="O12" s="1127"/>
      <c r="P12" s="1126"/>
      <c r="Q12" s="1127"/>
      <c r="R12" s="1124"/>
      <c r="S12" s="1128"/>
      <c r="T12" s="1129"/>
      <c r="U12" s="1131"/>
      <c r="V12" s="2028"/>
      <c r="W12" s="1129"/>
      <c r="X12" s="1129"/>
      <c r="Y12" s="1040"/>
      <c r="Z12" s="820"/>
      <c r="AA12" s="821"/>
      <c r="AB12" s="821"/>
      <c r="AC12" s="821"/>
      <c r="AD12" s="821"/>
      <c r="AE12" s="821"/>
      <c r="AF12" s="797"/>
      <c r="AG12" s="797"/>
      <c r="AH12" s="797"/>
      <c r="AI12" s="797"/>
      <c r="AJ12" s="797"/>
      <c r="AK12" s="797"/>
      <c r="AL12" s="797"/>
      <c r="AM12" s="797"/>
      <c r="AN12" s="797"/>
      <c r="AO12" s="797"/>
      <c r="AP12" s="797"/>
      <c r="AQ12" s="797"/>
      <c r="AR12" s="797"/>
      <c r="AS12" s="797"/>
      <c r="AT12" s="1094"/>
      <c r="AU12" s="1094"/>
      <c r="AV12" s="1094"/>
      <c r="AW12" s="1094"/>
      <c r="AX12" s="1094"/>
    </row>
    <row r="13" spans="1:50">
      <c r="A13" s="1524">
        <v>4</v>
      </c>
      <c r="B13" s="1141" t="s">
        <v>459</v>
      </c>
      <c r="C13" s="1124"/>
      <c r="D13" s="1129"/>
      <c r="E13" s="1124">
        <v>59288</v>
      </c>
      <c r="F13" s="1129"/>
      <c r="H13" s="1124"/>
      <c r="I13" s="1680">
        <v>9.42</v>
      </c>
      <c r="J13" s="1130"/>
      <c r="K13" s="1125">
        <f>+E13*I13</f>
        <v>558492.96</v>
      </c>
      <c r="L13" s="1124"/>
      <c r="M13" s="1125">
        <f>+K13</f>
        <v>558492.96</v>
      </c>
      <c r="N13" s="1124"/>
      <c r="O13" s="1127">
        <f>+E13</f>
        <v>59288</v>
      </c>
      <c r="P13" s="1126"/>
      <c r="Q13" s="1127"/>
      <c r="R13" s="1124"/>
      <c r="S13" s="1142">
        <f ca="1">'wp - t-1 COSS'!$F$13</f>
        <v>15.53</v>
      </c>
      <c r="T13" s="1130"/>
      <c r="U13" s="1143">
        <f ca="1">+O13*S13</f>
        <v>920742.64</v>
      </c>
      <c r="V13" s="2029"/>
      <c r="W13" s="1130"/>
      <c r="X13" s="1130"/>
      <c r="Y13" s="1039"/>
      <c r="Z13" s="820"/>
      <c r="AA13" s="821"/>
      <c r="AB13" s="821"/>
      <c r="AC13" s="821"/>
      <c r="AD13" s="821"/>
      <c r="AE13" s="821"/>
      <c r="AF13" s="797"/>
      <c r="AG13" s="797"/>
      <c r="AH13" s="797"/>
      <c r="AI13" s="797"/>
      <c r="AJ13" s="797"/>
      <c r="AK13" s="797"/>
      <c r="AL13" s="797"/>
      <c r="AM13" s="797"/>
      <c r="AN13" s="797"/>
      <c r="AO13" s="797"/>
      <c r="AP13" s="797"/>
      <c r="AQ13" s="797"/>
      <c r="AR13" s="797"/>
      <c r="AS13" s="797"/>
      <c r="AT13" s="812"/>
      <c r="AU13" s="812"/>
      <c r="AV13" s="812"/>
      <c r="AW13" s="1092"/>
      <c r="AX13" s="812"/>
    </row>
    <row r="14" spans="1:50">
      <c r="A14" s="1524">
        <v>5</v>
      </c>
      <c r="B14" s="1141" t="s">
        <v>513</v>
      </c>
      <c r="C14" s="1124"/>
      <c r="D14" s="1129"/>
      <c r="E14" s="1124"/>
      <c r="F14" s="1129"/>
      <c r="G14" s="1124">
        <v>155385.62899999999</v>
      </c>
      <c r="H14" s="1124"/>
      <c r="I14" s="1680">
        <v>3.86</v>
      </c>
      <c r="J14" s="1144"/>
      <c r="K14" s="1127">
        <f>+G14*I14</f>
        <v>599788.52793999994</v>
      </c>
      <c r="L14" s="1124"/>
      <c r="M14" s="1125">
        <f t="shared" ref="M14:M18" si="0">+K14</f>
        <v>599788.52793999994</v>
      </c>
      <c r="N14" s="1124"/>
      <c r="O14" s="1127"/>
      <c r="P14" s="1126"/>
      <c r="Q14" s="1127">
        <f>+G14</f>
        <v>155385.62899999999</v>
      </c>
      <c r="R14" s="1124"/>
      <c r="S14" s="2114">
        <f ca="1">'wp - t-1 COSS'!$F$31</f>
        <v>3.8170000000000002</v>
      </c>
      <c r="T14" s="1108"/>
      <c r="U14" s="1143">
        <f ca="1">+Q14*S14</f>
        <v>593106.945893</v>
      </c>
      <c r="V14" s="2029"/>
      <c r="W14" s="1130"/>
      <c r="X14" s="1130"/>
      <c r="Y14" s="1039"/>
      <c r="Z14" s="820"/>
      <c r="AA14" s="821"/>
      <c r="AB14" s="821"/>
      <c r="AC14" s="821"/>
      <c r="AD14" s="821"/>
      <c r="AE14" s="821"/>
      <c r="AF14" s="797"/>
      <c r="AG14" s="797"/>
      <c r="AH14" s="797"/>
      <c r="AI14" s="797"/>
      <c r="AJ14" s="797"/>
      <c r="AK14" s="797"/>
      <c r="AL14" s="797"/>
      <c r="AM14" s="797"/>
      <c r="AN14" s="797"/>
      <c r="AO14" s="797"/>
      <c r="AP14" s="797"/>
      <c r="AQ14" s="797"/>
      <c r="AR14" s="797"/>
      <c r="AS14" s="797"/>
      <c r="AT14" s="812"/>
      <c r="AU14" s="812"/>
      <c r="AV14" s="812"/>
      <c r="AW14" s="1092"/>
      <c r="AX14" s="812"/>
    </row>
    <row r="15" spans="1:50">
      <c r="A15" s="1524">
        <v>6</v>
      </c>
      <c r="B15" s="1141" t="s">
        <v>706</v>
      </c>
      <c r="C15" s="1124"/>
      <c r="D15" s="1129"/>
      <c r="E15" s="1124"/>
      <c r="F15" s="1129"/>
      <c r="G15" s="1124">
        <v>12797.745999999999</v>
      </c>
      <c r="H15" s="1124"/>
      <c r="I15" s="1680">
        <v>3.53</v>
      </c>
      <c r="J15" s="1144"/>
      <c r="K15" s="1127">
        <f t="shared" ref="K15:K18" si="1">+G15*I15</f>
        <v>45176.043379999996</v>
      </c>
      <c r="L15" s="1124"/>
      <c r="M15" s="1125">
        <f t="shared" si="0"/>
        <v>45176.043379999996</v>
      </c>
      <c r="N15" s="1124"/>
      <c r="O15" s="1127"/>
      <c r="P15" s="1126"/>
      <c r="Q15" s="1127">
        <f t="shared" ref="Q15:Q18" si="2">+G15</f>
        <v>12797.745999999999</v>
      </c>
      <c r="R15" s="1124"/>
      <c r="S15" s="2114">
        <f ca="1">'wp - t-1 COSS'!$F$31</f>
        <v>3.8170000000000002</v>
      </c>
      <c r="T15" s="1108"/>
      <c r="U15" s="1143">
        <f t="shared" ref="U15:U18" ca="1" si="3">+Q15*S15</f>
        <v>48848.996482000002</v>
      </c>
      <c r="V15" s="2029"/>
      <c r="W15" s="1130"/>
      <c r="X15" s="1130"/>
      <c r="Y15" s="1040"/>
      <c r="Z15" s="820"/>
      <c r="AA15" s="821"/>
      <c r="AB15" s="821"/>
      <c r="AC15" s="821"/>
      <c r="AD15" s="821"/>
      <c r="AE15" s="821"/>
      <c r="AF15" s="797"/>
      <c r="AG15" s="797"/>
      <c r="AH15" s="797"/>
      <c r="AI15" s="797"/>
      <c r="AJ15" s="797"/>
      <c r="AK15" s="797"/>
      <c r="AL15" s="797"/>
      <c r="AM15" s="797"/>
      <c r="AN15" s="797"/>
      <c r="AO15" s="797"/>
      <c r="AP15" s="797"/>
      <c r="AQ15" s="797"/>
      <c r="AR15" s="797"/>
      <c r="AS15" s="797"/>
      <c r="AT15" s="812"/>
      <c r="AU15" s="812"/>
      <c r="AV15" s="812"/>
      <c r="AW15" s="1092"/>
      <c r="AX15" s="812"/>
    </row>
    <row r="16" spans="1:50">
      <c r="A16" s="1524">
        <v>7</v>
      </c>
      <c r="B16" s="1141" t="s">
        <v>707</v>
      </c>
      <c r="C16" s="1124"/>
      <c r="D16" s="1129"/>
      <c r="E16" s="1124"/>
      <c r="F16" s="1129"/>
      <c r="G16" s="1124">
        <v>2986.9780000000001</v>
      </c>
      <c r="H16" s="1124"/>
      <c r="I16" s="1680">
        <v>3.35</v>
      </c>
      <c r="J16" s="1144"/>
      <c r="K16" s="1127">
        <f t="shared" si="1"/>
        <v>10006.3763</v>
      </c>
      <c r="L16" s="1124"/>
      <c r="M16" s="1125">
        <f t="shared" si="0"/>
        <v>10006.3763</v>
      </c>
      <c r="N16" s="1124"/>
      <c r="O16" s="1127"/>
      <c r="P16" s="1126"/>
      <c r="Q16" s="1127">
        <f t="shared" si="2"/>
        <v>2986.9780000000001</v>
      </c>
      <c r="R16" s="1124"/>
      <c r="S16" s="2114">
        <f ca="1">'wp - t-1 COSS'!$F$31</f>
        <v>3.8170000000000002</v>
      </c>
      <c r="T16" s="1108"/>
      <c r="U16" s="1143">
        <f t="shared" ca="1" si="3"/>
        <v>11401.295026000002</v>
      </c>
      <c r="V16" s="2029"/>
      <c r="W16" s="1130"/>
      <c r="X16" s="1130"/>
      <c r="Y16" s="1040"/>
      <c r="Z16" s="820"/>
      <c r="AA16" s="821"/>
      <c r="AB16" s="821"/>
      <c r="AC16" s="821"/>
      <c r="AD16" s="821"/>
      <c r="AE16" s="821"/>
      <c r="AF16" s="797"/>
      <c r="AG16" s="797"/>
      <c r="AH16" s="797"/>
      <c r="AI16" s="797"/>
      <c r="AJ16" s="797"/>
      <c r="AK16" s="797"/>
      <c r="AL16" s="797"/>
      <c r="AM16" s="797"/>
      <c r="AN16" s="797"/>
      <c r="AO16" s="797"/>
      <c r="AP16" s="797"/>
      <c r="AQ16" s="797"/>
      <c r="AR16" s="797"/>
      <c r="AS16" s="797"/>
      <c r="AT16" s="812"/>
      <c r="AU16" s="1094"/>
      <c r="AV16" s="812"/>
      <c r="AW16" s="1092"/>
      <c r="AX16" s="812"/>
    </row>
    <row r="17" spans="1:50">
      <c r="A17" s="1524">
        <v>8</v>
      </c>
      <c r="B17" s="1141" t="s">
        <v>708</v>
      </c>
      <c r="C17" s="1124"/>
      <c r="D17" s="1129"/>
      <c r="E17" s="1124"/>
      <c r="F17" s="1129"/>
      <c r="G17" s="1124">
        <v>1600.68</v>
      </c>
      <c r="H17" s="1124"/>
      <c r="I17" s="1680">
        <v>3.01</v>
      </c>
      <c r="J17" s="1144"/>
      <c r="K17" s="1127">
        <f t="shared" si="1"/>
        <v>4818.0468000000001</v>
      </c>
      <c r="L17" s="1124"/>
      <c r="M17" s="1125">
        <f t="shared" si="0"/>
        <v>4818.0468000000001</v>
      </c>
      <c r="N17" s="1124"/>
      <c r="O17" s="1127"/>
      <c r="P17" s="1126"/>
      <c r="Q17" s="1127">
        <f t="shared" si="2"/>
        <v>1600.68</v>
      </c>
      <c r="R17" s="1124"/>
      <c r="S17" s="2114">
        <f ca="1">'wp - t-1 COSS'!$F$31</f>
        <v>3.8170000000000002</v>
      </c>
      <c r="T17" s="1108"/>
      <c r="U17" s="1143">
        <f t="shared" ca="1" si="3"/>
        <v>6109.7955600000005</v>
      </c>
      <c r="V17" s="2029"/>
      <c r="W17" s="1130"/>
      <c r="X17" s="1130"/>
      <c r="Y17" s="1040"/>
      <c r="Z17" s="820"/>
      <c r="AA17" s="821"/>
      <c r="AB17" s="821"/>
      <c r="AC17" s="821"/>
      <c r="AD17" s="821"/>
      <c r="AE17" s="797"/>
      <c r="AF17" s="797"/>
      <c r="AG17" s="797"/>
      <c r="AH17" s="797"/>
      <c r="AI17" s="797"/>
      <c r="AJ17" s="797"/>
      <c r="AK17" s="797"/>
      <c r="AL17" s="797"/>
      <c r="AM17" s="797"/>
      <c r="AN17" s="797"/>
      <c r="AO17" s="797"/>
      <c r="AP17" s="797"/>
      <c r="AQ17" s="797"/>
      <c r="AR17" s="797"/>
      <c r="AS17" s="797"/>
      <c r="AT17" s="812"/>
      <c r="AU17" s="1094"/>
      <c r="AV17" s="812"/>
      <c r="AW17" s="1092"/>
      <c r="AX17" s="812"/>
    </row>
    <row r="18" spans="1:50">
      <c r="A18" s="1524">
        <v>9</v>
      </c>
      <c r="B18" s="1141" t="s">
        <v>711</v>
      </c>
      <c r="C18" s="1124"/>
      <c r="D18" s="1129"/>
      <c r="E18" s="1124"/>
      <c r="F18" s="1129"/>
      <c r="G18" s="1124">
        <v>1598.1669999999999</v>
      </c>
      <c r="H18" s="1124"/>
      <c r="I18" s="1680">
        <v>2.76</v>
      </c>
      <c r="J18" s="1144"/>
      <c r="K18" s="1127">
        <f t="shared" si="1"/>
        <v>4410.9409199999991</v>
      </c>
      <c r="L18" s="1124"/>
      <c r="M18" s="1125">
        <f t="shared" si="0"/>
        <v>4410.9409199999991</v>
      </c>
      <c r="N18" s="1124"/>
      <c r="O18" s="1127"/>
      <c r="P18" s="1126"/>
      <c r="Q18" s="1127">
        <f t="shared" si="2"/>
        <v>1598.1669999999999</v>
      </c>
      <c r="R18" s="1124"/>
      <c r="S18" s="2114">
        <f ca="1">'wp - t-1 COSS'!$F$31</f>
        <v>3.8170000000000002</v>
      </c>
      <c r="T18" s="1108"/>
      <c r="U18" s="1143">
        <f t="shared" ca="1" si="3"/>
        <v>6100.2034389999999</v>
      </c>
      <c r="V18" s="2029"/>
      <c r="W18" s="1130"/>
      <c r="X18" s="1130"/>
      <c r="Y18" s="941"/>
      <c r="Z18" s="820"/>
      <c r="AA18" s="821"/>
      <c r="AB18" s="821"/>
      <c r="AC18" s="821"/>
      <c r="AD18" s="821"/>
      <c r="AE18" s="797"/>
      <c r="AF18" s="797"/>
      <c r="AG18" s="797"/>
      <c r="AH18" s="797"/>
      <c r="AI18" s="797"/>
      <c r="AJ18" s="797"/>
      <c r="AK18" s="797"/>
      <c r="AL18" s="797"/>
      <c r="AM18" s="797"/>
      <c r="AN18" s="797"/>
      <c r="AO18" s="797"/>
      <c r="AP18" s="797"/>
      <c r="AQ18" s="797"/>
      <c r="AR18" s="797"/>
      <c r="AS18" s="797"/>
      <c r="AT18" s="812"/>
      <c r="AU18" s="1094"/>
      <c r="AV18" s="812"/>
      <c r="AW18" s="1092"/>
      <c r="AX18" s="812"/>
    </row>
    <row r="19" spans="1:50" s="1110" customFormat="1" ht="12.75" thickBot="1">
      <c r="A19" s="1524">
        <v>10</v>
      </c>
      <c r="B19" s="1109" t="s">
        <v>1393</v>
      </c>
      <c r="C19" s="1145">
        <f>SUM(C12:C18)</f>
        <v>228276.93700000001</v>
      </c>
      <c r="D19" s="1135"/>
      <c r="E19" s="1145">
        <f>SUM(E12:E18)</f>
        <v>59288</v>
      </c>
      <c r="F19" s="1135"/>
      <c r="G19" s="1145">
        <f>SUM(G12:G18)</f>
        <v>174369.19999999998</v>
      </c>
      <c r="H19" s="1096"/>
      <c r="I19" s="1678"/>
      <c r="J19" s="1097"/>
      <c r="K19" s="1136">
        <f>SUM(K12:K18)</f>
        <v>1222692.8953399996</v>
      </c>
      <c r="L19" s="1096"/>
      <c r="M19" s="1136">
        <f>SUM(M12:M18)</f>
        <v>1222692.8953399996</v>
      </c>
      <c r="N19" s="1096"/>
      <c r="O19" s="1145">
        <f>SUM(O12:O18)</f>
        <v>59288</v>
      </c>
      <c r="P19" s="1099"/>
      <c r="Q19" s="1145">
        <f>SUM(Q12:Q18)</f>
        <v>174369.19999999998</v>
      </c>
      <c r="R19" s="1096"/>
      <c r="S19" s="1128"/>
      <c r="T19" s="1135"/>
      <c r="U19" s="1136">
        <f ca="1">SUM(U12:U18)</f>
        <v>1586309.8764</v>
      </c>
      <c r="V19" s="2030"/>
      <c r="W19" s="1135"/>
      <c r="X19" s="1135"/>
      <c r="Y19" s="1041"/>
      <c r="Z19" s="831"/>
      <c r="AA19" s="832"/>
      <c r="AB19" s="832"/>
      <c r="AC19" s="832"/>
      <c r="AD19" s="832"/>
      <c r="AE19" s="832"/>
      <c r="AF19" s="832" t="s">
        <v>425</v>
      </c>
      <c r="AG19" s="1103"/>
      <c r="AH19" s="1097"/>
      <c r="AI19" s="1135"/>
      <c r="AJ19" s="1135"/>
      <c r="AK19" s="1135"/>
      <c r="AL19" s="1097"/>
      <c r="AM19" s="833"/>
      <c r="AN19" s="1097"/>
      <c r="AO19" s="833"/>
      <c r="AP19" s="1097"/>
      <c r="AQ19" s="833"/>
      <c r="AR19" s="1097"/>
      <c r="AS19" s="833"/>
      <c r="AT19" s="834"/>
      <c r="AU19" s="834"/>
      <c r="AV19" s="834"/>
      <c r="AW19" s="834"/>
      <c r="AX19" s="834"/>
    </row>
    <row r="20" spans="1:50" ht="12.75" thickTop="1">
      <c r="A20" s="1524">
        <v>11</v>
      </c>
      <c r="B20" s="1109"/>
      <c r="C20" s="1132"/>
      <c r="D20" s="1133"/>
      <c r="E20" s="1132"/>
      <c r="F20" s="1129"/>
      <c r="G20" s="1124"/>
      <c r="H20" s="1124"/>
      <c r="I20" s="1679"/>
      <c r="J20" s="1130"/>
      <c r="K20" s="1125"/>
      <c r="L20" s="1124"/>
      <c r="M20" s="1125"/>
      <c r="N20" s="1124"/>
      <c r="O20" s="1127"/>
      <c r="P20" s="1126"/>
      <c r="Q20" s="1127"/>
      <c r="R20" s="1124"/>
      <c r="S20" s="1128"/>
      <c r="T20" s="1130"/>
      <c r="U20" s="1093"/>
      <c r="V20" s="2031"/>
      <c r="W20" s="1130"/>
      <c r="X20" s="1130"/>
      <c r="Y20" s="1039"/>
      <c r="Z20" s="820"/>
      <c r="AA20" s="821"/>
      <c r="AB20" s="821"/>
      <c r="AC20" s="821"/>
      <c r="AD20" s="821"/>
      <c r="AE20" s="821"/>
      <c r="AF20" s="797"/>
      <c r="AG20" s="797"/>
      <c r="AH20" s="797"/>
      <c r="AI20" s="797"/>
      <c r="AJ20" s="797"/>
      <c r="AK20" s="797"/>
      <c r="AL20" s="797"/>
      <c r="AM20" s="797"/>
      <c r="AN20" s="797"/>
      <c r="AO20" s="797"/>
      <c r="AP20" s="797"/>
      <c r="AQ20" s="797"/>
      <c r="AR20" s="797"/>
      <c r="AS20" s="797"/>
      <c r="AT20" s="812"/>
      <c r="AU20" s="812"/>
      <c r="AV20" s="812"/>
      <c r="AW20" s="1092"/>
      <c r="AX20" s="812"/>
    </row>
    <row r="21" spans="1:50" ht="12.75" thickBot="1">
      <c r="A21" s="1524">
        <v>12</v>
      </c>
      <c r="B21" s="1111" t="s">
        <v>1392</v>
      </c>
      <c r="C21" s="1132"/>
      <c r="D21" s="1133"/>
      <c r="E21" s="1132"/>
      <c r="F21" s="1129"/>
      <c r="G21" s="1124"/>
      <c r="H21" s="1124"/>
      <c r="I21" s="1679"/>
      <c r="J21" s="1130"/>
      <c r="K21" s="1125"/>
      <c r="L21" s="1124"/>
      <c r="M21" s="1138">
        <f>+M19/$E19</f>
        <v>20.622940482728371</v>
      </c>
      <c r="N21" s="1124"/>
      <c r="O21" s="1127"/>
      <c r="P21" s="1126"/>
      <c r="Q21" s="1127"/>
      <c r="R21" s="1124"/>
      <c r="S21" s="1128"/>
      <c r="T21" s="1130"/>
      <c r="U21" s="1138">
        <f ca="1">+U19/$E19</f>
        <v>26.756002503036026</v>
      </c>
      <c r="V21" s="2032"/>
      <c r="W21" s="1130">
        <f ca="1">+U21-M21</f>
        <v>6.1330620203076549</v>
      </c>
      <c r="X21" s="1130">
        <f ca="1">W21/M21</f>
        <v>0.29739027882294816</v>
      </c>
      <c r="Y21" s="1039"/>
      <c r="Z21" s="820"/>
      <c r="AA21" s="821"/>
      <c r="AB21" s="821"/>
      <c r="AC21" s="821"/>
      <c r="AD21" s="821"/>
      <c r="AE21" s="821"/>
      <c r="AF21" s="797"/>
      <c r="AG21" s="797"/>
      <c r="AH21" s="797"/>
      <c r="AI21" s="797"/>
      <c r="AJ21" s="797"/>
      <c r="AK21" s="797"/>
      <c r="AL21" s="797"/>
      <c r="AM21" s="797"/>
      <c r="AN21" s="797"/>
      <c r="AO21" s="797"/>
      <c r="AP21" s="797"/>
      <c r="AQ21" s="797"/>
      <c r="AR21" s="797"/>
      <c r="AS21" s="797"/>
      <c r="AT21" s="812"/>
      <c r="AU21" s="812"/>
      <c r="AV21" s="812"/>
      <c r="AW21" s="1092"/>
      <c r="AX21" s="812"/>
    </row>
    <row r="22" spans="1:50" ht="12.75" thickTop="1">
      <c r="A22" s="1524">
        <v>13</v>
      </c>
      <c r="B22" s="1106" t="s">
        <v>1391</v>
      </c>
      <c r="C22" s="1124">
        <v>27101.99</v>
      </c>
      <c r="D22" s="1129"/>
      <c r="E22" s="1124"/>
      <c r="F22" s="1129"/>
      <c r="G22" s="1124"/>
      <c r="H22" s="1124"/>
      <c r="I22" s="1679"/>
      <c r="J22" s="1130"/>
      <c r="K22" s="1125"/>
      <c r="L22" s="1124"/>
      <c r="M22" s="1125"/>
      <c r="N22" s="1124"/>
      <c r="O22" s="1127"/>
      <c r="P22" s="1126"/>
      <c r="Q22" s="1127"/>
      <c r="R22" s="1124"/>
      <c r="S22" s="1128"/>
      <c r="T22" s="1129"/>
      <c r="U22" s="1131"/>
      <c r="V22" s="2028"/>
      <c r="W22" s="1129"/>
      <c r="X22" s="1129"/>
      <c r="Y22" s="1040"/>
      <c r="Z22" s="1044"/>
      <c r="AA22" s="821"/>
      <c r="AB22" s="821"/>
      <c r="AC22" s="821"/>
      <c r="AD22" s="821"/>
      <c r="AE22" s="821"/>
      <c r="AF22" s="797"/>
      <c r="AG22" s="797"/>
      <c r="AH22" s="797"/>
      <c r="AI22" s="797"/>
      <c r="AJ22" s="797"/>
      <c r="AK22" s="797"/>
      <c r="AL22" s="797"/>
      <c r="AM22" s="797"/>
      <c r="AN22" s="797"/>
      <c r="AO22" s="797"/>
      <c r="AP22" s="797"/>
      <c r="AQ22" s="797"/>
      <c r="AR22" s="797"/>
      <c r="AS22" s="797"/>
      <c r="AT22" s="1094"/>
      <c r="AU22" s="1094"/>
      <c r="AV22" s="1094"/>
      <c r="AW22" s="1094"/>
      <c r="AX22" s="1094"/>
    </row>
    <row r="23" spans="1:50">
      <c r="A23" s="1524">
        <v>14</v>
      </c>
      <c r="B23" s="1141" t="s">
        <v>459</v>
      </c>
      <c r="C23" s="1124"/>
      <c r="D23" s="1129"/>
      <c r="E23" s="1124">
        <v>6405</v>
      </c>
      <c r="F23" s="1129"/>
      <c r="H23" s="1124"/>
      <c r="I23" s="1680">
        <v>9.42</v>
      </c>
      <c r="J23" s="1130"/>
      <c r="K23" s="1125">
        <f>+E23*I23</f>
        <v>60335.1</v>
      </c>
      <c r="L23" s="1124"/>
      <c r="M23" s="1125">
        <f>+K23</f>
        <v>60335.1</v>
      </c>
      <c r="N23" s="1124"/>
      <c r="O23" s="1127">
        <f>+E23</f>
        <v>6405</v>
      </c>
      <c r="P23" s="1126"/>
      <c r="Q23" s="1127"/>
      <c r="R23" s="1124"/>
      <c r="S23" s="1142">
        <f ca="1">'wp - t-1 COSS'!$F$13</f>
        <v>15.53</v>
      </c>
      <c r="T23" s="1130"/>
      <c r="U23" s="1143">
        <f ca="1">+O23*S23</f>
        <v>99469.65</v>
      </c>
      <c r="V23" s="2029"/>
      <c r="W23" s="1130"/>
      <c r="X23" s="1130"/>
      <c r="Y23" s="1039"/>
      <c r="Z23" s="820"/>
      <c r="AA23" s="821"/>
      <c r="AB23" s="821"/>
      <c r="AC23" s="821"/>
      <c r="AD23" s="821"/>
      <c r="AE23" s="821"/>
      <c r="AF23" s="797"/>
      <c r="AG23" s="797"/>
      <c r="AH23" s="797"/>
      <c r="AI23" s="797"/>
      <c r="AJ23" s="797"/>
      <c r="AK23" s="797"/>
      <c r="AL23" s="797"/>
      <c r="AM23" s="797"/>
      <c r="AN23" s="797"/>
      <c r="AO23" s="797"/>
      <c r="AP23" s="797"/>
      <c r="AQ23" s="797"/>
      <c r="AR23" s="797"/>
      <c r="AS23" s="797"/>
      <c r="AT23" s="812"/>
      <c r="AU23" s="812"/>
      <c r="AV23" s="812"/>
      <c r="AW23" s="1092"/>
      <c r="AX23" s="812"/>
    </row>
    <row r="24" spans="1:50">
      <c r="A24" s="1524">
        <v>15</v>
      </c>
      <c r="B24" s="1141" t="s">
        <v>513</v>
      </c>
      <c r="C24" s="1124"/>
      <c r="D24" s="1129"/>
      <c r="E24" s="1124"/>
      <c r="F24" s="1129"/>
      <c r="G24" s="1124">
        <v>12842.165000000001</v>
      </c>
      <c r="H24" s="1124"/>
      <c r="I24" s="1680">
        <v>3.86</v>
      </c>
      <c r="J24" s="1108"/>
      <c r="K24" s="1127">
        <f>+G24*I24</f>
        <v>49570.7569</v>
      </c>
      <c r="L24" s="1124"/>
      <c r="M24" s="1125">
        <f t="shared" ref="M24:M28" si="4">+K24</f>
        <v>49570.7569</v>
      </c>
      <c r="N24" s="1124"/>
      <c r="O24" s="1127"/>
      <c r="P24" s="1126"/>
      <c r="Q24" s="1127">
        <f>+G24</f>
        <v>12842.165000000001</v>
      </c>
      <c r="R24" s="1124"/>
      <c r="S24" s="2114">
        <f ca="1">'wp - t-1 COSS'!$F$31</f>
        <v>3.8170000000000002</v>
      </c>
      <c r="T24" s="1130"/>
      <c r="U24" s="1143">
        <f ca="1">+Q24*S24</f>
        <v>49018.543805000008</v>
      </c>
      <c r="V24" s="2029"/>
      <c r="W24" s="1130"/>
      <c r="X24" s="1130"/>
      <c r="Y24" s="1039"/>
      <c r="Z24" s="820"/>
      <c r="AA24" s="821"/>
      <c r="AB24" s="821"/>
      <c r="AC24" s="821"/>
      <c r="AD24" s="821"/>
      <c r="AE24" s="821"/>
      <c r="AF24" s="797"/>
      <c r="AG24" s="797"/>
      <c r="AH24" s="797"/>
      <c r="AI24" s="797"/>
      <c r="AJ24" s="797"/>
      <c r="AK24" s="797"/>
      <c r="AL24" s="797"/>
      <c r="AM24" s="797"/>
      <c r="AN24" s="797"/>
      <c r="AO24" s="797"/>
      <c r="AP24" s="797"/>
      <c r="AQ24" s="797"/>
      <c r="AR24" s="797"/>
      <c r="AS24" s="797"/>
      <c r="AT24" s="812"/>
      <c r="AU24" s="812"/>
      <c r="AV24" s="812"/>
      <c r="AW24" s="1092"/>
      <c r="AX24" s="812"/>
    </row>
    <row r="25" spans="1:50">
      <c r="A25" s="1524">
        <v>16</v>
      </c>
      <c r="B25" s="1141" t="s">
        <v>706</v>
      </c>
      <c r="C25" s="1124"/>
      <c r="D25" s="1129"/>
      <c r="E25" s="1124"/>
      <c r="F25" s="1129"/>
      <c r="G25" s="1124">
        <v>4172.1689999999999</v>
      </c>
      <c r="H25" s="1124"/>
      <c r="I25" s="1680">
        <v>3.53</v>
      </c>
      <c r="J25" s="1108"/>
      <c r="K25" s="1127">
        <f t="shared" ref="K25:K28" si="5">+G25*I25</f>
        <v>14727.75657</v>
      </c>
      <c r="L25" s="1124"/>
      <c r="M25" s="1125">
        <f t="shared" si="4"/>
        <v>14727.75657</v>
      </c>
      <c r="N25" s="1124"/>
      <c r="O25" s="1127"/>
      <c r="P25" s="1126"/>
      <c r="Q25" s="1127">
        <f t="shared" ref="Q25:Q28" si="6">+G25</f>
        <v>4172.1689999999999</v>
      </c>
      <c r="R25" s="1124"/>
      <c r="S25" s="2114">
        <f ca="1">'wp - t-1 COSS'!$F$31</f>
        <v>3.8170000000000002</v>
      </c>
      <c r="T25" s="1130"/>
      <c r="U25" s="1143">
        <f t="shared" ref="U25:U28" ca="1" si="7">+Q25*S25</f>
        <v>15925.169073000001</v>
      </c>
      <c r="V25" s="2029"/>
      <c r="W25" s="1130"/>
      <c r="X25" s="1130"/>
      <c r="Y25" s="1040"/>
      <c r="Z25" s="820"/>
      <c r="AA25" s="821"/>
      <c r="AB25" s="821"/>
      <c r="AC25" s="821"/>
      <c r="AD25" s="821"/>
      <c r="AE25" s="821"/>
      <c r="AF25" s="797"/>
      <c r="AG25" s="797"/>
      <c r="AH25" s="797"/>
      <c r="AI25" s="797"/>
      <c r="AJ25" s="797"/>
      <c r="AK25" s="797"/>
      <c r="AL25" s="797"/>
      <c r="AM25" s="797"/>
      <c r="AN25" s="797"/>
      <c r="AO25" s="797"/>
      <c r="AP25" s="797"/>
      <c r="AQ25" s="797"/>
      <c r="AR25" s="797"/>
      <c r="AS25" s="797"/>
      <c r="AT25" s="812"/>
      <c r="AU25" s="812"/>
      <c r="AV25" s="812"/>
      <c r="AW25" s="1092"/>
      <c r="AX25" s="812"/>
    </row>
    <row r="26" spans="1:50">
      <c r="A26" s="1524">
        <v>17</v>
      </c>
      <c r="B26" s="1141" t="s">
        <v>707</v>
      </c>
      <c r="C26" s="1124"/>
      <c r="D26" s="1129"/>
      <c r="E26" s="1124"/>
      <c r="F26" s="1129"/>
      <c r="G26" s="1124">
        <v>2576.8110000000001</v>
      </c>
      <c r="H26" s="1124"/>
      <c r="I26" s="1680">
        <v>3.35</v>
      </c>
      <c r="J26" s="1108"/>
      <c r="K26" s="1127">
        <f t="shared" si="5"/>
        <v>8632.3168500000011</v>
      </c>
      <c r="L26" s="1124"/>
      <c r="M26" s="1125">
        <f t="shared" si="4"/>
        <v>8632.3168500000011</v>
      </c>
      <c r="N26" s="1124"/>
      <c r="O26" s="1127"/>
      <c r="P26" s="1126"/>
      <c r="Q26" s="1127">
        <f t="shared" si="6"/>
        <v>2576.8110000000001</v>
      </c>
      <c r="R26" s="1124"/>
      <c r="S26" s="2114">
        <f ca="1">'wp - t-1 COSS'!$F$31</f>
        <v>3.8170000000000002</v>
      </c>
      <c r="T26" s="1130"/>
      <c r="U26" s="1143">
        <f t="shared" ca="1" si="7"/>
        <v>9835.6875870000003</v>
      </c>
      <c r="V26" s="2029"/>
      <c r="W26" s="1130"/>
      <c r="X26" s="1130"/>
      <c r="Y26" s="1040"/>
      <c r="Z26" s="820"/>
      <c r="AA26" s="821"/>
      <c r="AB26" s="821"/>
      <c r="AC26" s="821"/>
      <c r="AD26" s="821"/>
      <c r="AE26" s="821"/>
      <c r="AF26" s="797"/>
      <c r="AG26" s="797"/>
      <c r="AH26" s="797"/>
      <c r="AI26" s="797"/>
      <c r="AJ26" s="797"/>
      <c r="AK26" s="797"/>
      <c r="AL26" s="797"/>
      <c r="AM26" s="797"/>
      <c r="AN26" s="797"/>
      <c r="AO26" s="797"/>
      <c r="AP26" s="797"/>
      <c r="AQ26" s="797"/>
      <c r="AR26" s="797"/>
      <c r="AS26" s="797"/>
      <c r="AT26" s="812"/>
      <c r="AU26" s="1094"/>
      <c r="AV26" s="812"/>
      <c r="AW26" s="1092"/>
      <c r="AX26" s="812"/>
    </row>
    <row r="27" spans="1:50">
      <c r="A27" s="1524">
        <v>18</v>
      </c>
      <c r="B27" s="1141" t="s">
        <v>708</v>
      </c>
      <c r="C27" s="1124"/>
      <c r="D27" s="1129"/>
      <c r="E27" s="1124"/>
      <c r="F27" s="1129"/>
      <c r="G27" s="1124">
        <v>1963.7280000000001</v>
      </c>
      <c r="H27" s="1124"/>
      <c r="I27" s="1680">
        <v>3.01</v>
      </c>
      <c r="J27" s="1108"/>
      <c r="K27" s="1127">
        <f t="shared" si="5"/>
        <v>5910.8212800000001</v>
      </c>
      <c r="L27" s="1124"/>
      <c r="M27" s="1125">
        <f t="shared" si="4"/>
        <v>5910.8212800000001</v>
      </c>
      <c r="N27" s="1124"/>
      <c r="O27" s="1127"/>
      <c r="P27" s="1126"/>
      <c r="Q27" s="1127">
        <f t="shared" si="6"/>
        <v>1963.7280000000001</v>
      </c>
      <c r="R27" s="1124"/>
      <c r="S27" s="2114">
        <f ca="1">'wp - t-1 COSS'!$F$31</f>
        <v>3.8170000000000002</v>
      </c>
      <c r="T27" s="1130"/>
      <c r="U27" s="1143">
        <f t="shared" ca="1" si="7"/>
        <v>7495.5497760000007</v>
      </c>
      <c r="V27" s="2029"/>
      <c r="W27" s="1130"/>
      <c r="X27" s="1130"/>
      <c r="Y27" s="1040"/>
      <c r="Z27" s="820"/>
      <c r="AA27" s="821"/>
      <c r="AB27" s="821"/>
      <c r="AC27" s="821"/>
      <c r="AD27" s="821"/>
      <c r="AE27" s="797"/>
      <c r="AF27" s="797"/>
      <c r="AG27" s="797"/>
      <c r="AH27" s="797"/>
      <c r="AI27" s="797"/>
      <c r="AJ27" s="797"/>
      <c r="AK27" s="797"/>
      <c r="AL27" s="797"/>
      <c r="AM27" s="797"/>
      <c r="AN27" s="797"/>
      <c r="AO27" s="797"/>
      <c r="AP27" s="797"/>
      <c r="AQ27" s="797"/>
      <c r="AR27" s="797"/>
      <c r="AS27" s="797"/>
      <c r="AT27" s="812"/>
      <c r="AU27" s="1094"/>
      <c r="AV27" s="812"/>
      <c r="AW27" s="1092"/>
      <c r="AX27" s="812"/>
    </row>
    <row r="28" spans="1:50">
      <c r="A28" s="1524">
        <v>19</v>
      </c>
      <c r="B28" s="1141" t="s">
        <v>711</v>
      </c>
      <c r="C28" s="1124"/>
      <c r="D28" s="1129"/>
      <c r="E28" s="1124"/>
      <c r="F28" s="1129"/>
      <c r="G28" s="1124">
        <v>967.37599999999998</v>
      </c>
      <c r="H28" s="1124"/>
      <c r="I28" s="1680">
        <v>2.76</v>
      </c>
      <c r="J28" s="1108"/>
      <c r="K28" s="1127">
        <f t="shared" si="5"/>
        <v>2669.9577599999998</v>
      </c>
      <c r="L28" s="1124"/>
      <c r="M28" s="1125">
        <f t="shared" si="4"/>
        <v>2669.9577599999998</v>
      </c>
      <c r="N28" s="1124"/>
      <c r="O28" s="1127"/>
      <c r="P28" s="1126"/>
      <c r="Q28" s="1127">
        <f t="shared" si="6"/>
        <v>967.37599999999998</v>
      </c>
      <c r="R28" s="1124"/>
      <c r="S28" s="2114">
        <f ca="1">'wp - t-1 COSS'!$F$31</f>
        <v>3.8170000000000002</v>
      </c>
      <c r="T28" s="1130"/>
      <c r="U28" s="1143">
        <f t="shared" ca="1" si="7"/>
        <v>3692.4741920000001</v>
      </c>
      <c r="V28" s="2029"/>
      <c r="W28" s="1130"/>
      <c r="X28" s="1130"/>
      <c r="Y28" s="1040"/>
      <c r="Z28" s="820"/>
      <c r="AA28" s="821"/>
      <c r="AB28" s="821"/>
      <c r="AC28" s="821"/>
      <c r="AD28" s="821"/>
      <c r="AE28" s="797"/>
      <c r="AF28" s="797"/>
      <c r="AG28" s="797"/>
      <c r="AH28" s="797"/>
      <c r="AI28" s="797"/>
      <c r="AJ28" s="797"/>
      <c r="AK28" s="797"/>
      <c r="AL28" s="797"/>
      <c r="AM28" s="797"/>
      <c r="AN28" s="797"/>
      <c r="AO28" s="797"/>
      <c r="AP28" s="797"/>
      <c r="AQ28" s="797"/>
      <c r="AR28" s="797"/>
      <c r="AS28" s="797"/>
      <c r="AT28" s="812"/>
      <c r="AU28" s="1094"/>
      <c r="AV28" s="812"/>
      <c r="AW28" s="1092"/>
      <c r="AX28" s="812"/>
    </row>
    <row r="29" spans="1:50" s="1110" customFormat="1" ht="12.75" thickBot="1">
      <c r="A29" s="1524">
        <v>20</v>
      </c>
      <c r="B29" s="1109" t="s">
        <v>1390</v>
      </c>
      <c r="C29" s="1145">
        <f>SUM(C22:C28)</f>
        <v>27101.99</v>
      </c>
      <c r="D29" s="1135"/>
      <c r="E29" s="1145">
        <f>SUM(E22:E28)</f>
        <v>6405</v>
      </c>
      <c r="F29" s="1135"/>
      <c r="G29" s="1145">
        <f>SUM(G22:G28)</f>
        <v>22522.249000000003</v>
      </c>
      <c r="H29" s="1096"/>
      <c r="I29" s="1678"/>
      <c r="J29" s="1097"/>
      <c r="K29" s="1136">
        <f>SUM(K22:K28)</f>
        <v>141846.70935999998</v>
      </c>
      <c r="L29" s="1096"/>
      <c r="M29" s="1136">
        <f>SUM(M22:M28)</f>
        <v>141846.70935999998</v>
      </c>
      <c r="N29" s="1096"/>
      <c r="O29" s="1145">
        <f>SUM(O22:O28)</f>
        <v>6405</v>
      </c>
      <c r="P29" s="1099"/>
      <c r="Q29" s="1145">
        <f>SUM(Q22:Q28)</f>
        <v>22522.249000000003</v>
      </c>
      <c r="R29" s="1096"/>
      <c r="S29" s="1128"/>
      <c r="T29" s="1135"/>
      <c r="U29" s="1136">
        <f ca="1">SUM(U22:U28)</f>
        <v>185437.07443299997</v>
      </c>
      <c r="V29" s="2030"/>
      <c r="W29" s="1135"/>
      <c r="X29" s="1135"/>
      <c r="Y29" s="941"/>
      <c r="Z29" s="831"/>
      <c r="AA29" s="832"/>
      <c r="AB29" s="832"/>
      <c r="AC29" s="832"/>
      <c r="AD29" s="832"/>
      <c r="AE29" s="832"/>
      <c r="AF29" s="832" t="s">
        <v>425</v>
      </c>
      <c r="AG29" s="1103"/>
      <c r="AH29" s="1097"/>
      <c r="AI29" s="1135"/>
      <c r="AJ29" s="1135"/>
      <c r="AK29" s="1135"/>
      <c r="AL29" s="1097"/>
      <c r="AM29" s="833"/>
      <c r="AN29" s="1097"/>
      <c r="AO29" s="833"/>
      <c r="AP29" s="1097"/>
      <c r="AQ29" s="833"/>
      <c r="AR29" s="1097"/>
      <c r="AS29" s="833"/>
      <c r="AT29" s="834"/>
      <c r="AU29" s="834"/>
      <c r="AV29" s="834"/>
      <c r="AW29" s="834"/>
      <c r="AX29" s="834"/>
    </row>
    <row r="30" spans="1:50" ht="12.75" thickTop="1">
      <c r="A30" s="1524">
        <v>21</v>
      </c>
      <c r="B30" s="1109"/>
      <c r="C30" s="1132"/>
      <c r="D30" s="1133"/>
      <c r="E30" s="1132"/>
      <c r="F30" s="1129"/>
      <c r="G30" s="1124"/>
      <c r="H30" s="1124"/>
      <c r="I30" s="1679"/>
      <c r="J30" s="1130"/>
      <c r="K30" s="1125"/>
      <c r="L30" s="1124"/>
      <c r="M30" s="1125"/>
      <c r="N30" s="1124"/>
      <c r="O30" s="1127"/>
      <c r="P30" s="1126"/>
      <c r="Q30" s="1127"/>
      <c r="R30" s="1124"/>
      <c r="S30" s="1128"/>
      <c r="T30" s="1130"/>
      <c r="U30" s="1093"/>
      <c r="V30" s="2031"/>
      <c r="W30" s="1130"/>
      <c r="X30" s="1130"/>
      <c r="Y30" s="1039"/>
      <c r="Z30" s="820"/>
      <c r="AA30" s="821"/>
      <c r="AB30" s="821"/>
      <c r="AC30" s="821"/>
      <c r="AD30" s="821"/>
      <c r="AE30" s="821"/>
      <c r="AF30" s="797"/>
      <c r="AG30" s="797"/>
      <c r="AH30" s="797"/>
      <c r="AI30" s="797"/>
      <c r="AJ30" s="797"/>
      <c r="AK30" s="797"/>
      <c r="AL30" s="797"/>
      <c r="AM30" s="797"/>
      <c r="AN30" s="797"/>
      <c r="AO30" s="797"/>
      <c r="AP30" s="797"/>
      <c r="AQ30" s="797"/>
      <c r="AR30" s="797"/>
      <c r="AS30" s="797"/>
      <c r="AT30" s="812"/>
      <c r="AU30" s="812"/>
      <c r="AV30" s="812"/>
      <c r="AW30" s="1092"/>
      <c r="AX30" s="812"/>
    </row>
    <row r="31" spans="1:50" ht="12.75" thickBot="1">
      <c r="A31" s="1524">
        <v>22</v>
      </c>
      <c r="B31" s="1111" t="s">
        <v>1389</v>
      </c>
      <c r="C31" s="1132"/>
      <c r="D31" s="1133"/>
      <c r="E31" s="1132"/>
      <c r="F31" s="1129"/>
      <c r="G31" s="1124"/>
      <c r="H31" s="1124"/>
      <c r="I31" s="1679"/>
      <c r="J31" s="1130"/>
      <c r="K31" s="1125"/>
      <c r="L31" s="1124"/>
      <c r="M31" s="1138">
        <f>+M29/$E29</f>
        <v>22.146246582357531</v>
      </c>
      <c r="N31" s="1124"/>
      <c r="O31" s="1127"/>
      <c r="P31" s="1126"/>
      <c r="Q31" s="1127"/>
      <c r="R31" s="1124"/>
      <c r="S31" s="1128"/>
      <c r="T31" s="1130"/>
      <c r="U31" s="1138">
        <f ca="1">+U29/$E29</f>
        <v>28.951924189383291</v>
      </c>
      <c r="V31" s="2032"/>
      <c r="W31" s="1130">
        <f ca="1">+U31-M31</f>
        <v>6.8056776070257605</v>
      </c>
      <c r="X31" s="1130">
        <f ca="1">W31/M31</f>
        <v>0.30730614245248222</v>
      </c>
      <c r="Y31" s="1039"/>
      <c r="Z31" s="820"/>
      <c r="AA31" s="821"/>
      <c r="AB31" s="821"/>
      <c r="AC31" s="821"/>
      <c r="AD31" s="821"/>
      <c r="AE31" s="821"/>
      <c r="AF31" s="797"/>
      <c r="AG31" s="797"/>
      <c r="AH31" s="797"/>
      <c r="AI31" s="797"/>
      <c r="AJ31" s="797"/>
      <c r="AK31" s="797"/>
      <c r="AL31" s="797"/>
      <c r="AM31" s="797"/>
      <c r="AN31" s="797"/>
      <c r="AO31" s="797"/>
      <c r="AP31" s="797"/>
      <c r="AQ31" s="797"/>
      <c r="AR31" s="797"/>
      <c r="AS31" s="797"/>
      <c r="AT31" s="812"/>
      <c r="AU31" s="812"/>
      <c r="AV31" s="812"/>
      <c r="AW31" s="1092"/>
      <c r="AX31" s="812"/>
    </row>
    <row r="32" spans="1:50" ht="12.75" thickTop="1">
      <c r="A32" s="1524">
        <v>23</v>
      </c>
      <c r="B32" s="1106" t="s">
        <v>1440</v>
      </c>
      <c r="C32" s="1124">
        <v>1993.4</v>
      </c>
      <c r="D32" s="1129"/>
      <c r="E32" s="1124"/>
      <c r="F32" s="1129"/>
      <c r="G32" s="1124"/>
      <c r="H32" s="1124"/>
      <c r="I32" s="1679"/>
      <c r="J32" s="1130"/>
      <c r="K32" s="1125"/>
      <c r="L32" s="1124"/>
      <c r="M32" s="1125"/>
      <c r="N32" s="1124"/>
      <c r="O32" s="1127"/>
      <c r="P32" s="1126"/>
      <c r="Q32" s="1127"/>
      <c r="R32" s="1124"/>
      <c r="S32" s="1128"/>
      <c r="T32" s="1129"/>
      <c r="U32" s="1131"/>
      <c r="V32" s="2028"/>
      <c r="W32" s="1129"/>
      <c r="X32" s="1129"/>
      <c r="Y32" s="1040"/>
      <c r="Z32" s="820"/>
      <c r="AA32" s="821"/>
      <c r="AB32" s="821"/>
      <c r="AC32" s="821"/>
      <c r="AD32" s="821"/>
      <c r="AE32" s="821"/>
      <c r="AF32" s="797"/>
      <c r="AG32" s="797"/>
      <c r="AH32" s="797"/>
      <c r="AI32" s="797"/>
      <c r="AJ32" s="797"/>
      <c r="AK32" s="797"/>
      <c r="AL32" s="797"/>
      <c r="AM32" s="797"/>
      <c r="AN32" s="797"/>
      <c r="AO32" s="797"/>
      <c r="AP32" s="797"/>
      <c r="AQ32" s="797"/>
      <c r="AR32" s="797"/>
      <c r="AS32" s="797"/>
      <c r="AT32" s="1094"/>
      <c r="AU32" s="1094"/>
      <c r="AV32" s="1094"/>
      <c r="AW32" s="1094"/>
      <c r="AX32" s="1094"/>
    </row>
    <row r="33" spans="1:50">
      <c r="A33" s="1524">
        <v>24</v>
      </c>
      <c r="B33" s="1141" t="s">
        <v>459</v>
      </c>
      <c r="C33" s="1124"/>
      <c r="D33" s="1129"/>
      <c r="E33" s="1124">
        <v>156</v>
      </c>
      <c r="F33" s="1129"/>
      <c r="H33" s="1124"/>
      <c r="I33" s="1680">
        <v>9.42</v>
      </c>
      <c r="J33" s="1130"/>
      <c r="K33" s="1125">
        <f>+E33*I33</f>
        <v>1469.52</v>
      </c>
      <c r="L33" s="1124"/>
      <c r="M33" s="1125">
        <f>+K33</f>
        <v>1469.52</v>
      </c>
      <c r="N33" s="1124"/>
      <c r="O33" s="1127">
        <f>+E33</f>
        <v>156</v>
      </c>
      <c r="P33" s="1126"/>
      <c r="Q33" s="1127"/>
      <c r="R33" s="1124"/>
      <c r="S33" s="1142">
        <f ca="1">'wp - t-1 COSS'!$F$13</f>
        <v>15.53</v>
      </c>
      <c r="T33" s="1130"/>
      <c r="U33" s="1143">
        <f ca="1">+O33*S33</f>
        <v>2422.6799999999998</v>
      </c>
      <c r="V33" s="2029"/>
      <c r="W33" s="1130"/>
      <c r="X33" s="1130"/>
      <c r="Y33" s="1039"/>
      <c r="Z33" s="820"/>
      <c r="AA33" s="821"/>
      <c r="AB33" s="821"/>
      <c r="AC33" s="821"/>
      <c r="AD33" s="821"/>
      <c r="AE33" s="821"/>
      <c r="AF33" s="797"/>
      <c r="AG33" s="797"/>
      <c r="AH33" s="797"/>
      <c r="AI33" s="797"/>
      <c r="AJ33" s="797"/>
      <c r="AK33" s="797"/>
      <c r="AL33" s="797"/>
      <c r="AM33" s="797"/>
      <c r="AN33" s="797"/>
      <c r="AO33" s="797"/>
      <c r="AP33" s="797"/>
      <c r="AQ33" s="797"/>
      <c r="AR33" s="797"/>
      <c r="AS33" s="797"/>
      <c r="AT33" s="812"/>
      <c r="AU33" s="812"/>
      <c r="AV33" s="812"/>
      <c r="AW33" s="1092"/>
      <c r="AX33" s="812"/>
    </row>
    <row r="34" spans="1:50">
      <c r="A34" s="1524">
        <v>25</v>
      </c>
      <c r="B34" s="1141" t="s">
        <v>513</v>
      </c>
      <c r="C34" s="1124"/>
      <c r="D34" s="1129"/>
      <c r="E34" s="1124"/>
      <c r="F34" s="1129"/>
      <c r="G34" s="1124">
        <v>370.03</v>
      </c>
      <c r="H34" s="1124"/>
      <c r="I34" s="1680">
        <v>3.86</v>
      </c>
      <c r="J34" s="1130"/>
      <c r="K34" s="1127">
        <f>+G34*I34</f>
        <v>1428.3157999999999</v>
      </c>
      <c r="L34" s="1124"/>
      <c r="M34" s="1125">
        <f t="shared" ref="M34:M38" si="8">+K34</f>
        <v>1428.3157999999999</v>
      </c>
      <c r="N34" s="1124"/>
      <c r="O34" s="1127"/>
      <c r="P34" s="1126"/>
      <c r="Q34" s="1127">
        <f>+G34</f>
        <v>370.03</v>
      </c>
      <c r="R34" s="1124"/>
      <c r="S34" s="2114">
        <f ca="1">'wp - t-1 COSS'!$F$31</f>
        <v>3.8170000000000002</v>
      </c>
      <c r="T34" s="1130"/>
      <c r="U34" s="1143">
        <f ca="1">+Q34*S34</f>
        <v>1412.4045099999998</v>
      </c>
      <c r="V34" s="2029"/>
      <c r="W34" s="1130"/>
      <c r="X34" s="1130"/>
      <c r="Y34" s="1039"/>
      <c r="Z34" s="820"/>
      <c r="AA34" s="821"/>
      <c r="AB34" s="821"/>
      <c r="AC34" s="821"/>
      <c r="AD34" s="821"/>
      <c r="AE34" s="821"/>
      <c r="AF34" s="797"/>
      <c r="AG34" s="797"/>
      <c r="AH34" s="797"/>
      <c r="AI34" s="797"/>
      <c r="AJ34" s="797"/>
      <c r="AK34" s="797"/>
      <c r="AL34" s="797"/>
      <c r="AM34" s="797"/>
      <c r="AN34" s="797"/>
      <c r="AO34" s="797"/>
      <c r="AP34" s="797"/>
      <c r="AQ34" s="797"/>
      <c r="AR34" s="797"/>
      <c r="AS34" s="797"/>
      <c r="AT34" s="812"/>
      <c r="AU34" s="812"/>
      <c r="AV34" s="812"/>
      <c r="AW34" s="1092"/>
      <c r="AX34" s="812"/>
    </row>
    <row r="35" spans="1:50">
      <c r="A35" s="1524">
        <v>26</v>
      </c>
      <c r="B35" s="1141" t="s">
        <v>706</v>
      </c>
      <c r="C35" s="1124"/>
      <c r="D35" s="1129"/>
      <c r="E35" s="1124"/>
      <c r="F35" s="1129"/>
      <c r="G35" s="1124">
        <v>298.11799999999999</v>
      </c>
      <c r="H35" s="1124"/>
      <c r="I35" s="1680">
        <v>3.53</v>
      </c>
      <c r="J35" s="1130"/>
      <c r="K35" s="1127">
        <f t="shared" ref="K35:K38" si="9">+G35*I35</f>
        <v>1052.35654</v>
      </c>
      <c r="L35" s="1124"/>
      <c r="M35" s="1125">
        <f t="shared" si="8"/>
        <v>1052.35654</v>
      </c>
      <c r="N35" s="1124"/>
      <c r="O35" s="1127"/>
      <c r="P35" s="1126"/>
      <c r="Q35" s="1127">
        <f t="shared" ref="Q35:Q38" si="10">+G35</f>
        <v>298.11799999999999</v>
      </c>
      <c r="R35" s="1124"/>
      <c r="S35" s="2114">
        <f ca="1">'wp - t-1 COSS'!$F$31</f>
        <v>3.8170000000000002</v>
      </c>
      <c r="T35" s="1130"/>
      <c r="U35" s="1143">
        <f t="shared" ref="U35:U38" ca="1" si="11">+Q35*S35</f>
        <v>1137.9164060000001</v>
      </c>
      <c r="V35" s="2029"/>
      <c r="W35" s="1130"/>
      <c r="X35" s="1130"/>
      <c r="Y35" s="1040"/>
      <c r="Z35" s="820"/>
      <c r="AA35" s="821"/>
      <c r="AB35" s="821"/>
      <c r="AC35" s="821"/>
      <c r="AD35" s="821"/>
      <c r="AE35" s="821"/>
      <c r="AF35" s="797"/>
      <c r="AG35" s="797"/>
      <c r="AH35" s="797"/>
      <c r="AI35" s="797"/>
      <c r="AJ35" s="797"/>
      <c r="AK35" s="797"/>
      <c r="AL35" s="797"/>
      <c r="AM35" s="797"/>
      <c r="AN35" s="797"/>
      <c r="AO35" s="797"/>
      <c r="AP35" s="797"/>
      <c r="AQ35" s="797"/>
      <c r="AR35" s="797"/>
      <c r="AS35" s="797"/>
      <c r="AT35" s="812"/>
      <c r="AU35" s="812"/>
      <c r="AV35" s="812"/>
      <c r="AW35" s="1092"/>
      <c r="AX35" s="812"/>
    </row>
    <row r="36" spans="1:50">
      <c r="A36" s="1524">
        <v>27</v>
      </c>
      <c r="B36" s="1141" t="s">
        <v>707</v>
      </c>
      <c r="C36" s="1124"/>
      <c r="D36" s="1129"/>
      <c r="E36" s="1124"/>
      <c r="F36" s="1129"/>
      <c r="G36" s="1124">
        <v>378.6</v>
      </c>
      <c r="H36" s="1124"/>
      <c r="I36" s="1680">
        <v>3.35</v>
      </c>
      <c r="J36" s="1130"/>
      <c r="K36" s="1127">
        <f t="shared" si="9"/>
        <v>1268.3100000000002</v>
      </c>
      <c r="L36" s="1124"/>
      <c r="M36" s="1125">
        <f t="shared" si="8"/>
        <v>1268.3100000000002</v>
      </c>
      <c r="N36" s="1124"/>
      <c r="O36" s="1127"/>
      <c r="P36" s="1126"/>
      <c r="Q36" s="1127">
        <f t="shared" si="10"/>
        <v>378.6</v>
      </c>
      <c r="R36" s="1124"/>
      <c r="S36" s="2114">
        <f ca="1">'wp - t-1 COSS'!$F$31</f>
        <v>3.8170000000000002</v>
      </c>
      <c r="T36" s="1130"/>
      <c r="U36" s="1143">
        <f t="shared" ca="1" si="11"/>
        <v>1445.1162000000002</v>
      </c>
      <c r="V36" s="2029"/>
      <c r="W36" s="1130"/>
      <c r="X36" s="1130"/>
      <c r="Y36" s="1040"/>
      <c r="Z36" s="820"/>
      <c r="AA36" s="821"/>
      <c r="AB36" s="821"/>
      <c r="AC36" s="821"/>
      <c r="AD36" s="821"/>
      <c r="AE36" s="821"/>
      <c r="AF36" s="797"/>
      <c r="AG36" s="797"/>
      <c r="AH36" s="797"/>
      <c r="AI36" s="797"/>
      <c r="AJ36" s="797"/>
      <c r="AK36" s="797"/>
      <c r="AL36" s="797"/>
      <c r="AM36" s="797"/>
      <c r="AN36" s="797"/>
      <c r="AO36" s="797"/>
      <c r="AP36" s="797"/>
      <c r="AQ36" s="797"/>
      <c r="AR36" s="797"/>
      <c r="AS36" s="797"/>
      <c r="AT36" s="812"/>
      <c r="AU36" s="1094"/>
      <c r="AV36" s="812"/>
      <c r="AW36" s="1092"/>
      <c r="AX36" s="812"/>
    </row>
    <row r="37" spans="1:50">
      <c r="A37" s="1524">
        <v>28</v>
      </c>
      <c r="B37" s="1141" t="s">
        <v>708</v>
      </c>
      <c r="C37" s="1124"/>
      <c r="D37" s="1129"/>
      <c r="E37" s="1124"/>
      <c r="F37" s="1129"/>
      <c r="G37" s="1124">
        <v>578.9</v>
      </c>
      <c r="H37" s="1124"/>
      <c r="I37" s="1680">
        <v>3.01</v>
      </c>
      <c r="J37" s="1130"/>
      <c r="K37" s="1127">
        <f t="shared" si="9"/>
        <v>1742.4889999999998</v>
      </c>
      <c r="L37" s="1124"/>
      <c r="M37" s="1125">
        <f t="shared" si="8"/>
        <v>1742.4889999999998</v>
      </c>
      <c r="N37" s="1124"/>
      <c r="O37" s="1127"/>
      <c r="P37" s="1126"/>
      <c r="Q37" s="1127">
        <f t="shared" si="10"/>
        <v>578.9</v>
      </c>
      <c r="R37" s="1124"/>
      <c r="S37" s="2114">
        <f ca="1">'wp - t-1 COSS'!$F$31</f>
        <v>3.8170000000000002</v>
      </c>
      <c r="T37" s="1130"/>
      <c r="U37" s="1143">
        <f t="shared" ca="1" si="11"/>
        <v>2209.6613000000002</v>
      </c>
      <c r="V37" s="2029"/>
      <c r="W37" s="1130"/>
      <c r="X37" s="1130"/>
      <c r="Y37" s="1040"/>
      <c r="Z37" s="820"/>
      <c r="AA37" s="821"/>
      <c r="AB37" s="821"/>
      <c r="AC37" s="821"/>
      <c r="AD37" s="821"/>
      <c r="AE37" s="797"/>
      <c r="AF37" s="797"/>
      <c r="AG37" s="797"/>
      <c r="AH37" s="797"/>
      <c r="AI37" s="797"/>
      <c r="AJ37" s="797"/>
      <c r="AK37" s="797"/>
      <c r="AL37" s="797"/>
      <c r="AM37" s="797"/>
      <c r="AN37" s="797"/>
      <c r="AO37" s="797"/>
      <c r="AP37" s="797"/>
      <c r="AQ37" s="797"/>
      <c r="AR37" s="797"/>
      <c r="AS37" s="797"/>
      <c r="AT37" s="812"/>
      <c r="AU37" s="1094"/>
      <c r="AV37" s="812"/>
      <c r="AW37" s="1092"/>
      <c r="AX37" s="812"/>
    </row>
    <row r="38" spans="1:50">
      <c r="A38" s="1524">
        <v>29</v>
      </c>
      <c r="B38" s="1141" t="s">
        <v>711</v>
      </c>
      <c r="C38" s="1124"/>
      <c r="D38" s="1129"/>
      <c r="E38" s="1124"/>
      <c r="F38" s="1129"/>
      <c r="G38" s="1124">
        <v>260.10000000000002</v>
      </c>
      <c r="H38" s="1124"/>
      <c r="I38" s="1680">
        <v>2.76</v>
      </c>
      <c r="J38" s="1130"/>
      <c r="K38" s="1127">
        <f t="shared" si="9"/>
        <v>717.87599999999998</v>
      </c>
      <c r="L38" s="1124"/>
      <c r="M38" s="1125">
        <f t="shared" si="8"/>
        <v>717.87599999999998</v>
      </c>
      <c r="N38" s="1124"/>
      <c r="O38" s="1127"/>
      <c r="P38" s="1126"/>
      <c r="Q38" s="1127">
        <f t="shared" si="10"/>
        <v>260.10000000000002</v>
      </c>
      <c r="R38" s="1124"/>
      <c r="S38" s="2114">
        <f ca="1">'wp - t-1 COSS'!$F$31</f>
        <v>3.8170000000000002</v>
      </c>
      <c r="T38" s="1130"/>
      <c r="U38" s="1143">
        <f t="shared" ca="1" si="11"/>
        <v>992.8017000000001</v>
      </c>
      <c r="V38" s="2029"/>
      <c r="W38" s="1130"/>
      <c r="X38" s="1130"/>
      <c r="Y38" s="1040"/>
      <c r="Z38" s="820"/>
      <c r="AA38" s="821"/>
      <c r="AB38" s="821"/>
      <c r="AC38" s="821"/>
      <c r="AD38" s="821"/>
      <c r="AE38" s="797"/>
      <c r="AF38" s="797"/>
      <c r="AG38" s="797"/>
      <c r="AH38" s="797"/>
      <c r="AI38" s="797"/>
      <c r="AJ38" s="797"/>
      <c r="AK38" s="797"/>
      <c r="AL38" s="797"/>
      <c r="AM38" s="797"/>
      <c r="AN38" s="797"/>
      <c r="AO38" s="797"/>
      <c r="AP38" s="797"/>
      <c r="AQ38" s="797"/>
      <c r="AR38" s="797"/>
      <c r="AS38" s="797"/>
      <c r="AT38" s="812"/>
      <c r="AU38" s="1094"/>
      <c r="AV38" s="812"/>
      <c r="AW38" s="1092"/>
      <c r="AX38" s="812"/>
    </row>
    <row r="39" spans="1:50" s="1110" customFormat="1" ht="12.75" thickBot="1">
      <c r="A39" s="1524">
        <v>30</v>
      </c>
      <c r="B39" s="1109" t="s">
        <v>1439</v>
      </c>
      <c r="C39" s="1145">
        <f>SUM(C32:C38)</f>
        <v>1993.4</v>
      </c>
      <c r="D39" s="1135"/>
      <c r="E39" s="1145">
        <f>SUM(E32:E38)</f>
        <v>156</v>
      </c>
      <c r="F39" s="1135"/>
      <c r="G39" s="1145">
        <f>SUM(G32:G38)</f>
        <v>1885.748</v>
      </c>
      <c r="H39" s="1096"/>
      <c r="I39" s="1678"/>
      <c r="J39" s="1097"/>
      <c r="K39" s="1136">
        <f>SUM(K32:K38)</f>
        <v>7678.8673399999998</v>
      </c>
      <c r="L39" s="1096"/>
      <c r="M39" s="1136">
        <f>SUM(M32:M38)</f>
        <v>7678.8673399999998</v>
      </c>
      <c r="N39" s="1096"/>
      <c r="O39" s="1145">
        <f>SUM(O32:O38)</f>
        <v>156</v>
      </c>
      <c r="P39" s="1099"/>
      <c r="Q39" s="1145">
        <f>SUM(Q32:Q38)</f>
        <v>1885.748</v>
      </c>
      <c r="R39" s="1096"/>
      <c r="S39" s="1128"/>
      <c r="T39" s="1135"/>
      <c r="U39" s="1136">
        <f ca="1">SUM(U32:U38)</f>
        <v>9620.580116000001</v>
      </c>
      <c r="V39" s="2030"/>
      <c r="W39" s="1135"/>
      <c r="X39" s="1135"/>
      <c r="Y39" s="941"/>
      <c r="Z39" s="831"/>
      <c r="AA39" s="832"/>
      <c r="AB39" s="832"/>
      <c r="AC39" s="832"/>
      <c r="AD39" s="832"/>
      <c r="AE39" s="832"/>
      <c r="AF39" s="832" t="s">
        <v>425</v>
      </c>
      <c r="AG39" s="1103"/>
      <c r="AH39" s="1097"/>
      <c r="AI39" s="1135"/>
      <c r="AJ39" s="1135"/>
      <c r="AK39" s="1135"/>
      <c r="AL39" s="1097"/>
      <c r="AM39" s="833"/>
      <c r="AN39" s="1097"/>
      <c r="AO39" s="833"/>
      <c r="AP39" s="1097"/>
      <c r="AQ39" s="833"/>
      <c r="AR39" s="1097"/>
      <c r="AS39" s="833"/>
      <c r="AT39" s="834"/>
      <c r="AU39" s="834"/>
      <c r="AV39" s="834"/>
      <c r="AW39" s="834"/>
      <c r="AX39" s="834"/>
    </row>
    <row r="40" spans="1:50" ht="12.75" thickTop="1">
      <c r="A40" s="1524">
        <v>31</v>
      </c>
      <c r="B40" s="1109"/>
      <c r="C40" s="1132"/>
      <c r="D40" s="1133"/>
      <c r="E40" s="1132"/>
      <c r="F40" s="1129"/>
      <c r="G40" s="1124"/>
      <c r="H40" s="1124"/>
      <c r="I40" s="1679"/>
      <c r="J40" s="1130"/>
      <c r="K40" s="1125"/>
      <c r="L40" s="1124"/>
      <c r="M40" s="1125"/>
      <c r="N40" s="1124"/>
      <c r="O40" s="1127"/>
      <c r="P40" s="1126"/>
      <c r="Q40" s="1127"/>
      <c r="R40" s="1124"/>
      <c r="S40" s="1128"/>
      <c r="T40" s="1130"/>
      <c r="U40" s="1093"/>
      <c r="V40" s="2031"/>
      <c r="W40" s="1130"/>
      <c r="X40" s="1130"/>
      <c r="Y40" s="1039"/>
      <c r="Z40" s="820"/>
      <c r="AA40" s="821"/>
      <c r="AB40" s="821"/>
      <c r="AC40" s="821"/>
      <c r="AD40" s="821"/>
      <c r="AE40" s="821"/>
      <c r="AF40" s="797"/>
      <c r="AG40" s="797"/>
      <c r="AH40" s="797"/>
      <c r="AI40" s="797"/>
      <c r="AJ40" s="797"/>
      <c r="AK40" s="797"/>
      <c r="AL40" s="797"/>
      <c r="AM40" s="797"/>
      <c r="AN40" s="797"/>
      <c r="AO40" s="797"/>
      <c r="AP40" s="797"/>
      <c r="AQ40" s="797"/>
      <c r="AR40" s="797"/>
      <c r="AS40" s="797"/>
      <c r="AT40" s="812"/>
      <c r="AU40" s="812"/>
      <c r="AV40" s="812"/>
      <c r="AW40" s="1092"/>
      <c r="AX40" s="812"/>
    </row>
    <row r="41" spans="1:50" ht="12.75" thickBot="1">
      <c r="A41" s="1524">
        <v>32</v>
      </c>
      <c r="B41" s="1111" t="s">
        <v>1438</v>
      </c>
      <c r="C41" s="1132"/>
      <c r="D41" s="1133"/>
      <c r="E41" s="1132"/>
      <c r="F41" s="1129"/>
      <c r="G41" s="1124"/>
      <c r="H41" s="1124"/>
      <c r="I41" s="1679"/>
      <c r="J41" s="1130"/>
      <c r="K41" s="1125"/>
      <c r="L41" s="1124"/>
      <c r="M41" s="1138">
        <f>+M39/$E39</f>
        <v>49.223508589743588</v>
      </c>
      <c r="N41" s="1124"/>
      <c r="O41" s="1127"/>
      <c r="P41" s="1126"/>
      <c r="Q41" s="1127"/>
      <c r="R41" s="1124"/>
      <c r="S41" s="1128"/>
      <c r="T41" s="1130"/>
      <c r="U41" s="1138">
        <f ca="1">+U39/$E39</f>
        <v>61.670385358974364</v>
      </c>
      <c r="V41" s="2032"/>
      <c r="W41" s="1130">
        <f ca="1">+U41-M41</f>
        <v>12.446876769230776</v>
      </c>
      <c r="X41" s="1130">
        <f ca="1">W41/M41</f>
        <v>0.25286447727588968</v>
      </c>
      <c r="Y41" s="1039"/>
      <c r="Z41" s="820"/>
      <c r="AA41" s="821"/>
      <c r="AB41" s="821"/>
      <c r="AC41" s="821"/>
      <c r="AD41" s="821"/>
      <c r="AE41" s="821"/>
      <c r="AF41" s="797"/>
      <c r="AG41" s="797"/>
      <c r="AH41" s="797"/>
      <c r="AI41" s="797"/>
      <c r="AJ41" s="797"/>
      <c r="AK41" s="797"/>
      <c r="AL41" s="797"/>
      <c r="AM41" s="797"/>
      <c r="AN41" s="797"/>
      <c r="AO41" s="797"/>
      <c r="AP41" s="797"/>
      <c r="AQ41" s="797"/>
      <c r="AR41" s="797"/>
      <c r="AS41" s="797"/>
      <c r="AT41" s="812"/>
      <c r="AU41" s="812"/>
      <c r="AV41" s="812"/>
      <c r="AW41" s="1092"/>
      <c r="AX41" s="812"/>
    </row>
    <row r="42" spans="1:50" ht="12.75" thickTop="1">
      <c r="A42" s="1524">
        <v>33</v>
      </c>
      <c r="B42" s="1106" t="s">
        <v>1437</v>
      </c>
      <c r="C42" s="1124">
        <v>655.48</v>
      </c>
      <c r="D42" s="1129"/>
      <c r="E42" s="1124"/>
      <c r="F42" s="1129"/>
      <c r="G42" s="1124"/>
      <c r="H42" s="1124"/>
      <c r="I42" s="1679"/>
      <c r="J42" s="1130"/>
      <c r="K42" s="1125"/>
      <c r="L42" s="1124"/>
      <c r="M42" s="1125"/>
      <c r="N42" s="1124"/>
      <c r="O42" s="1127"/>
      <c r="P42" s="1126"/>
      <c r="Q42" s="1127"/>
      <c r="R42" s="1124"/>
      <c r="S42" s="1128"/>
      <c r="T42" s="1129"/>
      <c r="U42" s="1131"/>
      <c r="V42" s="2028"/>
      <c r="W42" s="1129"/>
      <c r="X42" s="1129"/>
      <c r="Y42" s="1040"/>
      <c r="Z42" s="820"/>
      <c r="AA42" s="821"/>
      <c r="AB42" s="821"/>
      <c r="AC42" s="821"/>
      <c r="AD42" s="821"/>
      <c r="AE42" s="821"/>
      <c r="AF42" s="797"/>
      <c r="AG42" s="797"/>
      <c r="AH42" s="797"/>
      <c r="AI42" s="797"/>
      <c r="AJ42" s="797"/>
      <c r="AK42" s="797"/>
      <c r="AL42" s="797"/>
      <c r="AM42" s="797"/>
      <c r="AN42" s="797"/>
      <c r="AO42" s="797"/>
      <c r="AP42" s="797"/>
      <c r="AQ42" s="797"/>
      <c r="AR42" s="797"/>
      <c r="AS42" s="797"/>
      <c r="AT42" s="1094"/>
      <c r="AU42" s="1094"/>
      <c r="AV42" s="1094"/>
      <c r="AW42" s="1094"/>
      <c r="AX42" s="1094"/>
    </row>
    <row r="43" spans="1:50">
      <c r="A43" s="1524">
        <v>34</v>
      </c>
      <c r="B43" s="1141" t="s">
        <v>459</v>
      </c>
      <c r="C43" s="1124"/>
      <c r="D43" s="1129"/>
      <c r="E43" s="1124">
        <v>95</v>
      </c>
      <c r="F43" s="1129"/>
      <c r="H43" s="1124"/>
      <c r="I43" s="1680">
        <v>9.42</v>
      </c>
      <c r="J43" s="1130"/>
      <c r="K43" s="1125">
        <f>+E43*I43</f>
        <v>894.9</v>
      </c>
      <c r="L43" s="1124"/>
      <c r="M43" s="1125">
        <f>+K43</f>
        <v>894.9</v>
      </c>
      <c r="N43" s="1124"/>
      <c r="O43" s="1127">
        <f>+E43</f>
        <v>95</v>
      </c>
      <c r="P43" s="1126"/>
      <c r="Q43" s="1127"/>
      <c r="R43" s="1124"/>
      <c r="S43" s="1142">
        <f ca="1">'wp - t-1 COSS'!$F$13</f>
        <v>15.53</v>
      </c>
      <c r="T43" s="1130"/>
      <c r="U43" s="1143">
        <f ca="1">+O43*S43</f>
        <v>1475.35</v>
      </c>
      <c r="V43" s="2029"/>
      <c r="W43" s="1130"/>
      <c r="X43" s="1130"/>
      <c r="Y43" s="1039"/>
      <c r="Z43" s="820"/>
      <c r="AA43" s="821"/>
      <c r="AB43" s="821"/>
      <c r="AC43" s="821"/>
      <c r="AD43" s="821"/>
      <c r="AE43" s="821"/>
      <c r="AF43" s="797"/>
      <c r="AG43" s="797"/>
      <c r="AH43" s="797"/>
      <c r="AI43" s="797"/>
      <c r="AJ43" s="797"/>
      <c r="AK43" s="797"/>
      <c r="AL43" s="797"/>
      <c r="AM43" s="797"/>
      <c r="AN43" s="797"/>
      <c r="AO43" s="797"/>
      <c r="AP43" s="797"/>
      <c r="AQ43" s="797"/>
      <c r="AR43" s="797"/>
      <c r="AS43" s="797"/>
      <c r="AT43" s="812"/>
      <c r="AU43" s="812"/>
      <c r="AV43" s="812"/>
      <c r="AW43" s="1092"/>
      <c r="AX43" s="812"/>
    </row>
    <row r="44" spans="1:50">
      <c r="A44" s="1524">
        <v>35</v>
      </c>
      <c r="B44" s="1141" t="s">
        <v>513</v>
      </c>
      <c r="C44" s="1124"/>
      <c r="D44" s="1129"/>
      <c r="E44" s="1124"/>
      <c r="F44" s="1129"/>
      <c r="G44" s="1124">
        <v>301.44299999999998</v>
      </c>
      <c r="H44" s="1124"/>
      <c r="I44" s="1680">
        <v>3.86</v>
      </c>
      <c r="J44" s="1130"/>
      <c r="K44" s="1127">
        <f>+G44*I44</f>
        <v>1163.56998</v>
      </c>
      <c r="L44" s="1124"/>
      <c r="M44" s="1125">
        <f t="shared" ref="M44:M48" si="12">+K44</f>
        <v>1163.56998</v>
      </c>
      <c r="N44" s="1124"/>
      <c r="O44" s="1127"/>
      <c r="P44" s="1126"/>
      <c r="Q44" s="1127">
        <f>+G44</f>
        <v>301.44299999999998</v>
      </c>
      <c r="R44" s="1124"/>
      <c r="S44" s="2114">
        <f ca="1">'wp - t-1 COSS'!$F$31</f>
        <v>3.8170000000000002</v>
      </c>
      <c r="T44" s="1130"/>
      <c r="U44" s="1143">
        <f ca="1">+Q44*S44</f>
        <v>1150.607931</v>
      </c>
      <c r="V44" s="2029"/>
      <c r="W44" s="1130"/>
      <c r="X44" s="1130"/>
      <c r="Y44" s="1039"/>
      <c r="Z44" s="820"/>
      <c r="AA44" s="821"/>
      <c r="AB44" s="821"/>
      <c r="AC44" s="821"/>
      <c r="AD44" s="821"/>
      <c r="AE44" s="821"/>
      <c r="AF44" s="797"/>
      <c r="AG44" s="797"/>
      <c r="AH44" s="797"/>
      <c r="AI44" s="797"/>
      <c r="AJ44" s="797"/>
      <c r="AK44" s="797"/>
      <c r="AL44" s="797"/>
      <c r="AM44" s="797"/>
      <c r="AN44" s="797"/>
      <c r="AO44" s="797"/>
      <c r="AP44" s="797"/>
      <c r="AQ44" s="797"/>
      <c r="AR44" s="797"/>
      <c r="AS44" s="797"/>
      <c r="AT44" s="812"/>
      <c r="AU44" s="812"/>
      <c r="AV44" s="812"/>
      <c r="AW44" s="1092"/>
      <c r="AX44" s="812"/>
    </row>
    <row r="45" spans="1:50">
      <c r="A45" s="1524">
        <v>36</v>
      </c>
      <c r="B45" s="1141" t="s">
        <v>706</v>
      </c>
      <c r="C45" s="1124"/>
      <c r="D45" s="1129"/>
      <c r="E45" s="1124"/>
      <c r="F45" s="1129"/>
      <c r="G45" s="1124">
        <v>220.88</v>
      </c>
      <c r="H45" s="1124"/>
      <c r="I45" s="1680">
        <v>3.53</v>
      </c>
      <c r="J45" s="1130"/>
      <c r="K45" s="1127">
        <f t="shared" ref="K45:K48" si="13">+G45*I45</f>
        <v>779.70639999999992</v>
      </c>
      <c r="L45" s="1124"/>
      <c r="M45" s="1125">
        <f t="shared" si="12"/>
        <v>779.70639999999992</v>
      </c>
      <c r="N45" s="1124"/>
      <c r="O45" s="1127"/>
      <c r="P45" s="1126"/>
      <c r="Q45" s="1127">
        <f t="shared" ref="Q45:Q48" si="14">+G45</f>
        <v>220.88</v>
      </c>
      <c r="R45" s="1124"/>
      <c r="S45" s="2114">
        <f ca="1">'wp - t-1 COSS'!$F$31</f>
        <v>3.8170000000000002</v>
      </c>
      <c r="T45" s="1130"/>
      <c r="U45" s="1143">
        <f t="shared" ref="U45:U48" ca="1" si="15">+Q45*S45</f>
        <v>843.09896000000003</v>
      </c>
      <c r="V45" s="2029"/>
      <c r="W45" s="1130"/>
      <c r="X45" s="1130"/>
      <c r="Y45" s="1040"/>
      <c r="Z45" s="820"/>
      <c r="AA45" s="821"/>
      <c r="AB45" s="821"/>
      <c r="AC45" s="821"/>
      <c r="AD45" s="821"/>
      <c r="AE45" s="821"/>
      <c r="AF45" s="797"/>
      <c r="AG45" s="797"/>
      <c r="AH45" s="797"/>
      <c r="AI45" s="797"/>
      <c r="AJ45" s="797"/>
      <c r="AK45" s="797"/>
      <c r="AL45" s="797"/>
      <c r="AM45" s="797"/>
      <c r="AN45" s="797"/>
      <c r="AO45" s="797"/>
      <c r="AP45" s="797"/>
      <c r="AQ45" s="797"/>
      <c r="AR45" s="797"/>
      <c r="AS45" s="797"/>
      <c r="AT45" s="812"/>
      <c r="AU45" s="812"/>
      <c r="AV45" s="812"/>
      <c r="AW45" s="1092"/>
      <c r="AX45" s="812"/>
    </row>
    <row r="46" spans="1:50">
      <c r="A46" s="1524">
        <v>37</v>
      </c>
      <c r="B46" s="1141" t="s">
        <v>707</v>
      </c>
      <c r="C46" s="1124"/>
      <c r="D46" s="1129"/>
      <c r="E46" s="1124"/>
      <c r="F46" s="1129"/>
      <c r="G46" s="1124">
        <v>38.667000000000002</v>
      </c>
      <c r="H46" s="1124"/>
      <c r="I46" s="1680">
        <v>3.35</v>
      </c>
      <c r="J46" s="1130"/>
      <c r="K46" s="1127">
        <f t="shared" si="13"/>
        <v>129.53445000000002</v>
      </c>
      <c r="L46" s="1124"/>
      <c r="M46" s="1125">
        <f t="shared" si="12"/>
        <v>129.53445000000002</v>
      </c>
      <c r="N46" s="1124"/>
      <c r="O46" s="1127"/>
      <c r="P46" s="1126"/>
      <c r="Q46" s="1127">
        <f t="shared" si="14"/>
        <v>38.667000000000002</v>
      </c>
      <c r="R46" s="1124"/>
      <c r="S46" s="2114">
        <f ca="1">'wp - t-1 COSS'!$F$31</f>
        <v>3.8170000000000002</v>
      </c>
      <c r="T46" s="1130"/>
      <c r="U46" s="1143">
        <f t="shared" ca="1" si="15"/>
        <v>147.59193900000002</v>
      </c>
      <c r="V46" s="2029"/>
      <c r="W46" s="1130"/>
      <c r="X46" s="1130"/>
      <c r="Y46" s="1040"/>
      <c r="Z46" s="820"/>
      <c r="AA46" s="821"/>
      <c r="AB46" s="821"/>
      <c r="AC46" s="821"/>
      <c r="AD46" s="821"/>
      <c r="AE46" s="821"/>
      <c r="AF46" s="797"/>
      <c r="AG46" s="797"/>
      <c r="AH46" s="797"/>
      <c r="AI46" s="797"/>
      <c r="AJ46" s="797"/>
      <c r="AK46" s="797"/>
      <c r="AL46" s="797"/>
      <c r="AM46" s="797"/>
      <c r="AN46" s="797"/>
      <c r="AO46" s="797"/>
      <c r="AP46" s="797"/>
      <c r="AQ46" s="797"/>
      <c r="AR46" s="797"/>
      <c r="AS46" s="797"/>
      <c r="AT46" s="812"/>
      <c r="AU46" s="1094"/>
      <c r="AV46" s="812"/>
      <c r="AW46" s="1092"/>
      <c r="AX46" s="812"/>
    </row>
    <row r="47" spans="1:50">
      <c r="A47" s="1524">
        <v>38</v>
      </c>
      <c r="B47" s="1141" t="s">
        <v>708</v>
      </c>
      <c r="C47" s="1124"/>
      <c r="D47" s="1129"/>
      <c r="E47" s="1124"/>
      <c r="F47" s="1129"/>
      <c r="G47" s="1124">
        <v>13.2</v>
      </c>
      <c r="H47" s="1124"/>
      <c r="I47" s="1680">
        <v>3.01</v>
      </c>
      <c r="J47" s="1130"/>
      <c r="K47" s="1127">
        <f t="shared" si="13"/>
        <v>39.731999999999992</v>
      </c>
      <c r="L47" s="1124"/>
      <c r="M47" s="1125">
        <f t="shared" si="12"/>
        <v>39.731999999999992</v>
      </c>
      <c r="N47" s="1124"/>
      <c r="O47" s="1127"/>
      <c r="P47" s="1126"/>
      <c r="Q47" s="1127">
        <f t="shared" si="14"/>
        <v>13.2</v>
      </c>
      <c r="R47" s="1124"/>
      <c r="S47" s="2114">
        <f ca="1">'wp - t-1 COSS'!$F$31</f>
        <v>3.8170000000000002</v>
      </c>
      <c r="T47" s="1130"/>
      <c r="U47" s="1143">
        <f t="shared" ca="1" si="15"/>
        <v>50.384399999999999</v>
      </c>
      <c r="V47" s="2029"/>
      <c r="W47" s="1130"/>
      <c r="X47" s="1130"/>
      <c r="Y47" s="1040"/>
      <c r="Z47" s="820"/>
      <c r="AA47" s="821"/>
      <c r="AB47" s="821"/>
      <c r="AC47" s="821"/>
      <c r="AD47" s="821"/>
      <c r="AE47" s="797"/>
      <c r="AF47" s="797"/>
      <c r="AG47" s="797"/>
      <c r="AH47" s="797"/>
      <c r="AI47" s="797"/>
      <c r="AJ47" s="797"/>
      <c r="AK47" s="797"/>
      <c r="AL47" s="797"/>
      <c r="AM47" s="797"/>
      <c r="AN47" s="797"/>
      <c r="AO47" s="797"/>
      <c r="AP47" s="797"/>
      <c r="AQ47" s="797"/>
      <c r="AR47" s="797"/>
      <c r="AS47" s="797"/>
      <c r="AT47" s="812"/>
      <c r="AU47" s="1094"/>
      <c r="AV47" s="812"/>
      <c r="AW47" s="1092"/>
      <c r="AX47" s="812"/>
    </row>
    <row r="48" spans="1:50">
      <c r="A48" s="1524">
        <v>39</v>
      </c>
      <c r="B48" s="1141" t="s">
        <v>711</v>
      </c>
      <c r="C48" s="1124"/>
      <c r="D48" s="1129"/>
      <c r="E48" s="1124"/>
      <c r="F48" s="1129"/>
      <c r="G48" s="1124">
        <v>0</v>
      </c>
      <c r="H48" s="1124"/>
      <c r="I48" s="1680">
        <v>2.76</v>
      </c>
      <c r="J48" s="1130"/>
      <c r="K48" s="1127">
        <f t="shared" si="13"/>
        <v>0</v>
      </c>
      <c r="L48" s="1124"/>
      <c r="M48" s="1125">
        <f t="shared" si="12"/>
        <v>0</v>
      </c>
      <c r="N48" s="1124"/>
      <c r="O48" s="1127"/>
      <c r="P48" s="1126"/>
      <c r="Q48" s="1127">
        <f t="shared" si="14"/>
        <v>0</v>
      </c>
      <c r="R48" s="1124"/>
      <c r="S48" s="2114">
        <f ca="1">'wp - t-1 COSS'!$F$31</f>
        <v>3.8170000000000002</v>
      </c>
      <c r="T48" s="1130"/>
      <c r="U48" s="1143">
        <f t="shared" ca="1" si="15"/>
        <v>0</v>
      </c>
      <c r="V48" s="2029"/>
      <c r="W48" s="1130"/>
      <c r="X48" s="1130"/>
      <c r="Y48" s="1040"/>
      <c r="Z48" s="820"/>
      <c r="AA48" s="821"/>
      <c r="AB48" s="821"/>
      <c r="AC48" s="821"/>
      <c r="AD48" s="821"/>
      <c r="AE48" s="797"/>
      <c r="AF48" s="797"/>
      <c r="AG48" s="797"/>
      <c r="AH48" s="797"/>
      <c r="AI48" s="797"/>
      <c r="AJ48" s="797"/>
      <c r="AK48" s="797"/>
      <c r="AL48" s="797"/>
      <c r="AM48" s="797"/>
      <c r="AN48" s="797"/>
      <c r="AO48" s="797"/>
      <c r="AP48" s="797"/>
      <c r="AQ48" s="797"/>
      <c r="AR48" s="797"/>
      <c r="AS48" s="797"/>
      <c r="AT48" s="812"/>
      <c r="AU48" s="1094"/>
      <c r="AV48" s="812"/>
      <c r="AW48" s="1092"/>
      <c r="AX48" s="812"/>
    </row>
    <row r="49" spans="1:50" s="1110" customFormat="1" ht="12.75" thickBot="1">
      <c r="A49" s="1524">
        <v>40</v>
      </c>
      <c r="B49" s="1109" t="s">
        <v>1436</v>
      </c>
      <c r="C49" s="1145">
        <f>SUM(C42:C48)</f>
        <v>655.48</v>
      </c>
      <c r="D49" s="1135"/>
      <c r="E49" s="1145">
        <f>SUM(E42:E48)</f>
        <v>95</v>
      </c>
      <c r="F49" s="1135"/>
      <c r="G49" s="1145">
        <f>SUM(G42:G48)</f>
        <v>574.19000000000005</v>
      </c>
      <c r="H49" s="1096"/>
      <c r="I49" s="1678"/>
      <c r="J49" s="1097"/>
      <c r="K49" s="1136">
        <f>SUM(K42:K48)</f>
        <v>3007.44283</v>
      </c>
      <c r="L49" s="1096"/>
      <c r="M49" s="1136">
        <f>SUM(M42:M48)</f>
        <v>3007.44283</v>
      </c>
      <c r="N49" s="1096"/>
      <c r="O49" s="1145">
        <f>SUM(O42:O48)</f>
        <v>95</v>
      </c>
      <c r="P49" s="1099"/>
      <c r="Q49" s="1145">
        <f>SUM(Q42:Q48)</f>
        <v>574.19000000000005</v>
      </c>
      <c r="R49" s="1096"/>
      <c r="S49" s="1128"/>
      <c r="T49" s="1135"/>
      <c r="U49" s="1136">
        <f ca="1">SUM(U42:U48)</f>
        <v>3667.03323</v>
      </c>
      <c r="V49" s="2030"/>
      <c r="W49" s="1135"/>
      <c r="X49" s="1135"/>
      <c r="Y49" s="941"/>
      <c r="Z49" s="831"/>
      <c r="AA49" s="832"/>
      <c r="AB49" s="832"/>
      <c r="AC49" s="832"/>
      <c r="AD49" s="832"/>
      <c r="AE49" s="832"/>
      <c r="AF49" s="832" t="s">
        <v>425</v>
      </c>
      <c r="AG49" s="1103"/>
      <c r="AH49" s="1097"/>
      <c r="AI49" s="1135"/>
      <c r="AJ49" s="1135"/>
      <c r="AK49" s="1135"/>
      <c r="AL49" s="1097"/>
      <c r="AM49" s="833"/>
      <c r="AN49" s="1097"/>
      <c r="AO49" s="833"/>
      <c r="AP49" s="1097"/>
      <c r="AQ49" s="833"/>
      <c r="AR49" s="1097"/>
      <c r="AS49" s="833"/>
      <c r="AT49" s="834"/>
      <c r="AU49" s="834"/>
      <c r="AV49" s="834"/>
      <c r="AW49" s="834"/>
      <c r="AX49" s="834"/>
    </row>
    <row r="50" spans="1:50" ht="12.75" thickTop="1">
      <c r="A50" s="1524">
        <v>41</v>
      </c>
      <c r="B50" s="1109"/>
      <c r="C50" s="1132"/>
      <c r="D50" s="1133"/>
      <c r="E50" s="1132"/>
      <c r="F50" s="1129"/>
      <c r="G50" s="1124"/>
      <c r="H50" s="1124"/>
      <c r="I50" s="1679"/>
      <c r="J50" s="1130"/>
      <c r="K50" s="1125"/>
      <c r="L50" s="1124"/>
      <c r="M50" s="1125"/>
      <c r="N50" s="1124"/>
      <c r="O50" s="1127"/>
      <c r="P50" s="1126"/>
      <c r="Q50" s="1127"/>
      <c r="R50" s="1124"/>
      <c r="S50" s="1128"/>
      <c r="T50" s="1130"/>
      <c r="U50" s="1093"/>
      <c r="V50" s="2031"/>
      <c r="W50" s="1130"/>
      <c r="X50" s="1130"/>
      <c r="Y50" s="1039"/>
      <c r="Z50" s="820"/>
      <c r="AA50" s="821"/>
      <c r="AB50" s="821"/>
      <c r="AC50" s="821"/>
      <c r="AD50" s="821"/>
      <c r="AE50" s="821"/>
      <c r="AF50" s="797"/>
      <c r="AG50" s="797"/>
      <c r="AH50" s="797"/>
      <c r="AI50" s="797"/>
      <c r="AJ50" s="797"/>
      <c r="AK50" s="797"/>
      <c r="AL50" s="797"/>
      <c r="AM50" s="797"/>
      <c r="AN50" s="797"/>
      <c r="AO50" s="797"/>
      <c r="AP50" s="797"/>
      <c r="AQ50" s="797"/>
      <c r="AR50" s="797"/>
      <c r="AS50" s="797"/>
      <c r="AT50" s="812"/>
      <c r="AU50" s="812"/>
      <c r="AV50" s="812"/>
      <c r="AW50" s="1092"/>
      <c r="AX50" s="812"/>
    </row>
    <row r="51" spans="1:50" ht="12.75" thickBot="1">
      <c r="A51" s="1524">
        <v>42</v>
      </c>
      <c r="B51" s="1111" t="s">
        <v>1435</v>
      </c>
      <c r="C51" s="1132"/>
      <c r="D51" s="1133"/>
      <c r="E51" s="1132"/>
      <c r="F51" s="1129"/>
      <c r="G51" s="1124"/>
      <c r="H51" s="1124"/>
      <c r="I51" s="1679"/>
      <c r="J51" s="1130"/>
      <c r="K51" s="1125"/>
      <c r="L51" s="1124"/>
      <c r="M51" s="1138">
        <f>+M49/$E49</f>
        <v>31.657292947368422</v>
      </c>
      <c r="N51" s="1124"/>
      <c r="O51" s="1127"/>
      <c r="P51" s="1126"/>
      <c r="Q51" s="1127"/>
      <c r="R51" s="1124"/>
      <c r="S51" s="1128"/>
      <c r="T51" s="1130"/>
      <c r="U51" s="1138">
        <f ca="1">+U49/$E49</f>
        <v>38.600349789473682</v>
      </c>
      <c r="V51" s="2032"/>
      <c r="W51" s="1130">
        <f ca="1">+U51-M51</f>
        <v>6.9430568421052605</v>
      </c>
      <c r="X51" s="1130">
        <f ca="1">W51/M51</f>
        <v>0.21931934779288881</v>
      </c>
      <c r="Y51" s="1039"/>
      <c r="Z51" s="820"/>
      <c r="AA51" s="821"/>
      <c r="AB51" s="821"/>
      <c r="AC51" s="821"/>
      <c r="AD51" s="821"/>
      <c r="AE51" s="821"/>
      <c r="AF51" s="797"/>
      <c r="AG51" s="797"/>
      <c r="AH51" s="797"/>
      <c r="AI51" s="797"/>
      <c r="AJ51" s="797"/>
      <c r="AK51" s="797"/>
      <c r="AL51" s="797"/>
      <c r="AM51" s="797"/>
      <c r="AN51" s="797"/>
      <c r="AO51" s="797"/>
      <c r="AP51" s="797"/>
      <c r="AQ51" s="797"/>
      <c r="AR51" s="797"/>
      <c r="AS51" s="797"/>
      <c r="AT51" s="812"/>
      <c r="AU51" s="812"/>
      <c r="AV51" s="812"/>
      <c r="AW51" s="1092"/>
      <c r="AX51" s="812"/>
    </row>
    <row r="52" spans="1:50" ht="12.75" thickTop="1">
      <c r="A52" s="1524">
        <v>43</v>
      </c>
      <c r="B52" s="1106" t="s">
        <v>1382</v>
      </c>
      <c r="C52" s="1124">
        <v>12</v>
      </c>
      <c r="D52" s="1129"/>
      <c r="E52" s="1124"/>
      <c r="F52" s="1129"/>
      <c r="G52" s="1124"/>
      <c r="H52" s="1124"/>
      <c r="I52" s="1679"/>
      <c r="J52" s="1130"/>
      <c r="K52" s="1125"/>
      <c r="L52" s="1124"/>
      <c r="M52" s="1125"/>
      <c r="N52" s="1124"/>
      <c r="O52" s="1127"/>
      <c r="P52" s="1126"/>
      <c r="Q52" s="1127"/>
      <c r="R52" s="1124"/>
      <c r="S52" s="1128"/>
      <c r="T52" s="1129"/>
      <c r="U52" s="1131"/>
      <c r="V52" s="2028"/>
      <c r="W52" s="1129"/>
      <c r="X52" s="1129"/>
      <c r="Y52" s="1040"/>
      <c r="Z52" s="820"/>
      <c r="AA52" s="821"/>
      <c r="AB52" s="821"/>
      <c r="AC52" s="821"/>
      <c r="AD52" s="821"/>
      <c r="AE52" s="821"/>
      <c r="AF52" s="797"/>
      <c r="AG52" s="797"/>
      <c r="AH52" s="797"/>
      <c r="AI52" s="797"/>
      <c r="AJ52" s="797"/>
      <c r="AK52" s="797"/>
      <c r="AL52" s="797"/>
      <c r="AM52" s="797"/>
      <c r="AN52" s="797"/>
      <c r="AO52" s="797"/>
      <c r="AP52" s="797"/>
      <c r="AQ52" s="797"/>
      <c r="AR52" s="797"/>
      <c r="AS52" s="797"/>
      <c r="AT52" s="1094"/>
      <c r="AU52" s="1094"/>
      <c r="AV52" s="1094"/>
      <c r="AW52" s="1094"/>
      <c r="AX52" s="1094"/>
    </row>
    <row r="53" spans="1:50">
      <c r="A53" s="1524">
        <v>44</v>
      </c>
      <c r="B53" s="1141" t="s">
        <v>459</v>
      </c>
      <c r="C53" s="1124"/>
      <c r="D53" s="1129"/>
      <c r="E53" s="1124">
        <v>24</v>
      </c>
      <c r="F53" s="1129"/>
      <c r="G53" s="1124"/>
      <c r="H53" s="1124"/>
      <c r="I53" s="1680">
        <v>9.42</v>
      </c>
      <c r="J53" s="1130"/>
      <c r="K53" s="1681">
        <f>+E53*I53</f>
        <v>226.07999999999998</v>
      </c>
      <c r="L53" s="1124"/>
      <c r="M53" s="1125">
        <f>+K53</f>
        <v>226.07999999999998</v>
      </c>
      <c r="N53" s="1124"/>
      <c r="O53" s="1127">
        <f>+E53</f>
        <v>24</v>
      </c>
      <c r="P53" s="1126"/>
      <c r="Q53" s="1127"/>
      <c r="R53" s="1124"/>
      <c r="S53" s="1142">
        <f ca="1">'wp - t-1 COSS'!$F$14</f>
        <v>15.53</v>
      </c>
      <c r="T53" s="1130"/>
      <c r="U53" s="1143">
        <f ca="1">+O53*S53</f>
        <v>372.71999999999997</v>
      </c>
      <c r="V53" s="2029"/>
      <c r="W53" s="1130"/>
      <c r="X53" s="1130"/>
      <c r="Y53" s="1039"/>
      <c r="Z53" s="820"/>
      <c r="AA53" s="821"/>
      <c r="AB53" s="821"/>
      <c r="AC53" s="821"/>
      <c r="AD53" s="821"/>
      <c r="AE53" s="821"/>
      <c r="AF53" s="797"/>
      <c r="AG53" s="797"/>
      <c r="AH53" s="797"/>
      <c r="AI53" s="797"/>
      <c r="AJ53" s="797"/>
      <c r="AK53" s="797"/>
      <c r="AL53" s="797"/>
      <c r="AM53" s="797"/>
      <c r="AN53" s="797"/>
      <c r="AO53" s="797"/>
      <c r="AP53" s="797"/>
      <c r="AQ53" s="797"/>
      <c r="AR53" s="797"/>
      <c r="AS53" s="797"/>
      <c r="AT53" s="812"/>
      <c r="AU53" s="812"/>
      <c r="AV53" s="812"/>
      <c r="AW53" s="1092"/>
      <c r="AX53" s="812"/>
    </row>
    <row r="54" spans="1:50">
      <c r="A54" s="1524">
        <v>45</v>
      </c>
      <c r="B54" s="1141" t="s">
        <v>513</v>
      </c>
      <c r="C54" s="1124"/>
      <c r="D54" s="1129"/>
      <c r="E54" s="1124"/>
      <c r="F54" s="1129"/>
      <c r="G54" s="1124">
        <v>0</v>
      </c>
      <c r="H54" s="1124"/>
      <c r="I54" s="1680">
        <v>3.86</v>
      </c>
      <c r="J54" s="1130"/>
      <c r="K54" s="1127">
        <f>+G54*I54</f>
        <v>0</v>
      </c>
      <c r="L54" s="1124"/>
      <c r="M54" s="1125">
        <f t="shared" ref="M54:M58" si="16">+K54</f>
        <v>0</v>
      </c>
      <c r="N54" s="1124"/>
      <c r="O54" s="1127"/>
      <c r="P54" s="1126"/>
      <c r="Q54" s="1127">
        <f>+G54</f>
        <v>0</v>
      </c>
      <c r="R54" s="1124"/>
      <c r="S54" s="2114">
        <f ca="1">'wp - t-1 COSS'!$F$32</f>
        <v>3.8170000000000002</v>
      </c>
      <c r="T54" s="1130"/>
      <c r="U54" s="1143">
        <f ca="1">+Q54*S54</f>
        <v>0</v>
      </c>
      <c r="V54" s="2029"/>
      <c r="W54" s="1130"/>
      <c r="X54" s="1130"/>
      <c r="Y54" s="1039"/>
      <c r="Z54" s="820"/>
      <c r="AA54" s="821"/>
      <c r="AB54" s="821"/>
      <c r="AC54" s="821"/>
      <c r="AD54" s="821"/>
      <c r="AE54" s="821"/>
      <c r="AF54" s="797"/>
      <c r="AG54" s="797"/>
      <c r="AH54" s="797"/>
      <c r="AI54" s="797"/>
      <c r="AJ54" s="797"/>
      <c r="AK54" s="797"/>
      <c r="AL54" s="797"/>
      <c r="AM54" s="797"/>
      <c r="AN54" s="797"/>
      <c r="AO54" s="797"/>
      <c r="AP54" s="797"/>
      <c r="AQ54" s="797"/>
      <c r="AR54" s="797"/>
      <c r="AS54" s="797"/>
      <c r="AT54" s="812"/>
      <c r="AU54" s="812"/>
      <c r="AV54" s="812"/>
      <c r="AW54" s="1092"/>
      <c r="AX54" s="812"/>
    </row>
    <row r="55" spans="1:50">
      <c r="A55" s="1524">
        <v>46</v>
      </c>
      <c r="B55" s="1141" t="s">
        <v>706</v>
      </c>
      <c r="C55" s="1124"/>
      <c r="D55" s="1129"/>
      <c r="E55" s="1124"/>
      <c r="F55" s="1129"/>
      <c r="G55" s="1124">
        <v>0</v>
      </c>
      <c r="H55" s="1124"/>
      <c r="I55" s="1680">
        <v>3.53</v>
      </c>
      <c r="J55" s="1130"/>
      <c r="K55" s="1127">
        <f t="shared" ref="K55:K58" si="17">+G55*I55</f>
        <v>0</v>
      </c>
      <c r="L55" s="1124"/>
      <c r="M55" s="1125">
        <f t="shared" si="16"/>
        <v>0</v>
      </c>
      <c r="N55" s="1124"/>
      <c r="O55" s="1127"/>
      <c r="P55" s="1126"/>
      <c r="Q55" s="1127">
        <f t="shared" ref="Q55:Q58" si="18">+G55</f>
        <v>0</v>
      </c>
      <c r="R55" s="1124"/>
      <c r="S55" s="2114">
        <f ca="1">'wp - t-1 COSS'!$F$32</f>
        <v>3.8170000000000002</v>
      </c>
      <c r="T55" s="1130"/>
      <c r="U55" s="1143">
        <f t="shared" ref="U55:U58" ca="1" si="19">+Q55*S55</f>
        <v>0</v>
      </c>
      <c r="V55" s="2029"/>
      <c r="W55" s="1130"/>
      <c r="X55" s="1130"/>
      <c r="Y55" s="1040"/>
      <c r="Z55" s="820"/>
      <c r="AA55" s="821"/>
      <c r="AB55" s="821"/>
      <c r="AC55" s="821"/>
      <c r="AD55" s="821"/>
      <c r="AE55" s="821"/>
      <c r="AF55" s="797"/>
      <c r="AG55" s="797"/>
      <c r="AH55" s="797"/>
      <c r="AI55" s="797"/>
      <c r="AJ55" s="797"/>
      <c r="AK55" s="797"/>
      <c r="AL55" s="797"/>
      <c r="AM55" s="797"/>
      <c r="AN55" s="797"/>
      <c r="AO55" s="797"/>
      <c r="AP55" s="797"/>
      <c r="AQ55" s="797"/>
      <c r="AR55" s="797"/>
      <c r="AS55" s="797"/>
      <c r="AT55" s="812"/>
      <c r="AU55" s="812"/>
      <c r="AV55" s="812"/>
      <c r="AW55" s="1092"/>
      <c r="AX55" s="812"/>
    </row>
    <row r="56" spans="1:50">
      <c r="A56" s="1524">
        <v>47</v>
      </c>
      <c r="B56" s="1141" t="s">
        <v>707</v>
      </c>
      <c r="C56" s="1124"/>
      <c r="D56" s="1129"/>
      <c r="E56" s="1124"/>
      <c r="F56" s="1129"/>
      <c r="G56" s="1124">
        <v>0</v>
      </c>
      <c r="H56" s="1124"/>
      <c r="I56" s="1680">
        <v>3.35</v>
      </c>
      <c r="J56" s="1130"/>
      <c r="K56" s="1127">
        <f t="shared" si="17"/>
        <v>0</v>
      </c>
      <c r="L56" s="1124"/>
      <c r="M56" s="1125">
        <f t="shared" si="16"/>
        <v>0</v>
      </c>
      <c r="N56" s="1124"/>
      <c r="O56" s="1127"/>
      <c r="P56" s="1126"/>
      <c r="Q56" s="1127">
        <f t="shared" si="18"/>
        <v>0</v>
      </c>
      <c r="R56" s="1124"/>
      <c r="S56" s="2114">
        <f ca="1">'wp - t-1 COSS'!$F$32</f>
        <v>3.8170000000000002</v>
      </c>
      <c r="T56" s="1130"/>
      <c r="U56" s="1143">
        <f t="shared" ca="1" si="19"/>
        <v>0</v>
      </c>
      <c r="V56" s="2029"/>
      <c r="W56" s="1130"/>
      <c r="X56" s="1130"/>
      <c r="Y56" s="1040"/>
      <c r="Z56" s="820"/>
      <c r="AA56" s="821"/>
      <c r="AB56" s="821"/>
      <c r="AC56" s="821"/>
      <c r="AD56" s="821"/>
      <c r="AE56" s="821"/>
      <c r="AF56" s="797"/>
      <c r="AG56" s="797"/>
      <c r="AH56" s="797"/>
      <c r="AI56" s="797"/>
      <c r="AJ56" s="797"/>
      <c r="AK56" s="797"/>
      <c r="AL56" s="797"/>
      <c r="AM56" s="797"/>
      <c r="AN56" s="797"/>
      <c r="AO56" s="797"/>
      <c r="AP56" s="797"/>
      <c r="AQ56" s="797"/>
      <c r="AR56" s="797"/>
      <c r="AS56" s="797"/>
      <c r="AT56" s="812"/>
      <c r="AU56" s="1094"/>
      <c r="AV56" s="812"/>
      <c r="AW56" s="1092"/>
      <c r="AX56" s="812"/>
    </row>
    <row r="57" spans="1:50">
      <c r="A57" s="1524">
        <v>48</v>
      </c>
      <c r="B57" s="1141" t="s">
        <v>708</v>
      </c>
      <c r="C57" s="1124"/>
      <c r="D57" s="1129"/>
      <c r="E57" s="1124"/>
      <c r="F57" s="1129"/>
      <c r="G57" s="1124">
        <v>0</v>
      </c>
      <c r="H57" s="1124"/>
      <c r="I57" s="1680">
        <v>3.01</v>
      </c>
      <c r="J57" s="1130"/>
      <c r="K57" s="1127">
        <f t="shared" si="17"/>
        <v>0</v>
      </c>
      <c r="L57" s="1124"/>
      <c r="M57" s="1125">
        <f t="shared" si="16"/>
        <v>0</v>
      </c>
      <c r="N57" s="1124"/>
      <c r="O57" s="1127"/>
      <c r="P57" s="1126"/>
      <c r="Q57" s="1127">
        <f t="shared" si="18"/>
        <v>0</v>
      </c>
      <c r="R57" s="1124"/>
      <c r="S57" s="2114">
        <f ca="1">'wp - t-1 COSS'!$F$32</f>
        <v>3.8170000000000002</v>
      </c>
      <c r="T57" s="1130"/>
      <c r="U57" s="1143">
        <f t="shared" ca="1" si="19"/>
        <v>0</v>
      </c>
      <c r="V57" s="2029"/>
      <c r="W57" s="1130"/>
      <c r="X57" s="1130"/>
      <c r="Y57" s="1040"/>
      <c r="Z57" s="820"/>
      <c r="AA57" s="821"/>
      <c r="AB57" s="821"/>
      <c r="AC57" s="821"/>
      <c r="AD57" s="821"/>
      <c r="AE57" s="797"/>
      <c r="AF57" s="797"/>
      <c r="AG57" s="797"/>
      <c r="AH57" s="797"/>
      <c r="AI57" s="797"/>
      <c r="AJ57" s="797"/>
      <c r="AK57" s="797"/>
      <c r="AL57" s="797"/>
      <c r="AM57" s="797"/>
      <c r="AN57" s="797"/>
      <c r="AO57" s="797"/>
      <c r="AP57" s="797"/>
      <c r="AQ57" s="797"/>
      <c r="AR57" s="797"/>
      <c r="AS57" s="797"/>
      <c r="AT57" s="812"/>
      <c r="AU57" s="1094"/>
      <c r="AV57" s="812"/>
      <c r="AW57" s="1092"/>
      <c r="AX57" s="812"/>
    </row>
    <row r="58" spans="1:50">
      <c r="A58" s="1524">
        <v>49</v>
      </c>
      <c r="B58" s="1141" t="s">
        <v>711</v>
      </c>
      <c r="C58" s="1124"/>
      <c r="D58" s="1129"/>
      <c r="E58" s="1124"/>
      <c r="F58" s="1129"/>
      <c r="G58" s="1124">
        <v>0</v>
      </c>
      <c r="H58" s="1124"/>
      <c r="I58" s="1680">
        <v>2.76</v>
      </c>
      <c r="J58" s="1130"/>
      <c r="K58" s="1127">
        <f t="shared" si="17"/>
        <v>0</v>
      </c>
      <c r="L58" s="1124"/>
      <c r="M58" s="1125">
        <f t="shared" si="16"/>
        <v>0</v>
      </c>
      <c r="N58" s="1124"/>
      <c r="O58" s="1127"/>
      <c r="P58" s="1126"/>
      <c r="Q58" s="1127">
        <f t="shared" si="18"/>
        <v>0</v>
      </c>
      <c r="R58" s="1124"/>
      <c r="S58" s="2114">
        <f ca="1">'wp - t-1 COSS'!$F$32</f>
        <v>3.8170000000000002</v>
      </c>
      <c r="T58" s="1130"/>
      <c r="U58" s="1143">
        <f t="shared" ca="1" si="19"/>
        <v>0</v>
      </c>
      <c r="V58" s="2029"/>
      <c r="W58" s="1130"/>
      <c r="X58" s="1130"/>
      <c r="Y58" s="1040"/>
      <c r="Z58" s="820"/>
      <c r="AA58" s="821"/>
      <c r="AB58" s="821"/>
      <c r="AC58" s="821"/>
      <c r="AD58" s="821"/>
      <c r="AE58" s="797"/>
      <c r="AF58" s="797"/>
      <c r="AG58" s="797"/>
      <c r="AH58" s="797"/>
      <c r="AI58" s="797"/>
      <c r="AJ58" s="797"/>
      <c r="AK58" s="797"/>
      <c r="AL58" s="797"/>
      <c r="AM58" s="797"/>
      <c r="AN58" s="797"/>
      <c r="AO58" s="797"/>
      <c r="AP58" s="797"/>
      <c r="AQ58" s="797"/>
      <c r="AR58" s="797"/>
      <c r="AS58" s="797"/>
      <c r="AT58" s="812"/>
      <c r="AU58" s="1094"/>
      <c r="AV58" s="812"/>
      <c r="AW58" s="1092"/>
      <c r="AX58" s="812"/>
    </row>
    <row r="59" spans="1:50" s="1110" customFormat="1" ht="12.75" thickBot="1">
      <c r="A59" s="1524">
        <v>50</v>
      </c>
      <c r="B59" s="1109" t="s">
        <v>1381</v>
      </c>
      <c r="C59" s="1145">
        <f>SUM(C52:C58)</f>
        <v>12</v>
      </c>
      <c r="D59" s="1135"/>
      <c r="E59" s="1145">
        <f>SUM(E52:E58)</f>
        <v>24</v>
      </c>
      <c r="F59" s="1135"/>
      <c r="G59" s="1145">
        <f>SUM(G52:G58)</f>
        <v>0</v>
      </c>
      <c r="H59" s="1096"/>
      <c r="I59" s="1678"/>
      <c r="J59" s="1097"/>
      <c r="K59" s="1136">
        <f>SUM(K52:K58)</f>
        <v>226.07999999999998</v>
      </c>
      <c r="L59" s="1096"/>
      <c r="M59" s="1136">
        <f>SUM(M52:M58)</f>
        <v>226.07999999999998</v>
      </c>
      <c r="N59" s="1096"/>
      <c r="O59" s="1145">
        <f>SUM(O52:O58)</f>
        <v>24</v>
      </c>
      <c r="P59" s="1099"/>
      <c r="Q59" s="1145">
        <f>SUM(Q52:Q58)</f>
        <v>0</v>
      </c>
      <c r="R59" s="1096"/>
      <c r="S59" s="1128"/>
      <c r="T59" s="1135"/>
      <c r="U59" s="1136">
        <f ca="1">SUM(U52:U58)</f>
        <v>372.71999999999997</v>
      </c>
      <c r="V59" s="2030"/>
      <c r="W59" s="1135"/>
      <c r="X59" s="1135"/>
      <c r="Y59" s="941"/>
      <c r="Z59" s="831"/>
      <c r="AA59" s="832"/>
      <c r="AB59" s="832"/>
      <c r="AC59" s="832"/>
      <c r="AD59" s="832"/>
      <c r="AE59" s="832"/>
      <c r="AF59" s="832" t="s">
        <v>425</v>
      </c>
      <c r="AG59" s="1103"/>
      <c r="AH59" s="1097"/>
      <c r="AI59" s="1135"/>
      <c r="AJ59" s="1135"/>
      <c r="AK59" s="1135"/>
      <c r="AL59" s="1097"/>
      <c r="AM59" s="833"/>
      <c r="AN59" s="1097"/>
      <c r="AO59" s="833"/>
      <c r="AP59" s="1097"/>
      <c r="AQ59" s="833"/>
      <c r="AR59" s="1097"/>
      <c r="AS59" s="833"/>
      <c r="AT59" s="834"/>
      <c r="AU59" s="834"/>
      <c r="AV59" s="834"/>
      <c r="AW59" s="834"/>
      <c r="AX59" s="834"/>
    </row>
    <row r="60" spans="1:50" ht="12.75" thickTop="1">
      <c r="A60" s="1524">
        <v>51</v>
      </c>
      <c r="B60" s="1109"/>
      <c r="C60" s="1132"/>
      <c r="D60" s="1133"/>
      <c r="E60" s="1132"/>
      <c r="F60" s="1129"/>
      <c r="G60" s="1124"/>
      <c r="H60" s="1124"/>
      <c r="I60" s="1679"/>
      <c r="J60" s="1130"/>
      <c r="K60" s="1125"/>
      <c r="L60" s="1124"/>
      <c r="M60" s="1125"/>
      <c r="N60" s="1124"/>
      <c r="O60" s="1127"/>
      <c r="P60" s="1126"/>
      <c r="Q60" s="1127"/>
      <c r="R60" s="1124"/>
      <c r="S60" s="1128"/>
      <c r="T60" s="1130"/>
      <c r="U60" s="1093"/>
      <c r="V60" s="2031"/>
      <c r="W60" s="1130"/>
      <c r="X60" s="1130"/>
      <c r="Y60" s="1039"/>
      <c r="Z60" s="820"/>
      <c r="AA60" s="821"/>
      <c r="AB60" s="821"/>
      <c r="AC60" s="821"/>
      <c r="AD60" s="821"/>
      <c r="AE60" s="821"/>
      <c r="AF60" s="797"/>
      <c r="AG60" s="797"/>
      <c r="AH60" s="797"/>
      <c r="AI60" s="797"/>
      <c r="AJ60" s="797"/>
      <c r="AK60" s="797"/>
      <c r="AL60" s="797"/>
      <c r="AM60" s="797"/>
      <c r="AN60" s="797"/>
      <c r="AO60" s="797"/>
      <c r="AP60" s="797"/>
      <c r="AQ60" s="797"/>
      <c r="AR60" s="797"/>
      <c r="AS60" s="797"/>
      <c r="AT60" s="812"/>
      <c r="AU60" s="812"/>
      <c r="AV60" s="812"/>
      <c r="AW60" s="1092"/>
      <c r="AX60" s="812"/>
    </row>
    <row r="61" spans="1:50" ht="12.75" thickBot="1">
      <c r="A61" s="1524">
        <v>52</v>
      </c>
      <c r="B61" s="1111" t="s">
        <v>1380</v>
      </c>
      <c r="C61" s="1132"/>
      <c r="D61" s="1133"/>
      <c r="E61" s="1132"/>
      <c r="F61" s="1129"/>
      <c r="G61" s="1124"/>
      <c r="H61" s="1124"/>
      <c r="I61" s="1679"/>
      <c r="J61" s="1130"/>
      <c r="K61" s="1125"/>
      <c r="L61" s="1124"/>
      <c r="M61" s="1138">
        <f>+M59/$E59</f>
        <v>9.42</v>
      </c>
      <c r="N61" s="1124"/>
      <c r="O61" s="1127"/>
      <c r="P61" s="1126"/>
      <c r="Q61" s="1127"/>
      <c r="R61" s="1124"/>
      <c r="S61" s="1128"/>
      <c r="T61" s="1130"/>
      <c r="U61" s="1138">
        <f ca="1">+U59/$E59</f>
        <v>15.53</v>
      </c>
      <c r="V61" s="2032"/>
      <c r="W61" s="1130">
        <f ca="1">+U61-M61</f>
        <v>6.1099999999999994</v>
      </c>
      <c r="X61" s="1130">
        <f ca="1">W61/M61</f>
        <v>0.64861995753715496</v>
      </c>
      <c r="Y61" s="1039"/>
      <c r="Z61" s="820"/>
      <c r="AA61" s="821"/>
      <c r="AB61" s="821"/>
      <c r="AC61" s="821"/>
      <c r="AD61" s="821"/>
      <c r="AE61" s="821"/>
      <c r="AF61" s="797"/>
      <c r="AG61" s="797"/>
      <c r="AH61" s="797"/>
      <c r="AI61" s="797"/>
      <c r="AJ61" s="797"/>
      <c r="AK61" s="797"/>
      <c r="AL61" s="797"/>
      <c r="AM61" s="797"/>
      <c r="AN61" s="797"/>
      <c r="AO61" s="797"/>
      <c r="AP61" s="797"/>
      <c r="AQ61" s="797"/>
      <c r="AR61" s="797"/>
      <c r="AS61" s="797"/>
      <c r="AT61" s="812"/>
      <c r="AU61" s="812"/>
      <c r="AV61" s="812"/>
      <c r="AW61" s="1092"/>
      <c r="AX61" s="812"/>
    </row>
    <row r="62" spans="1:50" ht="12.75" thickTop="1">
      <c r="A62" s="1524">
        <v>53</v>
      </c>
      <c r="B62" s="1106" t="s">
        <v>1373</v>
      </c>
      <c r="C62" s="1124">
        <v>12347.25</v>
      </c>
      <c r="D62" s="1129"/>
      <c r="E62" s="1124"/>
      <c r="F62" s="1129"/>
      <c r="G62" s="1124"/>
      <c r="H62" s="1124"/>
      <c r="I62" s="1679"/>
      <c r="J62" s="1130"/>
      <c r="K62" s="1125"/>
      <c r="L62" s="1124"/>
      <c r="M62" s="1125"/>
      <c r="N62" s="1124"/>
      <c r="O62" s="1127"/>
      <c r="P62" s="1126"/>
      <c r="Q62" s="1127"/>
      <c r="R62" s="1124"/>
      <c r="S62" s="1128"/>
      <c r="T62" s="1129"/>
      <c r="U62" s="1131"/>
      <c r="V62" s="2028"/>
      <c r="W62" s="1129"/>
      <c r="X62" s="1129"/>
      <c r="Y62" s="1040"/>
      <c r="Z62" s="820"/>
      <c r="AA62" s="821"/>
      <c r="AB62" s="821"/>
      <c r="AC62" s="821"/>
      <c r="AD62" s="821"/>
      <c r="AE62" s="821"/>
      <c r="AF62" s="797"/>
      <c r="AG62" s="797"/>
      <c r="AH62" s="797"/>
      <c r="AI62" s="797"/>
      <c r="AJ62" s="797"/>
      <c r="AK62" s="797"/>
      <c r="AL62" s="797"/>
      <c r="AM62" s="797"/>
      <c r="AN62" s="797"/>
      <c r="AO62" s="797"/>
      <c r="AP62" s="797"/>
      <c r="AQ62" s="797"/>
      <c r="AR62" s="797"/>
      <c r="AS62" s="797"/>
      <c r="AT62" s="1094"/>
      <c r="AU62" s="1094"/>
      <c r="AV62" s="1094"/>
      <c r="AW62" s="1094"/>
      <c r="AX62" s="1094"/>
    </row>
    <row r="63" spans="1:50">
      <c r="A63" s="1524">
        <v>54</v>
      </c>
      <c r="B63" s="1141" t="s">
        <v>660</v>
      </c>
      <c r="C63" s="1124"/>
      <c r="D63" s="1129"/>
      <c r="E63" s="1124">
        <v>800</v>
      </c>
      <c r="F63" s="1129"/>
      <c r="G63" s="1124"/>
      <c r="H63" s="1124"/>
      <c r="I63" s="1682">
        <v>28.67</v>
      </c>
      <c r="J63" s="1130"/>
      <c r="K63" s="1125">
        <f>+E63*I63</f>
        <v>22936</v>
      </c>
      <c r="L63" s="1124"/>
      <c r="M63" s="1125">
        <f>+K63</f>
        <v>22936</v>
      </c>
      <c r="N63" s="1124"/>
      <c r="O63" s="1127">
        <f>+E63</f>
        <v>800</v>
      </c>
      <c r="P63" s="1126"/>
      <c r="Q63" s="1127"/>
      <c r="R63" s="1124"/>
      <c r="S63" s="1142">
        <f ca="1">'wp - t-1 COSS'!$F$15</f>
        <v>40.229999999999997</v>
      </c>
      <c r="T63" s="1130"/>
      <c r="U63" s="1143">
        <f ca="1">+O63*S63</f>
        <v>32183.999999999996</v>
      </c>
      <c r="V63" s="2029"/>
      <c r="W63" s="1130"/>
      <c r="X63" s="1130"/>
      <c r="Y63" s="1039"/>
      <c r="Z63" s="820"/>
      <c r="AA63" s="821"/>
      <c r="AB63" s="821"/>
      <c r="AC63" s="821"/>
      <c r="AD63" s="821"/>
      <c r="AE63" s="821"/>
      <c r="AF63" s="797"/>
      <c r="AG63" s="797"/>
      <c r="AH63" s="797"/>
      <c r="AI63" s="797"/>
      <c r="AJ63" s="797"/>
      <c r="AK63" s="797"/>
      <c r="AL63" s="797"/>
      <c r="AM63" s="797"/>
      <c r="AN63" s="797"/>
      <c r="AO63" s="797"/>
      <c r="AP63" s="797"/>
      <c r="AQ63" s="797"/>
      <c r="AR63" s="797"/>
      <c r="AS63" s="797"/>
      <c r="AT63" s="812"/>
      <c r="AU63" s="812"/>
      <c r="AV63" s="812"/>
      <c r="AW63" s="1092"/>
      <c r="AX63" s="812"/>
    </row>
    <row r="64" spans="1:50">
      <c r="A64" s="1524">
        <v>55</v>
      </c>
      <c r="B64" s="1141" t="s">
        <v>661</v>
      </c>
      <c r="C64" s="1124"/>
      <c r="D64" s="1129"/>
      <c r="E64" s="1124"/>
      <c r="F64" s="1129"/>
      <c r="G64" s="1124">
        <v>1503.8119999999999</v>
      </c>
      <c r="H64" s="1124"/>
      <c r="I64" s="1680">
        <v>3.86</v>
      </c>
      <c r="J64" s="1130"/>
      <c r="K64" s="1127">
        <f>+G64*I64</f>
        <v>5804.7143199999991</v>
      </c>
      <c r="L64" s="1124"/>
      <c r="M64" s="1125">
        <f t="shared" ref="M64:M68" si="20">+K64</f>
        <v>5804.7143199999991</v>
      </c>
      <c r="N64" s="1124"/>
      <c r="O64" s="1127"/>
      <c r="P64" s="1126"/>
      <c r="Q64" s="1127">
        <f>+G64</f>
        <v>1503.8119999999999</v>
      </c>
      <c r="R64" s="1124"/>
      <c r="S64" s="2114">
        <f ca="1">'wp - t-1 COSS'!$F$33</f>
        <v>3.8170000000000002</v>
      </c>
      <c r="T64" s="1130"/>
      <c r="U64" s="1143">
        <f ca="1">+Q64*S64</f>
        <v>5740.0504039999996</v>
      </c>
      <c r="V64" s="2029"/>
      <c r="W64" s="1130"/>
      <c r="X64" s="1130"/>
      <c r="Y64" s="1039"/>
      <c r="Z64" s="820"/>
      <c r="AA64" s="821"/>
      <c r="AB64" s="821"/>
      <c r="AC64" s="821"/>
      <c r="AD64" s="821"/>
      <c r="AE64" s="821"/>
      <c r="AF64" s="797"/>
      <c r="AG64" s="797"/>
      <c r="AH64" s="797"/>
      <c r="AI64" s="797"/>
      <c r="AJ64" s="797"/>
      <c r="AK64" s="797"/>
      <c r="AL64" s="797"/>
      <c r="AM64" s="797"/>
      <c r="AN64" s="797"/>
      <c r="AO64" s="797"/>
      <c r="AP64" s="797"/>
      <c r="AQ64" s="797"/>
      <c r="AR64" s="797"/>
      <c r="AS64" s="797"/>
      <c r="AT64" s="812"/>
      <c r="AU64" s="812"/>
      <c r="AV64" s="812"/>
      <c r="AW64" s="1092"/>
      <c r="AX64" s="812"/>
    </row>
    <row r="65" spans="1:50">
      <c r="A65" s="1524">
        <v>56</v>
      </c>
      <c r="B65" s="1141" t="s">
        <v>706</v>
      </c>
      <c r="C65" s="1124"/>
      <c r="D65" s="1129"/>
      <c r="E65" s="1124"/>
      <c r="F65" s="1129"/>
      <c r="G65" s="1124">
        <v>3487.4349999999999</v>
      </c>
      <c r="H65" s="1124"/>
      <c r="I65" s="1680">
        <v>3.53</v>
      </c>
      <c r="J65" s="1130"/>
      <c r="K65" s="1127">
        <f t="shared" ref="K65:K68" si="21">+G65*I65</f>
        <v>12310.645549999999</v>
      </c>
      <c r="L65" s="1124"/>
      <c r="M65" s="1125">
        <f t="shared" si="20"/>
        <v>12310.645549999999</v>
      </c>
      <c r="N65" s="1124"/>
      <c r="O65" s="1127"/>
      <c r="P65" s="1126"/>
      <c r="Q65" s="1127">
        <f t="shared" ref="Q65:Q68" si="22">+G65</f>
        <v>3487.4349999999999</v>
      </c>
      <c r="R65" s="1124"/>
      <c r="S65" s="2114">
        <f ca="1">'wp - t-1 COSS'!$F$33</f>
        <v>3.8170000000000002</v>
      </c>
      <c r="T65" s="1130"/>
      <c r="U65" s="1143">
        <f t="shared" ref="U65:U68" ca="1" si="23">+Q65*S65</f>
        <v>13311.539395</v>
      </c>
      <c r="V65" s="2029"/>
      <c r="W65" s="1130"/>
      <c r="X65" s="1130"/>
      <c r="Y65" s="1040"/>
      <c r="Z65" s="820"/>
      <c r="AA65" s="821"/>
      <c r="AB65" s="821"/>
      <c r="AC65" s="821"/>
      <c r="AD65" s="821"/>
      <c r="AE65" s="821"/>
      <c r="AF65" s="797"/>
      <c r="AG65" s="797"/>
      <c r="AH65" s="797"/>
      <c r="AI65" s="797"/>
      <c r="AJ65" s="797"/>
      <c r="AK65" s="797"/>
      <c r="AL65" s="797"/>
      <c r="AM65" s="797"/>
      <c r="AN65" s="797"/>
      <c r="AO65" s="797"/>
      <c r="AP65" s="797"/>
      <c r="AQ65" s="797"/>
      <c r="AR65" s="797"/>
      <c r="AS65" s="797"/>
      <c r="AT65" s="812"/>
      <c r="AU65" s="812"/>
      <c r="AV65" s="812"/>
      <c r="AW65" s="1092"/>
      <c r="AX65" s="812"/>
    </row>
    <row r="66" spans="1:50">
      <c r="A66" s="1524">
        <v>57</v>
      </c>
      <c r="B66" s="1141" t="s">
        <v>707</v>
      </c>
      <c r="C66" s="1124"/>
      <c r="D66" s="1129"/>
      <c r="E66" s="1124"/>
      <c r="F66" s="1129"/>
      <c r="G66" s="1124">
        <v>2489.3409999999999</v>
      </c>
      <c r="H66" s="1124"/>
      <c r="I66" s="1680">
        <v>3.35</v>
      </c>
      <c r="J66" s="1130"/>
      <c r="K66" s="1127">
        <f t="shared" si="21"/>
        <v>8339.2923499999997</v>
      </c>
      <c r="L66" s="1124"/>
      <c r="M66" s="1125">
        <f t="shared" si="20"/>
        <v>8339.2923499999997</v>
      </c>
      <c r="N66" s="1124"/>
      <c r="O66" s="1127"/>
      <c r="P66" s="1126"/>
      <c r="Q66" s="1127">
        <f t="shared" si="22"/>
        <v>2489.3409999999999</v>
      </c>
      <c r="R66" s="1124"/>
      <c r="S66" s="2114">
        <f ca="1">'wp - t-1 COSS'!$F$33</f>
        <v>3.8170000000000002</v>
      </c>
      <c r="T66" s="1130"/>
      <c r="U66" s="1143">
        <f t="shared" ca="1" si="23"/>
        <v>9501.8145970000005</v>
      </c>
      <c r="V66" s="2029"/>
      <c r="W66" s="1130"/>
      <c r="X66" s="1130"/>
      <c r="Y66" s="1040"/>
      <c r="Z66" s="820"/>
      <c r="AA66" s="821"/>
      <c r="AB66" s="821"/>
      <c r="AC66" s="821"/>
      <c r="AD66" s="821"/>
      <c r="AE66" s="821"/>
      <c r="AF66" s="797"/>
      <c r="AG66" s="797"/>
      <c r="AH66" s="797"/>
      <c r="AI66" s="797"/>
      <c r="AJ66" s="797"/>
      <c r="AK66" s="797"/>
      <c r="AL66" s="797"/>
      <c r="AM66" s="797"/>
      <c r="AN66" s="797"/>
      <c r="AO66" s="797"/>
      <c r="AP66" s="797"/>
      <c r="AQ66" s="797"/>
      <c r="AR66" s="797"/>
      <c r="AS66" s="797"/>
      <c r="AT66" s="812"/>
      <c r="AU66" s="1094"/>
      <c r="AV66" s="812"/>
      <c r="AW66" s="1092"/>
      <c r="AX66" s="812"/>
    </row>
    <row r="67" spans="1:50">
      <c r="A67" s="1524">
        <v>58</v>
      </c>
      <c r="B67" s="1141" t="s">
        <v>708</v>
      </c>
      <c r="C67" s="1124"/>
      <c r="D67" s="1129"/>
      <c r="E67" s="1124"/>
      <c r="F67" s="1129"/>
      <c r="G67" s="1124">
        <v>1088.5139999999999</v>
      </c>
      <c r="H67" s="1124"/>
      <c r="I67" s="1680">
        <v>3.01</v>
      </c>
      <c r="J67" s="1130"/>
      <c r="K67" s="1127">
        <f t="shared" si="21"/>
        <v>3276.4271399999993</v>
      </c>
      <c r="L67" s="1124"/>
      <c r="M67" s="1125">
        <f t="shared" si="20"/>
        <v>3276.4271399999993</v>
      </c>
      <c r="N67" s="1124"/>
      <c r="O67" s="1127"/>
      <c r="P67" s="1126"/>
      <c r="Q67" s="1127">
        <f t="shared" si="22"/>
        <v>1088.5139999999999</v>
      </c>
      <c r="R67" s="1124"/>
      <c r="S67" s="2114">
        <f ca="1">'wp - t-1 COSS'!$F$33</f>
        <v>3.8170000000000002</v>
      </c>
      <c r="T67" s="1130"/>
      <c r="U67" s="1143">
        <f t="shared" ca="1" si="23"/>
        <v>4154.8579380000001</v>
      </c>
      <c r="V67" s="2029"/>
      <c r="W67" s="1130"/>
      <c r="X67" s="1130"/>
      <c r="Y67" s="1040"/>
      <c r="Z67" s="820"/>
      <c r="AA67" s="821"/>
      <c r="AB67" s="821"/>
      <c r="AC67" s="821"/>
      <c r="AD67" s="821"/>
      <c r="AE67" s="797"/>
      <c r="AF67" s="797"/>
      <c r="AG67" s="797"/>
      <c r="AH67" s="797"/>
      <c r="AI67" s="797"/>
      <c r="AJ67" s="797"/>
      <c r="AK67" s="797"/>
      <c r="AL67" s="797"/>
      <c r="AM67" s="797"/>
      <c r="AN67" s="797"/>
      <c r="AO67" s="797"/>
      <c r="AP67" s="797"/>
      <c r="AQ67" s="797"/>
      <c r="AR67" s="797"/>
      <c r="AS67" s="797"/>
      <c r="AT67" s="812"/>
      <c r="AU67" s="1094"/>
      <c r="AV67" s="812"/>
      <c r="AW67" s="1092"/>
      <c r="AX67" s="812"/>
    </row>
    <row r="68" spans="1:50">
      <c r="A68" s="1524">
        <v>59</v>
      </c>
      <c r="B68" s="1141" t="s">
        <v>711</v>
      </c>
      <c r="C68" s="1124"/>
      <c r="D68" s="1129"/>
      <c r="E68" s="1124"/>
      <c r="F68" s="1129"/>
      <c r="G68" s="1124">
        <v>144.24100000000001</v>
      </c>
      <c r="H68" s="1124"/>
      <c r="I68" s="1680">
        <v>2.76</v>
      </c>
      <c r="J68" s="1130"/>
      <c r="K68" s="1127">
        <f t="shared" si="21"/>
        <v>398.10516000000001</v>
      </c>
      <c r="L68" s="1124"/>
      <c r="M68" s="1125">
        <f t="shared" si="20"/>
        <v>398.10516000000001</v>
      </c>
      <c r="N68" s="1124"/>
      <c r="O68" s="1127"/>
      <c r="P68" s="1126"/>
      <c r="Q68" s="1127">
        <f t="shared" si="22"/>
        <v>144.24100000000001</v>
      </c>
      <c r="R68" s="1124"/>
      <c r="S68" s="2114">
        <f ca="1">'wp - t-1 COSS'!$F$33</f>
        <v>3.8170000000000002</v>
      </c>
      <c r="T68" s="1130"/>
      <c r="U68" s="1143">
        <f t="shared" ca="1" si="23"/>
        <v>550.56789700000013</v>
      </c>
      <c r="V68" s="2029"/>
      <c r="W68" s="1130"/>
      <c r="X68" s="1130"/>
      <c r="Y68" s="1040"/>
      <c r="Z68" s="820"/>
      <c r="AA68" s="821"/>
      <c r="AB68" s="821"/>
      <c r="AC68" s="821"/>
      <c r="AD68" s="821"/>
      <c r="AE68" s="797"/>
      <c r="AF68" s="797"/>
      <c r="AG68" s="797"/>
      <c r="AH68" s="797"/>
      <c r="AI68" s="797"/>
      <c r="AJ68" s="797"/>
      <c r="AK68" s="797"/>
      <c r="AL68" s="797"/>
      <c r="AM68" s="797"/>
      <c r="AN68" s="797"/>
      <c r="AO68" s="797"/>
      <c r="AP68" s="797"/>
      <c r="AQ68" s="797"/>
      <c r="AR68" s="797"/>
      <c r="AS68" s="797"/>
      <c r="AT68" s="812"/>
      <c r="AU68" s="1094"/>
      <c r="AV68" s="812"/>
      <c r="AW68" s="1092"/>
      <c r="AX68" s="812"/>
    </row>
    <row r="69" spans="1:50" s="1110" customFormat="1" ht="12.75" thickBot="1">
      <c r="A69" s="1524">
        <v>60</v>
      </c>
      <c r="B69" s="1109" t="s">
        <v>1434</v>
      </c>
      <c r="C69" s="1145">
        <f>SUM(C62:C68)</f>
        <v>12347.25</v>
      </c>
      <c r="D69" s="1135"/>
      <c r="E69" s="1145">
        <f>SUM(E62:E68)</f>
        <v>800</v>
      </c>
      <c r="F69" s="1135"/>
      <c r="G69" s="1145">
        <f>SUM(G62:G68)</f>
        <v>8713.3429999999989</v>
      </c>
      <c r="H69" s="1096"/>
      <c r="I69" s="1678"/>
      <c r="J69" s="1097"/>
      <c r="K69" s="1136">
        <f>SUM(K62:K68)</f>
        <v>53065.184520000003</v>
      </c>
      <c r="L69" s="1096"/>
      <c r="M69" s="1136">
        <f>SUM(M62:M68)</f>
        <v>53065.184520000003</v>
      </c>
      <c r="N69" s="1096"/>
      <c r="O69" s="1145">
        <f>SUM(O62:O68)</f>
        <v>800</v>
      </c>
      <c r="P69" s="1099"/>
      <c r="Q69" s="1145">
        <f>SUM(Q62:Q68)</f>
        <v>8713.3429999999989</v>
      </c>
      <c r="R69" s="1096"/>
      <c r="S69" s="1128"/>
      <c r="T69" s="1135"/>
      <c r="U69" s="1136">
        <f ca="1">SUM(U62:U68)</f>
        <v>65442.830231</v>
      </c>
      <c r="V69" s="2030"/>
      <c r="W69" s="1135"/>
      <c r="X69" s="1135"/>
      <c r="Y69" s="941"/>
      <c r="Z69" s="831"/>
      <c r="AA69" s="832"/>
      <c r="AB69" s="832"/>
      <c r="AC69" s="832"/>
      <c r="AD69" s="832"/>
      <c r="AE69" s="832"/>
      <c r="AF69" s="832" t="s">
        <v>425</v>
      </c>
      <c r="AG69" s="1103"/>
      <c r="AH69" s="1097"/>
      <c r="AI69" s="1135"/>
      <c r="AJ69" s="1135"/>
      <c r="AK69" s="1135"/>
      <c r="AL69" s="1097"/>
      <c r="AM69" s="833"/>
      <c r="AN69" s="1097"/>
      <c r="AO69" s="833"/>
      <c r="AP69" s="1097"/>
      <c r="AQ69" s="833"/>
      <c r="AR69" s="1097"/>
      <c r="AS69" s="833"/>
      <c r="AT69" s="834"/>
      <c r="AU69" s="834"/>
      <c r="AV69" s="834"/>
      <c r="AW69" s="834"/>
      <c r="AX69" s="834"/>
    </row>
    <row r="70" spans="1:50" ht="12.75" thickTop="1">
      <c r="A70" s="1524">
        <v>61</v>
      </c>
      <c r="B70" s="1109"/>
      <c r="C70" s="1132"/>
      <c r="D70" s="1133"/>
      <c r="E70" s="1132"/>
      <c r="F70" s="1129"/>
      <c r="G70" s="1124"/>
      <c r="H70" s="1124"/>
      <c r="I70" s="1679"/>
      <c r="J70" s="1130"/>
      <c r="K70" s="1125"/>
      <c r="L70" s="1124"/>
      <c r="M70" s="1125"/>
      <c r="N70" s="1124"/>
      <c r="O70" s="1127"/>
      <c r="P70" s="1126"/>
      <c r="Q70" s="1127"/>
      <c r="R70" s="1124"/>
      <c r="S70" s="1128"/>
      <c r="T70" s="1130"/>
      <c r="U70" s="1093"/>
      <c r="V70" s="2031"/>
      <c r="W70" s="1130"/>
      <c r="X70" s="1130"/>
      <c r="Y70" s="1039"/>
      <c r="Z70" s="820"/>
      <c r="AA70" s="821"/>
      <c r="AB70" s="821"/>
      <c r="AC70" s="821"/>
      <c r="AD70" s="821"/>
      <c r="AE70" s="821"/>
      <c r="AF70" s="797"/>
      <c r="AG70" s="797"/>
      <c r="AH70" s="797"/>
      <c r="AI70" s="797"/>
      <c r="AJ70" s="797"/>
      <c r="AK70" s="797"/>
      <c r="AL70" s="797"/>
      <c r="AM70" s="797"/>
      <c r="AN70" s="797"/>
      <c r="AO70" s="797"/>
      <c r="AP70" s="797"/>
      <c r="AQ70" s="797"/>
      <c r="AR70" s="797"/>
      <c r="AS70" s="797"/>
      <c r="AT70" s="812"/>
      <c r="AU70" s="812"/>
      <c r="AV70" s="812"/>
      <c r="AW70" s="1092"/>
      <c r="AX70" s="812"/>
    </row>
    <row r="71" spans="1:50" ht="12.75" thickBot="1">
      <c r="A71" s="1524">
        <v>62</v>
      </c>
      <c r="B71" s="1111" t="s">
        <v>1433</v>
      </c>
      <c r="C71" s="1132"/>
      <c r="D71" s="1133"/>
      <c r="E71" s="1132"/>
      <c r="F71" s="1129"/>
      <c r="G71" s="1124"/>
      <c r="H71" s="1124"/>
      <c r="I71" s="1679"/>
      <c r="J71" s="1130"/>
      <c r="K71" s="1125"/>
      <c r="L71" s="1124"/>
      <c r="M71" s="1138">
        <f>+M69/$E69</f>
        <v>66.331480650000003</v>
      </c>
      <c r="N71" s="1124"/>
      <c r="O71" s="1127"/>
      <c r="P71" s="1126"/>
      <c r="Q71" s="1127"/>
      <c r="R71" s="1124"/>
      <c r="S71" s="1128"/>
      <c r="T71" s="1130"/>
      <c r="U71" s="1138">
        <f ca="1">+U69/$E69</f>
        <v>81.803537788750006</v>
      </c>
      <c r="V71" s="2032"/>
      <c r="W71" s="1130">
        <f ca="1">+U71-M71</f>
        <v>15.472057138750003</v>
      </c>
      <c r="X71" s="1130">
        <f ca="1">W71/M71</f>
        <v>0.23325360729377903</v>
      </c>
      <c r="Y71" s="1039"/>
      <c r="Z71" s="820"/>
      <c r="AA71" s="821"/>
      <c r="AB71" s="821"/>
      <c r="AC71" s="821"/>
      <c r="AD71" s="821"/>
      <c r="AE71" s="821"/>
      <c r="AF71" s="797"/>
      <c r="AG71" s="797"/>
      <c r="AH71" s="797"/>
      <c r="AI71" s="797"/>
      <c r="AJ71" s="797"/>
      <c r="AK71" s="797"/>
      <c r="AL71" s="797"/>
      <c r="AM71" s="797"/>
      <c r="AN71" s="797"/>
      <c r="AO71" s="797"/>
      <c r="AP71" s="797"/>
      <c r="AQ71" s="797"/>
      <c r="AR71" s="797"/>
      <c r="AS71" s="797"/>
      <c r="AT71" s="812"/>
      <c r="AU71" s="812"/>
      <c r="AV71" s="812"/>
      <c r="AW71" s="1092"/>
      <c r="AX71" s="812"/>
    </row>
    <row r="72" spans="1:50" ht="12.75" thickTop="1">
      <c r="A72" s="1524">
        <v>63</v>
      </c>
      <c r="B72" s="1106" t="s">
        <v>1376</v>
      </c>
      <c r="C72" s="1124">
        <v>1795.2</v>
      </c>
      <c r="D72" s="1129"/>
      <c r="E72" s="1124"/>
      <c r="F72" s="1129"/>
      <c r="G72" s="1124"/>
      <c r="H72" s="1124"/>
      <c r="I72" s="1679"/>
      <c r="J72" s="1130"/>
      <c r="K72" s="1125"/>
      <c r="L72" s="1124"/>
      <c r="M72" s="1125"/>
      <c r="N72" s="1124"/>
      <c r="O72" s="1127"/>
      <c r="P72" s="1126"/>
      <c r="Q72" s="1127"/>
      <c r="R72" s="1124"/>
      <c r="S72" s="1128"/>
      <c r="T72" s="1129"/>
      <c r="U72" s="1131"/>
      <c r="V72" s="2028"/>
      <c r="W72" s="1129"/>
      <c r="X72" s="1129"/>
      <c r="Y72" s="1040"/>
      <c r="Z72" s="820"/>
      <c r="AA72" s="821"/>
      <c r="AB72" s="821"/>
      <c r="AC72" s="821"/>
      <c r="AD72" s="821"/>
      <c r="AE72" s="821"/>
      <c r="AF72" s="797"/>
      <c r="AG72" s="797"/>
      <c r="AH72" s="797"/>
      <c r="AI72" s="797"/>
      <c r="AJ72" s="797"/>
      <c r="AK72" s="797"/>
      <c r="AL72" s="797"/>
      <c r="AM72" s="797"/>
      <c r="AN72" s="797"/>
      <c r="AO72" s="797"/>
      <c r="AP72" s="797"/>
      <c r="AQ72" s="797"/>
      <c r="AR72" s="797"/>
      <c r="AS72" s="797"/>
      <c r="AT72" s="1094"/>
      <c r="AU72" s="1094"/>
      <c r="AV72" s="1094"/>
      <c r="AW72" s="1094"/>
      <c r="AX72" s="1094"/>
    </row>
    <row r="73" spans="1:50">
      <c r="A73" s="1524">
        <v>64</v>
      </c>
      <c r="B73" s="1141" t="s">
        <v>660</v>
      </c>
      <c r="C73" s="1124"/>
      <c r="D73" s="1129"/>
      <c r="E73" s="1124">
        <v>288</v>
      </c>
      <c r="F73" s="1129"/>
      <c r="G73" s="1124"/>
      <c r="H73" s="1124"/>
      <c r="I73" s="1682">
        <v>28.67</v>
      </c>
      <c r="J73" s="1130"/>
      <c r="K73" s="1125">
        <f>+E73*I73</f>
        <v>8256.9600000000009</v>
      </c>
      <c r="L73" s="1124"/>
      <c r="M73" s="1125">
        <f>+K73</f>
        <v>8256.9600000000009</v>
      </c>
      <c r="N73" s="1124"/>
      <c r="O73" s="1127">
        <f>+E73</f>
        <v>288</v>
      </c>
      <c r="P73" s="1126"/>
      <c r="Q73" s="1127"/>
      <c r="R73" s="1124"/>
      <c r="S73" s="1142">
        <f ca="1">'wp - t-1 COSS'!$F$15</f>
        <v>40.229999999999997</v>
      </c>
      <c r="T73" s="1130"/>
      <c r="U73" s="1143">
        <f ca="1">+O73*S73</f>
        <v>11586.24</v>
      </c>
      <c r="V73" s="2029"/>
      <c r="W73" s="1130"/>
      <c r="X73" s="1130"/>
      <c r="Y73" s="1039"/>
      <c r="Z73" s="820"/>
      <c r="AA73" s="821"/>
      <c r="AB73" s="821"/>
      <c r="AC73" s="821"/>
      <c r="AD73" s="821"/>
      <c r="AE73" s="821"/>
      <c r="AF73" s="797"/>
      <c r="AG73" s="797"/>
      <c r="AH73" s="797"/>
      <c r="AI73" s="797"/>
      <c r="AJ73" s="797"/>
      <c r="AK73" s="797"/>
      <c r="AL73" s="797"/>
      <c r="AM73" s="797"/>
      <c r="AN73" s="797"/>
      <c r="AO73" s="797"/>
      <c r="AP73" s="797"/>
      <c r="AQ73" s="797"/>
      <c r="AR73" s="797"/>
      <c r="AS73" s="797"/>
      <c r="AT73" s="812"/>
      <c r="AU73" s="812"/>
      <c r="AV73" s="812"/>
      <c r="AW73" s="1092"/>
      <c r="AX73" s="812"/>
    </row>
    <row r="74" spans="1:50">
      <c r="A74" s="1524">
        <v>65</v>
      </c>
      <c r="B74" s="1141" t="s">
        <v>661</v>
      </c>
      <c r="C74" s="1124"/>
      <c r="D74" s="1129"/>
      <c r="E74" s="1124"/>
      <c r="F74" s="1129"/>
      <c r="G74" s="1124">
        <v>292.78500000000003</v>
      </c>
      <c r="H74" s="1124"/>
      <c r="I74" s="1680">
        <v>3.86</v>
      </c>
      <c r="J74" s="1130"/>
      <c r="K74" s="1127">
        <f>+G74*I74</f>
        <v>1130.1501000000001</v>
      </c>
      <c r="L74" s="1124"/>
      <c r="M74" s="1125">
        <f t="shared" ref="M74:M78" si="24">+K74</f>
        <v>1130.1501000000001</v>
      </c>
      <c r="N74" s="1124"/>
      <c r="O74" s="1127"/>
      <c r="P74" s="1126"/>
      <c r="Q74" s="1127">
        <f>+G74</f>
        <v>292.78500000000003</v>
      </c>
      <c r="R74" s="1124"/>
      <c r="S74" s="2114">
        <f ca="1">'wp - t-1 COSS'!$F$33</f>
        <v>3.8170000000000002</v>
      </c>
      <c r="T74" s="1130"/>
      <c r="U74" s="1143">
        <f ca="1">+Q74*S74</f>
        <v>1117.5603450000001</v>
      </c>
      <c r="V74" s="2029"/>
      <c r="W74" s="1130"/>
      <c r="X74" s="1130"/>
      <c r="Y74" s="1039"/>
      <c r="Z74" s="820"/>
      <c r="AA74" s="821"/>
      <c r="AB74" s="821"/>
      <c r="AC74" s="821"/>
      <c r="AD74" s="821"/>
      <c r="AE74" s="821"/>
      <c r="AF74" s="797"/>
      <c r="AG74" s="797"/>
      <c r="AH74" s="797"/>
      <c r="AI74" s="797"/>
      <c r="AJ74" s="797"/>
      <c r="AK74" s="797"/>
      <c r="AL74" s="797"/>
      <c r="AM74" s="797"/>
      <c r="AN74" s="797"/>
      <c r="AO74" s="797"/>
      <c r="AP74" s="797"/>
      <c r="AQ74" s="797"/>
      <c r="AR74" s="797"/>
      <c r="AS74" s="797"/>
      <c r="AT74" s="812"/>
      <c r="AU74" s="812"/>
      <c r="AV74" s="812"/>
      <c r="AW74" s="1092"/>
      <c r="AX74" s="812"/>
    </row>
    <row r="75" spans="1:50">
      <c r="A75" s="1524">
        <v>66</v>
      </c>
      <c r="B75" s="1141" t="s">
        <v>706</v>
      </c>
      <c r="C75" s="1124"/>
      <c r="D75" s="1129"/>
      <c r="E75" s="1124"/>
      <c r="F75" s="1129"/>
      <c r="G75" s="1124">
        <v>172.51499999999999</v>
      </c>
      <c r="H75" s="1124"/>
      <c r="I75" s="1680">
        <v>3.53</v>
      </c>
      <c r="J75" s="1130"/>
      <c r="K75" s="1127">
        <f t="shared" ref="K75:K78" si="25">+G75*I75</f>
        <v>608.97794999999996</v>
      </c>
      <c r="L75" s="1124"/>
      <c r="M75" s="1125">
        <f t="shared" si="24"/>
        <v>608.97794999999996</v>
      </c>
      <c r="N75" s="1124"/>
      <c r="O75" s="1127"/>
      <c r="P75" s="1126"/>
      <c r="Q75" s="1127">
        <f t="shared" ref="Q75:Q78" si="26">+G75</f>
        <v>172.51499999999999</v>
      </c>
      <c r="R75" s="1124"/>
      <c r="S75" s="2114">
        <f ca="1">'wp - t-1 COSS'!$F$33</f>
        <v>3.8170000000000002</v>
      </c>
      <c r="T75" s="1130"/>
      <c r="U75" s="1143">
        <f t="shared" ref="U75:U78" ca="1" si="27">+Q75*S75</f>
        <v>658.48975499999995</v>
      </c>
      <c r="V75" s="2029"/>
      <c r="W75" s="1130"/>
      <c r="X75" s="1130"/>
      <c r="Y75" s="1040"/>
      <c r="Z75" s="820"/>
      <c r="AA75" s="821"/>
      <c r="AB75" s="821"/>
      <c r="AC75" s="821"/>
      <c r="AD75" s="821"/>
      <c r="AE75" s="821"/>
      <c r="AF75" s="797"/>
      <c r="AG75" s="797"/>
      <c r="AH75" s="797"/>
      <c r="AI75" s="797"/>
      <c r="AJ75" s="797"/>
      <c r="AK75" s="797"/>
      <c r="AL75" s="797"/>
      <c r="AM75" s="797"/>
      <c r="AN75" s="797"/>
      <c r="AO75" s="797"/>
      <c r="AP75" s="797"/>
      <c r="AQ75" s="797"/>
      <c r="AR75" s="797"/>
      <c r="AS75" s="797"/>
      <c r="AT75" s="812"/>
      <c r="AU75" s="812"/>
      <c r="AV75" s="812"/>
      <c r="AW75" s="1092"/>
      <c r="AX75" s="812"/>
    </row>
    <row r="76" spans="1:50">
      <c r="A76" s="1524">
        <v>67</v>
      </c>
      <c r="B76" s="1141" t="s">
        <v>707</v>
      </c>
      <c r="C76" s="1124"/>
      <c r="D76" s="1129"/>
      <c r="E76" s="1124"/>
      <c r="F76" s="1129"/>
      <c r="G76" s="1124">
        <v>43.4</v>
      </c>
      <c r="H76" s="1124"/>
      <c r="I76" s="1680">
        <v>3.35</v>
      </c>
      <c r="J76" s="1130"/>
      <c r="K76" s="1127">
        <f t="shared" si="25"/>
        <v>145.38999999999999</v>
      </c>
      <c r="L76" s="1124"/>
      <c r="M76" s="1125">
        <f t="shared" si="24"/>
        <v>145.38999999999999</v>
      </c>
      <c r="N76" s="1124"/>
      <c r="O76" s="1127"/>
      <c r="P76" s="1126"/>
      <c r="Q76" s="1127">
        <f t="shared" si="26"/>
        <v>43.4</v>
      </c>
      <c r="R76" s="1124"/>
      <c r="S76" s="2114">
        <f ca="1">'wp - t-1 COSS'!$F$33</f>
        <v>3.8170000000000002</v>
      </c>
      <c r="T76" s="1130"/>
      <c r="U76" s="1143">
        <f t="shared" ca="1" si="27"/>
        <v>165.65780000000001</v>
      </c>
      <c r="V76" s="2029"/>
      <c r="W76" s="1130"/>
      <c r="X76" s="1130"/>
      <c r="Y76" s="1040"/>
      <c r="Z76" s="820"/>
      <c r="AA76" s="821"/>
      <c r="AB76" s="821"/>
      <c r="AC76" s="821"/>
      <c r="AD76" s="821"/>
      <c r="AE76" s="821"/>
      <c r="AF76" s="797"/>
      <c r="AG76" s="797"/>
      <c r="AH76" s="797"/>
      <c r="AI76" s="797"/>
      <c r="AJ76" s="797"/>
      <c r="AK76" s="797"/>
      <c r="AL76" s="797"/>
      <c r="AM76" s="797"/>
      <c r="AN76" s="797"/>
      <c r="AO76" s="797"/>
      <c r="AP76" s="797"/>
      <c r="AQ76" s="797"/>
      <c r="AR76" s="797"/>
      <c r="AS76" s="797"/>
      <c r="AT76" s="812"/>
      <c r="AU76" s="1094"/>
      <c r="AV76" s="812"/>
      <c r="AW76" s="1092"/>
      <c r="AX76" s="812"/>
    </row>
    <row r="77" spans="1:50">
      <c r="A77" s="1524">
        <v>68</v>
      </c>
      <c r="B77" s="1141" t="s">
        <v>708</v>
      </c>
      <c r="C77" s="1124"/>
      <c r="D77" s="1129"/>
      <c r="E77" s="1124"/>
      <c r="F77" s="1129"/>
      <c r="G77" s="1124">
        <v>0</v>
      </c>
      <c r="H77" s="1124"/>
      <c r="I77" s="1680">
        <v>3.01</v>
      </c>
      <c r="J77" s="1130"/>
      <c r="K77" s="1127">
        <f t="shared" si="25"/>
        <v>0</v>
      </c>
      <c r="L77" s="1124"/>
      <c r="M77" s="1125">
        <f t="shared" si="24"/>
        <v>0</v>
      </c>
      <c r="N77" s="1124"/>
      <c r="O77" s="1127"/>
      <c r="P77" s="1126"/>
      <c r="Q77" s="1127">
        <f t="shared" si="26"/>
        <v>0</v>
      </c>
      <c r="R77" s="1124"/>
      <c r="S77" s="2114">
        <f ca="1">'wp - t-1 COSS'!$F$33</f>
        <v>3.8170000000000002</v>
      </c>
      <c r="T77" s="1130"/>
      <c r="U77" s="1143">
        <f t="shared" ca="1" si="27"/>
        <v>0</v>
      </c>
      <c r="V77" s="2029"/>
      <c r="W77" s="1130"/>
      <c r="X77" s="1130"/>
      <c r="Y77" s="1040"/>
      <c r="Z77" s="820"/>
      <c r="AA77" s="821"/>
      <c r="AB77" s="821"/>
      <c r="AC77" s="821"/>
      <c r="AD77" s="821"/>
      <c r="AE77" s="797"/>
      <c r="AF77" s="797"/>
      <c r="AG77" s="797"/>
      <c r="AH77" s="797"/>
      <c r="AI77" s="797"/>
      <c r="AJ77" s="797"/>
      <c r="AK77" s="797"/>
      <c r="AL77" s="797"/>
      <c r="AM77" s="797"/>
      <c r="AN77" s="797"/>
      <c r="AO77" s="797"/>
      <c r="AP77" s="797"/>
      <c r="AQ77" s="797"/>
      <c r="AR77" s="797"/>
      <c r="AS77" s="797"/>
      <c r="AT77" s="812"/>
      <c r="AU77" s="1094"/>
      <c r="AV77" s="812"/>
      <c r="AW77" s="1092"/>
      <c r="AX77" s="812"/>
    </row>
    <row r="78" spans="1:50">
      <c r="A78" s="1524">
        <v>69</v>
      </c>
      <c r="B78" s="1141" t="s">
        <v>711</v>
      </c>
      <c r="C78" s="1124"/>
      <c r="D78" s="1129"/>
      <c r="E78" s="1124"/>
      <c r="F78" s="1129"/>
      <c r="G78" s="1124">
        <v>0</v>
      </c>
      <c r="H78" s="1124"/>
      <c r="I78" s="1680">
        <v>2.76</v>
      </c>
      <c r="J78" s="1130"/>
      <c r="K78" s="1127">
        <f t="shared" si="25"/>
        <v>0</v>
      </c>
      <c r="L78" s="1124"/>
      <c r="M78" s="1125">
        <f t="shared" si="24"/>
        <v>0</v>
      </c>
      <c r="N78" s="1124"/>
      <c r="O78" s="1127"/>
      <c r="P78" s="1126"/>
      <c r="Q78" s="1127">
        <f t="shared" si="26"/>
        <v>0</v>
      </c>
      <c r="R78" s="1124"/>
      <c r="S78" s="2114">
        <f ca="1">'wp - t-1 COSS'!$F$33</f>
        <v>3.8170000000000002</v>
      </c>
      <c r="T78" s="1130"/>
      <c r="U78" s="1143">
        <f t="shared" ca="1" si="27"/>
        <v>0</v>
      </c>
      <c r="V78" s="2029"/>
      <c r="W78" s="1130"/>
      <c r="X78" s="1130"/>
      <c r="Y78" s="1040"/>
      <c r="Z78" s="820"/>
      <c r="AA78" s="821"/>
      <c r="AB78" s="821"/>
      <c r="AC78" s="821"/>
      <c r="AD78" s="821"/>
      <c r="AE78" s="797"/>
      <c r="AF78" s="797"/>
      <c r="AG78" s="797"/>
      <c r="AH78" s="797"/>
      <c r="AI78" s="797"/>
      <c r="AJ78" s="797"/>
      <c r="AK78" s="797"/>
      <c r="AL78" s="797"/>
      <c r="AM78" s="797"/>
      <c r="AN78" s="797"/>
      <c r="AO78" s="797"/>
      <c r="AP78" s="797"/>
      <c r="AQ78" s="797"/>
      <c r="AR78" s="797"/>
      <c r="AS78" s="797"/>
      <c r="AT78" s="812"/>
      <c r="AU78" s="1094"/>
      <c r="AV78" s="812"/>
      <c r="AW78" s="1092"/>
      <c r="AX78" s="812"/>
    </row>
    <row r="79" spans="1:50" s="1110" customFormat="1" ht="12.75" thickBot="1">
      <c r="A79" s="1524">
        <v>70</v>
      </c>
      <c r="B79" s="1109" t="s">
        <v>1375</v>
      </c>
      <c r="C79" s="1145">
        <f>SUM(C72:C78)</f>
        <v>1795.2</v>
      </c>
      <c r="D79" s="1135"/>
      <c r="E79" s="1145">
        <f>SUM(E72:E78)</f>
        <v>288</v>
      </c>
      <c r="F79" s="1135"/>
      <c r="G79" s="1145">
        <f>SUM(G72:G78)</f>
        <v>508.7</v>
      </c>
      <c r="H79" s="1096"/>
      <c r="I79" s="1678"/>
      <c r="J79" s="1097"/>
      <c r="K79" s="1136">
        <f>SUM(K72:K78)</f>
        <v>10141.478050000002</v>
      </c>
      <c r="L79" s="1096"/>
      <c r="M79" s="1136">
        <f>SUM(M72:M78)</f>
        <v>10141.478050000002</v>
      </c>
      <c r="N79" s="1096"/>
      <c r="O79" s="1145">
        <f>SUM(O72:O78)</f>
        <v>288</v>
      </c>
      <c r="P79" s="1099"/>
      <c r="Q79" s="1145">
        <f>SUM(Q72:Q78)</f>
        <v>508.7</v>
      </c>
      <c r="R79" s="1096"/>
      <c r="S79" s="1128"/>
      <c r="T79" s="1135"/>
      <c r="U79" s="1136">
        <f ca="1">SUM(U72:U78)</f>
        <v>13527.947900000001</v>
      </c>
      <c r="V79" s="2030"/>
      <c r="W79" s="1135"/>
      <c r="X79" s="1038"/>
      <c r="Y79" s="941"/>
      <c r="Z79" s="831"/>
      <c r="AA79" s="832"/>
      <c r="AB79" s="832"/>
      <c r="AC79" s="832"/>
      <c r="AD79" s="832"/>
      <c r="AE79" s="832"/>
      <c r="AF79" s="832" t="s">
        <v>425</v>
      </c>
      <c r="AG79" s="1103"/>
      <c r="AH79" s="1097"/>
      <c r="AI79" s="1135"/>
      <c r="AJ79" s="1135"/>
      <c r="AK79" s="1135"/>
      <c r="AL79" s="1097"/>
      <c r="AM79" s="833"/>
      <c r="AN79" s="1097"/>
      <c r="AO79" s="833"/>
      <c r="AP79" s="1097"/>
      <c r="AQ79" s="833"/>
      <c r="AR79" s="1097"/>
      <c r="AS79" s="833"/>
      <c r="AT79" s="834"/>
      <c r="AU79" s="834"/>
      <c r="AV79" s="834"/>
      <c r="AW79" s="834"/>
      <c r="AX79" s="834"/>
    </row>
    <row r="80" spans="1:50" ht="12.75" thickTop="1">
      <c r="A80" s="1524">
        <v>71</v>
      </c>
      <c r="B80" s="1109"/>
      <c r="C80" s="1132"/>
      <c r="D80" s="1133"/>
      <c r="E80" s="1132"/>
      <c r="F80" s="1129"/>
      <c r="G80" s="1124"/>
      <c r="H80" s="1124"/>
      <c r="I80" s="1679"/>
      <c r="J80" s="1130"/>
      <c r="K80" s="1125"/>
      <c r="L80" s="1124"/>
      <c r="M80" s="1125"/>
      <c r="N80" s="1124"/>
      <c r="O80" s="1127"/>
      <c r="P80" s="1126"/>
      <c r="Q80" s="1127"/>
      <c r="R80" s="1124"/>
      <c r="S80" s="1128"/>
      <c r="T80" s="1130"/>
      <c r="U80" s="1093"/>
      <c r="V80" s="2031"/>
      <c r="W80" s="1130"/>
      <c r="X80" s="1130"/>
      <c r="Y80" s="1039"/>
      <c r="Z80" s="820"/>
      <c r="AA80" s="821"/>
      <c r="AB80" s="821"/>
      <c r="AC80" s="821"/>
      <c r="AD80" s="821"/>
      <c r="AE80" s="821"/>
      <c r="AF80" s="797"/>
      <c r="AG80" s="797"/>
      <c r="AH80" s="797"/>
      <c r="AI80" s="797"/>
      <c r="AJ80" s="797"/>
      <c r="AK80" s="797"/>
      <c r="AL80" s="797"/>
      <c r="AM80" s="797"/>
      <c r="AN80" s="797"/>
      <c r="AO80" s="797"/>
      <c r="AP80" s="797"/>
      <c r="AQ80" s="797"/>
      <c r="AR80" s="797"/>
      <c r="AS80" s="797"/>
      <c r="AT80" s="812"/>
      <c r="AU80" s="812"/>
      <c r="AV80" s="812"/>
      <c r="AW80" s="1092"/>
      <c r="AX80" s="812"/>
    </row>
    <row r="81" spans="1:50" ht="12.75" thickBot="1">
      <c r="A81" s="1524">
        <v>72</v>
      </c>
      <c r="B81" s="1111" t="s">
        <v>1374</v>
      </c>
      <c r="C81" s="1132"/>
      <c r="D81" s="1133"/>
      <c r="E81" s="1132"/>
      <c r="F81" s="1129"/>
      <c r="G81" s="1124"/>
      <c r="H81" s="1124"/>
      <c r="I81" s="1679"/>
      <c r="J81" s="1130"/>
      <c r="K81" s="1125"/>
      <c r="L81" s="1124"/>
      <c r="M81" s="1138">
        <f>+M79/$E79</f>
        <v>35.213465451388892</v>
      </c>
      <c r="N81" s="1124"/>
      <c r="O81" s="1127"/>
      <c r="P81" s="1126"/>
      <c r="Q81" s="1127"/>
      <c r="R81" s="1124"/>
      <c r="S81" s="1128"/>
      <c r="T81" s="1130"/>
      <c r="U81" s="1138">
        <f ca="1">+U79/$E79</f>
        <v>46.97204131944445</v>
      </c>
      <c r="V81" s="2032"/>
      <c r="W81" s="1130">
        <f ca="1">+U81-M81</f>
        <v>11.758575868055559</v>
      </c>
      <c r="X81" s="1130">
        <f ca="1">W81/M81</f>
        <v>0.33392271159133463</v>
      </c>
      <c r="Y81" s="1039"/>
      <c r="Z81" s="820"/>
      <c r="AA81" s="821"/>
      <c r="AB81" s="821"/>
      <c r="AC81" s="821"/>
      <c r="AD81" s="821"/>
      <c r="AE81" s="821"/>
      <c r="AF81" s="797"/>
      <c r="AG81" s="797"/>
      <c r="AH81" s="797"/>
      <c r="AI81" s="797"/>
      <c r="AJ81" s="797"/>
      <c r="AK81" s="797"/>
      <c r="AL81" s="797"/>
      <c r="AM81" s="797"/>
      <c r="AN81" s="797"/>
      <c r="AO81" s="797"/>
      <c r="AP81" s="797"/>
      <c r="AQ81" s="797"/>
      <c r="AR81" s="797"/>
      <c r="AS81" s="797"/>
      <c r="AT81" s="812"/>
      <c r="AU81" s="812"/>
      <c r="AV81" s="812"/>
      <c r="AW81" s="1092"/>
      <c r="AX81" s="812"/>
    </row>
    <row r="82" spans="1:50" ht="12.75" thickTop="1">
      <c r="A82" s="1524">
        <v>73</v>
      </c>
      <c r="B82" s="1106" t="s">
        <v>1370</v>
      </c>
      <c r="C82" s="1124">
        <v>564.53300000000002</v>
      </c>
      <c r="D82" s="1129"/>
      <c r="E82" s="1124"/>
      <c r="F82" s="1129"/>
      <c r="G82" s="1124"/>
      <c r="H82" s="1124"/>
      <c r="I82" s="1679"/>
      <c r="J82" s="1130"/>
      <c r="K82" s="1125"/>
      <c r="L82" s="1124"/>
      <c r="M82" s="1125"/>
      <c r="N82" s="1124"/>
      <c r="O82" s="1127"/>
      <c r="P82" s="1126"/>
      <c r="Q82" s="1127"/>
      <c r="R82" s="1124"/>
      <c r="S82" s="1128"/>
      <c r="T82" s="1129"/>
      <c r="U82" s="1131"/>
      <c r="V82" s="2028"/>
      <c r="W82" s="1129"/>
      <c r="X82" s="1129"/>
      <c r="Y82" s="1040"/>
      <c r="Z82" s="820"/>
      <c r="AA82" s="821"/>
      <c r="AB82" s="821"/>
      <c r="AC82" s="821"/>
      <c r="AD82" s="821"/>
      <c r="AE82" s="821"/>
      <c r="AF82" s="797"/>
      <c r="AG82" s="797"/>
      <c r="AH82" s="797"/>
      <c r="AI82" s="797"/>
      <c r="AJ82" s="797"/>
      <c r="AK82" s="797"/>
      <c r="AL82" s="797"/>
      <c r="AM82" s="797"/>
      <c r="AN82" s="797"/>
      <c r="AO82" s="797"/>
      <c r="AP82" s="797"/>
      <c r="AQ82" s="797"/>
      <c r="AR82" s="797"/>
      <c r="AS82" s="797"/>
      <c r="AT82" s="1094"/>
      <c r="AU82" s="1094"/>
      <c r="AV82" s="1094"/>
      <c r="AW82" s="1094"/>
      <c r="AX82" s="1094"/>
    </row>
    <row r="83" spans="1:50">
      <c r="A83" s="1524">
        <v>74</v>
      </c>
      <c r="B83" s="1141" t="s">
        <v>660</v>
      </c>
      <c r="C83" s="1124"/>
      <c r="D83" s="1129"/>
      <c r="E83" s="1124">
        <v>36</v>
      </c>
      <c r="F83" s="1129"/>
      <c r="G83" s="1124"/>
      <c r="H83" s="1124"/>
      <c r="I83" s="1682">
        <v>28.67</v>
      </c>
      <c r="J83" s="1130"/>
      <c r="K83" s="1125">
        <f>+E83*I83</f>
        <v>1032.1200000000001</v>
      </c>
      <c r="L83" s="1124"/>
      <c r="M83" s="1125">
        <f>+K83</f>
        <v>1032.1200000000001</v>
      </c>
      <c r="N83" s="1124"/>
      <c r="O83" s="1127">
        <f>+E83</f>
        <v>36</v>
      </c>
      <c r="P83" s="1126"/>
      <c r="Q83" s="1127"/>
      <c r="R83" s="1124"/>
      <c r="S83" s="1142">
        <f ca="1">'wp - t-1 COSS'!$F$15</f>
        <v>40.229999999999997</v>
      </c>
      <c r="T83" s="1130"/>
      <c r="U83" s="1143">
        <f ca="1">+O83*S83</f>
        <v>1448.28</v>
      </c>
      <c r="V83" s="2029"/>
      <c r="W83" s="1130"/>
      <c r="X83" s="1130"/>
      <c r="Y83" s="1039"/>
      <c r="Z83" s="820"/>
      <c r="AA83" s="821"/>
      <c r="AB83" s="821"/>
      <c r="AC83" s="821"/>
      <c r="AD83" s="821"/>
      <c r="AE83" s="821"/>
      <c r="AF83" s="797"/>
      <c r="AG83" s="797"/>
      <c r="AH83" s="797"/>
      <c r="AI83" s="797"/>
      <c r="AJ83" s="797"/>
      <c r="AK83" s="797"/>
      <c r="AL83" s="797"/>
      <c r="AM83" s="797"/>
      <c r="AN83" s="797"/>
      <c r="AO83" s="797"/>
      <c r="AP83" s="797"/>
      <c r="AQ83" s="797"/>
      <c r="AR83" s="797"/>
      <c r="AS83" s="797"/>
      <c r="AT83" s="812"/>
      <c r="AU83" s="812"/>
      <c r="AV83" s="812"/>
      <c r="AW83" s="1092"/>
      <c r="AX83" s="812"/>
    </row>
    <row r="84" spans="1:50">
      <c r="A84" s="1524">
        <v>75</v>
      </c>
      <c r="B84" s="1141" t="s">
        <v>661</v>
      </c>
      <c r="C84" s="1124"/>
      <c r="D84" s="1129"/>
      <c r="E84" s="1124"/>
      <c r="F84" s="1129"/>
      <c r="G84" s="1124">
        <v>94.67</v>
      </c>
      <c r="H84" s="1124"/>
      <c r="I84" s="1680">
        <v>3.86</v>
      </c>
      <c r="J84" s="1130"/>
      <c r="K84" s="1127">
        <f>+G84*I84</f>
        <v>365.42619999999999</v>
      </c>
      <c r="L84" s="1124"/>
      <c r="M84" s="1125">
        <f t="shared" ref="M84:M88" si="28">+K84</f>
        <v>365.42619999999999</v>
      </c>
      <c r="N84" s="1124"/>
      <c r="O84" s="1127"/>
      <c r="P84" s="1126"/>
      <c r="Q84" s="1127">
        <f>+G84</f>
        <v>94.67</v>
      </c>
      <c r="R84" s="1124"/>
      <c r="S84" s="2114">
        <f ca="1">'wp - t-1 COSS'!$F$33</f>
        <v>3.8170000000000002</v>
      </c>
      <c r="T84" s="1130"/>
      <c r="U84" s="1143">
        <f ca="1">+Q84*S84</f>
        <v>361.35539</v>
      </c>
      <c r="V84" s="2029"/>
      <c r="W84" s="1130"/>
      <c r="X84" s="1130"/>
      <c r="Y84" s="1039"/>
      <c r="Z84" s="820"/>
      <c r="AA84" s="821"/>
      <c r="AB84" s="821"/>
      <c r="AC84" s="821"/>
      <c r="AD84" s="821"/>
      <c r="AE84" s="821"/>
      <c r="AF84" s="797"/>
      <c r="AG84" s="797"/>
      <c r="AH84" s="797"/>
      <c r="AI84" s="797"/>
      <c r="AJ84" s="797"/>
      <c r="AK84" s="797"/>
      <c r="AL84" s="797"/>
      <c r="AM84" s="797"/>
      <c r="AN84" s="797"/>
      <c r="AO84" s="797"/>
      <c r="AP84" s="797"/>
      <c r="AQ84" s="797"/>
      <c r="AR84" s="797"/>
      <c r="AS84" s="797"/>
      <c r="AT84" s="812"/>
      <c r="AU84" s="812"/>
      <c r="AV84" s="812"/>
      <c r="AW84" s="1092"/>
      <c r="AX84" s="812"/>
    </row>
    <row r="85" spans="1:50">
      <c r="A85" s="1524">
        <v>76</v>
      </c>
      <c r="B85" s="1141" t="s">
        <v>706</v>
      </c>
      <c r="C85" s="1124"/>
      <c r="D85" s="1129"/>
      <c r="E85" s="1124"/>
      <c r="F85" s="1129"/>
      <c r="G85" s="1124">
        <v>184.26300000000001</v>
      </c>
      <c r="H85" s="1124"/>
      <c r="I85" s="1680">
        <v>3.53</v>
      </c>
      <c r="J85" s="1130"/>
      <c r="K85" s="1127">
        <f t="shared" ref="K85:K88" si="29">+G85*I85</f>
        <v>650.44839000000002</v>
      </c>
      <c r="L85" s="1124"/>
      <c r="M85" s="1125">
        <f t="shared" si="28"/>
        <v>650.44839000000002</v>
      </c>
      <c r="N85" s="1124"/>
      <c r="O85" s="1127"/>
      <c r="P85" s="1126"/>
      <c r="Q85" s="1127">
        <f t="shared" ref="Q85:Q88" si="30">+G85</f>
        <v>184.26300000000001</v>
      </c>
      <c r="R85" s="1124"/>
      <c r="S85" s="2114">
        <f ca="1">'wp - t-1 COSS'!$F$33</f>
        <v>3.8170000000000002</v>
      </c>
      <c r="T85" s="1130"/>
      <c r="U85" s="1143">
        <f t="shared" ref="U85:U88" ca="1" si="31">+Q85*S85</f>
        <v>703.33187100000009</v>
      </c>
      <c r="V85" s="2029"/>
      <c r="W85" s="1130"/>
      <c r="X85" s="1130"/>
      <c r="Y85" s="1040"/>
      <c r="Z85" s="820"/>
      <c r="AA85" s="821"/>
      <c r="AB85" s="821"/>
      <c r="AC85" s="821"/>
      <c r="AD85" s="821"/>
      <c r="AE85" s="821"/>
      <c r="AF85" s="797"/>
      <c r="AG85" s="797"/>
      <c r="AH85" s="797"/>
      <c r="AI85" s="797"/>
      <c r="AJ85" s="797"/>
      <c r="AK85" s="797"/>
      <c r="AL85" s="797"/>
      <c r="AM85" s="797"/>
      <c r="AN85" s="797"/>
      <c r="AO85" s="797"/>
      <c r="AP85" s="797"/>
      <c r="AQ85" s="797"/>
      <c r="AR85" s="797"/>
      <c r="AS85" s="797"/>
      <c r="AT85" s="812"/>
      <c r="AU85" s="812"/>
      <c r="AV85" s="812"/>
      <c r="AW85" s="1092"/>
      <c r="AX85" s="812"/>
    </row>
    <row r="86" spans="1:50">
      <c r="A86" s="1524">
        <v>77</v>
      </c>
      <c r="B86" s="1141" t="s">
        <v>707</v>
      </c>
      <c r="C86" s="1124"/>
      <c r="D86" s="1129"/>
      <c r="E86" s="1124"/>
      <c r="F86" s="1129"/>
      <c r="G86" s="1124">
        <v>81.900000000000006</v>
      </c>
      <c r="H86" s="1124"/>
      <c r="I86" s="1680">
        <v>3.35</v>
      </c>
      <c r="J86" s="1130"/>
      <c r="K86" s="1127">
        <f t="shared" si="29"/>
        <v>274.36500000000001</v>
      </c>
      <c r="L86" s="1124"/>
      <c r="M86" s="1125">
        <f t="shared" si="28"/>
        <v>274.36500000000001</v>
      </c>
      <c r="N86" s="1124"/>
      <c r="O86" s="1127"/>
      <c r="P86" s="1126"/>
      <c r="Q86" s="1127">
        <f t="shared" si="30"/>
        <v>81.900000000000006</v>
      </c>
      <c r="R86" s="1124"/>
      <c r="S86" s="2114">
        <f ca="1">'wp - t-1 COSS'!$F$33</f>
        <v>3.8170000000000002</v>
      </c>
      <c r="T86" s="1130"/>
      <c r="U86" s="1143">
        <f t="shared" ca="1" si="31"/>
        <v>312.61230000000006</v>
      </c>
      <c r="V86" s="2029"/>
      <c r="W86" s="1130"/>
      <c r="X86" s="1130"/>
      <c r="Y86" s="1040"/>
      <c r="Z86" s="820"/>
      <c r="AA86" s="821"/>
      <c r="AB86" s="821"/>
      <c r="AC86" s="821"/>
      <c r="AD86" s="821"/>
      <c r="AE86" s="821"/>
      <c r="AF86" s="797"/>
      <c r="AG86" s="797"/>
      <c r="AH86" s="797"/>
      <c r="AI86" s="797"/>
      <c r="AJ86" s="797"/>
      <c r="AK86" s="797"/>
      <c r="AL86" s="797"/>
      <c r="AM86" s="797"/>
      <c r="AN86" s="797"/>
      <c r="AO86" s="797"/>
      <c r="AP86" s="797"/>
      <c r="AQ86" s="797"/>
      <c r="AR86" s="797"/>
      <c r="AS86" s="797"/>
      <c r="AT86" s="812"/>
      <c r="AU86" s="1094"/>
      <c r="AV86" s="812"/>
      <c r="AW86" s="1092"/>
      <c r="AX86" s="812"/>
    </row>
    <row r="87" spans="1:50">
      <c r="A87" s="1524">
        <v>78</v>
      </c>
      <c r="B87" s="1141" t="s">
        <v>708</v>
      </c>
      <c r="C87" s="1124"/>
      <c r="D87" s="1129"/>
      <c r="E87" s="1124"/>
      <c r="F87" s="1129"/>
      <c r="G87" s="1124">
        <v>13.667</v>
      </c>
      <c r="H87" s="1124"/>
      <c r="I87" s="1680">
        <v>3.01</v>
      </c>
      <c r="J87" s="1130"/>
      <c r="K87" s="1127">
        <f t="shared" si="29"/>
        <v>41.13767</v>
      </c>
      <c r="L87" s="1124"/>
      <c r="M87" s="1125">
        <f t="shared" si="28"/>
        <v>41.13767</v>
      </c>
      <c r="N87" s="1124"/>
      <c r="O87" s="1127"/>
      <c r="P87" s="1126"/>
      <c r="Q87" s="1127">
        <f t="shared" si="30"/>
        <v>13.667</v>
      </c>
      <c r="R87" s="1124"/>
      <c r="S87" s="2114">
        <f ca="1">'wp - t-1 COSS'!$F$33</f>
        <v>3.8170000000000002</v>
      </c>
      <c r="T87" s="1130"/>
      <c r="U87" s="1143">
        <f t="shared" ca="1" si="31"/>
        <v>52.166938999999999</v>
      </c>
      <c r="V87" s="2029"/>
      <c r="W87" s="1130"/>
      <c r="X87" s="1130"/>
      <c r="Y87" s="1040"/>
      <c r="Z87" s="820"/>
      <c r="AA87" s="821"/>
      <c r="AB87" s="821"/>
      <c r="AC87" s="821"/>
      <c r="AD87" s="821"/>
      <c r="AE87" s="797"/>
      <c r="AF87" s="797"/>
      <c r="AG87" s="797"/>
      <c r="AH87" s="797"/>
      <c r="AI87" s="797"/>
      <c r="AJ87" s="797"/>
      <c r="AK87" s="797"/>
      <c r="AL87" s="797"/>
      <c r="AM87" s="797"/>
      <c r="AN87" s="797"/>
      <c r="AO87" s="797"/>
      <c r="AP87" s="797"/>
      <c r="AQ87" s="797"/>
      <c r="AR87" s="797"/>
      <c r="AS87" s="797"/>
      <c r="AT87" s="812"/>
      <c r="AU87" s="1094"/>
      <c r="AV87" s="812"/>
      <c r="AW87" s="1092"/>
      <c r="AX87" s="812"/>
    </row>
    <row r="88" spans="1:50">
      <c r="A88" s="1524">
        <v>79</v>
      </c>
      <c r="B88" s="1141" t="s">
        <v>711</v>
      </c>
      <c r="C88" s="1124"/>
      <c r="D88" s="1129"/>
      <c r="E88" s="1124"/>
      <c r="F88" s="1129"/>
      <c r="G88" s="1124">
        <v>0</v>
      </c>
      <c r="H88" s="1124"/>
      <c r="I88" s="1680">
        <v>2.76</v>
      </c>
      <c r="J88" s="1130"/>
      <c r="K88" s="1127">
        <f t="shared" si="29"/>
        <v>0</v>
      </c>
      <c r="L88" s="1124"/>
      <c r="M88" s="1125">
        <f t="shared" si="28"/>
        <v>0</v>
      </c>
      <c r="N88" s="1124"/>
      <c r="O88" s="1127"/>
      <c r="P88" s="1126"/>
      <c r="Q88" s="1127">
        <f t="shared" si="30"/>
        <v>0</v>
      </c>
      <c r="R88" s="1124"/>
      <c r="S88" s="2114">
        <f ca="1">'wp - t-1 COSS'!$F$33</f>
        <v>3.8170000000000002</v>
      </c>
      <c r="T88" s="1130"/>
      <c r="U88" s="1143">
        <f t="shared" ca="1" si="31"/>
        <v>0</v>
      </c>
      <c r="V88" s="2029"/>
      <c r="W88" s="1130"/>
      <c r="X88" s="1130"/>
      <c r="Y88" s="1040"/>
      <c r="Z88" s="820"/>
      <c r="AA88" s="821"/>
      <c r="AB88" s="821"/>
      <c r="AC88" s="821"/>
      <c r="AD88" s="821"/>
      <c r="AE88" s="797"/>
      <c r="AF88" s="797"/>
      <c r="AG88" s="797"/>
      <c r="AH88" s="797"/>
      <c r="AI88" s="797"/>
      <c r="AJ88" s="797"/>
      <c r="AK88" s="797"/>
      <c r="AL88" s="797"/>
      <c r="AM88" s="797"/>
      <c r="AN88" s="797"/>
      <c r="AO88" s="797"/>
      <c r="AP88" s="797"/>
      <c r="AQ88" s="797"/>
      <c r="AR88" s="797"/>
      <c r="AS88" s="797"/>
      <c r="AT88" s="812"/>
      <c r="AU88" s="1094"/>
      <c r="AV88" s="812"/>
      <c r="AW88" s="1092"/>
      <c r="AX88" s="812"/>
    </row>
    <row r="89" spans="1:50" s="1110" customFormat="1" ht="12.75" thickBot="1">
      <c r="A89" s="1524">
        <v>80</v>
      </c>
      <c r="B89" s="1109" t="s">
        <v>1369</v>
      </c>
      <c r="C89" s="1145">
        <f>SUM(C82:C88)</f>
        <v>564.53300000000002</v>
      </c>
      <c r="D89" s="1135"/>
      <c r="E89" s="1145">
        <f>SUM(E82:E88)</f>
        <v>36</v>
      </c>
      <c r="F89" s="1135"/>
      <c r="G89" s="1145">
        <f>SUM(G82:G88)</f>
        <v>374.49999999999994</v>
      </c>
      <c r="H89" s="1096"/>
      <c r="I89" s="1678"/>
      <c r="J89" s="1097"/>
      <c r="K89" s="1136">
        <f>SUM(K82:K88)</f>
        <v>2363.4972600000001</v>
      </c>
      <c r="L89" s="1096"/>
      <c r="M89" s="1136">
        <f>SUM(M82:M88)</f>
        <v>2363.4972600000001</v>
      </c>
      <c r="N89" s="1096"/>
      <c r="O89" s="1145">
        <f>SUM(O82:O88)</f>
        <v>36</v>
      </c>
      <c r="P89" s="1099"/>
      <c r="Q89" s="1145">
        <f>SUM(Q82:Q88)</f>
        <v>374.49999999999994</v>
      </c>
      <c r="R89" s="1096"/>
      <c r="S89" s="1128"/>
      <c r="T89" s="1135"/>
      <c r="U89" s="1136">
        <f ca="1">SUM(U82:U88)</f>
        <v>2877.7465000000002</v>
      </c>
      <c r="V89" s="2030"/>
      <c r="W89" s="1135"/>
      <c r="X89" s="1038"/>
      <c r="Y89" s="941"/>
      <c r="Z89" s="831"/>
      <c r="AA89" s="832"/>
      <c r="AB89" s="832"/>
      <c r="AC89" s="832"/>
      <c r="AD89" s="832"/>
      <c r="AE89" s="832"/>
      <c r="AF89" s="832" t="s">
        <v>425</v>
      </c>
      <c r="AG89" s="1103"/>
      <c r="AH89" s="1097"/>
      <c r="AI89" s="1135"/>
      <c r="AJ89" s="1135"/>
      <c r="AK89" s="1135"/>
      <c r="AL89" s="1097"/>
      <c r="AM89" s="833"/>
      <c r="AN89" s="1097"/>
      <c r="AO89" s="833"/>
      <c r="AP89" s="1097"/>
      <c r="AQ89" s="833"/>
      <c r="AR89" s="1097"/>
      <c r="AS89" s="833"/>
      <c r="AT89" s="834"/>
      <c r="AU89" s="834"/>
      <c r="AV89" s="834"/>
      <c r="AW89" s="834"/>
      <c r="AX89" s="834"/>
    </row>
    <row r="90" spans="1:50" ht="12.75" thickTop="1">
      <c r="A90" s="1524">
        <v>81</v>
      </c>
      <c r="B90" s="1109"/>
      <c r="C90" s="1132"/>
      <c r="D90" s="1133"/>
      <c r="E90" s="1132"/>
      <c r="F90" s="1129"/>
      <c r="G90" s="1124"/>
      <c r="H90" s="1124"/>
      <c r="I90" s="1679"/>
      <c r="J90" s="1130"/>
      <c r="K90" s="1125"/>
      <c r="L90" s="1124"/>
      <c r="M90" s="1125"/>
      <c r="N90" s="1124"/>
      <c r="O90" s="1127"/>
      <c r="P90" s="1126"/>
      <c r="Q90" s="1127"/>
      <c r="R90" s="1124"/>
      <c r="S90" s="1128"/>
      <c r="T90" s="1130"/>
      <c r="U90" s="1093"/>
      <c r="V90" s="2031"/>
      <c r="W90" s="1130"/>
      <c r="X90" s="1130"/>
      <c r="Y90" s="1039"/>
      <c r="Z90" s="820"/>
      <c r="AA90" s="821"/>
      <c r="AB90" s="821"/>
      <c r="AC90" s="821"/>
      <c r="AD90" s="821"/>
      <c r="AE90" s="821"/>
      <c r="AF90" s="797"/>
      <c r="AG90" s="797"/>
      <c r="AH90" s="797"/>
      <c r="AI90" s="797"/>
      <c r="AJ90" s="797"/>
      <c r="AK90" s="797"/>
      <c r="AL90" s="797"/>
      <c r="AM90" s="797"/>
      <c r="AN90" s="797"/>
      <c r="AO90" s="797"/>
      <c r="AP90" s="797"/>
      <c r="AQ90" s="797"/>
      <c r="AR90" s="797"/>
      <c r="AS90" s="797"/>
      <c r="AT90" s="812"/>
      <c r="AU90" s="812"/>
      <c r="AV90" s="812"/>
      <c r="AW90" s="1092"/>
      <c r="AX90" s="812"/>
    </row>
    <row r="91" spans="1:50" ht="12.75" thickBot="1">
      <c r="A91" s="1524">
        <v>82</v>
      </c>
      <c r="B91" s="1111" t="s">
        <v>1368</v>
      </c>
      <c r="C91" s="1132"/>
      <c r="D91" s="1133"/>
      <c r="E91" s="1132"/>
      <c r="F91" s="1129"/>
      <c r="G91" s="1124"/>
      <c r="H91" s="1124"/>
      <c r="I91" s="1679"/>
      <c r="J91" s="1130"/>
      <c r="K91" s="1125"/>
      <c r="L91" s="1124"/>
      <c r="M91" s="1138">
        <f>+M89/$E89</f>
        <v>65.652701666666673</v>
      </c>
      <c r="N91" s="1124"/>
      <c r="O91" s="1127"/>
      <c r="P91" s="1126"/>
      <c r="Q91" s="1127"/>
      <c r="R91" s="1124"/>
      <c r="S91" s="1128"/>
      <c r="T91" s="1130"/>
      <c r="U91" s="1138">
        <f ca="1">+U89/$E89</f>
        <v>79.937402777777777</v>
      </c>
      <c r="V91" s="2032"/>
      <c r="W91" s="1130">
        <f ca="1">+U91-M91</f>
        <v>14.284701111111104</v>
      </c>
      <c r="X91" s="1130">
        <f ca="1">W91/M91</f>
        <v>0.21757979105928801</v>
      </c>
      <c r="Y91" s="1039"/>
      <c r="Z91" s="820"/>
      <c r="AA91" s="821"/>
      <c r="AB91" s="821"/>
      <c r="AC91" s="821"/>
      <c r="AD91" s="821"/>
      <c r="AE91" s="821"/>
      <c r="AF91" s="797"/>
      <c r="AG91" s="797"/>
      <c r="AH91" s="797"/>
      <c r="AI91" s="797"/>
      <c r="AJ91" s="797"/>
      <c r="AK91" s="797"/>
      <c r="AL91" s="797"/>
      <c r="AM91" s="797"/>
      <c r="AN91" s="797"/>
      <c r="AO91" s="797"/>
      <c r="AP91" s="797"/>
      <c r="AQ91" s="797"/>
      <c r="AR91" s="797"/>
      <c r="AS91" s="797"/>
      <c r="AT91" s="812"/>
      <c r="AU91" s="812"/>
      <c r="AV91" s="812"/>
      <c r="AW91" s="1092"/>
      <c r="AX91" s="812"/>
    </row>
    <row r="92" spans="1:50" ht="12.75" thickTop="1">
      <c r="A92" s="1524">
        <v>83</v>
      </c>
      <c r="B92" s="1106" t="s">
        <v>1432</v>
      </c>
      <c r="C92" s="1124">
        <v>144.80000000000001</v>
      </c>
      <c r="D92" s="1129"/>
      <c r="E92" s="1124"/>
      <c r="F92" s="1129"/>
      <c r="G92" s="1124"/>
      <c r="H92" s="1124"/>
      <c r="I92" s="1679"/>
      <c r="J92" s="1130"/>
      <c r="K92" s="1125"/>
      <c r="L92" s="1124"/>
      <c r="M92" s="1125"/>
      <c r="N92" s="1124"/>
      <c r="O92" s="1127"/>
      <c r="P92" s="1126"/>
      <c r="Q92" s="1127"/>
      <c r="R92" s="1124"/>
      <c r="S92" s="1128"/>
      <c r="T92" s="1129"/>
      <c r="U92" s="1131"/>
      <c r="V92" s="2028"/>
      <c r="W92" s="1129"/>
      <c r="X92" s="1129"/>
      <c r="Y92" s="1040"/>
      <c r="Z92" s="820"/>
      <c r="AA92" s="821"/>
      <c r="AB92" s="821"/>
      <c r="AC92" s="821"/>
      <c r="AD92" s="821"/>
      <c r="AE92" s="821"/>
      <c r="AF92" s="797"/>
      <c r="AG92" s="797"/>
      <c r="AH92" s="797"/>
      <c r="AI92" s="797"/>
      <c r="AJ92" s="797"/>
      <c r="AK92" s="797"/>
      <c r="AL92" s="797"/>
      <c r="AM92" s="797"/>
      <c r="AN92" s="797"/>
      <c r="AO92" s="797"/>
      <c r="AP92" s="797"/>
      <c r="AQ92" s="797"/>
      <c r="AR92" s="797"/>
      <c r="AS92" s="797"/>
      <c r="AT92" s="1094"/>
      <c r="AU92" s="1094"/>
      <c r="AV92" s="1094"/>
      <c r="AW92" s="1094"/>
      <c r="AX92" s="1094"/>
    </row>
    <row r="93" spans="1:50">
      <c r="A93" s="1524">
        <v>84</v>
      </c>
      <c r="B93" s="1141" t="s">
        <v>660</v>
      </c>
      <c r="C93" s="1124"/>
      <c r="D93" s="1129"/>
      <c r="E93" s="1124">
        <v>12</v>
      </c>
      <c r="F93" s="1129"/>
      <c r="G93" s="1124"/>
      <c r="H93" s="1124"/>
      <c r="I93" s="1682">
        <v>28.67</v>
      </c>
      <c r="J93" s="1130"/>
      <c r="K93" s="1125">
        <f>+E93*I93</f>
        <v>344.04</v>
      </c>
      <c r="L93" s="1124"/>
      <c r="M93" s="1125">
        <f>+K93</f>
        <v>344.04</v>
      </c>
      <c r="N93" s="1124"/>
      <c r="O93" s="1127">
        <f>+E93</f>
        <v>12</v>
      </c>
      <c r="P93" s="1126"/>
      <c r="Q93" s="1127"/>
      <c r="R93" s="1124"/>
      <c r="S93" s="1142">
        <f ca="1">'wp - t-1 COSS'!$F$15</f>
        <v>40.229999999999997</v>
      </c>
      <c r="T93" s="1130"/>
      <c r="U93" s="1143">
        <f ca="1">+O93*S93</f>
        <v>482.76</v>
      </c>
      <c r="V93" s="2029"/>
      <c r="W93" s="1130"/>
      <c r="X93" s="1130"/>
      <c r="Y93" s="1039"/>
      <c r="Z93" s="820"/>
      <c r="AA93" s="821"/>
      <c r="AB93" s="821"/>
      <c r="AC93" s="821"/>
      <c r="AD93" s="821"/>
      <c r="AE93" s="821"/>
      <c r="AF93" s="797"/>
      <c r="AG93" s="797"/>
      <c r="AH93" s="797"/>
      <c r="AI93" s="797"/>
      <c r="AJ93" s="797"/>
      <c r="AK93" s="797"/>
      <c r="AL93" s="797"/>
      <c r="AM93" s="797"/>
      <c r="AN93" s="797"/>
      <c r="AO93" s="797"/>
      <c r="AP93" s="797"/>
      <c r="AQ93" s="797"/>
      <c r="AR93" s="797"/>
      <c r="AS93" s="797"/>
      <c r="AT93" s="812"/>
      <c r="AU93" s="812"/>
      <c r="AV93" s="812"/>
      <c r="AW93" s="1092"/>
      <c r="AX93" s="812"/>
    </row>
    <row r="94" spans="1:50">
      <c r="A94" s="1524">
        <v>85</v>
      </c>
      <c r="B94" s="1141" t="s">
        <v>661</v>
      </c>
      <c r="C94" s="1124"/>
      <c r="D94" s="1129"/>
      <c r="E94" s="1124"/>
      <c r="F94" s="1129"/>
      <c r="G94" s="1124">
        <v>47.731999999999999</v>
      </c>
      <c r="H94" s="1124"/>
      <c r="I94" s="1680">
        <v>3.86</v>
      </c>
      <c r="J94" s="1130"/>
      <c r="K94" s="1127">
        <f>+G94*I94</f>
        <v>184.24552</v>
      </c>
      <c r="L94" s="1124"/>
      <c r="M94" s="1125">
        <f t="shared" ref="M94:M98" si="32">+K94</f>
        <v>184.24552</v>
      </c>
      <c r="N94" s="1124"/>
      <c r="O94" s="1127"/>
      <c r="P94" s="1126"/>
      <c r="Q94" s="1127">
        <f>+G94</f>
        <v>47.731999999999999</v>
      </c>
      <c r="R94" s="1124"/>
      <c r="S94" s="2114">
        <f ca="1">'wp - t-1 COSS'!$F$33</f>
        <v>3.8170000000000002</v>
      </c>
      <c r="T94" s="1130"/>
      <c r="U94" s="1143">
        <f ca="1">+Q94*S94</f>
        <v>182.19304400000001</v>
      </c>
      <c r="V94" s="2029"/>
      <c r="W94" s="1130"/>
      <c r="X94" s="1130"/>
      <c r="Y94" s="1039"/>
      <c r="Z94" s="820"/>
      <c r="AA94" s="821"/>
      <c r="AB94" s="821"/>
      <c r="AC94" s="821"/>
      <c r="AD94" s="821"/>
      <c r="AE94" s="821"/>
      <c r="AF94" s="797"/>
      <c r="AG94" s="797"/>
      <c r="AH94" s="797"/>
      <c r="AI94" s="797"/>
      <c r="AJ94" s="797"/>
      <c r="AK94" s="797"/>
      <c r="AL94" s="797"/>
      <c r="AM94" s="797"/>
      <c r="AN94" s="797"/>
      <c r="AO94" s="797"/>
      <c r="AP94" s="797"/>
      <c r="AQ94" s="797"/>
      <c r="AR94" s="797"/>
      <c r="AS94" s="797"/>
      <c r="AT94" s="812"/>
      <c r="AU94" s="812"/>
      <c r="AV94" s="812"/>
      <c r="AW94" s="1092"/>
      <c r="AX94" s="812"/>
    </row>
    <row r="95" spans="1:50">
      <c r="A95" s="1524">
        <v>86</v>
      </c>
      <c r="B95" s="1141" t="s">
        <v>706</v>
      </c>
      <c r="C95" s="1124"/>
      <c r="D95" s="1129"/>
      <c r="E95" s="1124"/>
      <c r="F95" s="1129"/>
      <c r="G95" s="1124">
        <v>25.068000000000001</v>
      </c>
      <c r="H95" s="1124"/>
      <c r="I95" s="1680">
        <v>3.53</v>
      </c>
      <c r="J95" s="1130"/>
      <c r="K95" s="1127">
        <f t="shared" ref="K95:K98" si="33">+G95*I95</f>
        <v>88.490039999999993</v>
      </c>
      <c r="L95" s="1124"/>
      <c r="M95" s="1125">
        <f t="shared" si="32"/>
        <v>88.490039999999993</v>
      </c>
      <c r="N95" s="1124"/>
      <c r="O95" s="1127"/>
      <c r="P95" s="1126"/>
      <c r="Q95" s="1127">
        <f t="shared" ref="Q95:Q98" si="34">+G95</f>
        <v>25.068000000000001</v>
      </c>
      <c r="R95" s="1124"/>
      <c r="S95" s="2114">
        <f ca="1">'wp - t-1 COSS'!$F$33</f>
        <v>3.8170000000000002</v>
      </c>
      <c r="T95" s="1130"/>
      <c r="U95" s="1143">
        <f t="shared" ref="U95:U98" ca="1" si="35">+Q95*S95</f>
        <v>95.684556000000015</v>
      </c>
      <c r="V95" s="2029"/>
      <c r="W95" s="1130"/>
      <c r="X95" s="1130"/>
      <c r="Y95" s="1040"/>
      <c r="Z95" s="820"/>
      <c r="AA95" s="821"/>
      <c r="AB95" s="821"/>
      <c r="AC95" s="821"/>
      <c r="AD95" s="821"/>
      <c r="AE95" s="821"/>
      <c r="AF95" s="797"/>
      <c r="AG95" s="797"/>
      <c r="AH95" s="797"/>
      <c r="AI95" s="797"/>
      <c r="AJ95" s="797"/>
      <c r="AK95" s="797"/>
      <c r="AL95" s="797"/>
      <c r="AM95" s="797"/>
      <c r="AN95" s="797"/>
      <c r="AO95" s="797"/>
      <c r="AP95" s="797"/>
      <c r="AQ95" s="797"/>
      <c r="AR95" s="797"/>
      <c r="AS95" s="797"/>
      <c r="AT95" s="812"/>
      <c r="AU95" s="812"/>
      <c r="AV95" s="812"/>
      <c r="AW95" s="1092"/>
      <c r="AX95" s="812"/>
    </row>
    <row r="96" spans="1:50">
      <c r="A96" s="1524">
        <v>87</v>
      </c>
      <c r="B96" s="1141" t="s">
        <v>707</v>
      </c>
      <c r="C96" s="1124"/>
      <c r="D96" s="1129"/>
      <c r="E96" s="1124"/>
      <c r="F96" s="1129"/>
      <c r="G96" s="1124">
        <v>0</v>
      </c>
      <c r="H96" s="1124"/>
      <c r="I96" s="1680">
        <v>3.35</v>
      </c>
      <c r="J96" s="1130"/>
      <c r="K96" s="1127">
        <f t="shared" si="33"/>
        <v>0</v>
      </c>
      <c r="L96" s="1124"/>
      <c r="M96" s="1125">
        <f t="shared" si="32"/>
        <v>0</v>
      </c>
      <c r="N96" s="1124"/>
      <c r="O96" s="1127"/>
      <c r="P96" s="1126"/>
      <c r="Q96" s="1127">
        <f t="shared" si="34"/>
        <v>0</v>
      </c>
      <c r="R96" s="1124"/>
      <c r="S96" s="2114">
        <f ca="1">'wp - t-1 COSS'!$F$33</f>
        <v>3.8170000000000002</v>
      </c>
      <c r="T96" s="1130"/>
      <c r="U96" s="1143">
        <f t="shared" ca="1" si="35"/>
        <v>0</v>
      </c>
      <c r="V96" s="2029"/>
      <c r="W96" s="1130"/>
      <c r="X96" s="1130"/>
      <c r="Y96" s="1040"/>
      <c r="Z96" s="820"/>
      <c r="AA96" s="821"/>
      <c r="AB96" s="821"/>
      <c r="AC96" s="821"/>
      <c r="AD96" s="821"/>
      <c r="AE96" s="821"/>
      <c r="AF96" s="797"/>
      <c r="AG96" s="797"/>
      <c r="AH96" s="797"/>
      <c r="AI96" s="797"/>
      <c r="AJ96" s="797"/>
      <c r="AK96" s="797"/>
      <c r="AL96" s="797"/>
      <c r="AM96" s="797"/>
      <c r="AN96" s="797"/>
      <c r="AO96" s="797"/>
      <c r="AP96" s="797"/>
      <c r="AQ96" s="797"/>
      <c r="AR96" s="797"/>
      <c r="AS96" s="797"/>
      <c r="AT96" s="812"/>
      <c r="AU96" s="1094"/>
      <c r="AV96" s="812"/>
      <c r="AW96" s="1092"/>
      <c r="AX96" s="812"/>
    </row>
    <row r="97" spans="1:50">
      <c r="A97" s="1524">
        <v>88</v>
      </c>
      <c r="B97" s="1141" t="s">
        <v>708</v>
      </c>
      <c r="C97" s="1124"/>
      <c r="D97" s="1129"/>
      <c r="E97" s="1124"/>
      <c r="F97" s="1129"/>
      <c r="G97" s="1124">
        <v>0</v>
      </c>
      <c r="H97" s="1124"/>
      <c r="I97" s="1680">
        <v>3.01</v>
      </c>
      <c r="J97" s="1130"/>
      <c r="K97" s="1127">
        <f t="shared" si="33"/>
        <v>0</v>
      </c>
      <c r="L97" s="1124"/>
      <c r="M97" s="1125">
        <f t="shared" si="32"/>
        <v>0</v>
      </c>
      <c r="N97" s="1124"/>
      <c r="O97" s="1127"/>
      <c r="P97" s="1126"/>
      <c r="Q97" s="1127">
        <f t="shared" si="34"/>
        <v>0</v>
      </c>
      <c r="R97" s="1124"/>
      <c r="S97" s="2114">
        <f ca="1">'wp - t-1 COSS'!$F$33</f>
        <v>3.8170000000000002</v>
      </c>
      <c r="T97" s="1130"/>
      <c r="U97" s="1143">
        <f t="shared" ca="1" si="35"/>
        <v>0</v>
      </c>
      <c r="V97" s="2029"/>
      <c r="W97" s="1130"/>
      <c r="X97" s="1130"/>
      <c r="Y97" s="1040"/>
      <c r="Z97" s="820"/>
      <c r="AA97" s="821"/>
      <c r="AB97" s="821"/>
      <c r="AC97" s="821"/>
      <c r="AD97" s="821"/>
      <c r="AE97" s="797"/>
      <c r="AF97" s="797"/>
      <c r="AG97" s="797"/>
      <c r="AH97" s="797"/>
      <c r="AI97" s="797"/>
      <c r="AJ97" s="797"/>
      <c r="AK97" s="797"/>
      <c r="AL97" s="797"/>
      <c r="AM97" s="797"/>
      <c r="AN97" s="797"/>
      <c r="AO97" s="797"/>
      <c r="AP97" s="797"/>
      <c r="AQ97" s="797"/>
      <c r="AR97" s="797"/>
      <c r="AS97" s="797"/>
      <c r="AT97" s="812"/>
      <c r="AU97" s="1094"/>
      <c r="AV97" s="812"/>
      <c r="AW97" s="1092"/>
      <c r="AX97" s="812"/>
    </row>
    <row r="98" spans="1:50">
      <c r="A98" s="1524">
        <v>89</v>
      </c>
      <c r="B98" s="1141" t="s">
        <v>711</v>
      </c>
      <c r="C98" s="1124"/>
      <c r="D98" s="1129"/>
      <c r="E98" s="1124"/>
      <c r="F98" s="1129"/>
      <c r="G98" s="1124">
        <v>0</v>
      </c>
      <c r="H98" s="1124"/>
      <c r="I98" s="1680">
        <v>2.76</v>
      </c>
      <c r="J98" s="1130"/>
      <c r="K98" s="1127">
        <f t="shared" si="33"/>
        <v>0</v>
      </c>
      <c r="L98" s="1124"/>
      <c r="M98" s="1125">
        <f t="shared" si="32"/>
        <v>0</v>
      </c>
      <c r="N98" s="1124"/>
      <c r="O98" s="1127"/>
      <c r="P98" s="1126"/>
      <c r="Q98" s="1127">
        <f t="shared" si="34"/>
        <v>0</v>
      </c>
      <c r="R98" s="1124"/>
      <c r="S98" s="2114">
        <f ca="1">'wp - t-1 COSS'!$F$33</f>
        <v>3.8170000000000002</v>
      </c>
      <c r="T98" s="1130"/>
      <c r="U98" s="1143">
        <f t="shared" ca="1" si="35"/>
        <v>0</v>
      </c>
      <c r="V98" s="2029"/>
      <c r="W98" s="1130"/>
      <c r="X98" s="1130"/>
      <c r="Y98" s="1040"/>
      <c r="Z98" s="820"/>
      <c r="AA98" s="821"/>
      <c r="AB98" s="821"/>
      <c r="AC98" s="821"/>
      <c r="AD98" s="821"/>
      <c r="AE98" s="797"/>
      <c r="AF98" s="797"/>
      <c r="AG98" s="797"/>
      <c r="AH98" s="797"/>
      <c r="AI98" s="797"/>
      <c r="AJ98" s="797"/>
      <c r="AK98" s="797"/>
      <c r="AL98" s="797"/>
      <c r="AM98" s="797"/>
      <c r="AN98" s="797"/>
      <c r="AO98" s="797"/>
      <c r="AP98" s="797"/>
      <c r="AQ98" s="797"/>
      <c r="AR98" s="797"/>
      <c r="AS98" s="797"/>
      <c r="AT98" s="812"/>
      <c r="AU98" s="1094"/>
      <c r="AV98" s="812"/>
      <c r="AW98" s="1092"/>
      <c r="AX98" s="812"/>
    </row>
    <row r="99" spans="1:50" s="1110" customFormat="1" ht="12.75" thickBot="1">
      <c r="A99" s="1524">
        <v>90</v>
      </c>
      <c r="B99" s="1109" t="s">
        <v>1485</v>
      </c>
      <c r="C99" s="1145">
        <f>SUM(C92:C98)</f>
        <v>144.80000000000001</v>
      </c>
      <c r="D99" s="1135"/>
      <c r="E99" s="1145">
        <f>SUM(E92:E98)</f>
        <v>12</v>
      </c>
      <c r="F99" s="1135"/>
      <c r="G99" s="1145">
        <f>SUM(G92:G98)</f>
        <v>72.8</v>
      </c>
      <c r="H99" s="1096"/>
      <c r="I99" s="1678"/>
      <c r="J99" s="1097"/>
      <c r="K99" s="1136">
        <f>SUM(K92:K98)</f>
        <v>616.77556000000004</v>
      </c>
      <c r="L99" s="1096"/>
      <c r="M99" s="1136">
        <f>SUM(M92:M98)</f>
        <v>616.77556000000004</v>
      </c>
      <c r="N99" s="1096"/>
      <c r="O99" s="1145">
        <f>SUM(O92:O98)</f>
        <v>12</v>
      </c>
      <c r="P99" s="1099"/>
      <c r="Q99" s="1145">
        <f>SUM(Q92:Q98)</f>
        <v>72.8</v>
      </c>
      <c r="R99" s="1096"/>
      <c r="S99" s="1128"/>
      <c r="T99" s="1135"/>
      <c r="U99" s="1136">
        <f ca="1">SUM(U92:U98)</f>
        <v>760.63760000000002</v>
      </c>
      <c r="V99" s="2030"/>
      <c r="W99" s="1135"/>
      <c r="X99" s="1135"/>
      <c r="Y99" s="941"/>
      <c r="Z99" s="831"/>
      <c r="AA99" s="832"/>
      <c r="AB99" s="832"/>
      <c r="AC99" s="832"/>
      <c r="AD99" s="832"/>
      <c r="AE99" s="832"/>
      <c r="AF99" s="832" t="s">
        <v>425</v>
      </c>
      <c r="AG99" s="1103"/>
      <c r="AH99" s="1097"/>
      <c r="AI99" s="1135"/>
      <c r="AJ99" s="1135"/>
      <c r="AK99" s="1135"/>
      <c r="AL99" s="1097"/>
      <c r="AM99" s="833"/>
      <c r="AN99" s="1097"/>
      <c r="AO99" s="833"/>
      <c r="AP99" s="1097"/>
      <c r="AQ99" s="833"/>
      <c r="AR99" s="1097"/>
      <c r="AS99" s="833"/>
      <c r="AT99" s="834"/>
      <c r="AU99" s="834"/>
      <c r="AV99" s="834"/>
      <c r="AW99" s="834"/>
      <c r="AX99" s="834"/>
    </row>
    <row r="100" spans="1:50" ht="12.75" thickTop="1">
      <c r="A100" s="1524">
        <v>91</v>
      </c>
      <c r="B100" s="1109"/>
      <c r="C100" s="1132"/>
      <c r="D100" s="1133"/>
      <c r="E100" s="1132"/>
      <c r="F100" s="1129"/>
      <c r="G100" s="1124"/>
      <c r="H100" s="1124"/>
      <c r="I100" s="1679"/>
      <c r="J100" s="1130"/>
      <c r="K100" s="1125"/>
      <c r="L100" s="1124"/>
      <c r="M100" s="1125"/>
      <c r="N100" s="1124"/>
      <c r="O100" s="1127"/>
      <c r="P100" s="1126"/>
      <c r="Q100" s="1127"/>
      <c r="R100" s="1124"/>
      <c r="S100" s="1128"/>
      <c r="T100" s="1130"/>
      <c r="U100" s="1093"/>
      <c r="V100" s="2031"/>
      <c r="W100" s="1130"/>
      <c r="X100" s="1130"/>
      <c r="Y100" s="1039"/>
      <c r="Z100" s="820"/>
      <c r="AA100" s="821"/>
      <c r="AB100" s="821"/>
      <c r="AC100" s="821"/>
      <c r="AD100" s="821"/>
      <c r="AE100" s="821"/>
      <c r="AF100" s="797"/>
      <c r="AG100" s="797"/>
      <c r="AH100" s="797"/>
      <c r="AI100" s="797"/>
      <c r="AJ100" s="797"/>
      <c r="AK100" s="797"/>
      <c r="AL100" s="797"/>
      <c r="AM100" s="797"/>
      <c r="AN100" s="797"/>
      <c r="AO100" s="797"/>
      <c r="AP100" s="797"/>
      <c r="AQ100" s="797"/>
      <c r="AR100" s="797"/>
      <c r="AS100" s="797"/>
      <c r="AT100" s="812"/>
      <c r="AU100" s="812"/>
      <c r="AV100" s="812"/>
      <c r="AW100" s="1092"/>
      <c r="AX100" s="812"/>
    </row>
    <row r="101" spans="1:50" ht="12.75" thickBot="1">
      <c r="A101" s="1524">
        <v>92</v>
      </c>
      <c r="B101" s="1111" t="s">
        <v>1431</v>
      </c>
      <c r="C101" s="1132"/>
      <c r="D101" s="1133"/>
      <c r="E101" s="1132"/>
      <c r="F101" s="1129"/>
      <c r="G101" s="1124"/>
      <c r="H101" s="1124"/>
      <c r="I101" s="1679"/>
      <c r="J101" s="1130"/>
      <c r="K101" s="1125"/>
      <c r="L101" s="1124"/>
      <c r="M101" s="1138">
        <f>+M99/$E99</f>
        <v>51.397963333333337</v>
      </c>
      <c r="N101" s="1124"/>
      <c r="O101" s="1127"/>
      <c r="P101" s="1126"/>
      <c r="Q101" s="1127"/>
      <c r="R101" s="1124"/>
      <c r="S101" s="1128"/>
      <c r="T101" s="1130"/>
      <c r="U101" s="1138">
        <f ca="1">+U99/$E99</f>
        <v>63.386466666666671</v>
      </c>
      <c r="V101" s="2032"/>
      <c r="W101" s="1130">
        <f ca="1">+U101-M101</f>
        <v>11.988503333333334</v>
      </c>
      <c r="X101" s="1130">
        <f ca="1">W101/M101</f>
        <v>0.23324860667306596</v>
      </c>
      <c r="Y101" s="1039"/>
      <c r="Z101" s="820"/>
      <c r="AA101" s="821"/>
      <c r="AB101" s="821"/>
      <c r="AC101" s="821"/>
      <c r="AD101" s="821"/>
      <c r="AE101" s="821"/>
      <c r="AF101" s="797"/>
      <c r="AG101" s="797"/>
      <c r="AH101" s="797"/>
      <c r="AI101" s="797"/>
      <c r="AJ101" s="797"/>
      <c r="AK101" s="797"/>
      <c r="AL101" s="797"/>
      <c r="AM101" s="797"/>
      <c r="AN101" s="797"/>
      <c r="AO101" s="797"/>
      <c r="AP101" s="797"/>
      <c r="AQ101" s="797"/>
      <c r="AR101" s="797"/>
      <c r="AS101" s="797"/>
      <c r="AT101" s="812"/>
      <c r="AU101" s="812"/>
      <c r="AV101" s="812"/>
      <c r="AW101" s="1092"/>
      <c r="AX101" s="812"/>
    </row>
    <row r="102" spans="1:50" ht="12.75" thickTop="1">
      <c r="A102" s="1524">
        <v>93</v>
      </c>
      <c r="B102" s="1111"/>
      <c r="C102" s="1132"/>
      <c r="D102" s="1133"/>
      <c r="E102" s="1132"/>
      <c r="F102" s="1129"/>
      <c r="G102" s="1124"/>
      <c r="H102" s="1124"/>
      <c r="I102" s="1679"/>
      <c r="J102" s="1130"/>
      <c r="K102" s="1125"/>
      <c r="L102" s="1124"/>
      <c r="M102" s="1125"/>
      <c r="N102" s="1124"/>
      <c r="O102" s="1127"/>
      <c r="P102" s="1126"/>
      <c r="Q102" s="1127"/>
      <c r="R102" s="1124"/>
      <c r="S102" s="1128"/>
      <c r="T102" s="1130"/>
      <c r="U102" s="1093"/>
      <c r="V102" s="2031"/>
      <c r="W102" s="1130"/>
      <c r="X102" s="1130"/>
      <c r="Y102" s="1039"/>
      <c r="Z102" s="820"/>
      <c r="AA102" s="821"/>
      <c r="AB102" s="821"/>
      <c r="AC102" s="821"/>
      <c r="AD102" s="821"/>
      <c r="AE102" s="821"/>
      <c r="AF102" s="797"/>
      <c r="AG102" s="797"/>
      <c r="AH102" s="797"/>
      <c r="AI102" s="797"/>
      <c r="AJ102" s="797"/>
      <c r="AK102" s="797"/>
      <c r="AL102" s="797"/>
      <c r="AM102" s="797"/>
      <c r="AN102" s="797"/>
      <c r="AO102" s="797"/>
      <c r="AP102" s="797"/>
      <c r="AQ102" s="797"/>
      <c r="AR102" s="797"/>
      <c r="AS102" s="797"/>
      <c r="AT102" s="812"/>
      <c r="AU102" s="812"/>
      <c r="AV102" s="812"/>
      <c r="AW102" s="1092"/>
      <c r="AX102" s="812"/>
    </row>
    <row r="103" spans="1:50">
      <c r="A103" s="1524">
        <v>94</v>
      </c>
      <c r="B103" s="1106" t="s">
        <v>1367</v>
      </c>
      <c r="C103" s="1124">
        <v>7217.4210000000003</v>
      </c>
      <c r="D103" s="1129"/>
      <c r="E103" s="1124"/>
      <c r="F103" s="1129"/>
      <c r="G103" s="1124"/>
      <c r="H103" s="1124"/>
      <c r="I103" s="1679"/>
      <c r="J103" s="1130"/>
      <c r="K103" s="1125"/>
      <c r="L103" s="1124"/>
      <c r="M103" s="1125"/>
      <c r="N103" s="1124"/>
      <c r="O103" s="1127"/>
      <c r="P103" s="1126"/>
      <c r="Q103" s="1127"/>
      <c r="R103" s="1124"/>
      <c r="S103" s="1128"/>
      <c r="T103" s="1129"/>
      <c r="U103" s="1131"/>
      <c r="V103" s="2028"/>
      <c r="W103" s="1129"/>
      <c r="X103" s="1129"/>
      <c r="Y103" s="1040"/>
      <c r="Z103" s="820"/>
      <c r="AA103" s="821"/>
      <c r="AB103" s="821"/>
      <c r="AC103" s="821"/>
      <c r="AD103" s="821"/>
      <c r="AE103" s="821"/>
      <c r="AF103" s="797"/>
      <c r="AG103" s="797"/>
      <c r="AH103" s="797"/>
      <c r="AI103" s="797"/>
      <c r="AJ103" s="797"/>
      <c r="AK103" s="797"/>
      <c r="AL103" s="797"/>
      <c r="AM103" s="797"/>
      <c r="AN103" s="797"/>
      <c r="AO103" s="797"/>
      <c r="AP103" s="797"/>
      <c r="AQ103" s="797"/>
      <c r="AR103" s="797"/>
      <c r="AS103" s="797"/>
      <c r="AT103" s="1094"/>
      <c r="AU103" s="1094"/>
      <c r="AV103" s="1094"/>
      <c r="AW103" s="1094"/>
      <c r="AX103" s="1094"/>
    </row>
    <row r="104" spans="1:50">
      <c r="A104" s="1524">
        <v>95</v>
      </c>
      <c r="B104" s="1141" t="s">
        <v>3571</v>
      </c>
      <c r="C104" s="1124"/>
      <c r="D104" s="1129"/>
      <c r="E104" s="1124">
        <v>202</v>
      </c>
      <c r="F104" s="1129"/>
      <c r="G104" s="1124"/>
      <c r="H104" s="1124"/>
      <c r="I104" s="1682">
        <v>54.62</v>
      </c>
      <c r="J104" s="1130"/>
      <c r="K104" s="1125">
        <f>+E104*I104</f>
        <v>11033.24</v>
      </c>
      <c r="L104" s="1124"/>
      <c r="M104" s="1125">
        <f>+K104</f>
        <v>11033.24</v>
      </c>
      <c r="N104" s="1124"/>
      <c r="O104" s="1127">
        <f>+E104</f>
        <v>202</v>
      </c>
      <c r="P104" s="1126"/>
      <c r="Q104" s="1127"/>
      <c r="R104" s="1124"/>
      <c r="S104" s="1142">
        <f ca="1">'wp - t-1 COSS'!$F$16</f>
        <v>81.41</v>
      </c>
      <c r="T104" s="1130"/>
      <c r="U104" s="1143">
        <f ca="1">+O104*S104</f>
        <v>16444.82</v>
      </c>
      <c r="V104" s="2029"/>
      <c r="W104" s="1130"/>
      <c r="X104" s="1130"/>
      <c r="Y104" s="1039"/>
      <c r="Z104" s="820"/>
      <c r="AA104" s="821"/>
      <c r="AB104" s="821"/>
      <c r="AC104" s="821"/>
      <c r="AD104" s="821"/>
      <c r="AE104" s="821"/>
      <c r="AF104" s="797"/>
      <c r="AG104" s="797"/>
      <c r="AH104" s="797"/>
      <c r="AI104" s="797"/>
      <c r="AJ104" s="797"/>
      <c r="AK104" s="797"/>
      <c r="AL104" s="797"/>
      <c r="AM104" s="797"/>
      <c r="AN104" s="797"/>
      <c r="AO104" s="797"/>
      <c r="AP104" s="797"/>
      <c r="AQ104" s="797"/>
      <c r="AR104" s="797"/>
      <c r="AS104" s="797"/>
      <c r="AT104" s="812"/>
      <c r="AU104" s="812"/>
      <c r="AV104" s="812"/>
      <c r="AW104" s="1092"/>
      <c r="AX104" s="812"/>
    </row>
    <row r="105" spans="1:50">
      <c r="A105" s="1524">
        <v>96</v>
      </c>
      <c r="B105" s="1141" t="s">
        <v>3572</v>
      </c>
      <c r="C105" s="1132"/>
      <c r="D105" s="1133"/>
      <c r="E105" s="1132"/>
      <c r="F105" s="1129"/>
      <c r="G105" s="1124">
        <v>1224.558</v>
      </c>
      <c r="H105" s="1124"/>
      <c r="I105" s="1680">
        <v>3.53</v>
      </c>
      <c r="J105" s="1130"/>
      <c r="K105" s="1127">
        <f>I105*G105</f>
        <v>4322.6897399999998</v>
      </c>
      <c r="L105" s="1124"/>
      <c r="M105" s="1125">
        <f t="shared" ref="M105:M108" si="36">+K105</f>
        <v>4322.6897399999998</v>
      </c>
      <c r="N105" s="1124"/>
      <c r="O105" s="1127"/>
      <c r="P105" s="1126"/>
      <c r="Q105" s="1127">
        <f>+G105</f>
        <v>1224.558</v>
      </c>
      <c r="R105" s="1124"/>
      <c r="S105" s="2114">
        <f ca="1">'wp - t-1 COSS'!$F$34</f>
        <v>3.8170000000000002</v>
      </c>
      <c r="T105" s="1130"/>
      <c r="U105" s="1143">
        <f ca="1">+Q105*S105</f>
        <v>4674.1378860000004</v>
      </c>
      <c r="V105" s="2029"/>
      <c r="W105" s="1130"/>
      <c r="X105" s="1130"/>
      <c r="Y105" s="1039"/>
      <c r="Z105" s="820"/>
      <c r="AA105" s="821"/>
      <c r="AB105" s="821"/>
      <c r="AC105" s="821"/>
      <c r="AD105" s="821"/>
      <c r="AE105" s="821"/>
      <c r="AF105" s="797"/>
      <c r="AG105" s="797"/>
      <c r="AH105" s="797"/>
      <c r="AI105" s="797"/>
      <c r="AJ105" s="797"/>
      <c r="AK105" s="797"/>
      <c r="AL105" s="797"/>
      <c r="AM105" s="797"/>
      <c r="AN105" s="797"/>
      <c r="AO105" s="797"/>
      <c r="AP105" s="797"/>
      <c r="AQ105" s="797"/>
      <c r="AR105" s="797"/>
      <c r="AS105" s="797"/>
      <c r="AT105" s="812"/>
      <c r="AU105" s="812"/>
      <c r="AV105" s="812"/>
      <c r="AW105" s="1092"/>
      <c r="AX105" s="812"/>
    </row>
    <row r="106" spans="1:50">
      <c r="A106" s="1524">
        <v>97</v>
      </c>
      <c r="B106" s="1141" t="s">
        <v>707</v>
      </c>
      <c r="C106" s="1132"/>
      <c r="D106" s="1133"/>
      <c r="E106" s="1132"/>
      <c r="F106" s="1129"/>
      <c r="G106" s="1124">
        <v>1804.0840000000001</v>
      </c>
      <c r="H106" s="1124"/>
      <c r="I106" s="1680">
        <v>3.35</v>
      </c>
      <c r="J106" s="1130"/>
      <c r="K106" s="1127">
        <f t="shared" ref="K106:K108" si="37">I106*G106</f>
        <v>6043.6814000000004</v>
      </c>
      <c r="L106" s="1124"/>
      <c r="M106" s="1125">
        <f t="shared" si="36"/>
        <v>6043.6814000000004</v>
      </c>
      <c r="N106" s="1124"/>
      <c r="O106" s="1127"/>
      <c r="P106" s="1126"/>
      <c r="Q106" s="1127">
        <f t="shared" ref="Q106:Q108" si="38">+G106</f>
        <v>1804.0840000000001</v>
      </c>
      <c r="R106" s="1124"/>
      <c r="S106" s="2114">
        <f ca="1">'wp - t-1 COSS'!$F$34</f>
        <v>3.8170000000000002</v>
      </c>
      <c r="T106" s="1130"/>
      <c r="U106" s="1143">
        <f t="shared" ref="U106:U108" ca="1" si="39">+Q106*S106</f>
        <v>6886.1886280000008</v>
      </c>
      <c r="V106" s="2029"/>
      <c r="W106" s="1130"/>
      <c r="X106" s="1130"/>
      <c r="Y106" s="1040"/>
      <c r="Z106" s="820"/>
      <c r="AA106" s="821"/>
      <c r="AB106" s="821"/>
      <c r="AC106" s="821"/>
      <c r="AD106" s="821"/>
      <c r="AE106" s="821"/>
      <c r="AF106" s="797"/>
      <c r="AG106" s="797"/>
      <c r="AH106" s="797"/>
      <c r="AI106" s="797"/>
      <c r="AJ106" s="797"/>
      <c r="AK106" s="797"/>
      <c r="AL106" s="797"/>
      <c r="AM106" s="797"/>
      <c r="AN106" s="797"/>
      <c r="AO106" s="797"/>
      <c r="AP106" s="797"/>
      <c r="AQ106" s="797"/>
      <c r="AR106" s="797"/>
      <c r="AS106" s="797"/>
      <c r="AT106" s="812"/>
      <c r="AU106" s="812"/>
      <c r="AV106" s="812"/>
      <c r="AW106" s="1092"/>
      <c r="AX106" s="812"/>
    </row>
    <row r="107" spans="1:50">
      <c r="A107" s="1524">
        <v>98</v>
      </c>
      <c r="B107" s="1141" t="s">
        <v>708</v>
      </c>
      <c r="C107" s="1132"/>
      <c r="D107" s="1133"/>
      <c r="E107" s="1132"/>
      <c r="F107" s="1129"/>
      <c r="G107" s="1124">
        <v>1078.6869999999999</v>
      </c>
      <c r="H107" s="1124"/>
      <c r="I107" s="1680">
        <v>3.01</v>
      </c>
      <c r="J107" s="1130"/>
      <c r="K107" s="1127">
        <f t="shared" si="37"/>
        <v>3246.8478699999996</v>
      </c>
      <c r="L107" s="1124"/>
      <c r="M107" s="1125">
        <f t="shared" si="36"/>
        <v>3246.8478699999996</v>
      </c>
      <c r="N107" s="1124"/>
      <c r="O107" s="1127"/>
      <c r="P107" s="1126"/>
      <c r="Q107" s="1127">
        <f t="shared" si="38"/>
        <v>1078.6869999999999</v>
      </c>
      <c r="R107" s="1124"/>
      <c r="S107" s="2114">
        <f ca="1">'wp - t-1 COSS'!$F$34</f>
        <v>3.8170000000000002</v>
      </c>
      <c r="T107" s="1130"/>
      <c r="U107" s="1143">
        <f t="shared" ca="1" si="39"/>
        <v>4117.3482789999998</v>
      </c>
      <c r="V107" s="2029"/>
      <c r="W107" s="1130"/>
      <c r="X107" s="1130"/>
      <c r="Y107" s="1040"/>
      <c r="Z107" s="820"/>
      <c r="AA107" s="821"/>
      <c r="AB107" s="821"/>
      <c r="AC107" s="821"/>
      <c r="AD107" s="821"/>
      <c r="AE107" s="821"/>
      <c r="AF107" s="797"/>
      <c r="AG107" s="797"/>
      <c r="AH107" s="797"/>
      <c r="AI107" s="797"/>
      <c r="AJ107" s="797"/>
      <c r="AK107" s="797"/>
      <c r="AL107" s="797"/>
      <c r="AM107" s="797"/>
      <c r="AN107" s="797"/>
      <c r="AO107" s="797"/>
      <c r="AP107" s="797"/>
      <c r="AQ107" s="797"/>
      <c r="AR107" s="797"/>
      <c r="AS107" s="797"/>
      <c r="AT107" s="812"/>
      <c r="AU107" s="1094"/>
      <c r="AV107" s="812"/>
      <c r="AW107" s="1092"/>
      <c r="AX107" s="812"/>
    </row>
    <row r="108" spans="1:50">
      <c r="A108" s="1524">
        <v>99</v>
      </c>
      <c r="B108" s="1141" t="s">
        <v>711</v>
      </c>
      <c r="C108" s="1132"/>
      <c r="D108" s="1133"/>
      <c r="E108" s="1132"/>
      <c r="F108" s="1129"/>
      <c r="G108" s="1124">
        <v>1202.7</v>
      </c>
      <c r="H108" s="1124"/>
      <c r="I108" s="1680">
        <v>2.76</v>
      </c>
      <c r="J108" s="1130"/>
      <c r="K108" s="1127">
        <f t="shared" si="37"/>
        <v>3319.4519999999998</v>
      </c>
      <c r="L108" s="1124"/>
      <c r="M108" s="1125">
        <f t="shared" si="36"/>
        <v>3319.4519999999998</v>
      </c>
      <c r="N108" s="1124"/>
      <c r="O108" s="1127"/>
      <c r="P108" s="1126"/>
      <c r="Q108" s="1127">
        <f t="shared" si="38"/>
        <v>1202.7</v>
      </c>
      <c r="R108" s="1124"/>
      <c r="S108" s="2114">
        <f ca="1">'wp - t-1 COSS'!$F$34</f>
        <v>3.8170000000000002</v>
      </c>
      <c r="T108" s="1130"/>
      <c r="U108" s="1143">
        <f t="shared" ca="1" si="39"/>
        <v>4590.7058999999999</v>
      </c>
      <c r="V108" s="2029"/>
      <c r="W108" s="1130"/>
      <c r="X108" s="1130"/>
      <c r="Y108" s="1040"/>
      <c r="Z108" s="820"/>
      <c r="AA108" s="821"/>
      <c r="AB108" s="821"/>
      <c r="AC108" s="821"/>
      <c r="AD108" s="821"/>
      <c r="AE108" s="797"/>
      <c r="AF108" s="797"/>
      <c r="AG108" s="797"/>
      <c r="AH108" s="797"/>
      <c r="AI108" s="797"/>
      <c r="AJ108" s="797"/>
      <c r="AK108" s="797"/>
      <c r="AL108" s="797"/>
      <c r="AM108" s="797"/>
      <c r="AN108" s="797"/>
      <c r="AO108" s="797"/>
      <c r="AP108" s="797"/>
      <c r="AQ108" s="797"/>
      <c r="AR108" s="797"/>
      <c r="AS108" s="797"/>
      <c r="AT108" s="812"/>
      <c r="AU108" s="1094"/>
      <c r="AV108" s="812"/>
      <c r="AW108" s="1092"/>
      <c r="AX108" s="812"/>
    </row>
    <row r="109" spans="1:50" s="1110" customFormat="1" ht="12.75" thickBot="1">
      <c r="A109" s="1524">
        <v>100</v>
      </c>
      <c r="B109" s="1109" t="s">
        <v>1366</v>
      </c>
      <c r="C109" s="1134">
        <f>SUM(C103:C108)</f>
        <v>7217.4210000000003</v>
      </c>
      <c r="D109" s="1135"/>
      <c r="E109" s="1134">
        <f>SUM(E103:E108)</f>
        <v>202</v>
      </c>
      <c r="F109" s="1135"/>
      <c r="G109" s="1134">
        <f>SUM(G103:G108)</f>
        <v>5310.0289999999995</v>
      </c>
      <c r="H109" s="1096"/>
      <c r="I109" s="1678"/>
      <c r="J109" s="1097"/>
      <c r="K109" s="1146">
        <f>SUM(K104:K108)</f>
        <v>27965.91101</v>
      </c>
      <c r="L109" s="1096"/>
      <c r="M109" s="1146">
        <f>SUM(M104:M108)</f>
        <v>27965.91101</v>
      </c>
      <c r="N109" s="1096"/>
      <c r="O109" s="1134">
        <f>SUM(O103:O108)</f>
        <v>202</v>
      </c>
      <c r="P109" s="1099"/>
      <c r="Q109" s="1134">
        <f>SUM(Q103:Q108)</f>
        <v>5310.0289999999995</v>
      </c>
      <c r="R109" s="1096"/>
      <c r="S109" s="1142"/>
      <c r="T109" s="1135"/>
      <c r="U109" s="1146">
        <f ca="1">SUM(U104:U108)</f>
        <v>36713.200692999999</v>
      </c>
      <c r="V109" s="2030"/>
      <c r="W109" s="1135"/>
      <c r="X109" s="1135"/>
      <c r="Y109" s="941"/>
      <c r="Z109" s="831"/>
      <c r="AA109" s="832"/>
      <c r="AB109" s="832"/>
      <c r="AC109" s="832"/>
      <c r="AD109" s="832"/>
      <c r="AE109" s="832"/>
      <c r="AF109" s="832" t="s">
        <v>425</v>
      </c>
      <c r="AG109" s="1103"/>
      <c r="AH109" s="1097"/>
      <c r="AI109" s="1135"/>
      <c r="AJ109" s="1135"/>
      <c r="AK109" s="1135"/>
      <c r="AL109" s="1097"/>
      <c r="AM109" s="833"/>
      <c r="AN109" s="1097"/>
      <c r="AO109" s="833"/>
      <c r="AP109" s="1097"/>
      <c r="AQ109" s="833"/>
      <c r="AR109" s="1097"/>
      <c r="AS109" s="833"/>
      <c r="AT109" s="834"/>
      <c r="AU109" s="834"/>
      <c r="AV109" s="834"/>
      <c r="AW109" s="834"/>
      <c r="AX109" s="834"/>
    </row>
    <row r="110" spans="1:50" ht="12.75" thickTop="1">
      <c r="A110" s="1524">
        <v>101</v>
      </c>
      <c r="B110" s="1109"/>
      <c r="C110" s="1132"/>
      <c r="D110" s="1133"/>
      <c r="E110" s="1132"/>
      <c r="F110" s="1129"/>
      <c r="G110" s="1124"/>
      <c r="H110" s="1124"/>
      <c r="I110" s="1679"/>
      <c r="J110" s="1130"/>
      <c r="K110" s="1125"/>
      <c r="L110" s="1124"/>
      <c r="M110" s="1125"/>
      <c r="N110" s="1124"/>
      <c r="O110" s="1127"/>
      <c r="P110" s="1126"/>
      <c r="Q110" s="1127"/>
      <c r="R110" s="1124"/>
      <c r="S110" s="1128"/>
      <c r="T110" s="1130"/>
      <c r="U110" s="1093"/>
      <c r="V110" s="2031"/>
      <c r="W110" s="1130"/>
      <c r="X110" s="1130"/>
      <c r="Y110" s="1039"/>
      <c r="Z110" s="820"/>
      <c r="AA110" s="821"/>
      <c r="AB110" s="821"/>
      <c r="AC110" s="821"/>
      <c r="AD110" s="821"/>
      <c r="AE110" s="821"/>
      <c r="AF110" s="797"/>
      <c r="AG110" s="797"/>
      <c r="AH110" s="797"/>
      <c r="AI110" s="797"/>
      <c r="AJ110" s="797"/>
      <c r="AK110" s="797"/>
      <c r="AL110" s="797"/>
      <c r="AM110" s="797"/>
      <c r="AN110" s="797"/>
      <c r="AO110" s="797"/>
      <c r="AP110" s="797"/>
      <c r="AQ110" s="797"/>
      <c r="AR110" s="797"/>
      <c r="AS110" s="797"/>
      <c r="AT110" s="812"/>
      <c r="AU110" s="812"/>
      <c r="AV110" s="812"/>
      <c r="AW110" s="1092"/>
      <c r="AX110" s="812"/>
    </row>
    <row r="111" spans="1:50" ht="12.75" thickBot="1">
      <c r="A111" s="1524">
        <v>102</v>
      </c>
      <c r="B111" s="1111" t="s">
        <v>1365</v>
      </c>
      <c r="C111" s="1132"/>
      <c r="D111" s="1133"/>
      <c r="E111" s="1132"/>
      <c r="F111" s="1129"/>
      <c r="G111" s="1124"/>
      <c r="H111" s="1124"/>
      <c r="I111" s="1679"/>
      <c r="J111" s="1130"/>
      <c r="K111" s="1125"/>
      <c r="L111" s="1124"/>
      <c r="M111" s="1138">
        <f>+M109/$E109</f>
        <v>138.445104009901</v>
      </c>
      <c r="N111" s="1124"/>
      <c r="O111" s="1127"/>
      <c r="P111" s="1126"/>
      <c r="Q111" s="1127"/>
      <c r="R111" s="1124"/>
      <c r="S111" s="1128"/>
      <c r="T111" s="1130"/>
      <c r="U111" s="1138">
        <f ca="1">+U109/$E109</f>
        <v>181.74851828217822</v>
      </c>
      <c r="V111" s="2032"/>
      <c r="W111" s="1130">
        <f ca="1">+U111-M111</f>
        <v>43.303414272277223</v>
      </c>
      <c r="X111" s="1130">
        <f ca="1">W111/M111</f>
        <v>0.31278400620927954</v>
      </c>
      <c r="Y111" s="1039"/>
      <c r="Z111" s="820"/>
      <c r="AA111" s="821"/>
      <c r="AB111" s="821"/>
      <c r="AC111" s="821"/>
      <c r="AD111" s="821"/>
      <c r="AE111" s="821"/>
      <c r="AF111" s="797"/>
      <c r="AG111" s="797"/>
      <c r="AH111" s="797"/>
      <c r="AI111" s="797"/>
      <c r="AJ111" s="797"/>
      <c r="AK111" s="797"/>
      <c r="AL111" s="797"/>
      <c r="AM111" s="797"/>
      <c r="AN111" s="797"/>
      <c r="AO111" s="797"/>
      <c r="AP111" s="797"/>
      <c r="AQ111" s="797"/>
      <c r="AR111" s="797"/>
      <c r="AS111" s="797"/>
      <c r="AT111" s="812"/>
      <c r="AU111" s="812"/>
      <c r="AV111" s="812"/>
      <c r="AW111" s="1092"/>
      <c r="AX111" s="812"/>
    </row>
    <row r="112" spans="1:50" ht="12.75" thickTop="1">
      <c r="A112" s="1524">
        <v>103</v>
      </c>
      <c r="B112" s="1106" t="s">
        <v>1364</v>
      </c>
      <c r="C112" s="1124">
        <v>3591.1970000000001</v>
      </c>
      <c r="D112" s="1129"/>
      <c r="E112" s="1124"/>
      <c r="F112" s="1129"/>
      <c r="G112" s="1124"/>
      <c r="H112" s="1124"/>
      <c r="I112" s="1679"/>
      <c r="J112" s="1130"/>
      <c r="K112" s="1125"/>
      <c r="L112" s="1124"/>
      <c r="M112" s="1125"/>
      <c r="N112" s="1124"/>
      <c r="O112" s="1127"/>
      <c r="P112" s="1126"/>
      <c r="Q112" s="1127"/>
      <c r="R112" s="1124"/>
      <c r="S112" s="1128"/>
      <c r="T112" s="1129"/>
      <c r="U112" s="1131"/>
      <c r="V112" s="2028"/>
      <c r="W112" s="1129"/>
      <c r="X112" s="1129"/>
      <c r="Y112" s="1040"/>
      <c r="Z112" s="820"/>
      <c r="AA112" s="821"/>
      <c r="AB112" s="821"/>
      <c r="AC112" s="821"/>
      <c r="AD112" s="821"/>
      <c r="AE112" s="821"/>
      <c r="AF112" s="797"/>
      <c r="AG112" s="797"/>
      <c r="AH112" s="797"/>
      <c r="AI112" s="797"/>
      <c r="AJ112" s="797"/>
      <c r="AK112" s="797"/>
      <c r="AL112" s="797"/>
      <c r="AM112" s="797"/>
      <c r="AN112" s="797"/>
      <c r="AO112" s="797"/>
      <c r="AP112" s="797"/>
      <c r="AQ112" s="797"/>
      <c r="AR112" s="797"/>
      <c r="AS112" s="797"/>
      <c r="AT112" s="1094"/>
      <c r="AU112" s="1094"/>
      <c r="AV112" s="1094"/>
      <c r="AW112" s="1094"/>
      <c r="AX112" s="1094"/>
    </row>
    <row r="113" spans="1:50">
      <c r="A113" s="1524">
        <v>104</v>
      </c>
      <c r="B113" s="1141" t="s">
        <v>3571</v>
      </c>
      <c r="C113" s="1124"/>
      <c r="D113" s="1129"/>
      <c r="E113" s="1124">
        <v>60</v>
      </c>
      <c r="F113" s="1129"/>
      <c r="G113" s="1124"/>
      <c r="H113" s="1124"/>
      <c r="I113" s="1682">
        <v>54.62</v>
      </c>
      <c r="J113" s="1130"/>
      <c r="K113" s="1125">
        <f>+E113*I113</f>
        <v>3277.2</v>
      </c>
      <c r="L113" s="1124"/>
      <c r="M113" s="1125">
        <f>+K113</f>
        <v>3277.2</v>
      </c>
      <c r="N113" s="1124"/>
      <c r="O113" s="1127">
        <f>+E113</f>
        <v>60</v>
      </c>
      <c r="P113" s="1126"/>
      <c r="Q113" s="1127"/>
      <c r="R113" s="1124"/>
      <c r="S113" s="1142">
        <f ca="1">'wp - t-1 COSS'!$F$16</f>
        <v>81.41</v>
      </c>
      <c r="T113" s="1130"/>
      <c r="U113" s="1143">
        <f ca="1">+O113*S113</f>
        <v>4884.5999999999995</v>
      </c>
      <c r="V113" s="2029"/>
      <c r="W113" s="1130"/>
      <c r="X113" s="1130"/>
      <c r="Y113" s="1039"/>
      <c r="Z113" s="820"/>
      <c r="AA113" s="821"/>
      <c r="AB113" s="821"/>
      <c r="AC113" s="821"/>
      <c r="AD113" s="821"/>
      <c r="AE113" s="821"/>
      <c r="AF113" s="797"/>
      <c r="AG113" s="797"/>
      <c r="AH113" s="797"/>
      <c r="AI113" s="797"/>
      <c r="AJ113" s="797"/>
      <c r="AK113" s="797"/>
      <c r="AL113" s="797"/>
      <c r="AM113" s="797"/>
      <c r="AN113" s="797"/>
      <c r="AO113" s="797"/>
      <c r="AP113" s="797"/>
      <c r="AQ113" s="797"/>
      <c r="AR113" s="797"/>
      <c r="AS113" s="797"/>
      <c r="AT113" s="812"/>
      <c r="AU113" s="812"/>
      <c r="AV113" s="812"/>
      <c r="AW113" s="1092"/>
      <c r="AX113" s="812"/>
    </row>
    <row r="114" spans="1:50">
      <c r="A114" s="1524">
        <v>105</v>
      </c>
      <c r="B114" s="1141" t="s">
        <v>3572</v>
      </c>
      <c r="C114" s="1132"/>
      <c r="D114" s="1133"/>
      <c r="E114" s="1132"/>
      <c r="F114" s="1129"/>
      <c r="G114" s="1124">
        <v>155.19999999999999</v>
      </c>
      <c r="H114" s="1124"/>
      <c r="I114" s="1680">
        <v>3.53</v>
      </c>
      <c r="J114" s="1130"/>
      <c r="K114" s="1127">
        <f>+G114*I114</f>
        <v>547.85599999999988</v>
      </c>
      <c r="L114" s="1124"/>
      <c r="M114" s="1125">
        <f t="shared" ref="M114:M117" si="40">+K114</f>
        <v>547.85599999999988</v>
      </c>
      <c r="N114" s="1124"/>
      <c r="O114" s="1127"/>
      <c r="P114" s="1126"/>
      <c r="Q114" s="1127">
        <f>+G114</f>
        <v>155.19999999999999</v>
      </c>
      <c r="R114" s="1124"/>
      <c r="S114" s="2114">
        <f ca="1">'wp - t-1 COSS'!$F$34</f>
        <v>3.8170000000000002</v>
      </c>
      <c r="T114" s="1130"/>
      <c r="U114" s="1143">
        <f ca="1">+Q114*S114</f>
        <v>592.39840000000004</v>
      </c>
      <c r="V114" s="2029"/>
      <c r="W114" s="1130"/>
      <c r="X114" s="1130"/>
      <c r="Y114" s="1039"/>
      <c r="Z114" s="820"/>
      <c r="AA114" s="821"/>
      <c r="AB114" s="821"/>
      <c r="AC114" s="821"/>
      <c r="AD114" s="821"/>
      <c r="AE114" s="821"/>
      <c r="AF114" s="797"/>
      <c r="AG114" s="797"/>
      <c r="AH114" s="797"/>
      <c r="AI114" s="797"/>
      <c r="AJ114" s="797"/>
      <c r="AK114" s="797"/>
      <c r="AL114" s="797"/>
      <c r="AM114" s="797"/>
      <c r="AN114" s="797"/>
      <c r="AO114" s="797"/>
      <c r="AP114" s="797"/>
      <c r="AQ114" s="797"/>
      <c r="AR114" s="797"/>
      <c r="AS114" s="797"/>
      <c r="AT114" s="812"/>
      <c r="AU114" s="812"/>
      <c r="AV114" s="812"/>
      <c r="AW114" s="1092"/>
      <c r="AX114" s="812"/>
    </row>
    <row r="115" spans="1:50">
      <c r="A115" s="1524">
        <v>106</v>
      </c>
      <c r="B115" s="1141" t="s">
        <v>707</v>
      </c>
      <c r="C115" s="1132"/>
      <c r="D115" s="1133"/>
      <c r="E115" s="1132"/>
      <c r="F115" s="1129"/>
      <c r="G115" s="1124">
        <v>275.2</v>
      </c>
      <c r="H115" s="1124"/>
      <c r="I115" s="1680">
        <v>3.35</v>
      </c>
      <c r="J115" s="1130"/>
      <c r="K115" s="1127">
        <f t="shared" ref="K115:K117" si="41">+G115*I115</f>
        <v>921.92</v>
      </c>
      <c r="L115" s="1124"/>
      <c r="M115" s="1125">
        <f t="shared" si="40"/>
        <v>921.92</v>
      </c>
      <c r="N115" s="1124"/>
      <c r="O115" s="1127"/>
      <c r="P115" s="1126"/>
      <c r="Q115" s="1127">
        <f t="shared" ref="Q115:Q117" si="42">+G115</f>
        <v>275.2</v>
      </c>
      <c r="R115" s="1124"/>
      <c r="S115" s="2114">
        <f ca="1">'wp - t-1 COSS'!$F$34</f>
        <v>3.8170000000000002</v>
      </c>
      <c r="T115" s="1130"/>
      <c r="U115" s="1143">
        <f t="shared" ref="U115:U117" ca="1" si="43">+Q115*S115</f>
        <v>1050.4384</v>
      </c>
      <c r="V115" s="2029"/>
      <c r="W115" s="1130"/>
      <c r="X115" s="1130"/>
      <c r="Y115" s="1040"/>
      <c r="Z115" s="820"/>
      <c r="AA115" s="821"/>
      <c r="AB115" s="821"/>
      <c r="AC115" s="821"/>
      <c r="AD115" s="821"/>
      <c r="AE115" s="821"/>
      <c r="AF115" s="797"/>
      <c r="AG115" s="797"/>
      <c r="AH115" s="797"/>
      <c r="AI115" s="797"/>
      <c r="AJ115" s="797"/>
      <c r="AK115" s="797"/>
      <c r="AL115" s="797"/>
      <c r="AM115" s="797"/>
      <c r="AN115" s="797"/>
      <c r="AO115" s="797"/>
      <c r="AP115" s="797"/>
      <c r="AQ115" s="797"/>
      <c r="AR115" s="797"/>
      <c r="AS115" s="797"/>
      <c r="AT115" s="812"/>
      <c r="AU115" s="812"/>
      <c r="AV115" s="812"/>
      <c r="AW115" s="1092"/>
      <c r="AX115" s="812"/>
    </row>
    <row r="116" spans="1:50">
      <c r="A116" s="1524">
        <v>107</v>
      </c>
      <c r="B116" s="1141" t="s">
        <v>708</v>
      </c>
      <c r="C116" s="1132"/>
      <c r="D116" s="1133"/>
      <c r="E116" s="1132"/>
      <c r="F116" s="1129"/>
      <c r="G116" s="1124">
        <v>550</v>
      </c>
      <c r="H116" s="1124"/>
      <c r="I116" s="1680">
        <v>3.01</v>
      </c>
      <c r="J116" s="1130"/>
      <c r="K116" s="1127">
        <f t="shared" si="41"/>
        <v>1655.4999999999998</v>
      </c>
      <c r="L116" s="1124"/>
      <c r="M116" s="1125">
        <f t="shared" si="40"/>
        <v>1655.4999999999998</v>
      </c>
      <c r="N116" s="1124"/>
      <c r="O116" s="1127"/>
      <c r="P116" s="1126"/>
      <c r="Q116" s="1127">
        <f t="shared" si="42"/>
        <v>550</v>
      </c>
      <c r="R116" s="1124"/>
      <c r="S116" s="2114">
        <f ca="1">'wp - t-1 COSS'!$F$34</f>
        <v>3.8170000000000002</v>
      </c>
      <c r="T116" s="1130"/>
      <c r="U116" s="1143">
        <f t="shared" ca="1" si="43"/>
        <v>2099.35</v>
      </c>
      <c r="V116" s="2029"/>
      <c r="W116" s="1130"/>
      <c r="X116" s="1130"/>
      <c r="Y116" s="1040"/>
      <c r="Z116" s="820"/>
      <c r="AA116" s="821"/>
      <c r="AB116" s="821"/>
      <c r="AC116" s="821"/>
      <c r="AD116" s="821"/>
      <c r="AE116" s="821"/>
      <c r="AF116" s="797"/>
      <c r="AG116" s="797"/>
      <c r="AH116" s="797"/>
      <c r="AI116" s="797"/>
      <c r="AJ116" s="797"/>
      <c r="AK116" s="797"/>
      <c r="AL116" s="797"/>
      <c r="AM116" s="797"/>
      <c r="AN116" s="797"/>
      <c r="AO116" s="797"/>
      <c r="AP116" s="797"/>
      <c r="AQ116" s="797"/>
      <c r="AR116" s="797"/>
      <c r="AS116" s="797"/>
      <c r="AT116" s="812"/>
      <c r="AU116" s="1094"/>
      <c r="AV116" s="812"/>
      <c r="AW116" s="1092"/>
      <c r="AX116" s="812"/>
    </row>
    <row r="117" spans="1:50">
      <c r="A117" s="1524">
        <v>108</v>
      </c>
      <c r="B117" s="1141" t="s">
        <v>711</v>
      </c>
      <c r="C117" s="1132"/>
      <c r="D117" s="1133"/>
      <c r="E117" s="1132"/>
      <c r="F117" s="1129"/>
      <c r="G117" s="1124">
        <v>2341.6999999999998</v>
      </c>
      <c r="H117" s="1124"/>
      <c r="I117" s="1680">
        <v>2.76</v>
      </c>
      <c r="J117" s="1130"/>
      <c r="K117" s="1127">
        <f t="shared" si="41"/>
        <v>6463.0919999999987</v>
      </c>
      <c r="L117" s="1124"/>
      <c r="M117" s="1125">
        <f t="shared" si="40"/>
        <v>6463.0919999999987</v>
      </c>
      <c r="N117" s="1124"/>
      <c r="O117" s="1127"/>
      <c r="P117" s="1126"/>
      <c r="Q117" s="1127">
        <f t="shared" si="42"/>
        <v>2341.6999999999998</v>
      </c>
      <c r="R117" s="1124"/>
      <c r="S117" s="2114">
        <f ca="1">'wp - t-1 COSS'!$F$34</f>
        <v>3.8170000000000002</v>
      </c>
      <c r="T117" s="1130"/>
      <c r="U117" s="1143">
        <f t="shared" ca="1" si="43"/>
        <v>8938.2688999999991</v>
      </c>
      <c r="V117" s="2029"/>
      <c r="W117" s="1130"/>
      <c r="X117" s="1130"/>
      <c r="Y117" s="1040"/>
      <c r="Z117" s="820"/>
      <c r="AA117" s="821"/>
      <c r="AB117" s="821"/>
      <c r="AC117" s="821"/>
      <c r="AD117" s="821"/>
      <c r="AE117" s="797"/>
      <c r="AF117" s="797"/>
      <c r="AG117" s="797"/>
      <c r="AH117" s="797"/>
      <c r="AI117" s="797"/>
      <c r="AJ117" s="797"/>
      <c r="AK117" s="797"/>
      <c r="AL117" s="797"/>
      <c r="AM117" s="797"/>
      <c r="AN117" s="797"/>
      <c r="AO117" s="797"/>
      <c r="AP117" s="797"/>
      <c r="AQ117" s="797"/>
      <c r="AR117" s="797"/>
      <c r="AS117" s="797"/>
      <c r="AT117" s="812"/>
      <c r="AU117" s="1094"/>
      <c r="AV117" s="812"/>
      <c r="AW117" s="1092"/>
      <c r="AX117" s="812"/>
    </row>
    <row r="118" spans="1:50" s="1110" customFormat="1" ht="12.75" thickBot="1">
      <c r="A118" s="1524">
        <v>109</v>
      </c>
      <c r="B118" s="1109" t="s">
        <v>1363</v>
      </c>
      <c r="C118" s="1134">
        <f>SUM(C112:C117)</f>
        <v>3591.1970000000001</v>
      </c>
      <c r="D118" s="1135"/>
      <c r="E118" s="1134">
        <f>SUM(E112:E117)</f>
        <v>60</v>
      </c>
      <c r="F118" s="1135"/>
      <c r="G118" s="1134">
        <f>SUM(G112:G117)</f>
        <v>3322.1</v>
      </c>
      <c r="H118" s="1096"/>
      <c r="I118" s="1678"/>
      <c r="J118" s="1097"/>
      <c r="K118" s="1146">
        <f>SUM(K113:K117)</f>
        <v>12865.567999999999</v>
      </c>
      <c r="L118" s="1096"/>
      <c r="M118" s="1146">
        <f>SUM(M113:M117)</f>
        <v>12865.567999999999</v>
      </c>
      <c r="N118" s="1096"/>
      <c r="O118" s="1134">
        <f>SUM(O112:O117)</f>
        <v>60</v>
      </c>
      <c r="P118" s="1099"/>
      <c r="Q118" s="1134">
        <f>SUM(Q112:Q117)</f>
        <v>3322.1</v>
      </c>
      <c r="R118" s="1096"/>
      <c r="S118" s="1142"/>
      <c r="T118" s="1135"/>
      <c r="U118" s="1146">
        <f ca="1">SUM(U113:U117)</f>
        <v>17565.055699999997</v>
      </c>
      <c r="V118" s="2030"/>
      <c r="W118" s="1135"/>
      <c r="X118" s="1135"/>
      <c r="Y118" s="941"/>
      <c r="Z118" s="831"/>
      <c r="AA118" s="832"/>
      <c r="AB118" s="832"/>
      <c r="AC118" s="832"/>
      <c r="AD118" s="832"/>
      <c r="AE118" s="832"/>
      <c r="AF118" s="832" t="s">
        <v>425</v>
      </c>
      <c r="AG118" s="1103"/>
      <c r="AH118" s="1097"/>
      <c r="AI118" s="1135"/>
      <c r="AJ118" s="1135"/>
      <c r="AK118" s="1135"/>
      <c r="AL118" s="1097"/>
      <c r="AM118" s="833"/>
      <c r="AN118" s="1097"/>
      <c r="AO118" s="833"/>
      <c r="AP118" s="1097"/>
      <c r="AQ118" s="833"/>
      <c r="AR118" s="1097"/>
      <c r="AS118" s="833"/>
      <c r="AT118" s="834"/>
      <c r="AU118" s="834"/>
      <c r="AV118" s="834"/>
      <c r="AW118" s="834"/>
      <c r="AX118" s="834"/>
    </row>
    <row r="119" spans="1:50" ht="12.75" thickTop="1">
      <c r="A119" s="1524">
        <v>110</v>
      </c>
      <c r="B119" s="1109"/>
      <c r="C119" s="1132"/>
      <c r="D119" s="1133"/>
      <c r="E119" s="1132"/>
      <c r="F119" s="1129"/>
      <c r="G119" s="1124"/>
      <c r="H119" s="1124"/>
      <c r="I119" s="1679"/>
      <c r="J119" s="1130"/>
      <c r="K119" s="1125"/>
      <c r="L119" s="1124"/>
      <c r="M119" s="1125"/>
      <c r="N119" s="1124"/>
      <c r="O119" s="1127"/>
      <c r="P119" s="1126"/>
      <c r="Q119" s="1127"/>
      <c r="R119" s="1124"/>
      <c r="S119" s="1128"/>
      <c r="T119" s="1130"/>
      <c r="U119" s="1093"/>
      <c r="V119" s="2031"/>
      <c r="W119" s="1130"/>
      <c r="X119" s="1130"/>
      <c r="Y119" s="1039"/>
      <c r="Z119" s="820"/>
      <c r="AA119" s="821"/>
      <c r="AB119" s="821"/>
      <c r="AC119" s="821"/>
      <c r="AD119" s="821"/>
      <c r="AE119" s="821"/>
      <c r="AF119" s="797"/>
      <c r="AG119" s="797"/>
      <c r="AH119" s="797"/>
      <c r="AI119" s="797"/>
      <c r="AJ119" s="797"/>
      <c r="AK119" s="797"/>
      <c r="AL119" s="797"/>
      <c r="AM119" s="797"/>
      <c r="AN119" s="797"/>
      <c r="AO119" s="797"/>
      <c r="AP119" s="797"/>
      <c r="AQ119" s="797"/>
      <c r="AR119" s="797"/>
      <c r="AS119" s="797"/>
      <c r="AT119" s="812"/>
      <c r="AU119" s="812"/>
      <c r="AV119" s="812"/>
      <c r="AW119" s="1092"/>
      <c r="AX119" s="812"/>
    </row>
    <row r="120" spans="1:50" ht="12.75" thickBot="1">
      <c r="A120" s="1524">
        <v>111</v>
      </c>
      <c r="B120" s="1111" t="s">
        <v>1362</v>
      </c>
      <c r="C120" s="1132"/>
      <c r="D120" s="1133"/>
      <c r="E120" s="1132"/>
      <c r="F120" s="1129"/>
      <c r="G120" s="1124"/>
      <c r="H120" s="1124"/>
      <c r="I120" s="1679"/>
      <c r="J120" s="1130"/>
      <c r="K120" s="1125"/>
      <c r="L120" s="1124"/>
      <c r="M120" s="1138">
        <f>+M118/$E118</f>
        <v>214.42613333333333</v>
      </c>
      <c r="N120" s="1124"/>
      <c r="O120" s="1127"/>
      <c r="P120" s="1126"/>
      <c r="Q120" s="1127"/>
      <c r="R120" s="1124"/>
      <c r="S120" s="1128"/>
      <c r="T120" s="1130"/>
      <c r="U120" s="1138">
        <f ca="1">+U118/$E118</f>
        <v>292.75092833333326</v>
      </c>
      <c r="V120" s="2032"/>
      <c r="W120" s="1130">
        <f ca="1">+U120-M120</f>
        <v>78.324794999999938</v>
      </c>
      <c r="X120" s="1130">
        <f ca="1">W120/M120</f>
        <v>0.36527634846747509</v>
      </c>
      <c r="Y120" s="1039"/>
      <c r="Z120" s="820"/>
      <c r="AA120" s="821"/>
      <c r="AB120" s="821"/>
      <c r="AC120" s="821"/>
      <c r="AD120" s="821"/>
      <c r="AE120" s="821"/>
      <c r="AF120" s="797"/>
      <c r="AG120" s="797"/>
      <c r="AH120" s="797"/>
      <c r="AI120" s="797"/>
      <c r="AJ120" s="797"/>
      <c r="AK120" s="797"/>
      <c r="AL120" s="797"/>
      <c r="AM120" s="797"/>
      <c r="AN120" s="797"/>
      <c r="AO120" s="797"/>
      <c r="AP120" s="797"/>
      <c r="AQ120" s="797"/>
      <c r="AR120" s="797"/>
      <c r="AS120" s="797"/>
      <c r="AT120" s="812"/>
      <c r="AU120" s="812"/>
      <c r="AV120" s="812"/>
      <c r="AW120" s="1092"/>
      <c r="AX120" s="812"/>
    </row>
    <row r="121" spans="1:50" ht="12.75" thickTop="1">
      <c r="A121" s="1524">
        <v>112</v>
      </c>
      <c r="B121" s="1106" t="s">
        <v>1430</v>
      </c>
      <c r="C121" s="1124">
        <v>1541.2909999999999</v>
      </c>
      <c r="D121" s="1129"/>
      <c r="E121" s="1124"/>
      <c r="F121" s="1129"/>
      <c r="G121" s="1124"/>
      <c r="H121" s="1124"/>
      <c r="I121" s="1683"/>
      <c r="J121" s="1130"/>
      <c r="K121" s="1125"/>
      <c r="L121" s="1124"/>
      <c r="M121" s="1125"/>
      <c r="N121" s="1124"/>
      <c r="O121" s="1127"/>
      <c r="P121" s="1126"/>
      <c r="Q121" s="1127"/>
      <c r="R121" s="1124"/>
      <c r="S121" s="1128"/>
      <c r="T121" s="1129"/>
      <c r="U121" s="1131"/>
      <c r="V121" s="2028"/>
      <c r="W121" s="1129"/>
      <c r="X121" s="1129"/>
      <c r="Y121" s="1040"/>
      <c r="Z121" s="820"/>
      <c r="AA121" s="821"/>
      <c r="AB121" s="821"/>
      <c r="AC121" s="821"/>
      <c r="AD121" s="821"/>
      <c r="AE121" s="821"/>
      <c r="AF121" s="797"/>
      <c r="AG121" s="797"/>
      <c r="AH121" s="797"/>
      <c r="AI121" s="797"/>
      <c r="AJ121" s="797"/>
      <c r="AK121" s="797"/>
      <c r="AL121" s="797"/>
      <c r="AM121" s="797"/>
      <c r="AN121" s="797"/>
      <c r="AO121" s="797"/>
      <c r="AP121" s="797"/>
      <c r="AQ121" s="797"/>
      <c r="AR121" s="797"/>
      <c r="AS121" s="797"/>
      <c r="AT121" s="1094"/>
      <c r="AU121" s="1094"/>
      <c r="AV121" s="1094"/>
      <c r="AW121" s="1094"/>
      <c r="AX121" s="1094"/>
    </row>
    <row r="122" spans="1:50">
      <c r="A122" s="1524">
        <v>113</v>
      </c>
      <c r="B122" s="1141" t="s">
        <v>3571</v>
      </c>
      <c r="C122" s="1124"/>
      <c r="D122" s="1129"/>
      <c r="E122" s="1124">
        <v>24</v>
      </c>
      <c r="F122" s="1129"/>
      <c r="G122" s="1124"/>
      <c r="H122" s="1124"/>
      <c r="I122" s="1682">
        <v>54.62</v>
      </c>
      <c r="J122" s="1130"/>
      <c r="K122" s="1125">
        <f>+E122*I122</f>
        <v>1310.8799999999999</v>
      </c>
      <c r="L122" s="1124"/>
      <c r="M122" s="1125">
        <f>+K122</f>
        <v>1310.8799999999999</v>
      </c>
      <c r="N122" s="1124"/>
      <c r="O122" s="1127">
        <f>+E122</f>
        <v>24</v>
      </c>
      <c r="P122" s="1126"/>
      <c r="Q122" s="1127"/>
      <c r="R122" s="1124"/>
      <c r="S122" s="1142">
        <f ca="1">'wp - t-1 COSS'!$F$16</f>
        <v>81.41</v>
      </c>
      <c r="T122" s="1130"/>
      <c r="U122" s="1143">
        <f ca="1">+O122*S122</f>
        <v>1953.84</v>
      </c>
      <c r="V122" s="2029"/>
      <c r="W122" s="1130"/>
      <c r="X122" s="1130"/>
      <c r="Y122" s="1039"/>
      <c r="Z122" s="820"/>
      <c r="AA122" s="821"/>
      <c r="AB122" s="821"/>
      <c r="AC122" s="821"/>
      <c r="AD122" s="821"/>
      <c r="AE122" s="821"/>
      <c r="AF122" s="797"/>
      <c r="AG122" s="797"/>
      <c r="AH122" s="797"/>
      <c r="AI122" s="797"/>
      <c r="AJ122" s="797"/>
      <c r="AK122" s="797"/>
      <c r="AL122" s="797"/>
      <c r="AM122" s="797"/>
      <c r="AN122" s="797"/>
      <c r="AO122" s="797"/>
      <c r="AP122" s="797"/>
      <c r="AQ122" s="797"/>
      <c r="AR122" s="797"/>
      <c r="AS122" s="797"/>
      <c r="AT122" s="812"/>
      <c r="AU122" s="812"/>
      <c r="AV122" s="812"/>
      <c r="AW122" s="1092"/>
      <c r="AX122" s="812"/>
    </row>
    <row r="123" spans="1:50">
      <c r="A123" s="1524">
        <v>114</v>
      </c>
      <c r="B123" s="1141" t="s">
        <v>3572</v>
      </c>
      <c r="C123" s="1132"/>
      <c r="D123" s="1133"/>
      <c r="E123" s="1132"/>
      <c r="F123" s="1129"/>
      <c r="G123" s="1124">
        <v>197.2</v>
      </c>
      <c r="H123" s="1124"/>
      <c r="I123" s="1680">
        <v>3.53</v>
      </c>
      <c r="J123" s="1130"/>
      <c r="K123" s="1127">
        <f>+G123*I123</f>
        <v>696.11599999999987</v>
      </c>
      <c r="L123" s="1124"/>
      <c r="M123" s="1125">
        <f t="shared" ref="M123:M126" si="44">+K123</f>
        <v>696.11599999999987</v>
      </c>
      <c r="N123" s="1124"/>
      <c r="O123" s="1127"/>
      <c r="P123" s="1126"/>
      <c r="Q123" s="1127">
        <f>+G123</f>
        <v>197.2</v>
      </c>
      <c r="R123" s="1124"/>
      <c r="S123" s="2114">
        <f ca="1">'wp - t-1 COSS'!$F$34</f>
        <v>3.8170000000000002</v>
      </c>
      <c r="T123" s="1130"/>
      <c r="U123" s="1143">
        <f ca="1">+Q123*S123</f>
        <v>752.7124</v>
      </c>
      <c r="V123" s="2029"/>
      <c r="W123" s="1130"/>
      <c r="X123" s="1130"/>
      <c r="Y123" s="1039"/>
      <c r="Z123" s="820"/>
      <c r="AA123" s="821"/>
      <c r="AB123" s="821"/>
      <c r="AC123" s="821"/>
      <c r="AD123" s="821"/>
      <c r="AE123" s="821"/>
      <c r="AF123" s="797"/>
      <c r="AG123" s="797"/>
      <c r="AH123" s="797"/>
      <c r="AI123" s="797"/>
      <c r="AJ123" s="797"/>
      <c r="AK123" s="797"/>
      <c r="AL123" s="797"/>
      <c r="AM123" s="797"/>
      <c r="AN123" s="797"/>
      <c r="AO123" s="797"/>
      <c r="AP123" s="797"/>
      <c r="AQ123" s="797"/>
      <c r="AR123" s="797"/>
      <c r="AS123" s="797"/>
      <c r="AT123" s="812"/>
      <c r="AU123" s="812"/>
      <c r="AV123" s="812"/>
      <c r="AW123" s="1092"/>
      <c r="AX123" s="812"/>
    </row>
    <row r="124" spans="1:50">
      <c r="A124" s="1524">
        <v>115</v>
      </c>
      <c r="B124" s="1141" t="s">
        <v>707</v>
      </c>
      <c r="C124" s="1132"/>
      <c r="D124" s="1133"/>
      <c r="E124" s="1132"/>
      <c r="F124" s="1129"/>
      <c r="G124" s="1124">
        <v>334.69099999999997</v>
      </c>
      <c r="H124" s="1124"/>
      <c r="I124" s="1680">
        <v>3.35</v>
      </c>
      <c r="J124" s="1130"/>
      <c r="K124" s="1127">
        <f t="shared" ref="K124:K126" si="45">+G124*I124</f>
        <v>1121.2148499999998</v>
      </c>
      <c r="L124" s="1124"/>
      <c r="M124" s="1125">
        <f t="shared" si="44"/>
        <v>1121.2148499999998</v>
      </c>
      <c r="N124" s="1124"/>
      <c r="O124" s="1127"/>
      <c r="P124" s="1126"/>
      <c r="Q124" s="1127">
        <f t="shared" ref="Q124:Q126" si="46">+G124</f>
        <v>334.69099999999997</v>
      </c>
      <c r="R124" s="1124"/>
      <c r="S124" s="2114">
        <f ca="1">'wp - t-1 COSS'!$F$34</f>
        <v>3.8170000000000002</v>
      </c>
      <c r="T124" s="1130"/>
      <c r="U124" s="1143">
        <f t="shared" ref="U124:U126" ca="1" si="47">+Q124*S124</f>
        <v>1277.515547</v>
      </c>
      <c r="V124" s="2029"/>
      <c r="W124" s="1130"/>
      <c r="X124" s="1130"/>
      <c r="Y124" s="1040"/>
      <c r="Z124" s="820"/>
      <c r="AA124" s="821"/>
      <c r="AB124" s="821"/>
      <c r="AC124" s="821"/>
      <c r="AD124" s="821"/>
      <c r="AE124" s="821"/>
      <c r="AF124" s="797"/>
      <c r="AG124" s="797"/>
      <c r="AH124" s="797"/>
      <c r="AI124" s="797"/>
      <c r="AJ124" s="797"/>
      <c r="AK124" s="797"/>
      <c r="AL124" s="797"/>
      <c r="AM124" s="797"/>
      <c r="AN124" s="797"/>
      <c r="AO124" s="797"/>
      <c r="AP124" s="797"/>
      <c r="AQ124" s="797"/>
      <c r="AR124" s="797"/>
      <c r="AS124" s="797"/>
      <c r="AT124" s="812"/>
      <c r="AU124" s="812"/>
      <c r="AV124" s="812"/>
      <c r="AW124" s="1092"/>
      <c r="AX124" s="812"/>
    </row>
    <row r="125" spans="1:50">
      <c r="A125" s="1524">
        <v>116</v>
      </c>
      <c r="B125" s="1141" t="s">
        <v>708</v>
      </c>
      <c r="C125" s="1132"/>
      <c r="D125" s="1133"/>
      <c r="E125" s="1132"/>
      <c r="F125" s="1129"/>
      <c r="G125" s="1124">
        <v>504.9</v>
      </c>
      <c r="H125" s="1124"/>
      <c r="I125" s="1680">
        <v>3.01</v>
      </c>
      <c r="J125" s="1130"/>
      <c r="K125" s="1127">
        <f t="shared" si="45"/>
        <v>1519.7489999999998</v>
      </c>
      <c r="L125" s="1124"/>
      <c r="M125" s="1125">
        <f t="shared" si="44"/>
        <v>1519.7489999999998</v>
      </c>
      <c r="N125" s="1124"/>
      <c r="O125" s="1127"/>
      <c r="P125" s="1126"/>
      <c r="Q125" s="1127">
        <f t="shared" si="46"/>
        <v>504.9</v>
      </c>
      <c r="R125" s="1124"/>
      <c r="S125" s="2114">
        <f ca="1">'wp - t-1 COSS'!$F$34</f>
        <v>3.8170000000000002</v>
      </c>
      <c r="T125" s="1130"/>
      <c r="U125" s="1143">
        <f t="shared" ca="1" si="47"/>
        <v>1927.2032999999999</v>
      </c>
      <c r="V125" s="2029"/>
      <c r="W125" s="1130"/>
      <c r="X125" s="1130"/>
      <c r="Y125" s="1040"/>
      <c r="Z125" s="820"/>
      <c r="AA125" s="821"/>
      <c r="AB125" s="821"/>
      <c r="AC125" s="821"/>
      <c r="AD125" s="821"/>
      <c r="AE125" s="821"/>
      <c r="AF125" s="797"/>
      <c r="AG125" s="797"/>
      <c r="AH125" s="797"/>
      <c r="AI125" s="797"/>
      <c r="AJ125" s="797"/>
      <c r="AK125" s="797"/>
      <c r="AL125" s="797"/>
      <c r="AM125" s="797"/>
      <c r="AN125" s="797"/>
      <c r="AO125" s="797"/>
      <c r="AP125" s="797"/>
      <c r="AQ125" s="797"/>
      <c r="AR125" s="797"/>
      <c r="AS125" s="797"/>
      <c r="AT125" s="812"/>
      <c r="AU125" s="1094"/>
      <c r="AV125" s="812"/>
      <c r="AW125" s="1092"/>
      <c r="AX125" s="812"/>
    </row>
    <row r="126" spans="1:50">
      <c r="A126" s="1524">
        <v>117</v>
      </c>
      <c r="B126" s="1141" t="s">
        <v>711</v>
      </c>
      <c r="C126" s="1132"/>
      <c r="D126" s="1133"/>
      <c r="E126" s="1132"/>
      <c r="F126" s="1129"/>
      <c r="G126" s="1124">
        <v>255.5</v>
      </c>
      <c r="H126" s="1124"/>
      <c r="I126" s="1680">
        <v>2.76</v>
      </c>
      <c r="J126" s="1130"/>
      <c r="K126" s="1127">
        <f t="shared" si="45"/>
        <v>705.18</v>
      </c>
      <c r="L126" s="1124"/>
      <c r="M126" s="1125">
        <f t="shared" si="44"/>
        <v>705.18</v>
      </c>
      <c r="N126" s="1124"/>
      <c r="O126" s="1127"/>
      <c r="P126" s="1126"/>
      <c r="Q126" s="1127">
        <f t="shared" si="46"/>
        <v>255.5</v>
      </c>
      <c r="R126" s="1124"/>
      <c r="S126" s="2114">
        <f ca="1">'wp - t-1 COSS'!$F$34</f>
        <v>3.8170000000000002</v>
      </c>
      <c r="T126" s="1130"/>
      <c r="U126" s="1143">
        <f t="shared" ca="1" si="47"/>
        <v>975.24350000000004</v>
      </c>
      <c r="V126" s="2029"/>
      <c r="W126" s="1130"/>
      <c r="X126" s="1130"/>
      <c r="Y126" s="1040"/>
      <c r="Z126" s="820"/>
      <c r="AA126" s="821"/>
      <c r="AB126" s="821"/>
      <c r="AC126" s="821"/>
      <c r="AD126" s="821"/>
      <c r="AE126" s="797"/>
      <c r="AF126" s="797"/>
      <c r="AG126" s="797"/>
      <c r="AH126" s="797"/>
      <c r="AI126" s="797"/>
      <c r="AJ126" s="797"/>
      <c r="AK126" s="797"/>
      <c r="AL126" s="797"/>
      <c r="AM126" s="797"/>
      <c r="AN126" s="797"/>
      <c r="AO126" s="797"/>
      <c r="AP126" s="797"/>
      <c r="AQ126" s="797"/>
      <c r="AR126" s="797"/>
      <c r="AS126" s="797"/>
      <c r="AT126" s="812"/>
      <c r="AU126" s="1094"/>
      <c r="AV126" s="812"/>
      <c r="AW126" s="1092"/>
      <c r="AX126" s="812"/>
    </row>
    <row r="127" spans="1:50" s="1110" customFormat="1" ht="12.75" thickBot="1">
      <c r="A127" s="1524">
        <v>118</v>
      </c>
      <c r="B127" s="1109" t="s">
        <v>1429</v>
      </c>
      <c r="C127" s="1134">
        <f>SUM(C121:C126)</f>
        <v>1541.2909999999999</v>
      </c>
      <c r="D127" s="1135"/>
      <c r="E127" s="1134">
        <f>SUM(E121:E126)</f>
        <v>24</v>
      </c>
      <c r="F127" s="1135"/>
      <c r="G127" s="1134">
        <f>SUM(G121:G126)</f>
        <v>1292.2909999999999</v>
      </c>
      <c r="H127" s="1096"/>
      <c r="I127" s="1678"/>
      <c r="J127" s="1097"/>
      <c r="K127" s="1146">
        <f>SUM(K122:K126)</f>
        <v>5353.1398499999996</v>
      </c>
      <c r="L127" s="1096"/>
      <c r="M127" s="1146">
        <f>SUM(M122:N126)</f>
        <v>5353.1398499999996</v>
      </c>
      <c r="N127" s="1096"/>
      <c r="O127" s="1134">
        <f>SUM(O121:O126)</f>
        <v>24</v>
      </c>
      <c r="P127" s="1099"/>
      <c r="Q127" s="1134">
        <f>SUM(Q121:Q126)</f>
        <v>1292.2909999999999</v>
      </c>
      <c r="R127" s="1096"/>
      <c r="S127" s="1142"/>
      <c r="T127" s="1135"/>
      <c r="U127" s="1146">
        <f ca="1">SUM(U122:U126)</f>
        <v>6886.5147469999993</v>
      </c>
      <c r="V127" s="2030"/>
      <c r="W127" s="1135"/>
      <c r="X127" s="1135"/>
      <c r="Y127" s="941"/>
      <c r="Z127" s="831"/>
      <c r="AA127" s="832"/>
      <c r="AB127" s="832"/>
      <c r="AC127" s="832"/>
      <c r="AD127" s="832"/>
      <c r="AE127" s="832"/>
      <c r="AF127" s="832" t="s">
        <v>425</v>
      </c>
      <c r="AG127" s="1103"/>
      <c r="AH127" s="1097"/>
      <c r="AI127" s="1135"/>
      <c r="AJ127" s="1135"/>
      <c r="AK127" s="1135"/>
      <c r="AL127" s="1097"/>
      <c r="AM127" s="833"/>
      <c r="AN127" s="1097"/>
      <c r="AO127" s="833"/>
      <c r="AP127" s="1097"/>
      <c r="AQ127" s="833"/>
      <c r="AR127" s="1097"/>
      <c r="AS127" s="833"/>
      <c r="AT127" s="834"/>
      <c r="AU127" s="834"/>
      <c r="AV127" s="834"/>
      <c r="AW127" s="834"/>
      <c r="AX127" s="834"/>
    </row>
    <row r="128" spans="1:50" ht="12.75" thickTop="1">
      <c r="A128" s="1524">
        <v>119</v>
      </c>
      <c r="B128" s="1109"/>
      <c r="C128" s="1132"/>
      <c r="D128" s="1133"/>
      <c r="E128" s="1132"/>
      <c r="F128" s="1129"/>
      <c r="G128" s="1124"/>
      <c r="H128" s="1124"/>
      <c r="I128" s="1679"/>
      <c r="J128" s="1130"/>
      <c r="K128" s="1125"/>
      <c r="L128" s="1124"/>
      <c r="M128" s="1125"/>
      <c r="N128" s="1124"/>
      <c r="O128" s="1127"/>
      <c r="P128" s="1126"/>
      <c r="Q128" s="1127"/>
      <c r="R128" s="1124"/>
      <c r="S128" s="1128"/>
      <c r="T128" s="1130"/>
      <c r="U128" s="1093"/>
      <c r="V128" s="2031"/>
      <c r="W128" s="1130"/>
      <c r="X128" s="1130"/>
      <c r="Y128" s="1039"/>
      <c r="Z128" s="820"/>
      <c r="AA128" s="821"/>
      <c r="AB128" s="821"/>
      <c r="AC128" s="821"/>
      <c r="AD128" s="821"/>
      <c r="AE128" s="821"/>
      <c r="AF128" s="797"/>
      <c r="AG128" s="797"/>
      <c r="AH128" s="797"/>
      <c r="AI128" s="797"/>
      <c r="AJ128" s="797"/>
      <c r="AK128" s="797"/>
      <c r="AL128" s="797"/>
      <c r="AM128" s="797"/>
      <c r="AN128" s="797"/>
      <c r="AO128" s="797"/>
      <c r="AP128" s="797"/>
      <c r="AQ128" s="797"/>
      <c r="AR128" s="797"/>
      <c r="AS128" s="797"/>
      <c r="AT128" s="812"/>
      <c r="AU128" s="812"/>
      <c r="AV128" s="812"/>
      <c r="AW128" s="1092"/>
      <c r="AX128" s="812"/>
    </row>
    <row r="129" spans="1:50" ht="12.75" thickBot="1">
      <c r="A129" s="1524">
        <v>120</v>
      </c>
      <c r="B129" s="1111" t="s">
        <v>1428</v>
      </c>
      <c r="C129" s="1132"/>
      <c r="D129" s="1133"/>
      <c r="E129" s="1132"/>
      <c r="F129" s="1129"/>
      <c r="G129" s="1124"/>
      <c r="H129" s="1124"/>
      <c r="I129" s="1679"/>
      <c r="J129" s="1130"/>
      <c r="K129" s="1125"/>
      <c r="L129" s="1124"/>
      <c r="M129" s="1138">
        <f>+M127/$E127</f>
        <v>223.04749374999997</v>
      </c>
      <c r="N129" s="1124"/>
      <c r="O129" s="1127"/>
      <c r="P129" s="1126"/>
      <c r="Q129" s="1127"/>
      <c r="R129" s="1124"/>
      <c r="S129" s="1128"/>
      <c r="T129" s="1130"/>
      <c r="U129" s="1138">
        <f ca="1">+U127/$E127</f>
        <v>286.9381144583333</v>
      </c>
      <c r="V129" s="2032"/>
      <c r="W129" s="1130">
        <f ca="1">+U129-M129</f>
        <v>63.89062070833333</v>
      </c>
      <c r="X129" s="1130">
        <f ca="1">W129/M129</f>
        <v>0.28644401976533457</v>
      </c>
      <c r="Y129" s="1039"/>
      <c r="Z129" s="820"/>
      <c r="AA129" s="821"/>
      <c r="AB129" s="821"/>
      <c r="AC129" s="821"/>
      <c r="AD129" s="821"/>
      <c r="AE129" s="821"/>
      <c r="AF129" s="797"/>
      <c r="AG129" s="797"/>
      <c r="AH129" s="797"/>
      <c r="AI129" s="797"/>
      <c r="AJ129" s="797"/>
      <c r="AK129" s="797"/>
      <c r="AL129" s="797"/>
      <c r="AM129" s="797"/>
      <c r="AN129" s="797"/>
      <c r="AO129" s="797"/>
      <c r="AP129" s="797"/>
      <c r="AQ129" s="797"/>
      <c r="AR129" s="797"/>
      <c r="AS129" s="797"/>
      <c r="AT129" s="812"/>
      <c r="AU129" s="812"/>
      <c r="AV129" s="812"/>
      <c r="AW129" s="1092"/>
      <c r="AX129" s="812"/>
    </row>
    <row r="130" spans="1:50" ht="12.75" thickTop="1">
      <c r="A130" s="1524">
        <v>121</v>
      </c>
      <c r="B130" s="1106" t="s">
        <v>1361</v>
      </c>
      <c r="C130" s="1124">
        <v>26053.464</v>
      </c>
      <c r="D130" s="1129"/>
      <c r="E130" s="1124"/>
      <c r="F130" s="1129"/>
      <c r="G130" s="1124"/>
      <c r="H130" s="1124"/>
      <c r="I130" s="1683"/>
      <c r="J130" s="1130"/>
      <c r="K130" s="1125"/>
      <c r="L130" s="1124"/>
      <c r="M130" s="1125"/>
      <c r="N130" s="1124"/>
      <c r="O130" s="1127"/>
      <c r="P130" s="1126"/>
      <c r="Q130" s="1127"/>
      <c r="R130" s="1124"/>
      <c r="S130" s="1128"/>
      <c r="T130" s="1129"/>
      <c r="U130" s="1131"/>
      <c r="V130" s="2028"/>
      <c r="W130" s="1129"/>
      <c r="X130" s="1129"/>
      <c r="Y130" s="1040"/>
      <c r="Z130" s="820"/>
      <c r="AA130" s="821"/>
      <c r="AB130" s="821"/>
      <c r="AC130" s="821"/>
      <c r="AD130" s="821"/>
      <c r="AE130" s="821"/>
      <c r="AF130" s="797"/>
      <c r="AG130" s="797"/>
      <c r="AH130" s="797"/>
      <c r="AI130" s="797"/>
      <c r="AJ130" s="797"/>
      <c r="AK130" s="797"/>
      <c r="AL130" s="797"/>
      <c r="AM130" s="797"/>
      <c r="AN130" s="797"/>
      <c r="AO130" s="797"/>
      <c r="AP130" s="797"/>
      <c r="AQ130" s="797"/>
      <c r="AR130" s="797"/>
      <c r="AS130" s="797"/>
      <c r="AT130" s="1094"/>
      <c r="AU130" s="1094"/>
      <c r="AV130" s="1094"/>
      <c r="AW130" s="1094"/>
      <c r="AX130" s="1094"/>
    </row>
    <row r="131" spans="1:50">
      <c r="A131" s="1524">
        <v>122</v>
      </c>
      <c r="B131" s="1141" t="s">
        <v>3573</v>
      </c>
      <c r="C131" s="1124"/>
      <c r="D131" s="1129"/>
      <c r="E131" s="1124">
        <v>358</v>
      </c>
      <c r="F131" s="1129"/>
      <c r="G131" s="1124"/>
      <c r="H131" s="1124"/>
      <c r="I131" s="1682">
        <v>84.18</v>
      </c>
      <c r="J131" s="1130"/>
      <c r="K131" s="1125">
        <f>+E131*I131</f>
        <v>30136.440000000002</v>
      </c>
      <c r="L131" s="1124"/>
      <c r="M131" s="1125">
        <f>+K131</f>
        <v>30136.440000000002</v>
      </c>
      <c r="N131" s="1124"/>
      <c r="O131" s="1127">
        <f>+E131</f>
        <v>358</v>
      </c>
      <c r="P131" s="1126"/>
      <c r="Q131" s="1127"/>
      <c r="R131" s="1124"/>
      <c r="S131" s="1142">
        <f ca="1">'wp - t-1 COSS'!$F$17</f>
        <v>130.83000000000001</v>
      </c>
      <c r="T131" s="1130"/>
      <c r="U131" s="1143">
        <f ca="1">+O131*S131</f>
        <v>46837.140000000007</v>
      </c>
      <c r="V131" s="2029"/>
      <c r="W131" s="1130"/>
      <c r="X131" s="1130"/>
      <c r="Y131" s="1039"/>
      <c r="Z131" s="820"/>
      <c r="AA131" s="821"/>
      <c r="AB131" s="821"/>
      <c r="AC131" s="821"/>
      <c r="AD131" s="821"/>
      <c r="AE131" s="821"/>
      <c r="AF131" s="797"/>
      <c r="AG131" s="797"/>
      <c r="AH131" s="797"/>
      <c r="AI131" s="797"/>
      <c r="AJ131" s="797"/>
      <c r="AK131" s="797"/>
      <c r="AL131" s="797"/>
      <c r="AM131" s="797"/>
      <c r="AN131" s="797"/>
      <c r="AO131" s="797"/>
      <c r="AP131" s="797"/>
      <c r="AQ131" s="797"/>
      <c r="AR131" s="797"/>
      <c r="AS131" s="797"/>
      <c r="AT131" s="812"/>
      <c r="AU131" s="812"/>
      <c r="AV131" s="812"/>
      <c r="AW131" s="1092"/>
      <c r="AX131" s="812"/>
    </row>
    <row r="132" spans="1:50">
      <c r="A132" s="1524">
        <v>123</v>
      </c>
      <c r="B132" s="1141" t="s">
        <v>3574</v>
      </c>
      <c r="C132" s="1132"/>
      <c r="D132" s="1133"/>
      <c r="E132" s="1132"/>
      <c r="F132" s="1129"/>
      <c r="G132" s="1124">
        <v>611.44799999999998</v>
      </c>
      <c r="H132" s="1124"/>
      <c r="I132" s="1680">
        <v>3.53</v>
      </c>
      <c r="J132" s="1130"/>
      <c r="K132" s="1127">
        <f>+G132*I132</f>
        <v>2158.4114399999999</v>
      </c>
      <c r="L132" s="1124"/>
      <c r="M132" s="1125">
        <f t="shared" ref="M132:M135" si="48">+K132</f>
        <v>2158.4114399999999</v>
      </c>
      <c r="N132" s="1124"/>
      <c r="O132" s="1127"/>
      <c r="P132" s="1126"/>
      <c r="Q132" s="1127">
        <f>+G132</f>
        <v>611.44799999999998</v>
      </c>
      <c r="R132" s="1124"/>
      <c r="S132" s="2114">
        <f ca="1">'wp - t-1 COSS'!$F$35</f>
        <v>3.8170000000000002</v>
      </c>
      <c r="T132" s="1130"/>
      <c r="U132" s="1143">
        <f ca="1">+Q132*S132</f>
        <v>2333.8970159999999</v>
      </c>
      <c r="V132" s="2029"/>
      <c r="W132" s="1130"/>
      <c r="X132" s="1130"/>
      <c r="Y132" s="1039"/>
      <c r="Z132" s="820"/>
      <c r="AA132" s="821"/>
      <c r="AB132" s="821"/>
      <c r="AC132" s="821"/>
      <c r="AD132" s="821"/>
      <c r="AE132" s="821"/>
      <c r="AF132" s="797"/>
      <c r="AG132" s="797"/>
      <c r="AH132" s="797"/>
      <c r="AI132" s="797"/>
      <c r="AJ132" s="797"/>
      <c r="AK132" s="797"/>
      <c r="AL132" s="797"/>
      <c r="AM132" s="797"/>
      <c r="AN132" s="797"/>
      <c r="AO132" s="797"/>
      <c r="AP132" s="797"/>
      <c r="AQ132" s="797"/>
      <c r="AR132" s="797"/>
      <c r="AS132" s="797"/>
      <c r="AT132" s="812"/>
      <c r="AU132" s="812"/>
      <c r="AV132" s="812"/>
      <c r="AW132" s="1092"/>
      <c r="AX132" s="812"/>
    </row>
    <row r="133" spans="1:50">
      <c r="A133" s="1524">
        <v>124</v>
      </c>
      <c r="B133" s="1141" t="s">
        <v>707</v>
      </c>
      <c r="C133" s="1132"/>
      <c r="D133" s="1133"/>
      <c r="E133" s="1132"/>
      <c r="F133" s="1129"/>
      <c r="G133" s="1124">
        <v>3467.7080000000001</v>
      </c>
      <c r="H133" s="1124"/>
      <c r="I133" s="1680">
        <v>3.35</v>
      </c>
      <c r="J133" s="1130"/>
      <c r="K133" s="1127">
        <f t="shared" ref="K133:K135" si="49">+G133*I133</f>
        <v>11616.8218</v>
      </c>
      <c r="L133" s="1124"/>
      <c r="M133" s="1125">
        <f t="shared" si="48"/>
        <v>11616.8218</v>
      </c>
      <c r="N133" s="1124"/>
      <c r="O133" s="1127"/>
      <c r="P133" s="1126"/>
      <c r="Q133" s="1127">
        <f t="shared" ref="Q133:Q135" si="50">+G133</f>
        <v>3467.7080000000001</v>
      </c>
      <c r="R133" s="1124"/>
      <c r="S133" s="2114">
        <f ca="1">'wp - t-1 COSS'!$F$35</f>
        <v>3.8170000000000002</v>
      </c>
      <c r="T133" s="1130"/>
      <c r="U133" s="1143">
        <f t="shared" ref="U133:U135" ca="1" si="51">+Q133*S133</f>
        <v>13236.241436</v>
      </c>
      <c r="V133" s="2029"/>
      <c r="W133" s="1130"/>
      <c r="X133" s="1130"/>
      <c r="Y133" s="1040"/>
      <c r="Z133" s="820"/>
      <c r="AA133" s="821"/>
      <c r="AB133" s="821"/>
      <c r="AC133" s="821"/>
      <c r="AD133" s="821"/>
      <c r="AE133" s="821"/>
      <c r="AF133" s="797"/>
      <c r="AG133" s="797"/>
      <c r="AH133" s="797"/>
      <c r="AI133" s="797"/>
      <c r="AJ133" s="797"/>
      <c r="AK133" s="797"/>
      <c r="AL133" s="797"/>
      <c r="AM133" s="797"/>
      <c r="AN133" s="797"/>
      <c r="AO133" s="797"/>
      <c r="AP133" s="797"/>
      <c r="AQ133" s="797"/>
      <c r="AR133" s="797"/>
      <c r="AS133" s="797"/>
      <c r="AT133" s="812"/>
      <c r="AU133" s="812"/>
      <c r="AV133" s="812"/>
      <c r="AW133" s="1092"/>
      <c r="AX133" s="812"/>
    </row>
    <row r="134" spans="1:50">
      <c r="A134" s="1524">
        <v>125</v>
      </c>
      <c r="B134" s="1141" t="s">
        <v>708</v>
      </c>
      <c r="C134" s="1132"/>
      <c r="D134" s="1133"/>
      <c r="E134" s="1132"/>
      <c r="F134" s="1129"/>
      <c r="G134" s="1124">
        <v>4823.1189999999997</v>
      </c>
      <c r="H134" s="1124"/>
      <c r="I134" s="1680">
        <v>3.01</v>
      </c>
      <c r="J134" s="1130"/>
      <c r="K134" s="1127">
        <f t="shared" si="49"/>
        <v>14517.588189999999</v>
      </c>
      <c r="L134" s="1124"/>
      <c r="M134" s="1125">
        <f t="shared" si="48"/>
        <v>14517.588189999999</v>
      </c>
      <c r="N134" s="1124"/>
      <c r="O134" s="1127"/>
      <c r="P134" s="1126"/>
      <c r="Q134" s="1127">
        <f t="shared" si="50"/>
        <v>4823.1189999999997</v>
      </c>
      <c r="R134" s="1124"/>
      <c r="S134" s="2114">
        <f ca="1">'wp - t-1 COSS'!$F$35</f>
        <v>3.8170000000000002</v>
      </c>
      <c r="T134" s="1130"/>
      <c r="U134" s="1143">
        <f t="shared" ca="1" si="51"/>
        <v>18409.845223</v>
      </c>
      <c r="V134" s="2029"/>
      <c r="W134" s="1130"/>
      <c r="X134" s="1130"/>
      <c r="Y134" s="1040"/>
      <c r="Z134" s="820"/>
      <c r="AA134" s="821"/>
      <c r="AB134" s="821"/>
      <c r="AC134" s="821"/>
      <c r="AD134" s="821"/>
      <c r="AE134" s="821"/>
      <c r="AF134" s="797"/>
      <c r="AG134" s="797"/>
      <c r="AH134" s="797"/>
      <c r="AI134" s="797"/>
      <c r="AJ134" s="797"/>
      <c r="AK134" s="797"/>
      <c r="AL134" s="797"/>
      <c r="AM134" s="797"/>
      <c r="AN134" s="797"/>
      <c r="AO134" s="797"/>
      <c r="AP134" s="797"/>
      <c r="AQ134" s="797"/>
      <c r="AR134" s="797"/>
      <c r="AS134" s="797"/>
      <c r="AT134" s="812"/>
      <c r="AU134" s="1094"/>
      <c r="AV134" s="812"/>
      <c r="AW134" s="1092"/>
      <c r="AX134" s="812"/>
    </row>
    <row r="135" spans="1:50">
      <c r="A135" s="1524">
        <v>126</v>
      </c>
      <c r="B135" s="1141" t="s">
        <v>711</v>
      </c>
      <c r="C135" s="1132"/>
      <c r="D135" s="1133"/>
      <c r="E135" s="1132"/>
      <c r="F135" s="1129"/>
      <c r="G135" s="1124">
        <v>11659.981</v>
      </c>
      <c r="H135" s="1124"/>
      <c r="I135" s="1680">
        <v>2.76</v>
      </c>
      <c r="J135" s="1130"/>
      <c r="K135" s="1127">
        <f t="shared" si="49"/>
        <v>32181.547559999995</v>
      </c>
      <c r="L135" s="1124"/>
      <c r="M135" s="1125">
        <f t="shared" si="48"/>
        <v>32181.547559999995</v>
      </c>
      <c r="N135" s="1124"/>
      <c r="O135" s="1127"/>
      <c r="P135" s="1126"/>
      <c r="Q135" s="1127">
        <f t="shared" si="50"/>
        <v>11659.981</v>
      </c>
      <c r="R135" s="1124"/>
      <c r="S135" s="2114">
        <f ca="1">'wp - t-1 COSS'!$F$35</f>
        <v>3.8170000000000002</v>
      </c>
      <c r="T135" s="1130"/>
      <c r="U135" s="1143">
        <f t="shared" ca="1" si="51"/>
        <v>44506.147476999999</v>
      </c>
      <c r="V135" s="2029"/>
      <c r="W135" s="1130"/>
      <c r="X135" s="1130"/>
      <c r="Y135" s="1040"/>
      <c r="Z135" s="820"/>
      <c r="AA135" s="821"/>
      <c r="AB135" s="821"/>
      <c r="AC135" s="821"/>
      <c r="AD135" s="821"/>
      <c r="AE135" s="797"/>
      <c r="AF135" s="797"/>
      <c r="AG135" s="797"/>
      <c r="AH135" s="797"/>
      <c r="AI135" s="797"/>
      <c r="AJ135" s="797"/>
      <c r="AK135" s="797"/>
      <c r="AL135" s="797"/>
      <c r="AM135" s="797"/>
      <c r="AN135" s="797"/>
      <c r="AO135" s="797"/>
      <c r="AP135" s="797"/>
      <c r="AQ135" s="797"/>
      <c r="AR135" s="797"/>
      <c r="AS135" s="797"/>
      <c r="AT135" s="812"/>
      <c r="AU135" s="1094"/>
      <c r="AV135" s="812"/>
      <c r="AW135" s="1092"/>
      <c r="AX135" s="812"/>
    </row>
    <row r="136" spans="1:50" s="1110" customFormat="1" ht="12.75" thickBot="1">
      <c r="A136" s="1524">
        <v>127</v>
      </c>
      <c r="B136" s="1109" t="s">
        <v>1360</v>
      </c>
      <c r="C136" s="1134">
        <f>SUM(C130:C135)</f>
        <v>26053.464</v>
      </c>
      <c r="D136" s="1135"/>
      <c r="E136" s="1134">
        <f>SUM(E130:E135)</f>
        <v>358</v>
      </c>
      <c r="F136" s="1135"/>
      <c r="G136" s="1134">
        <f>SUM(G130:G135)</f>
        <v>20562.256000000001</v>
      </c>
      <c r="H136" s="1096"/>
      <c r="I136" s="1678"/>
      <c r="J136" s="1097"/>
      <c r="K136" s="1146">
        <f>SUM(K131:K135)</f>
        <v>90610.80898999999</v>
      </c>
      <c r="L136" s="1096"/>
      <c r="M136" s="1146">
        <f>SUM(M131:M135)</f>
        <v>90610.80898999999</v>
      </c>
      <c r="N136" s="1096"/>
      <c r="O136" s="1134">
        <f>SUM(O130:O135)</f>
        <v>358</v>
      </c>
      <c r="P136" s="1099"/>
      <c r="Q136" s="1134">
        <f>SUM(Q130:R135)</f>
        <v>20562.256000000001</v>
      </c>
      <c r="R136" s="1096"/>
      <c r="S136" s="1142"/>
      <c r="T136" s="1135"/>
      <c r="U136" s="1146">
        <f ca="1">SUM(U131:U135)</f>
        <v>125323.271152</v>
      </c>
      <c r="V136" s="2030"/>
      <c r="W136" s="1135"/>
      <c r="X136" s="1135"/>
      <c r="Y136" s="941"/>
      <c r="Z136" s="831"/>
      <c r="AA136" s="832"/>
      <c r="AB136" s="832"/>
      <c r="AC136" s="832"/>
      <c r="AD136" s="832"/>
      <c r="AE136" s="832"/>
      <c r="AF136" s="832" t="s">
        <v>425</v>
      </c>
      <c r="AG136" s="1103"/>
      <c r="AH136" s="1097"/>
      <c r="AI136" s="1135"/>
      <c r="AJ136" s="1135"/>
      <c r="AK136" s="1135"/>
      <c r="AL136" s="1097"/>
      <c r="AM136" s="833"/>
      <c r="AN136" s="1097"/>
      <c r="AO136" s="833"/>
      <c r="AP136" s="1097"/>
      <c r="AQ136" s="833"/>
      <c r="AR136" s="1097"/>
      <c r="AS136" s="833"/>
      <c r="AT136" s="834"/>
      <c r="AU136" s="834"/>
      <c r="AV136" s="834"/>
      <c r="AW136" s="834"/>
      <c r="AX136" s="834"/>
    </row>
    <row r="137" spans="1:50" ht="12.75" thickTop="1">
      <c r="A137" s="1524">
        <v>128</v>
      </c>
      <c r="B137" s="1109"/>
      <c r="C137" s="1132"/>
      <c r="D137" s="1133"/>
      <c r="E137" s="1132"/>
      <c r="F137" s="1129"/>
      <c r="G137" s="1124"/>
      <c r="H137" s="1124"/>
      <c r="I137" s="1679"/>
      <c r="J137" s="1130"/>
      <c r="K137" s="1125"/>
      <c r="L137" s="1124"/>
      <c r="M137" s="1125"/>
      <c r="N137" s="1124"/>
      <c r="O137" s="1127"/>
      <c r="P137" s="1126"/>
      <c r="Q137" s="1127"/>
      <c r="R137" s="1124"/>
      <c r="S137" s="1128"/>
      <c r="T137" s="1130"/>
      <c r="U137" s="1093"/>
      <c r="V137" s="2031"/>
      <c r="W137" s="1130"/>
      <c r="X137" s="1130"/>
      <c r="Y137" s="1039"/>
      <c r="Z137" s="820"/>
      <c r="AA137" s="821"/>
      <c r="AB137" s="821"/>
      <c r="AC137" s="821"/>
      <c r="AD137" s="821"/>
      <c r="AE137" s="821"/>
      <c r="AF137" s="797"/>
      <c r="AG137" s="797"/>
      <c r="AH137" s="797"/>
      <c r="AI137" s="797"/>
      <c r="AJ137" s="797"/>
      <c r="AK137" s="797"/>
      <c r="AL137" s="797"/>
      <c r="AM137" s="797"/>
      <c r="AN137" s="797"/>
      <c r="AO137" s="797"/>
      <c r="AP137" s="797"/>
      <c r="AQ137" s="797"/>
      <c r="AR137" s="797"/>
      <c r="AS137" s="797"/>
      <c r="AT137" s="812"/>
      <c r="AU137" s="812"/>
      <c r="AV137" s="812"/>
      <c r="AW137" s="1092"/>
      <c r="AX137" s="812"/>
    </row>
    <row r="138" spans="1:50" ht="12.75" thickBot="1">
      <c r="A138" s="1524">
        <v>129</v>
      </c>
      <c r="B138" s="1111" t="s">
        <v>1359</v>
      </c>
      <c r="C138" s="1132"/>
      <c r="D138" s="1133"/>
      <c r="E138" s="1132"/>
      <c r="F138" s="1129"/>
      <c r="G138" s="1124"/>
      <c r="H138" s="1124"/>
      <c r="I138" s="1679"/>
      <c r="J138" s="1130"/>
      <c r="K138" s="1125"/>
      <c r="L138" s="1124"/>
      <c r="M138" s="1138">
        <f>+M136/$E136</f>
        <v>253.10281840782119</v>
      </c>
      <c r="N138" s="1124"/>
      <c r="O138" s="1127"/>
      <c r="P138" s="1126"/>
      <c r="Q138" s="1127"/>
      <c r="R138" s="1124"/>
      <c r="S138" s="1128"/>
      <c r="T138" s="1130"/>
      <c r="U138" s="1138">
        <f ca="1">+U136/$E136</f>
        <v>350.06500321787712</v>
      </c>
      <c r="V138" s="2032"/>
      <c r="W138" s="1130">
        <f ca="1">+U138-M138</f>
        <v>96.96218481005593</v>
      </c>
      <c r="X138" s="1130">
        <f t="shared" ref="X138" ca="1" si="52">W138/M138</f>
        <v>0.38309405410816905</v>
      </c>
      <c r="Y138" s="1039"/>
      <c r="Z138" s="820"/>
      <c r="AA138" s="821"/>
      <c r="AB138" s="821"/>
      <c r="AC138" s="821"/>
      <c r="AD138" s="821"/>
      <c r="AE138" s="821"/>
      <c r="AF138" s="797"/>
      <c r="AG138" s="797"/>
      <c r="AH138" s="797"/>
      <c r="AI138" s="797"/>
      <c r="AJ138" s="797"/>
      <c r="AK138" s="797"/>
      <c r="AL138" s="797"/>
      <c r="AM138" s="797"/>
      <c r="AN138" s="797"/>
      <c r="AO138" s="797"/>
      <c r="AP138" s="797"/>
      <c r="AQ138" s="797"/>
      <c r="AR138" s="797"/>
      <c r="AS138" s="797"/>
      <c r="AT138" s="812"/>
      <c r="AU138" s="812"/>
      <c r="AV138" s="812"/>
      <c r="AW138" s="1092"/>
      <c r="AX138" s="812"/>
    </row>
    <row r="139" spans="1:50" ht="12.75" thickTop="1">
      <c r="A139" s="1524">
        <v>130</v>
      </c>
      <c r="B139" s="1106" t="s">
        <v>1427</v>
      </c>
      <c r="C139" s="1124">
        <v>617.9</v>
      </c>
      <c r="D139" s="1129"/>
      <c r="E139" s="1124"/>
      <c r="F139" s="1129"/>
      <c r="G139" s="1124"/>
      <c r="H139" s="1124"/>
      <c r="I139" s="1683"/>
      <c r="J139" s="1130"/>
      <c r="K139" s="1125"/>
      <c r="L139" s="1124"/>
      <c r="M139" s="1125"/>
      <c r="N139" s="1124"/>
      <c r="O139" s="1127"/>
      <c r="P139" s="1126"/>
      <c r="Q139" s="1127"/>
      <c r="R139" s="1124"/>
      <c r="S139" s="1128"/>
      <c r="T139" s="1129"/>
      <c r="U139" s="1131"/>
      <c r="V139" s="2028"/>
      <c r="W139" s="1129"/>
      <c r="X139" s="1129"/>
      <c r="Y139" s="1040"/>
      <c r="Z139" s="820"/>
      <c r="AA139" s="821"/>
      <c r="AB139" s="821"/>
      <c r="AC139" s="821"/>
      <c r="AD139" s="821"/>
      <c r="AE139" s="821"/>
      <c r="AF139" s="797"/>
      <c r="AG139" s="797"/>
      <c r="AH139" s="797"/>
      <c r="AI139" s="797"/>
      <c r="AJ139" s="797"/>
      <c r="AK139" s="797"/>
      <c r="AL139" s="797"/>
      <c r="AM139" s="797"/>
      <c r="AN139" s="797"/>
      <c r="AO139" s="797"/>
      <c r="AP139" s="797"/>
      <c r="AQ139" s="797"/>
      <c r="AR139" s="797"/>
      <c r="AS139" s="797"/>
      <c r="AT139" s="1094"/>
      <c r="AU139" s="1094"/>
      <c r="AV139" s="1094"/>
      <c r="AW139" s="1094"/>
      <c r="AX139" s="1094"/>
    </row>
    <row r="140" spans="1:50">
      <c r="A140" s="1524">
        <v>131</v>
      </c>
      <c r="B140" s="1141" t="s">
        <v>3573</v>
      </c>
      <c r="C140" s="1124"/>
      <c r="D140" s="1129"/>
      <c r="E140" s="1124">
        <v>35</v>
      </c>
      <c r="F140" s="1129"/>
      <c r="G140" s="1124"/>
      <c r="H140" s="1124"/>
      <c r="I140" s="1682">
        <v>84.18</v>
      </c>
      <c r="J140" s="1130"/>
      <c r="K140" s="1125">
        <f>+E140*I140</f>
        <v>2946.3</v>
      </c>
      <c r="L140" s="1124"/>
      <c r="M140" s="1125">
        <f>+K140</f>
        <v>2946.3</v>
      </c>
      <c r="N140" s="1124"/>
      <c r="O140" s="1127">
        <f>+E140</f>
        <v>35</v>
      </c>
      <c r="P140" s="1126"/>
      <c r="Q140" s="1127"/>
      <c r="R140" s="1124"/>
      <c r="S140" s="1142">
        <f ca="1">'wp - t-1 COSS'!$F$17</f>
        <v>130.83000000000001</v>
      </c>
      <c r="T140" s="1130"/>
      <c r="U140" s="1143">
        <f ca="1">+O140*S140</f>
        <v>4579.05</v>
      </c>
      <c r="V140" s="2029"/>
      <c r="W140" s="1130"/>
      <c r="X140" s="1130"/>
      <c r="Y140" s="1039"/>
      <c r="Z140" s="820"/>
      <c r="AA140" s="821"/>
      <c r="AB140" s="821"/>
      <c r="AC140" s="821"/>
      <c r="AD140" s="821"/>
      <c r="AE140" s="821"/>
      <c r="AF140" s="797"/>
      <c r="AG140" s="797"/>
      <c r="AH140" s="797"/>
      <c r="AI140" s="797"/>
      <c r="AJ140" s="797"/>
      <c r="AK140" s="797"/>
      <c r="AL140" s="797"/>
      <c r="AM140" s="797"/>
      <c r="AN140" s="797"/>
      <c r="AO140" s="797"/>
      <c r="AP140" s="797"/>
      <c r="AQ140" s="797"/>
      <c r="AR140" s="797"/>
      <c r="AS140" s="797"/>
      <c r="AT140" s="812"/>
      <c r="AU140" s="812"/>
      <c r="AV140" s="812"/>
      <c r="AW140" s="1092"/>
      <c r="AX140" s="812"/>
    </row>
    <row r="141" spans="1:50">
      <c r="A141" s="1524">
        <v>132</v>
      </c>
      <c r="B141" s="1141" t="s">
        <v>3574</v>
      </c>
      <c r="C141" s="1132"/>
      <c r="D141" s="1133"/>
      <c r="E141" s="1132"/>
      <c r="F141" s="1129"/>
      <c r="G141" s="1124">
        <v>43.2</v>
      </c>
      <c r="H141" s="1124"/>
      <c r="I141" s="1680">
        <v>3.53</v>
      </c>
      <c r="J141" s="1130"/>
      <c r="K141" s="1127">
        <f>+G141*I141</f>
        <v>152.49600000000001</v>
      </c>
      <c r="L141" s="1124"/>
      <c r="M141" s="1125">
        <f t="shared" ref="M141:M144" si="53">+K141</f>
        <v>152.49600000000001</v>
      </c>
      <c r="N141" s="1124"/>
      <c r="O141" s="1127"/>
      <c r="P141" s="1126"/>
      <c r="Q141" s="1127">
        <f>+G141</f>
        <v>43.2</v>
      </c>
      <c r="R141" s="1124"/>
      <c r="S141" s="2114">
        <f ca="1">'wp - t-1 COSS'!$F$35</f>
        <v>3.8170000000000002</v>
      </c>
      <c r="T141" s="1130"/>
      <c r="U141" s="1143">
        <f ca="1">+Q141*S141</f>
        <v>164.89440000000002</v>
      </c>
      <c r="V141" s="2029"/>
      <c r="W141" s="1130"/>
      <c r="X141" s="1130"/>
      <c r="Y141" s="1039"/>
      <c r="Z141" s="820"/>
      <c r="AA141" s="821"/>
      <c r="AB141" s="821"/>
      <c r="AC141" s="821"/>
      <c r="AD141" s="821"/>
      <c r="AE141" s="821"/>
      <c r="AF141" s="797"/>
      <c r="AG141" s="797"/>
      <c r="AH141" s="797"/>
      <c r="AI141" s="797"/>
      <c r="AJ141" s="797"/>
      <c r="AK141" s="797"/>
      <c r="AL141" s="797"/>
      <c r="AM141" s="797"/>
      <c r="AN141" s="797"/>
      <c r="AO141" s="797"/>
      <c r="AP141" s="797"/>
      <c r="AQ141" s="797"/>
      <c r="AR141" s="797"/>
      <c r="AS141" s="797"/>
      <c r="AT141" s="812"/>
      <c r="AU141" s="812"/>
      <c r="AV141" s="812"/>
      <c r="AW141" s="1092"/>
      <c r="AX141" s="812"/>
    </row>
    <row r="142" spans="1:50">
      <c r="A142" s="1524">
        <v>133</v>
      </c>
      <c r="B142" s="1141" t="s">
        <v>707</v>
      </c>
      <c r="C142" s="1132"/>
      <c r="D142" s="1133"/>
      <c r="E142" s="1132"/>
      <c r="F142" s="1129"/>
      <c r="G142" s="1124">
        <v>224.6</v>
      </c>
      <c r="H142" s="1124"/>
      <c r="I142" s="1680">
        <v>3.35</v>
      </c>
      <c r="J142" s="1130"/>
      <c r="K142" s="1127">
        <f t="shared" ref="K142:K144" si="54">+G142*I142</f>
        <v>752.41</v>
      </c>
      <c r="L142" s="1124"/>
      <c r="M142" s="1125">
        <f t="shared" si="53"/>
        <v>752.41</v>
      </c>
      <c r="N142" s="1124"/>
      <c r="O142" s="1127"/>
      <c r="P142" s="1126"/>
      <c r="Q142" s="1127">
        <f t="shared" ref="Q142:Q144" si="55">+G142</f>
        <v>224.6</v>
      </c>
      <c r="R142" s="1124"/>
      <c r="S142" s="2114">
        <f ca="1">'wp - t-1 COSS'!$F$35</f>
        <v>3.8170000000000002</v>
      </c>
      <c r="T142" s="1130"/>
      <c r="U142" s="1143">
        <f t="shared" ref="U142:U144" ca="1" si="56">+Q142*S142</f>
        <v>857.29820000000007</v>
      </c>
      <c r="V142" s="2029"/>
      <c r="W142" s="1130"/>
      <c r="X142" s="1130"/>
      <c r="Y142" s="1040"/>
      <c r="Z142" s="820"/>
      <c r="AA142" s="821"/>
      <c r="AB142" s="821"/>
      <c r="AC142" s="821"/>
      <c r="AD142" s="821"/>
      <c r="AE142" s="821"/>
      <c r="AF142" s="797"/>
      <c r="AG142" s="797"/>
      <c r="AH142" s="797"/>
      <c r="AI142" s="797"/>
      <c r="AJ142" s="797"/>
      <c r="AK142" s="797"/>
      <c r="AL142" s="797"/>
      <c r="AM142" s="797"/>
      <c r="AN142" s="797"/>
      <c r="AO142" s="797"/>
      <c r="AP142" s="797"/>
      <c r="AQ142" s="797"/>
      <c r="AR142" s="797"/>
      <c r="AS142" s="797"/>
      <c r="AT142" s="812"/>
      <c r="AU142" s="812"/>
      <c r="AV142" s="812"/>
      <c r="AW142" s="1092"/>
      <c r="AX142" s="812"/>
    </row>
    <row r="143" spans="1:50">
      <c r="A143" s="1524">
        <v>134</v>
      </c>
      <c r="B143" s="1141" t="s">
        <v>708</v>
      </c>
      <c r="C143" s="1132"/>
      <c r="D143" s="1133"/>
      <c r="E143" s="1132"/>
      <c r="F143" s="1129"/>
      <c r="G143" s="1124">
        <v>28.3</v>
      </c>
      <c r="H143" s="1124"/>
      <c r="I143" s="1680">
        <v>3.01</v>
      </c>
      <c r="J143" s="1130"/>
      <c r="K143" s="1127">
        <f t="shared" si="54"/>
        <v>85.182999999999993</v>
      </c>
      <c r="L143" s="1124"/>
      <c r="M143" s="1125">
        <f t="shared" si="53"/>
        <v>85.182999999999993</v>
      </c>
      <c r="N143" s="1124"/>
      <c r="O143" s="1127"/>
      <c r="P143" s="1126"/>
      <c r="Q143" s="1127">
        <f t="shared" si="55"/>
        <v>28.3</v>
      </c>
      <c r="R143" s="1124"/>
      <c r="S143" s="2114">
        <f ca="1">'wp - t-1 COSS'!$F$35</f>
        <v>3.8170000000000002</v>
      </c>
      <c r="T143" s="1130"/>
      <c r="U143" s="1143">
        <f t="shared" ca="1" si="56"/>
        <v>108.0211</v>
      </c>
      <c r="V143" s="2029"/>
      <c r="W143" s="1130"/>
      <c r="X143" s="1130"/>
      <c r="Y143" s="1040"/>
      <c r="Z143" s="820"/>
      <c r="AA143" s="821"/>
      <c r="AB143" s="821"/>
      <c r="AC143" s="821"/>
      <c r="AD143" s="821"/>
      <c r="AE143" s="821"/>
      <c r="AF143" s="797"/>
      <c r="AG143" s="797"/>
      <c r="AH143" s="797"/>
      <c r="AI143" s="797"/>
      <c r="AJ143" s="797"/>
      <c r="AK143" s="797"/>
      <c r="AL143" s="797"/>
      <c r="AM143" s="797"/>
      <c r="AN143" s="797"/>
      <c r="AO143" s="797"/>
      <c r="AP143" s="797"/>
      <c r="AQ143" s="797"/>
      <c r="AR143" s="797"/>
      <c r="AS143" s="797"/>
      <c r="AT143" s="812"/>
      <c r="AU143" s="1094"/>
      <c r="AV143" s="812"/>
      <c r="AW143" s="1092"/>
      <c r="AX143" s="812"/>
    </row>
    <row r="144" spans="1:50">
      <c r="A144" s="1524">
        <v>135</v>
      </c>
      <c r="B144" s="1141" t="s">
        <v>711</v>
      </c>
      <c r="C144" s="1132"/>
      <c r="D144" s="1133"/>
      <c r="E144" s="1132"/>
      <c r="F144" s="1129"/>
      <c r="G144" s="1124">
        <v>0</v>
      </c>
      <c r="H144" s="1124"/>
      <c r="I144" s="1680">
        <v>2.76</v>
      </c>
      <c r="J144" s="1130"/>
      <c r="K144" s="1127">
        <f t="shared" si="54"/>
        <v>0</v>
      </c>
      <c r="L144" s="1124"/>
      <c r="M144" s="1125">
        <f t="shared" si="53"/>
        <v>0</v>
      </c>
      <c r="N144" s="1124"/>
      <c r="O144" s="1127"/>
      <c r="P144" s="1126"/>
      <c r="Q144" s="1127">
        <f t="shared" si="55"/>
        <v>0</v>
      </c>
      <c r="R144" s="1124"/>
      <c r="S144" s="2114">
        <f ca="1">'wp - t-1 COSS'!$F$35</f>
        <v>3.8170000000000002</v>
      </c>
      <c r="T144" s="1130"/>
      <c r="U144" s="1143">
        <f t="shared" ca="1" si="56"/>
        <v>0</v>
      </c>
      <c r="V144" s="2029"/>
      <c r="W144" s="1130"/>
      <c r="X144" s="1130"/>
      <c r="Y144" s="1040"/>
      <c r="Z144" s="820"/>
      <c r="AA144" s="821"/>
      <c r="AB144" s="821"/>
      <c r="AC144" s="821"/>
      <c r="AD144" s="821"/>
      <c r="AE144" s="797"/>
      <c r="AF144" s="797"/>
      <c r="AG144" s="797"/>
      <c r="AH144" s="797"/>
      <c r="AI144" s="797"/>
      <c r="AJ144" s="797"/>
      <c r="AK144" s="797"/>
      <c r="AL144" s="797"/>
      <c r="AM144" s="797"/>
      <c r="AN144" s="797"/>
      <c r="AO144" s="797"/>
      <c r="AP144" s="797"/>
      <c r="AQ144" s="797"/>
      <c r="AR144" s="797"/>
      <c r="AS144" s="797"/>
      <c r="AT144" s="812"/>
      <c r="AU144" s="1094"/>
      <c r="AV144" s="812"/>
      <c r="AW144" s="1092"/>
      <c r="AX144" s="812"/>
    </row>
    <row r="145" spans="1:50" s="1110" customFormat="1" ht="12.75" thickBot="1">
      <c r="A145" s="1524">
        <v>136</v>
      </c>
      <c r="B145" s="1109" t="s">
        <v>1426</v>
      </c>
      <c r="C145" s="1134">
        <f>SUM(C139:C144)</f>
        <v>617.9</v>
      </c>
      <c r="D145" s="1135"/>
      <c r="E145" s="1134">
        <f>SUM(E139:E144)</f>
        <v>35</v>
      </c>
      <c r="F145" s="1135"/>
      <c r="G145" s="1134">
        <f>SUM(G139:G144)</f>
        <v>296.10000000000002</v>
      </c>
      <c r="H145" s="1096"/>
      <c r="I145" s="1678"/>
      <c r="J145" s="1097"/>
      <c r="K145" s="1146">
        <f>SUM(K140:L144)</f>
        <v>3936.3890000000001</v>
      </c>
      <c r="L145" s="1096"/>
      <c r="M145" s="1146">
        <f>SUM(M140:M144)</f>
        <v>3936.3890000000001</v>
      </c>
      <c r="N145" s="1096"/>
      <c r="O145" s="1134">
        <f>SUM(O139:O144)</f>
        <v>35</v>
      </c>
      <c r="P145" s="1099"/>
      <c r="Q145" s="1134">
        <f>SUM(Q139:Q144)</f>
        <v>296.10000000000002</v>
      </c>
      <c r="R145" s="1096"/>
      <c r="S145" s="1142"/>
      <c r="T145" s="1135"/>
      <c r="U145" s="1146">
        <f ca="1">SUM(U140:U144)</f>
        <v>5709.2637000000004</v>
      </c>
      <c r="V145" s="2030"/>
      <c r="W145" s="1135"/>
      <c r="X145" s="1135"/>
      <c r="Y145" s="941"/>
      <c r="Z145" s="831"/>
      <c r="AA145" s="832"/>
      <c r="AB145" s="832"/>
      <c r="AC145" s="832"/>
      <c r="AD145" s="832"/>
      <c r="AE145" s="832"/>
      <c r="AF145" s="832" t="s">
        <v>425</v>
      </c>
      <c r="AG145" s="1103"/>
      <c r="AH145" s="1097"/>
      <c r="AI145" s="1135"/>
      <c r="AJ145" s="1135"/>
      <c r="AK145" s="1135"/>
      <c r="AL145" s="1097"/>
      <c r="AM145" s="833"/>
      <c r="AN145" s="1097"/>
      <c r="AO145" s="833"/>
      <c r="AP145" s="1097"/>
      <c r="AQ145" s="833"/>
      <c r="AR145" s="1097"/>
      <c r="AS145" s="833"/>
      <c r="AT145" s="834"/>
      <c r="AU145" s="834"/>
      <c r="AV145" s="834"/>
      <c r="AW145" s="834"/>
      <c r="AX145" s="834"/>
    </row>
    <row r="146" spans="1:50" ht="12.75" thickTop="1">
      <c r="A146" s="1524">
        <v>137</v>
      </c>
      <c r="B146" s="1109"/>
      <c r="C146" s="1132"/>
      <c r="D146" s="1133"/>
      <c r="E146" s="1132"/>
      <c r="F146" s="1129"/>
      <c r="G146" s="1124"/>
      <c r="H146" s="1124"/>
      <c r="I146" s="1679"/>
      <c r="J146" s="1130"/>
      <c r="K146" s="1125"/>
      <c r="L146" s="1124"/>
      <c r="M146" s="1125"/>
      <c r="N146" s="1124"/>
      <c r="O146" s="1127"/>
      <c r="P146" s="1126"/>
      <c r="Q146" s="1127"/>
      <c r="R146" s="1124"/>
      <c r="S146" s="1128"/>
      <c r="T146" s="1130"/>
      <c r="U146" s="1093"/>
      <c r="V146" s="2031"/>
      <c r="W146" s="1130"/>
      <c r="X146" s="1130"/>
      <c r="Y146" s="1039"/>
      <c r="Z146" s="820"/>
      <c r="AA146" s="821"/>
      <c r="AB146" s="821"/>
      <c r="AC146" s="821"/>
      <c r="AD146" s="821"/>
      <c r="AE146" s="821"/>
      <c r="AF146" s="797"/>
      <c r="AG146" s="797"/>
      <c r="AH146" s="797"/>
      <c r="AI146" s="797"/>
      <c r="AJ146" s="797"/>
      <c r="AK146" s="797"/>
      <c r="AL146" s="797"/>
      <c r="AM146" s="797"/>
      <c r="AN146" s="797"/>
      <c r="AO146" s="797"/>
      <c r="AP146" s="797"/>
      <c r="AQ146" s="797"/>
      <c r="AR146" s="797"/>
      <c r="AS146" s="797"/>
      <c r="AT146" s="812"/>
      <c r="AU146" s="812"/>
      <c r="AV146" s="812"/>
      <c r="AW146" s="1092"/>
      <c r="AX146" s="812"/>
    </row>
    <row r="147" spans="1:50" ht="12.75" thickBot="1">
      <c r="A147" s="1524">
        <v>138</v>
      </c>
      <c r="B147" s="1111" t="s">
        <v>1425</v>
      </c>
      <c r="C147" s="1132"/>
      <c r="D147" s="1133"/>
      <c r="E147" s="1132"/>
      <c r="F147" s="1129"/>
      <c r="G147" s="1124"/>
      <c r="H147" s="1124"/>
      <c r="I147" s="1679"/>
      <c r="J147" s="1130"/>
      <c r="K147" s="1125"/>
      <c r="L147" s="1124"/>
      <c r="M147" s="1138">
        <f>+M145/$E145</f>
        <v>112.46825714285714</v>
      </c>
      <c r="N147" s="1124"/>
      <c r="O147" s="1127"/>
      <c r="P147" s="1126"/>
      <c r="Q147" s="1127"/>
      <c r="R147" s="1124"/>
      <c r="S147" s="1128"/>
      <c r="T147" s="1130"/>
      <c r="U147" s="1138">
        <f ca="1">+U145/$E145</f>
        <v>163.12182000000001</v>
      </c>
      <c r="V147" s="2032"/>
      <c r="W147" s="1130">
        <f ca="1">+U147-M147</f>
        <v>50.653562857142873</v>
      </c>
      <c r="X147" s="1130">
        <f ca="1">W147/M147</f>
        <v>0.45038097098635338</v>
      </c>
      <c r="Y147" s="1039"/>
      <c r="Z147" s="820"/>
      <c r="AA147" s="821"/>
      <c r="AB147" s="821"/>
      <c r="AC147" s="821"/>
      <c r="AD147" s="821"/>
      <c r="AE147" s="821"/>
      <c r="AF147" s="797"/>
      <c r="AG147" s="797"/>
      <c r="AH147" s="797"/>
      <c r="AI147" s="797"/>
      <c r="AJ147" s="797"/>
      <c r="AK147" s="797"/>
      <c r="AL147" s="797"/>
      <c r="AM147" s="797"/>
      <c r="AN147" s="797"/>
      <c r="AO147" s="797"/>
      <c r="AP147" s="797"/>
      <c r="AQ147" s="797"/>
      <c r="AR147" s="797"/>
      <c r="AS147" s="797"/>
      <c r="AT147" s="812"/>
      <c r="AU147" s="812"/>
      <c r="AV147" s="812"/>
      <c r="AW147" s="1092"/>
      <c r="AX147" s="812"/>
    </row>
    <row r="148" spans="1:50" ht="12.75" thickTop="1">
      <c r="A148" s="1524">
        <v>139</v>
      </c>
      <c r="B148" s="1106" t="s">
        <v>1424</v>
      </c>
      <c r="C148" s="1124">
        <v>5920.1059999999998</v>
      </c>
      <c r="D148" s="1129"/>
      <c r="E148" s="1124"/>
      <c r="F148" s="1129"/>
      <c r="G148" s="1124"/>
      <c r="H148" s="1124"/>
      <c r="I148" s="1683"/>
      <c r="J148" s="1130"/>
      <c r="K148" s="1125"/>
      <c r="L148" s="1124"/>
      <c r="M148" s="1125"/>
      <c r="N148" s="1124"/>
      <c r="O148" s="1127"/>
      <c r="P148" s="1126"/>
      <c r="Q148" s="1127"/>
      <c r="R148" s="1124"/>
      <c r="S148" s="1128"/>
      <c r="T148" s="1129"/>
      <c r="U148" s="1131"/>
      <c r="V148" s="2028"/>
      <c r="W148" s="1129"/>
      <c r="X148" s="1129"/>
      <c r="Y148" s="1040"/>
      <c r="Z148" s="820"/>
      <c r="AA148" s="821"/>
      <c r="AB148" s="821"/>
      <c r="AC148" s="821"/>
      <c r="AD148" s="821"/>
      <c r="AE148" s="821"/>
      <c r="AF148" s="797"/>
      <c r="AG148" s="797"/>
      <c r="AH148" s="797"/>
      <c r="AI148" s="797"/>
      <c r="AJ148" s="797"/>
      <c r="AK148" s="797"/>
      <c r="AL148" s="797"/>
      <c r="AM148" s="797"/>
      <c r="AN148" s="797"/>
      <c r="AO148" s="797"/>
      <c r="AP148" s="797"/>
      <c r="AQ148" s="797"/>
      <c r="AR148" s="797"/>
      <c r="AS148" s="797"/>
      <c r="AT148" s="1094"/>
      <c r="AU148" s="1094"/>
      <c r="AV148" s="1094"/>
      <c r="AW148" s="1094"/>
      <c r="AX148" s="1094"/>
    </row>
    <row r="149" spans="1:50">
      <c r="A149" s="1524">
        <v>140</v>
      </c>
      <c r="B149" s="1141" t="s">
        <v>3573</v>
      </c>
      <c r="C149" s="1124"/>
      <c r="D149" s="1129"/>
      <c r="E149" s="1124">
        <v>192</v>
      </c>
      <c r="F149" s="1129"/>
      <c r="G149" s="1124"/>
      <c r="H149" s="1124"/>
      <c r="I149" s="1682">
        <v>84.18</v>
      </c>
      <c r="J149" s="1130"/>
      <c r="K149" s="1125">
        <f>+E149*I149</f>
        <v>16162.560000000001</v>
      </c>
      <c r="L149" s="1124"/>
      <c r="M149" s="1125">
        <f>+K149</f>
        <v>16162.560000000001</v>
      </c>
      <c r="N149" s="1124"/>
      <c r="O149" s="1127">
        <f>+E149</f>
        <v>192</v>
      </c>
      <c r="P149" s="1126"/>
      <c r="Q149" s="1127"/>
      <c r="R149" s="1124"/>
      <c r="S149" s="1142">
        <f ca="1">'wp - t-1 COSS'!$F$17</f>
        <v>130.83000000000001</v>
      </c>
      <c r="T149" s="1130"/>
      <c r="U149" s="1143">
        <f ca="1">+O149*S149</f>
        <v>25119.360000000001</v>
      </c>
      <c r="V149" s="2029"/>
      <c r="W149" s="1130"/>
      <c r="X149" s="1130"/>
      <c r="Y149" s="1039"/>
      <c r="Z149" s="820"/>
      <c r="AA149" s="821"/>
      <c r="AB149" s="821"/>
      <c r="AC149" s="821"/>
      <c r="AD149" s="821"/>
      <c r="AE149" s="821"/>
      <c r="AF149" s="797"/>
      <c r="AG149" s="797"/>
      <c r="AH149" s="797"/>
      <c r="AI149" s="797"/>
      <c r="AJ149" s="797"/>
      <c r="AK149" s="797"/>
      <c r="AL149" s="797"/>
      <c r="AM149" s="797"/>
      <c r="AN149" s="797"/>
      <c r="AO149" s="797"/>
      <c r="AP149" s="797"/>
      <c r="AQ149" s="797"/>
      <c r="AR149" s="797"/>
      <c r="AS149" s="797"/>
      <c r="AT149" s="812"/>
      <c r="AU149" s="812"/>
      <c r="AV149" s="812"/>
      <c r="AW149" s="1092"/>
      <c r="AX149" s="812"/>
    </row>
    <row r="150" spans="1:50">
      <c r="A150" s="1524">
        <v>141</v>
      </c>
      <c r="B150" s="1141" t="s">
        <v>3574</v>
      </c>
      <c r="C150" s="1132"/>
      <c r="D150" s="1133"/>
      <c r="E150" s="1132"/>
      <c r="F150" s="1129"/>
      <c r="G150" s="1124">
        <v>246.607</v>
      </c>
      <c r="H150" s="1124"/>
      <c r="I150" s="1680">
        <v>3.53</v>
      </c>
      <c r="J150" s="1130"/>
      <c r="K150" s="1127">
        <f>+G150*I150</f>
        <v>870.52270999999996</v>
      </c>
      <c r="L150" s="1124"/>
      <c r="M150" s="1125">
        <f t="shared" ref="M150:M153" si="57">+K150</f>
        <v>870.52270999999996</v>
      </c>
      <c r="N150" s="1124"/>
      <c r="O150" s="1127"/>
      <c r="P150" s="1126"/>
      <c r="Q150" s="1127">
        <f>+G150</f>
        <v>246.607</v>
      </c>
      <c r="R150" s="1124"/>
      <c r="S150" s="2114">
        <f ca="1">'wp - t-1 COSS'!$F$35</f>
        <v>3.8170000000000002</v>
      </c>
      <c r="T150" s="1130"/>
      <c r="U150" s="1143">
        <f ca="1">+Q150*S150</f>
        <v>941.29891900000007</v>
      </c>
      <c r="V150" s="2029"/>
      <c r="W150" s="1130"/>
      <c r="X150" s="1130"/>
      <c r="Y150" s="1039"/>
      <c r="Z150" s="820"/>
      <c r="AA150" s="821"/>
      <c r="AB150" s="821"/>
      <c r="AC150" s="821"/>
      <c r="AD150" s="821"/>
      <c r="AE150" s="821"/>
      <c r="AF150" s="797"/>
      <c r="AG150" s="797"/>
      <c r="AH150" s="797"/>
      <c r="AI150" s="797"/>
      <c r="AJ150" s="797"/>
      <c r="AK150" s="797"/>
      <c r="AL150" s="797"/>
      <c r="AM150" s="797"/>
      <c r="AN150" s="797"/>
      <c r="AO150" s="797"/>
      <c r="AP150" s="797"/>
      <c r="AQ150" s="797"/>
      <c r="AR150" s="797"/>
      <c r="AS150" s="797"/>
      <c r="AT150" s="812"/>
      <c r="AU150" s="812"/>
      <c r="AV150" s="812"/>
      <c r="AW150" s="1092"/>
      <c r="AX150" s="812"/>
    </row>
    <row r="151" spans="1:50">
      <c r="A151" s="1524">
        <v>142</v>
      </c>
      <c r="B151" s="1141" t="s">
        <v>707</v>
      </c>
      <c r="C151" s="1132"/>
      <c r="D151" s="1133"/>
      <c r="E151" s="1132"/>
      <c r="F151" s="1129"/>
      <c r="G151" s="1124">
        <v>1192.758</v>
      </c>
      <c r="H151" s="1124"/>
      <c r="I151" s="1680">
        <v>3.35</v>
      </c>
      <c r="J151" s="1130"/>
      <c r="K151" s="1127">
        <f t="shared" ref="K151:K153" si="58">+G151*I151</f>
        <v>3995.7393000000002</v>
      </c>
      <c r="L151" s="1124"/>
      <c r="M151" s="1125">
        <f t="shared" si="57"/>
        <v>3995.7393000000002</v>
      </c>
      <c r="N151" s="1124"/>
      <c r="O151" s="1127"/>
      <c r="P151" s="1126"/>
      <c r="Q151" s="1127">
        <f t="shared" ref="Q151:Q153" si="59">+G151</f>
        <v>1192.758</v>
      </c>
      <c r="R151" s="1124"/>
      <c r="S151" s="2114">
        <f ca="1">'wp - t-1 COSS'!$F$35</f>
        <v>3.8170000000000002</v>
      </c>
      <c r="T151" s="1130"/>
      <c r="U151" s="1143">
        <f t="shared" ref="U151:U153" ca="1" si="60">+Q151*S151</f>
        <v>4552.757286</v>
      </c>
      <c r="V151" s="2029"/>
      <c r="W151" s="1130"/>
      <c r="X151" s="1130"/>
      <c r="Y151" s="1040"/>
      <c r="Z151" s="820"/>
      <c r="AA151" s="821"/>
      <c r="AB151" s="821"/>
      <c r="AC151" s="821"/>
      <c r="AD151" s="821"/>
      <c r="AE151" s="821"/>
      <c r="AF151" s="797"/>
      <c r="AG151" s="797"/>
      <c r="AH151" s="797"/>
      <c r="AI151" s="797"/>
      <c r="AJ151" s="797"/>
      <c r="AK151" s="797"/>
      <c r="AL151" s="797"/>
      <c r="AM151" s="797"/>
      <c r="AN151" s="797"/>
      <c r="AO151" s="797"/>
      <c r="AP151" s="797"/>
      <c r="AQ151" s="797"/>
      <c r="AR151" s="797"/>
      <c r="AS151" s="797"/>
      <c r="AT151" s="812"/>
      <c r="AU151" s="812"/>
      <c r="AV151" s="812"/>
      <c r="AW151" s="1092"/>
      <c r="AX151" s="812"/>
    </row>
    <row r="152" spans="1:50">
      <c r="A152" s="1524">
        <v>143</v>
      </c>
      <c r="B152" s="1141" t="s">
        <v>708</v>
      </c>
      <c r="C152" s="1132"/>
      <c r="D152" s="1133"/>
      <c r="E152" s="1132"/>
      <c r="F152" s="1129"/>
      <c r="G152" s="1124">
        <v>1142.6220000000001</v>
      </c>
      <c r="H152" s="1124"/>
      <c r="I152" s="1680">
        <v>3.01</v>
      </c>
      <c r="J152" s="1130"/>
      <c r="K152" s="1127">
        <f t="shared" si="58"/>
        <v>3439.2922199999998</v>
      </c>
      <c r="L152" s="1124"/>
      <c r="M152" s="1125">
        <f t="shared" si="57"/>
        <v>3439.2922199999998</v>
      </c>
      <c r="N152" s="1124"/>
      <c r="O152" s="1127"/>
      <c r="P152" s="1126"/>
      <c r="Q152" s="1127">
        <f t="shared" si="59"/>
        <v>1142.6220000000001</v>
      </c>
      <c r="R152" s="1124"/>
      <c r="S152" s="2114">
        <f ca="1">'wp - t-1 COSS'!$F$35</f>
        <v>3.8170000000000002</v>
      </c>
      <c r="T152" s="1130"/>
      <c r="U152" s="1143">
        <f t="shared" ca="1" si="60"/>
        <v>4361.3881740000006</v>
      </c>
      <c r="V152" s="2029"/>
      <c r="W152" s="1130"/>
      <c r="X152" s="1130"/>
      <c r="Y152" s="1040"/>
      <c r="Z152" s="820"/>
      <c r="AA152" s="821"/>
      <c r="AB152" s="821"/>
      <c r="AC152" s="821"/>
      <c r="AD152" s="821"/>
      <c r="AE152" s="821"/>
      <c r="AF152" s="797"/>
      <c r="AG152" s="797"/>
      <c r="AH152" s="797"/>
      <c r="AI152" s="797"/>
      <c r="AJ152" s="797"/>
      <c r="AK152" s="797"/>
      <c r="AL152" s="797"/>
      <c r="AM152" s="797"/>
      <c r="AN152" s="797"/>
      <c r="AO152" s="797"/>
      <c r="AP152" s="797"/>
      <c r="AQ152" s="797"/>
      <c r="AR152" s="797"/>
      <c r="AS152" s="797"/>
      <c r="AT152" s="812"/>
      <c r="AU152" s="1094"/>
      <c r="AV152" s="812"/>
      <c r="AW152" s="1092"/>
      <c r="AX152" s="812"/>
    </row>
    <row r="153" spans="1:50">
      <c r="A153" s="1524">
        <v>144</v>
      </c>
      <c r="B153" s="1141" t="s">
        <v>711</v>
      </c>
      <c r="C153" s="1132"/>
      <c r="D153" s="1133"/>
      <c r="E153" s="1132"/>
      <c r="F153" s="1129"/>
      <c r="G153" s="1124">
        <v>1156.32</v>
      </c>
      <c r="H153" s="1124"/>
      <c r="I153" s="1680">
        <v>2.76</v>
      </c>
      <c r="J153" s="1130"/>
      <c r="K153" s="1127">
        <f t="shared" si="58"/>
        <v>3191.4431999999997</v>
      </c>
      <c r="L153" s="1124"/>
      <c r="M153" s="1125">
        <f t="shared" si="57"/>
        <v>3191.4431999999997</v>
      </c>
      <c r="N153" s="1124"/>
      <c r="O153" s="1127"/>
      <c r="P153" s="1126"/>
      <c r="Q153" s="1127">
        <f t="shared" si="59"/>
        <v>1156.32</v>
      </c>
      <c r="R153" s="1124"/>
      <c r="S153" s="2114">
        <f ca="1">'wp - t-1 COSS'!$F$35</f>
        <v>3.8170000000000002</v>
      </c>
      <c r="T153" s="1130"/>
      <c r="U153" s="1143">
        <f t="shared" ca="1" si="60"/>
        <v>4413.6734399999996</v>
      </c>
      <c r="V153" s="2029"/>
      <c r="W153" s="1130"/>
      <c r="X153" s="1130"/>
      <c r="Y153" s="1040"/>
      <c r="Z153" s="820"/>
      <c r="AA153" s="821"/>
      <c r="AB153" s="821"/>
      <c r="AC153" s="821"/>
      <c r="AD153" s="821"/>
      <c r="AE153" s="797"/>
      <c r="AF153" s="797"/>
      <c r="AG153" s="797"/>
      <c r="AH153" s="797"/>
      <c r="AI153" s="797"/>
      <c r="AJ153" s="797"/>
      <c r="AK153" s="797"/>
      <c r="AL153" s="797"/>
      <c r="AM153" s="797"/>
      <c r="AN153" s="797"/>
      <c r="AO153" s="797"/>
      <c r="AP153" s="797"/>
      <c r="AQ153" s="797"/>
      <c r="AR153" s="797"/>
      <c r="AS153" s="797"/>
      <c r="AT153" s="812"/>
      <c r="AU153" s="1094"/>
      <c r="AV153" s="812"/>
      <c r="AW153" s="1092"/>
      <c r="AX153" s="812"/>
    </row>
    <row r="154" spans="1:50" s="1110" customFormat="1" ht="12.75" thickBot="1">
      <c r="A154" s="1524">
        <v>145</v>
      </c>
      <c r="B154" s="1109" t="s">
        <v>1423</v>
      </c>
      <c r="C154" s="1134">
        <f>SUM(C148:C153)</f>
        <v>5920.1059999999998</v>
      </c>
      <c r="D154" s="1135"/>
      <c r="E154" s="1134">
        <f>SUM(E148:E153)</f>
        <v>192</v>
      </c>
      <c r="F154" s="1135"/>
      <c r="G154" s="1134">
        <f>SUM(G148:G153)</f>
        <v>3738.3069999999998</v>
      </c>
      <c r="H154" s="1096"/>
      <c r="I154" s="1678"/>
      <c r="J154" s="1097"/>
      <c r="K154" s="1146">
        <f>SUM(K149:K153)</f>
        <v>27659.557430000001</v>
      </c>
      <c r="L154" s="1096"/>
      <c r="M154" s="1146">
        <f>SUM(M149:M153)</f>
        <v>27659.557430000001</v>
      </c>
      <c r="N154" s="1096"/>
      <c r="O154" s="1134">
        <f>SUM(O148:O153)</f>
        <v>192</v>
      </c>
      <c r="P154" s="1099"/>
      <c r="Q154" s="1134">
        <f>SUM(Q148:Q153)</f>
        <v>3738.3069999999998</v>
      </c>
      <c r="R154" s="1096"/>
      <c r="S154" s="1142"/>
      <c r="T154" s="1135"/>
      <c r="U154" s="1146">
        <f ca="1">SUM(U149:U153)</f>
        <v>39388.477819</v>
      </c>
      <c r="V154" s="2030"/>
      <c r="W154" s="1135"/>
      <c r="X154" s="1135"/>
      <c r="Y154" s="941"/>
      <c r="Z154" s="831"/>
      <c r="AA154" s="832"/>
      <c r="AB154" s="832"/>
      <c r="AC154" s="832"/>
      <c r="AD154" s="832"/>
      <c r="AE154" s="832"/>
      <c r="AF154" s="832" t="s">
        <v>425</v>
      </c>
      <c r="AG154" s="1103"/>
      <c r="AH154" s="1097"/>
      <c r="AI154" s="1135"/>
      <c r="AJ154" s="1135"/>
      <c r="AK154" s="1135"/>
      <c r="AL154" s="1097"/>
      <c r="AM154" s="833"/>
      <c r="AN154" s="1097"/>
      <c r="AO154" s="833"/>
      <c r="AP154" s="1097"/>
      <c r="AQ154" s="833"/>
      <c r="AR154" s="1097"/>
      <c r="AS154" s="833"/>
      <c r="AT154" s="834"/>
      <c r="AU154" s="834"/>
      <c r="AV154" s="834"/>
      <c r="AW154" s="834"/>
      <c r="AX154" s="834"/>
    </row>
    <row r="155" spans="1:50" ht="12.75" thickTop="1">
      <c r="A155" s="1524">
        <v>146</v>
      </c>
      <c r="B155" s="1109"/>
      <c r="C155" s="1132"/>
      <c r="D155" s="1133"/>
      <c r="E155" s="1132"/>
      <c r="F155" s="1129"/>
      <c r="G155" s="1124"/>
      <c r="H155" s="1124"/>
      <c r="I155" s="1679"/>
      <c r="J155" s="1130"/>
      <c r="K155" s="1125"/>
      <c r="L155" s="1124"/>
      <c r="M155" s="1125"/>
      <c r="N155" s="1124"/>
      <c r="O155" s="1127"/>
      <c r="P155" s="1126"/>
      <c r="Q155" s="1127"/>
      <c r="R155" s="1124"/>
      <c r="S155" s="1128"/>
      <c r="T155" s="1130"/>
      <c r="U155" s="1093"/>
      <c r="V155" s="2031"/>
      <c r="W155" s="1130"/>
      <c r="X155" s="1130"/>
      <c r="Y155" s="1039"/>
      <c r="Z155" s="820"/>
      <c r="AA155" s="821"/>
      <c r="AB155" s="821"/>
      <c r="AC155" s="821"/>
      <c r="AD155" s="821"/>
      <c r="AE155" s="821"/>
      <c r="AF155" s="797"/>
      <c r="AG155" s="797"/>
      <c r="AH155" s="797"/>
      <c r="AI155" s="797"/>
      <c r="AJ155" s="797"/>
      <c r="AK155" s="797"/>
      <c r="AL155" s="797"/>
      <c r="AM155" s="797"/>
      <c r="AN155" s="797"/>
      <c r="AO155" s="797"/>
      <c r="AP155" s="797"/>
      <c r="AQ155" s="797"/>
      <c r="AR155" s="797"/>
      <c r="AS155" s="797"/>
      <c r="AT155" s="812"/>
      <c r="AU155" s="812"/>
      <c r="AV155" s="812"/>
      <c r="AW155" s="1092"/>
      <c r="AX155" s="812"/>
    </row>
    <row r="156" spans="1:50" ht="12.75" thickBot="1">
      <c r="A156" s="1524">
        <v>147</v>
      </c>
      <c r="B156" s="1111" t="s">
        <v>1422</v>
      </c>
      <c r="C156" s="1132"/>
      <c r="D156" s="1133"/>
      <c r="E156" s="1132"/>
      <c r="F156" s="1129"/>
      <c r="G156" s="1124"/>
      <c r="H156" s="1124"/>
      <c r="I156" s="1679"/>
      <c r="J156" s="1130"/>
      <c r="K156" s="1125"/>
      <c r="L156" s="1124"/>
      <c r="M156" s="1138">
        <f>+M154/$E154</f>
        <v>144.06019494791667</v>
      </c>
      <c r="N156" s="1124"/>
      <c r="O156" s="1127"/>
      <c r="P156" s="1126"/>
      <c r="Q156" s="1127"/>
      <c r="R156" s="1124"/>
      <c r="S156" s="1128"/>
      <c r="T156" s="1130"/>
      <c r="U156" s="1138">
        <f ca="1">+U154/$E154</f>
        <v>205.14832197395833</v>
      </c>
      <c r="V156" s="2032"/>
      <c r="W156" s="1130">
        <f ca="1">+U156-M156</f>
        <v>61.088127026041661</v>
      </c>
      <c r="X156" s="1130">
        <f ca="1">W156/M156</f>
        <v>0.42404584450359367</v>
      </c>
      <c r="Y156" s="1039"/>
      <c r="Z156" s="820"/>
      <c r="AA156" s="821"/>
      <c r="AB156" s="821"/>
      <c r="AC156" s="821"/>
      <c r="AD156" s="821"/>
      <c r="AE156" s="821"/>
      <c r="AF156" s="797"/>
      <c r="AG156" s="797"/>
      <c r="AH156" s="797"/>
      <c r="AI156" s="797"/>
      <c r="AJ156" s="797"/>
      <c r="AK156" s="797"/>
      <c r="AL156" s="797"/>
      <c r="AM156" s="797"/>
      <c r="AN156" s="797"/>
      <c r="AO156" s="797"/>
      <c r="AP156" s="797"/>
      <c r="AQ156" s="797"/>
      <c r="AR156" s="797"/>
      <c r="AS156" s="797"/>
      <c r="AT156" s="812"/>
      <c r="AU156" s="812"/>
      <c r="AV156" s="812"/>
      <c r="AW156" s="1092"/>
      <c r="AX156" s="812"/>
    </row>
    <row r="157" spans="1:50" ht="12.75" thickTop="1">
      <c r="A157" s="1524">
        <v>148</v>
      </c>
      <c r="B157" s="1111"/>
      <c r="C157" s="1132"/>
      <c r="D157" s="1133"/>
      <c r="E157" s="1132"/>
      <c r="F157" s="1129"/>
      <c r="G157" s="1124"/>
      <c r="H157" s="1124"/>
      <c r="I157" s="1679"/>
      <c r="J157" s="1130"/>
      <c r="K157" s="1125"/>
      <c r="L157" s="1124"/>
      <c r="M157" s="1125"/>
      <c r="N157" s="1124"/>
      <c r="O157" s="1127"/>
      <c r="P157" s="1126"/>
      <c r="Q157" s="1127"/>
      <c r="R157" s="1124"/>
      <c r="S157" s="1128"/>
      <c r="T157" s="1130"/>
      <c r="U157" s="1112"/>
      <c r="V157" s="2032"/>
      <c r="W157" s="1130"/>
      <c r="X157" s="1130"/>
      <c r="Y157" s="1039"/>
      <c r="Z157" s="820"/>
      <c r="AA157" s="821"/>
      <c r="AB157" s="821"/>
      <c r="AC157" s="821"/>
      <c r="AD157" s="821"/>
      <c r="AE157" s="821"/>
      <c r="AF157" s="797"/>
      <c r="AG157" s="797"/>
      <c r="AH157" s="797"/>
      <c r="AI157" s="797"/>
      <c r="AJ157" s="797"/>
      <c r="AK157" s="797"/>
      <c r="AL157" s="797"/>
      <c r="AM157" s="797"/>
      <c r="AN157" s="797"/>
      <c r="AO157" s="797"/>
      <c r="AP157" s="797"/>
      <c r="AQ157" s="797"/>
      <c r="AR157" s="797"/>
      <c r="AS157" s="797"/>
      <c r="AT157" s="812"/>
      <c r="AU157" s="812"/>
      <c r="AV157" s="812"/>
      <c r="AW157" s="1092"/>
      <c r="AX157" s="812"/>
    </row>
    <row r="158" spans="1:50">
      <c r="A158" s="1524">
        <v>149</v>
      </c>
      <c r="B158" s="1106" t="s">
        <v>1421</v>
      </c>
      <c r="C158" s="1124">
        <v>3161.61</v>
      </c>
      <c r="D158" s="1129"/>
      <c r="E158" s="1124"/>
      <c r="F158" s="1129"/>
      <c r="G158" s="1124"/>
      <c r="H158" s="1124"/>
      <c r="I158" s="1683"/>
      <c r="J158" s="1130"/>
      <c r="K158" s="1125"/>
      <c r="L158" s="1124"/>
      <c r="M158" s="1125"/>
      <c r="N158" s="1124"/>
      <c r="O158" s="1127"/>
      <c r="P158" s="1126"/>
      <c r="Q158" s="1127"/>
      <c r="R158" s="1124"/>
      <c r="S158" s="1128"/>
      <c r="T158" s="1129"/>
      <c r="U158" s="1131"/>
      <c r="V158" s="2028"/>
      <c r="W158" s="1129"/>
      <c r="X158" s="1129"/>
      <c r="Y158" s="1040"/>
      <c r="Z158" s="820"/>
      <c r="AA158" s="821"/>
      <c r="AB158" s="821"/>
      <c r="AC158" s="821"/>
      <c r="AD158" s="821"/>
      <c r="AE158" s="821"/>
      <c r="AF158" s="797"/>
      <c r="AG158" s="797"/>
      <c r="AH158" s="797"/>
      <c r="AI158" s="797"/>
      <c r="AJ158" s="797"/>
      <c r="AK158" s="797"/>
      <c r="AL158" s="797"/>
      <c r="AM158" s="797"/>
      <c r="AN158" s="797"/>
      <c r="AO158" s="797"/>
      <c r="AP158" s="797"/>
      <c r="AQ158" s="797"/>
      <c r="AR158" s="797"/>
      <c r="AS158" s="797"/>
      <c r="AT158" s="1094"/>
      <c r="AU158" s="1094"/>
      <c r="AV158" s="1094"/>
      <c r="AW158" s="1094"/>
      <c r="AX158" s="1094"/>
    </row>
    <row r="159" spans="1:50">
      <c r="A159" s="1524">
        <v>150</v>
      </c>
      <c r="B159" s="1141" t="s">
        <v>460</v>
      </c>
      <c r="C159" s="1124"/>
      <c r="D159" s="1129"/>
      <c r="E159" s="1124">
        <v>36</v>
      </c>
      <c r="F159" s="1129"/>
      <c r="G159" s="1124"/>
      <c r="H159" s="1124"/>
      <c r="I159" s="1682">
        <v>235.96</v>
      </c>
      <c r="J159" s="1130"/>
      <c r="K159" s="1125">
        <f>+E159*I159</f>
        <v>8494.56</v>
      </c>
      <c r="L159" s="1124"/>
      <c r="M159" s="1125">
        <f>+K159</f>
        <v>8494.56</v>
      </c>
      <c r="N159" s="1124"/>
      <c r="O159" s="1127">
        <f>+E159</f>
        <v>36</v>
      </c>
      <c r="P159" s="1126"/>
      <c r="Q159" s="1127"/>
      <c r="R159" s="1124"/>
      <c r="S159" s="1142">
        <f ca="1">'wp - t-1 COSS'!$F$18</f>
        <v>246.14</v>
      </c>
      <c r="T159" s="1130"/>
      <c r="U159" s="1143">
        <f ca="1">+O159*S159</f>
        <v>8861.0399999999991</v>
      </c>
      <c r="V159" s="2029"/>
      <c r="W159" s="1130"/>
      <c r="X159" s="1130"/>
      <c r="Y159" s="1039"/>
      <c r="Z159" s="820"/>
      <c r="AA159" s="821"/>
      <c r="AB159" s="821"/>
      <c r="AC159" s="821"/>
      <c r="AD159" s="821"/>
      <c r="AE159" s="821"/>
      <c r="AF159" s="797"/>
      <c r="AG159" s="797"/>
      <c r="AH159" s="797"/>
      <c r="AI159" s="797"/>
      <c r="AJ159" s="797"/>
      <c r="AK159" s="797"/>
      <c r="AL159" s="797"/>
      <c r="AM159" s="797"/>
      <c r="AN159" s="797"/>
      <c r="AO159" s="797"/>
      <c r="AP159" s="797"/>
      <c r="AQ159" s="797"/>
      <c r="AR159" s="797"/>
      <c r="AS159" s="797"/>
      <c r="AT159" s="812"/>
      <c r="AU159" s="812"/>
      <c r="AV159" s="812"/>
      <c r="AW159" s="1092"/>
      <c r="AX159" s="812"/>
    </row>
    <row r="160" spans="1:50">
      <c r="A160" s="1524">
        <v>151</v>
      </c>
      <c r="B160" s="1141" t="s">
        <v>461</v>
      </c>
      <c r="C160" s="1132"/>
      <c r="D160" s="1133"/>
      <c r="E160" s="1132"/>
      <c r="F160" s="1129"/>
      <c r="G160" s="1124">
        <v>644.70000000000005</v>
      </c>
      <c r="H160" s="1124"/>
      <c r="I160" s="1680">
        <v>3.01</v>
      </c>
      <c r="J160" s="1130"/>
      <c r="K160" s="1127">
        <f>+G160*I160</f>
        <v>1940.547</v>
      </c>
      <c r="L160" s="1124"/>
      <c r="M160" s="1125">
        <f>+K160</f>
        <v>1940.547</v>
      </c>
      <c r="N160" s="1124"/>
      <c r="O160" s="1127"/>
      <c r="P160" s="1126"/>
      <c r="Q160" s="1127">
        <f>+G160</f>
        <v>644.70000000000005</v>
      </c>
      <c r="R160" s="1124"/>
      <c r="S160" s="2114">
        <f ca="1">'wp - t-1 COSS'!$F$36</f>
        <v>3.8170000000000002</v>
      </c>
      <c r="T160" s="1130"/>
      <c r="U160" s="1143">
        <f ca="1">+Q160*S160</f>
        <v>2460.8199000000004</v>
      </c>
      <c r="V160" s="2029"/>
      <c r="W160" s="1130"/>
      <c r="X160" s="1130"/>
      <c r="Y160" s="1039"/>
      <c r="Z160" s="820"/>
      <c r="AA160" s="821"/>
      <c r="AB160" s="821"/>
      <c r="AC160" s="821"/>
      <c r="AD160" s="821"/>
      <c r="AE160" s="821"/>
      <c r="AF160" s="797"/>
      <c r="AG160" s="797"/>
      <c r="AH160" s="797"/>
      <c r="AI160" s="797"/>
      <c r="AJ160" s="797"/>
      <c r="AK160" s="797"/>
      <c r="AL160" s="797"/>
      <c r="AM160" s="797"/>
      <c r="AN160" s="797"/>
      <c r="AO160" s="797"/>
      <c r="AP160" s="797"/>
      <c r="AQ160" s="797"/>
      <c r="AR160" s="797"/>
      <c r="AS160" s="797"/>
      <c r="AT160" s="812"/>
      <c r="AU160" s="812"/>
      <c r="AV160" s="812"/>
      <c r="AW160" s="1092"/>
      <c r="AX160" s="812"/>
    </row>
    <row r="161" spans="1:50">
      <c r="A161" s="1524">
        <v>152</v>
      </c>
      <c r="B161" s="1141" t="s">
        <v>711</v>
      </c>
      <c r="C161" s="1132"/>
      <c r="D161" s="1133"/>
      <c r="E161" s="1132"/>
      <c r="F161" s="1129"/>
      <c r="G161" s="1124">
        <v>684.71</v>
      </c>
      <c r="H161" s="1124"/>
      <c r="I161" s="1680">
        <v>2.76</v>
      </c>
      <c r="J161" s="1130"/>
      <c r="K161" s="1127">
        <f>+G161*I161</f>
        <v>1889.7996000000001</v>
      </c>
      <c r="L161" s="1124"/>
      <c r="M161" s="1125">
        <f>+K161</f>
        <v>1889.7996000000001</v>
      </c>
      <c r="N161" s="1124"/>
      <c r="O161" s="1127"/>
      <c r="P161" s="1126"/>
      <c r="Q161" s="1127">
        <f t="shared" ref="Q161" si="61">+G161</f>
        <v>684.71</v>
      </c>
      <c r="R161" s="1124"/>
      <c r="S161" s="2114">
        <f ca="1">'wp - t-1 COSS'!$F$36</f>
        <v>3.8170000000000002</v>
      </c>
      <c r="T161" s="1130"/>
      <c r="U161" s="1143">
        <f t="shared" ref="U161" ca="1" si="62">+Q161*S161</f>
        <v>2613.5380700000001</v>
      </c>
      <c r="V161" s="2029"/>
      <c r="W161" s="1130"/>
      <c r="X161" s="1130"/>
      <c r="Y161" s="1040"/>
      <c r="Z161" s="820"/>
      <c r="AA161" s="821"/>
      <c r="AB161" s="821"/>
      <c r="AC161" s="821"/>
      <c r="AD161" s="821"/>
      <c r="AE161" s="821"/>
      <c r="AF161" s="797"/>
      <c r="AG161" s="797"/>
      <c r="AH161" s="797"/>
      <c r="AI161" s="797"/>
      <c r="AJ161" s="797"/>
      <c r="AK161" s="797"/>
      <c r="AL161" s="797"/>
      <c r="AM161" s="797"/>
      <c r="AN161" s="797"/>
      <c r="AO161" s="797"/>
      <c r="AP161" s="797"/>
      <c r="AQ161" s="797"/>
      <c r="AR161" s="797"/>
      <c r="AS161" s="797"/>
      <c r="AT161" s="812"/>
      <c r="AU161" s="812"/>
      <c r="AV161" s="812"/>
      <c r="AW161" s="1092"/>
      <c r="AX161" s="812"/>
    </row>
    <row r="162" spans="1:50" s="1110" customFormat="1" ht="12.75" thickBot="1">
      <c r="A162" s="1524">
        <v>153</v>
      </c>
      <c r="B162" s="1109" t="s">
        <v>1420</v>
      </c>
      <c r="C162" s="1134">
        <f>SUM(C158:C161)</f>
        <v>3161.61</v>
      </c>
      <c r="D162" s="1135"/>
      <c r="E162" s="1134">
        <f>SUM(E158:E161)</f>
        <v>36</v>
      </c>
      <c r="F162" s="1135"/>
      <c r="G162" s="1134">
        <f>SUM(G158:G161)</f>
        <v>1329.41</v>
      </c>
      <c r="H162" s="1096"/>
      <c r="I162" s="1678"/>
      <c r="J162" s="1097"/>
      <c r="K162" s="1136">
        <f>SUM(K159:K161)</f>
        <v>12324.9066</v>
      </c>
      <c r="L162" s="1096"/>
      <c r="M162" s="1136">
        <f>SUM(M159:N161)</f>
        <v>12324.9066</v>
      </c>
      <c r="N162" s="1096"/>
      <c r="O162" s="1147">
        <f>SUM(O159:O161)</f>
        <v>36</v>
      </c>
      <c r="P162" s="1126"/>
      <c r="Q162" s="1147">
        <f>SUM(Q159:R161)</f>
        <v>1329.41</v>
      </c>
      <c r="R162" s="1096"/>
      <c r="S162" s="1128"/>
      <c r="T162" s="1135"/>
      <c r="U162" s="1147">
        <f ca="1">SUM(U159:U161)</f>
        <v>13935.39797</v>
      </c>
      <c r="V162" s="2033"/>
      <c r="W162" s="1135"/>
      <c r="X162" s="1135"/>
      <c r="Y162" s="941"/>
      <c r="Z162" s="831"/>
      <c r="AA162" s="832"/>
      <c r="AB162" s="832"/>
      <c r="AC162" s="832"/>
      <c r="AD162" s="832"/>
      <c r="AE162" s="832"/>
      <c r="AF162" s="832" t="s">
        <v>425</v>
      </c>
      <c r="AG162" s="1103"/>
      <c r="AH162" s="1097"/>
      <c r="AI162" s="1135"/>
      <c r="AJ162" s="1135"/>
      <c r="AK162" s="1135"/>
      <c r="AL162" s="1097"/>
      <c r="AM162" s="833"/>
      <c r="AN162" s="1097"/>
      <c r="AO162" s="833"/>
      <c r="AP162" s="1097"/>
      <c r="AQ162" s="833"/>
      <c r="AR162" s="1097"/>
      <c r="AS162" s="833"/>
      <c r="AT162" s="834"/>
      <c r="AU162" s="834"/>
      <c r="AV162" s="834"/>
      <c r="AW162" s="834"/>
      <c r="AX162" s="834"/>
    </row>
    <row r="163" spans="1:50" ht="12.75" thickTop="1">
      <c r="A163" s="1524">
        <v>154</v>
      </c>
      <c r="B163" s="1109"/>
      <c r="C163" s="1132"/>
      <c r="D163" s="1133"/>
      <c r="E163" s="1132"/>
      <c r="F163" s="1129"/>
      <c r="G163" s="1124"/>
      <c r="H163" s="1124"/>
      <c r="I163" s="1679"/>
      <c r="J163" s="1130"/>
      <c r="K163" s="1125"/>
      <c r="L163" s="1124"/>
      <c r="M163" s="1125"/>
      <c r="N163" s="1124"/>
      <c r="O163" s="1127"/>
      <c r="P163" s="1126"/>
      <c r="Q163" s="1127"/>
      <c r="R163" s="1124"/>
      <c r="S163" s="1128"/>
      <c r="T163" s="1130"/>
      <c r="U163" s="1093"/>
      <c r="V163" s="2031"/>
      <c r="W163" s="1130"/>
      <c r="X163" s="1130"/>
      <c r="Y163" s="1039"/>
      <c r="Z163" s="820"/>
      <c r="AA163" s="821"/>
      <c r="AB163" s="821"/>
      <c r="AC163" s="821"/>
      <c r="AD163" s="821"/>
      <c r="AE163" s="821"/>
      <c r="AF163" s="797"/>
      <c r="AG163" s="797"/>
      <c r="AH163" s="797"/>
      <c r="AI163" s="797"/>
      <c r="AJ163" s="797"/>
      <c r="AK163" s="797"/>
      <c r="AL163" s="797"/>
      <c r="AM163" s="797"/>
      <c r="AN163" s="797"/>
      <c r="AO163" s="797"/>
      <c r="AP163" s="797"/>
      <c r="AQ163" s="797"/>
      <c r="AR163" s="797"/>
      <c r="AS163" s="797"/>
      <c r="AT163" s="812"/>
      <c r="AU163" s="812"/>
      <c r="AV163" s="812"/>
      <c r="AW163" s="1092"/>
      <c r="AX163" s="812"/>
    </row>
    <row r="164" spans="1:50" ht="12.75" thickBot="1">
      <c r="A164" s="1524">
        <v>155</v>
      </c>
      <c r="B164" s="1111" t="s">
        <v>1419</v>
      </c>
      <c r="C164" s="1132"/>
      <c r="D164" s="1133"/>
      <c r="E164" s="1132"/>
      <c r="F164" s="1129"/>
      <c r="G164" s="1124"/>
      <c r="H164" s="1124"/>
      <c r="I164" s="1679"/>
      <c r="J164" s="1130"/>
      <c r="K164" s="1125"/>
      <c r="L164" s="1124"/>
      <c r="M164" s="1138">
        <f>+M162/$E162</f>
        <v>342.35851666666667</v>
      </c>
      <c r="N164" s="1124"/>
      <c r="O164" s="1127"/>
      <c r="P164" s="1126"/>
      <c r="Q164" s="1127"/>
      <c r="R164" s="1124"/>
      <c r="S164" s="1128"/>
      <c r="T164" s="1130"/>
      <c r="U164" s="1138">
        <f ca="1">+U162/$E162</f>
        <v>387.09438805555556</v>
      </c>
      <c r="V164" s="2032"/>
      <c r="W164" s="1130">
        <f ca="1">+U164-M164</f>
        <v>44.735871388888881</v>
      </c>
      <c r="X164" s="1130">
        <f ca="1">W164/M164</f>
        <v>0.13066966122079982</v>
      </c>
      <c r="Y164" s="1039"/>
      <c r="Z164" s="820"/>
      <c r="AA164" s="821"/>
      <c r="AB164" s="821"/>
      <c r="AC164" s="821"/>
      <c r="AD164" s="821"/>
      <c r="AE164" s="821"/>
      <c r="AF164" s="797"/>
      <c r="AG164" s="797"/>
      <c r="AH164" s="797"/>
      <c r="AI164" s="797"/>
      <c r="AJ164" s="797"/>
      <c r="AK164" s="797"/>
      <c r="AL164" s="797"/>
      <c r="AM164" s="797"/>
      <c r="AN164" s="797"/>
      <c r="AO164" s="797"/>
      <c r="AP164" s="797"/>
      <c r="AQ164" s="797"/>
      <c r="AR164" s="797"/>
      <c r="AS164" s="797"/>
      <c r="AT164" s="812"/>
      <c r="AU164" s="812"/>
      <c r="AV164" s="812"/>
      <c r="AW164" s="1092"/>
      <c r="AX164" s="812"/>
    </row>
    <row r="165" spans="1:50" ht="12.75" thickTop="1">
      <c r="A165" s="1524">
        <v>156</v>
      </c>
      <c r="B165" s="1106" t="s">
        <v>1418</v>
      </c>
      <c r="C165" s="1124">
        <v>5715.6</v>
      </c>
      <c r="D165" s="1129"/>
      <c r="E165" s="1124"/>
      <c r="F165" s="1129"/>
      <c r="G165" s="1124"/>
      <c r="H165" s="1124"/>
      <c r="I165" s="1683"/>
      <c r="J165" s="1130"/>
      <c r="K165" s="1125"/>
      <c r="L165" s="1124"/>
      <c r="M165" s="1125"/>
      <c r="N165" s="1124"/>
      <c r="O165" s="1127"/>
      <c r="P165" s="1126"/>
      <c r="Q165" s="1127"/>
      <c r="R165" s="1124"/>
      <c r="S165" s="1128"/>
      <c r="T165" s="1129"/>
      <c r="U165" s="1131"/>
      <c r="V165" s="2028"/>
      <c r="W165" s="1129"/>
      <c r="X165" s="1129"/>
      <c r="Y165" s="1040"/>
      <c r="Z165" s="820"/>
      <c r="AA165" s="821"/>
      <c r="AB165" s="821"/>
      <c r="AC165" s="821"/>
      <c r="AD165" s="821"/>
      <c r="AE165" s="821"/>
      <c r="AF165" s="797"/>
      <c r="AG165" s="797"/>
      <c r="AH165" s="797"/>
      <c r="AI165" s="797"/>
      <c r="AJ165" s="797"/>
      <c r="AK165" s="797"/>
      <c r="AL165" s="797"/>
      <c r="AM165" s="797"/>
      <c r="AN165" s="797"/>
      <c r="AO165" s="797"/>
      <c r="AP165" s="797"/>
      <c r="AQ165" s="797"/>
      <c r="AR165" s="797"/>
      <c r="AS165" s="797"/>
      <c r="AT165" s="1094"/>
      <c r="AU165" s="1094"/>
      <c r="AV165" s="1094"/>
      <c r="AW165" s="1094"/>
      <c r="AX165" s="1094"/>
    </row>
    <row r="166" spans="1:50">
      <c r="A166" s="1524">
        <v>157</v>
      </c>
      <c r="B166" s="1141" t="s">
        <v>460</v>
      </c>
      <c r="C166" s="1124"/>
      <c r="D166" s="1129"/>
      <c r="E166" s="1124">
        <v>48</v>
      </c>
      <c r="F166" s="1129"/>
      <c r="G166" s="1124"/>
      <c r="H166" s="1124"/>
      <c r="I166" s="1682">
        <v>235.96</v>
      </c>
      <c r="J166" s="1130"/>
      <c r="K166" s="1125">
        <f>+E166*I166</f>
        <v>11326.08</v>
      </c>
      <c r="L166" s="1124"/>
      <c r="M166" s="1125">
        <f>+K166</f>
        <v>11326.08</v>
      </c>
      <c r="N166" s="1124"/>
      <c r="O166" s="1127">
        <f>+E166</f>
        <v>48</v>
      </c>
      <c r="P166" s="1126"/>
      <c r="Q166" s="1127"/>
      <c r="R166" s="1124"/>
      <c r="S166" s="1142">
        <f ca="1">'wp - t-1 COSS'!$F$18</f>
        <v>246.14</v>
      </c>
      <c r="T166" s="1130"/>
      <c r="U166" s="1143">
        <f ca="1">+O166*S166</f>
        <v>11814.72</v>
      </c>
      <c r="V166" s="2029"/>
      <c r="W166" s="1130"/>
      <c r="X166" s="1130"/>
      <c r="Y166" s="1039"/>
      <c r="Z166" s="820"/>
      <c r="AA166" s="821"/>
      <c r="AB166" s="821"/>
      <c r="AC166" s="821"/>
      <c r="AD166" s="821"/>
      <c r="AE166" s="821"/>
      <c r="AF166" s="797"/>
      <c r="AG166" s="797"/>
      <c r="AH166" s="797"/>
      <c r="AI166" s="797"/>
      <c r="AJ166" s="797"/>
      <c r="AK166" s="797"/>
      <c r="AL166" s="797"/>
      <c r="AM166" s="797"/>
      <c r="AN166" s="797"/>
      <c r="AO166" s="797"/>
      <c r="AP166" s="797"/>
      <c r="AQ166" s="797"/>
      <c r="AR166" s="797"/>
      <c r="AS166" s="797"/>
      <c r="AT166" s="812"/>
      <c r="AU166" s="812"/>
      <c r="AV166" s="812"/>
      <c r="AW166" s="1092"/>
      <c r="AX166" s="812"/>
    </row>
    <row r="167" spans="1:50">
      <c r="A167" s="1524">
        <v>158</v>
      </c>
      <c r="B167" s="1141" t="s">
        <v>461</v>
      </c>
      <c r="C167" s="1132"/>
      <c r="D167" s="1133"/>
      <c r="E167" s="1132"/>
      <c r="F167" s="1129"/>
      <c r="G167" s="1124">
        <v>379.2</v>
      </c>
      <c r="H167" s="1124"/>
      <c r="I167" s="1680">
        <v>3.01</v>
      </c>
      <c r="J167" s="1130"/>
      <c r="K167" s="1127">
        <f>+G167*I167</f>
        <v>1141.3919999999998</v>
      </c>
      <c r="L167" s="1124"/>
      <c r="M167" s="1125">
        <f t="shared" ref="M167:M168" si="63">+K167</f>
        <v>1141.3919999999998</v>
      </c>
      <c r="N167" s="1124"/>
      <c r="O167" s="1127"/>
      <c r="P167" s="1126"/>
      <c r="Q167" s="1127">
        <f>+G167</f>
        <v>379.2</v>
      </c>
      <c r="R167" s="1124"/>
      <c r="S167" s="2114">
        <f ca="1">'wp - t-1 COSS'!$F$36</f>
        <v>3.8170000000000002</v>
      </c>
      <c r="T167" s="1130"/>
      <c r="U167" s="1143">
        <f ca="1">+Q167*S167</f>
        <v>1447.4064000000001</v>
      </c>
      <c r="V167" s="2029"/>
      <c r="W167" s="1130"/>
      <c r="X167" s="1130"/>
      <c r="Y167" s="1039"/>
      <c r="Z167" s="820"/>
      <c r="AA167" s="821"/>
      <c r="AB167" s="821"/>
      <c r="AC167" s="821"/>
      <c r="AD167" s="821"/>
      <c r="AE167" s="821"/>
      <c r="AF167" s="797"/>
      <c r="AG167" s="797"/>
      <c r="AH167" s="797"/>
      <c r="AI167" s="797"/>
      <c r="AJ167" s="797"/>
      <c r="AK167" s="797"/>
      <c r="AL167" s="797"/>
      <c r="AM167" s="797"/>
      <c r="AN167" s="797"/>
      <c r="AO167" s="797"/>
      <c r="AP167" s="797"/>
      <c r="AQ167" s="797"/>
      <c r="AR167" s="797"/>
      <c r="AS167" s="797"/>
      <c r="AT167" s="812"/>
      <c r="AU167" s="812"/>
      <c r="AV167" s="812"/>
      <c r="AW167" s="1092"/>
      <c r="AX167" s="812"/>
    </row>
    <row r="168" spans="1:50">
      <c r="A168" s="1524">
        <v>159</v>
      </c>
      <c r="B168" s="1141" t="s">
        <v>711</v>
      </c>
      <c r="C168" s="1132"/>
      <c r="D168" s="1133"/>
      <c r="E168" s="1132"/>
      <c r="F168" s="1129"/>
      <c r="G168" s="1124">
        <v>4290</v>
      </c>
      <c r="H168" s="1124"/>
      <c r="I168" s="1680">
        <v>2.76</v>
      </c>
      <c r="J168" s="1130"/>
      <c r="K168" s="1127">
        <f t="shared" ref="K168" si="64">+G168*I168</f>
        <v>11840.4</v>
      </c>
      <c r="L168" s="1124"/>
      <c r="M168" s="1125">
        <f t="shared" si="63"/>
        <v>11840.4</v>
      </c>
      <c r="N168" s="1124"/>
      <c r="O168" s="1127"/>
      <c r="P168" s="1126"/>
      <c r="Q168" s="1127">
        <f t="shared" ref="Q168" si="65">+G168</f>
        <v>4290</v>
      </c>
      <c r="R168" s="1124"/>
      <c r="S168" s="2114">
        <f ca="1">'wp - t-1 COSS'!$F$36</f>
        <v>3.8170000000000002</v>
      </c>
      <c r="T168" s="1130"/>
      <c r="U168" s="1143">
        <f t="shared" ref="U168" ca="1" si="66">+Q168*S168</f>
        <v>16374.93</v>
      </c>
      <c r="V168" s="2029"/>
      <c r="W168" s="1130"/>
      <c r="X168" s="1130"/>
      <c r="Y168" s="1040"/>
      <c r="Z168" s="820"/>
      <c r="AA168" s="821"/>
      <c r="AB168" s="821"/>
      <c r="AC168" s="821"/>
      <c r="AD168" s="821"/>
      <c r="AE168" s="821"/>
      <c r="AF168" s="797"/>
      <c r="AG168" s="797"/>
      <c r="AH168" s="797"/>
      <c r="AI168" s="797"/>
      <c r="AJ168" s="797"/>
      <c r="AK168" s="797"/>
      <c r="AL168" s="797"/>
      <c r="AM168" s="797"/>
      <c r="AN168" s="797"/>
      <c r="AO168" s="797"/>
      <c r="AP168" s="797"/>
      <c r="AQ168" s="797"/>
      <c r="AR168" s="797"/>
      <c r="AS168" s="797"/>
      <c r="AT168" s="812"/>
      <c r="AU168" s="812"/>
      <c r="AV168" s="812"/>
      <c r="AW168" s="1092"/>
      <c r="AX168" s="812"/>
    </row>
    <row r="169" spans="1:50" s="1110" customFormat="1" ht="12.75" thickBot="1">
      <c r="A169" s="1524">
        <v>160</v>
      </c>
      <c r="B169" s="1109" t="s">
        <v>1417</v>
      </c>
      <c r="C169" s="1134">
        <f>SUM(C165:C168)</f>
        <v>5715.6</v>
      </c>
      <c r="D169" s="1135"/>
      <c r="E169" s="1134">
        <f>SUM(E165:E168)</f>
        <v>48</v>
      </c>
      <c r="F169" s="1135"/>
      <c r="G169" s="1134">
        <f>SUM(G165:G168)</f>
        <v>4669.2</v>
      </c>
      <c r="H169" s="1096"/>
      <c r="I169" s="1678"/>
      <c r="J169" s="1097"/>
      <c r="K169" s="1136">
        <f>SUM(K166:L168)</f>
        <v>24307.871999999999</v>
      </c>
      <c r="L169" s="1096"/>
      <c r="M169" s="1136">
        <f>SUM(M166:N168)</f>
        <v>24307.871999999999</v>
      </c>
      <c r="N169" s="1096"/>
      <c r="O169" s="1147">
        <f>SUM(O166:O168)</f>
        <v>48</v>
      </c>
      <c r="P169" s="1126"/>
      <c r="Q169" s="1147">
        <f>SUM(Q166:Q168)</f>
        <v>4669.2</v>
      </c>
      <c r="R169" s="1096"/>
      <c r="S169" s="1128"/>
      <c r="T169" s="1135"/>
      <c r="U169" s="1147">
        <f ca="1">SUM(U166:U168)</f>
        <v>29637.056400000001</v>
      </c>
      <c r="V169" s="2033"/>
      <c r="W169" s="1135"/>
      <c r="X169" s="1135"/>
      <c r="Y169" s="941"/>
      <c r="Z169" s="831"/>
      <c r="AA169" s="832"/>
      <c r="AB169" s="832"/>
      <c r="AC169" s="832"/>
      <c r="AD169" s="832"/>
      <c r="AE169" s="832"/>
      <c r="AF169" s="832" t="s">
        <v>425</v>
      </c>
      <c r="AG169" s="1103"/>
      <c r="AH169" s="1097"/>
      <c r="AI169" s="1135"/>
      <c r="AJ169" s="1135"/>
      <c r="AK169" s="1135"/>
      <c r="AL169" s="1097"/>
      <c r="AM169" s="833"/>
      <c r="AN169" s="1097"/>
      <c r="AO169" s="833"/>
      <c r="AP169" s="1097"/>
      <c r="AQ169" s="833"/>
      <c r="AR169" s="1097"/>
      <c r="AS169" s="833"/>
      <c r="AT169" s="834"/>
      <c r="AU169" s="834"/>
      <c r="AV169" s="834"/>
      <c r="AW169" s="834"/>
      <c r="AX169" s="834"/>
    </row>
    <row r="170" spans="1:50" ht="12.75" thickTop="1">
      <c r="A170" s="1524">
        <v>161</v>
      </c>
      <c r="B170" s="1109"/>
      <c r="C170" s="1132"/>
      <c r="D170" s="1133"/>
      <c r="E170" s="1132"/>
      <c r="F170" s="1129"/>
      <c r="G170" s="1124"/>
      <c r="H170" s="1124"/>
      <c r="I170" s="1679"/>
      <c r="J170" s="1130"/>
      <c r="K170" s="1125"/>
      <c r="L170" s="1124"/>
      <c r="M170" s="1125"/>
      <c r="N170" s="1124"/>
      <c r="O170" s="1127"/>
      <c r="P170" s="1126"/>
      <c r="Q170" s="1127"/>
      <c r="R170" s="1124"/>
      <c r="S170" s="1128"/>
      <c r="T170" s="1130"/>
      <c r="U170" s="1093"/>
      <c r="V170" s="2031"/>
      <c r="W170" s="1130"/>
      <c r="X170" s="1130"/>
      <c r="Y170" s="1039"/>
      <c r="Z170" s="820"/>
      <c r="AA170" s="821"/>
      <c r="AB170" s="821"/>
      <c r="AC170" s="821"/>
      <c r="AD170" s="821"/>
      <c r="AE170" s="821"/>
      <c r="AF170" s="797"/>
      <c r="AG170" s="797"/>
      <c r="AH170" s="797"/>
      <c r="AI170" s="797"/>
      <c r="AJ170" s="797"/>
      <c r="AK170" s="797"/>
      <c r="AL170" s="797"/>
      <c r="AM170" s="797"/>
      <c r="AN170" s="797"/>
      <c r="AO170" s="797"/>
      <c r="AP170" s="797"/>
      <c r="AQ170" s="797"/>
      <c r="AR170" s="797"/>
      <c r="AS170" s="797"/>
      <c r="AT170" s="812"/>
      <c r="AU170" s="812"/>
      <c r="AV170" s="812"/>
      <c r="AW170" s="1092"/>
      <c r="AX170" s="812"/>
    </row>
    <row r="171" spans="1:50" ht="12.75" thickBot="1">
      <c r="A171" s="1524">
        <v>162</v>
      </c>
      <c r="B171" s="1111" t="s">
        <v>1416</v>
      </c>
      <c r="C171" s="1132"/>
      <c r="D171" s="1133"/>
      <c r="E171" s="1132"/>
      <c r="F171" s="1129"/>
      <c r="G171" s="1124"/>
      <c r="H171" s="1124"/>
      <c r="I171" s="1679"/>
      <c r="J171" s="1130"/>
      <c r="K171" s="1125"/>
      <c r="L171" s="1124"/>
      <c r="M171" s="1138">
        <f>+M169/$E169</f>
        <v>506.41399999999999</v>
      </c>
      <c r="N171" s="1124"/>
      <c r="O171" s="1127"/>
      <c r="P171" s="1126"/>
      <c r="Q171" s="1127"/>
      <c r="R171" s="1124"/>
      <c r="S171" s="1128"/>
      <c r="T171" s="1130"/>
      <c r="U171" s="1138">
        <f ca="1">+U169/$E169</f>
        <v>617.43867499999999</v>
      </c>
      <c r="V171" s="2032"/>
      <c r="W171" s="1130">
        <f ca="1">+U171-M171</f>
        <v>111.024675</v>
      </c>
      <c r="X171" s="1130">
        <f ca="1">W171/M171</f>
        <v>0.21923697804563066</v>
      </c>
      <c r="Y171" s="1039"/>
      <c r="Z171" s="820"/>
      <c r="AA171" s="821"/>
      <c r="AB171" s="821"/>
      <c r="AC171" s="821"/>
      <c r="AD171" s="821"/>
      <c r="AE171" s="821"/>
      <c r="AF171" s="797"/>
      <c r="AG171" s="797"/>
      <c r="AH171" s="797"/>
      <c r="AI171" s="797"/>
      <c r="AJ171" s="797"/>
      <c r="AK171" s="797"/>
      <c r="AL171" s="797"/>
      <c r="AM171" s="797"/>
      <c r="AN171" s="797"/>
      <c r="AO171" s="797"/>
      <c r="AP171" s="797"/>
      <c r="AQ171" s="797"/>
      <c r="AR171" s="797"/>
      <c r="AS171" s="797"/>
      <c r="AT171" s="812"/>
      <c r="AU171" s="812"/>
      <c r="AV171" s="812"/>
      <c r="AW171" s="1092"/>
      <c r="AX171" s="812"/>
    </row>
    <row r="172" spans="1:50" ht="12.75" thickTop="1">
      <c r="A172" s="1524">
        <v>163</v>
      </c>
      <c r="B172" s="1106" t="s">
        <v>1415</v>
      </c>
      <c r="C172" s="1124">
        <v>9275.2000000000007</v>
      </c>
      <c r="D172" s="1129"/>
      <c r="E172" s="1124"/>
      <c r="F172" s="1129"/>
      <c r="G172" s="1124"/>
      <c r="H172" s="1124"/>
      <c r="I172" s="1683"/>
      <c r="J172" s="1130"/>
      <c r="K172" s="1125"/>
      <c r="L172" s="1124"/>
      <c r="M172" s="1125"/>
      <c r="N172" s="1124"/>
      <c r="O172" s="1127"/>
      <c r="P172" s="1126"/>
      <c r="Q172" s="1127"/>
      <c r="R172" s="1124"/>
      <c r="S172" s="1128"/>
      <c r="T172" s="1129"/>
      <c r="U172" s="1131"/>
      <c r="V172" s="2028"/>
      <c r="W172" s="1129"/>
      <c r="X172" s="1129"/>
      <c r="Y172" s="1040"/>
      <c r="Z172" s="820"/>
      <c r="AA172" s="821"/>
      <c r="AB172" s="821"/>
      <c r="AC172" s="821"/>
      <c r="AD172" s="821"/>
      <c r="AE172" s="821"/>
      <c r="AF172" s="797"/>
      <c r="AG172" s="797"/>
      <c r="AH172" s="797"/>
      <c r="AI172" s="797"/>
      <c r="AJ172" s="797"/>
      <c r="AK172" s="797"/>
      <c r="AL172" s="797"/>
      <c r="AM172" s="797"/>
      <c r="AN172" s="797"/>
      <c r="AO172" s="797"/>
      <c r="AP172" s="797"/>
      <c r="AQ172" s="797"/>
      <c r="AR172" s="797"/>
      <c r="AS172" s="797"/>
      <c r="AT172" s="1094"/>
      <c r="AU172" s="1094"/>
      <c r="AV172" s="1094"/>
      <c r="AW172" s="1094"/>
      <c r="AX172" s="1094"/>
    </row>
    <row r="173" spans="1:50">
      <c r="A173" s="1524">
        <v>164</v>
      </c>
      <c r="B173" s="1141" t="s">
        <v>460</v>
      </c>
      <c r="C173" s="1124"/>
      <c r="D173" s="1129"/>
      <c r="E173" s="1124">
        <v>12</v>
      </c>
      <c r="F173" s="1129"/>
      <c r="G173" s="1124"/>
      <c r="H173" s="1124"/>
      <c r="I173" s="1682">
        <v>235.96</v>
      </c>
      <c r="J173" s="1130"/>
      <c r="K173" s="1125">
        <f>+E173*I173</f>
        <v>2831.52</v>
      </c>
      <c r="L173" s="1124"/>
      <c r="M173" s="1125">
        <f>+K173</f>
        <v>2831.52</v>
      </c>
      <c r="N173" s="1124"/>
      <c r="O173" s="1127">
        <f>+E173</f>
        <v>12</v>
      </c>
      <c r="P173" s="1126"/>
      <c r="Q173" s="1127"/>
      <c r="R173" s="1124"/>
      <c r="S173" s="1142">
        <f ca="1">'wp - t-1 COSS'!$F$18</f>
        <v>246.14</v>
      </c>
      <c r="T173" s="1130"/>
      <c r="U173" s="1143">
        <f ca="1">+O173*S173</f>
        <v>2953.68</v>
      </c>
      <c r="V173" s="2029"/>
      <c r="W173" s="1130"/>
      <c r="X173" s="1130"/>
      <c r="Y173" s="1039"/>
      <c r="Z173" s="820"/>
      <c r="AA173" s="821"/>
      <c r="AB173" s="821"/>
      <c r="AC173" s="821"/>
      <c r="AD173" s="821"/>
      <c r="AE173" s="821"/>
      <c r="AF173" s="797"/>
      <c r="AG173" s="797"/>
      <c r="AH173" s="797"/>
      <c r="AI173" s="797"/>
      <c r="AJ173" s="797"/>
      <c r="AK173" s="797"/>
      <c r="AL173" s="797"/>
      <c r="AM173" s="797"/>
      <c r="AN173" s="797"/>
      <c r="AO173" s="797"/>
      <c r="AP173" s="797"/>
      <c r="AQ173" s="797"/>
      <c r="AR173" s="797"/>
      <c r="AS173" s="797"/>
      <c r="AT173" s="812"/>
      <c r="AU173" s="812"/>
      <c r="AV173" s="812"/>
      <c r="AW173" s="1092"/>
      <c r="AX173" s="812"/>
    </row>
    <row r="174" spans="1:50">
      <c r="A174" s="1524">
        <v>165</v>
      </c>
      <c r="B174" s="1141" t="s">
        <v>461</v>
      </c>
      <c r="C174" s="1132"/>
      <c r="D174" s="1133"/>
      <c r="E174" s="1132"/>
      <c r="F174" s="1129"/>
      <c r="G174" s="1124">
        <v>379.2</v>
      </c>
      <c r="H174" s="1124"/>
      <c r="I174" s="1680">
        <v>3.01</v>
      </c>
      <c r="J174" s="1130"/>
      <c r="K174" s="1127">
        <f>+G174*I174</f>
        <v>1141.3919999999998</v>
      </c>
      <c r="L174" s="1124"/>
      <c r="M174" s="1125">
        <f t="shared" ref="M174:M175" si="67">+K174</f>
        <v>1141.3919999999998</v>
      </c>
      <c r="N174" s="1124"/>
      <c r="O174" s="1127"/>
      <c r="P174" s="1126"/>
      <c r="Q174" s="1127">
        <f>+G174</f>
        <v>379.2</v>
      </c>
      <c r="R174" s="1124"/>
      <c r="S174" s="2114">
        <f ca="1">'wp - t-1 COSS'!$F$36</f>
        <v>3.8170000000000002</v>
      </c>
      <c r="T174" s="1130"/>
      <c r="U174" s="1143">
        <f ca="1">+Q174*S174</f>
        <v>1447.4064000000001</v>
      </c>
      <c r="V174" s="2029"/>
      <c r="W174" s="1130"/>
      <c r="X174" s="1130"/>
      <c r="Y174" s="1039"/>
      <c r="Z174" s="820"/>
      <c r="AA174" s="821"/>
      <c r="AB174" s="821"/>
      <c r="AC174" s="821"/>
      <c r="AD174" s="821"/>
      <c r="AE174" s="821"/>
      <c r="AF174" s="797"/>
      <c r="AG174" s="797"/>
      <c r="AH174" s="797"/>
      <c r="AI174" s="797"/>
      <c r="AJ174" s="797"/>
      <c r="AK174" s="797"/>
      <c r="AL174" s="797"/>
      <c r="AM174" s="797"/>
      <c r="AN174" s="797"/>
      <c r="AO174" s="797"/>
      <c r="AP174" s="797"/>
      <c r="AQ174" s="797"/>
      <c r="AR174" s="797"/>
      <c r="AS174" s="797"/>
      <c r="AT174" s="812"/>
      <c r="AU174" s="812"/>
      <c r="AV174" s="812"/>
      <c r="AW174" s="1092"/>
      <c r="AX174" s="812"/>
    </row>
    <row r="175" spans="1:50">
      <c r="A175" s="1524">
        <v>166</v>
      </c>
      <c r="B175" s="1141" t="s">
        <v>711</v>
      </c>
      <c r="C175" s="1132"/>
      <c r="D175" s="1133"/>
      <c r="E175" s="1132"/>
      <c r="F175" s="1129"/>
      <c r="G175" s="1124">
        <v>8075.2</v>
      </c>
      <c r="H175" s="1124"/>
      <c r="I175" s="1680">
        <v>2.76</v>
      </c>
      <c r="J175" s="1130"/>
      <c r="K175" s="1127">
        <f t="shared" ref="K175" si="68">+G175*I175</f>
        <v>22287.551999999996</v>
      </c>
      <c r="L175" s="1124"/>
      <c r="M175" s="1125">
        <f t="shared" si="67"/>
        <v>22287.551999999996</v>
      </c>
      <c r="N175" s="1124"/>
      <c r="O175" s="1127"/>
      <c r="P175" s="1126"/>
      <c r="Q175" s="1127">
        <f t="shared" ref="Q175" si="69">+G175</f>
        <v>8075.2</v>
      </c>
      <c r="R175" s="1124"/>
      <c r="S175" s="2114">
        <f ca="1">'wp - t-1 COSS'!$F$36</f>
        <v>3.8170000000000002</v>
      </c>
      <c r="T175" s="1130"/>
      <c r="U175" s="1143">
        <f t="shared" ref="U175" ca="1" si="70">+Q175*S175</f>
        <v>30823.038400000001</v>
      </c>
      <c r="V175" s="2029"/>
      <c r="W175" s="1130"/>
      <c r="X175" s="1130"/>
      <c r="Y175" s="1040"/>
      <c r="Z175" s="820"/>
      <c r="AA175" s="821"/>
      <c r="AB175" s="821"/>
      <c r="AC175" s="821"/>
      <c r="AD175" s="821"/>
      <c r="AE175" s="821"/>
      <c r="AF175" s="797"/>
      <c r="AG175" s="797"/>
      <c r="AH175" s="797"/>
      <c r="AI175" s="797"/>
      <c r="AJ175" s="797"/>
      <c r="AK175" s="797"/>
      <c r="AL175" s="797"/>
      <c r="AM175" s="797"/>
      <c r="AN175" s="797"/>
      <c r="AO175" s="797"/>
      <c r="AP175" s="797"/>
      <c r="AQ175" s="797"/>
      <c r="AR175" s="797"/>
      <c r="AS175" s="797"/>
      <c r="AT175" s="812"/>
      <c r="AU175" s="812"/>
      <c r="AV175" s="812"/>
      <c r="AW175" s="1092"/>
      <c r="AX175" s="812"/>
    </row>
    <row r="176" spans="1:50" s="1110" customFormat="1" ht="12.75" thickBot="1">
      <c r="A176" s="1524">
        <v>167</v>
      </c>
      <c r="B176" s="1109" t="s">
        <v>1414</v>
      </c>
      <c r="C176" s="1134">
        <f>SUM(C172:C175)</f>
        <v>9275.2000000000007</v>
      </c>
      <c r="D176" s="1135"/>
      <c r="E176" s="1134">
        <f>SUM(E172:E175)</f>
        <v>12</v>
      </c>
      <c r="F176" s="1135"/>
      <c r="G176" s="1134">
        <f>SUM(G172:H175)</f>
        <v>8454.4</v>
      </c>
      <c r="H176" s="1096"/>
      <c r="I176" s="1678"/>
      <c r="J176" s="1097"/>
      <c r="K176" s="1136">
        <f>SUM(K173:L175)</f>
        <v>26260.463999999996</v>
      </c>
      <c r="L176" s="1096"/>
      <c r="M176" s="1136">
        <f>SUM(M173:N175)</f>
        <v>26260.463999999996</v>
      </c>
      <c r="N176" s="1096"/>
      <c r="O176" s="1147">
        <f>SUM(O173:O175)</f>
        <v>12</v>
      </c>
      <c r="P176" s="1126"/>
      <c r="Q176" s="1147">
        <f>SUM(Q173:R175)</f>
        <v>8454.4</v>
      </c>
      <c r="R176" s="1096"/>
      <c r="S176" s="1128"/>
      <c r="T176" s="1135"/>
      <c r="U176" s="1147">
        <f ca="1">SUM(U173:U175)</f>
        <v>35224.124800000005</v>
      </c>
      <c r="V176" s="2033"/>
      <c r="W176" s="1135"/>
      <c r="X176" s="1135"/>
      <c r="Y176" s="941"/>
      <c r="Z176" s="831"/>
      <c r="AA176" s="832"/>
      <c r="AB176" s="832"/>
      <c r="AC176" s="832"/>
      <c r="AD176" s="832"/>
      <c r="AE176" s="832"/>
      <c r="AF176" s="832" t="s">
        <v>425</v>
      </c>
      <c r="AG176" s="1103"/>
      <c r="AH176" s="1097"/>
      <c r="AI176" s="1135"/>
      <c r="AJ176" s="1135"/>
      <c r="AK176" s="1135"/>
      <c r="AL176" s="1097"/>
      <c r="AM176" s="833"/>
      <c r="AN176" s="1097"/>
      <c r="AO176" s="833"/>
      <c r="AP176" s="1097"/>
      <c r="AQ176" s="833"/>
      <c r="AR176" s="1097"/>
      <c r="AS176" s="833"/>
      <c r="AT176" s="834"/>
      <c r="AU176" s="834"/>
      <c r="AV176" s="834"/>
      <c r="AW176" s="834"/>
      <c r="AX176" s="834"/>
    </row>
    <row r="177" spans="1:50" ht="12.75" thickTop="1">
      <c r="A177" s="1524">
        <v>168</v>
      </c>
      <c r="B177" s="1109"/>
      <c r="C177" s="1132"/>
      <c r="D177" s="1133"/>
      <c r="E177" s="1132"/>
      <c r="F177" s="1129"/>
      <c r="G177" s="1124"/>
      <c r="H177" s="1124"/>
      <c r="I177" s="1679"/>
      <c r="J177" s="1130"/>
      <c r="K177" s="1125"/>
      <c r="L177" s="1124"/>
      <c r="M177" s="1125"/>
      <c r="N177" s="1124"/>
      <c r="O177" s="1127"/>
      <c r="P177" s="1126"/>
      <c r="Q177" s="1127"/>
      <c r="R177" s="1124"/>
      <c r="S177" s="1128"/>
      <c r="T177" s="1130"/>
      <c r="U177" s="1093"/>
      <c r="V177" s="2031"/>
      <c r="W177" s="1130"/>
      <c r="X177" s="1130"/>
      <c r="Y177" s="1039"/>
      <c r="Z177" s="820"/>
      <c r="AA177" s="821"/>
      <c r="AB177" s="821"/>
      <c r="AC177" s="821"/>
      <c r="AD177" s="821"/>
      <c r="AE177" s="821"/>
      <c r="AF177" s="797"/>
      <c r="AG177" s="797"/>
      <c r="AH177" s="797"/>
      <c r="AI177" s="797"/>
      <c r="AJ177" s="797"/>
      <c r="AK177" s="797"/>
      <c r="AL177" s="797"/>
      <c r="AM177" s="797"/>
      <c r="AN177" s="797"/>
      <c r="AO177" s="797"/>
      <c r="AP177" s="797"/>
      <c r="AQ177" s="797"/>
      <c r="AR177" s="797"/>
      <c r="AS177" s="797"/>
      <c r="AT177" s="812"/>
      <c r="AU177" s="812"/>
      <c r="AV177" s="812"/>
      <c r="AW177" s="1092"/>
      <c r="AX177" s="812"/>
    </row>
    <row r="178" spans="1:50" ht="12.75" thickBot="1">
      <c r="A178" s="1524">
        <v>169</v>
      </c>
      <c r="B178" s="1111" t="s">
        <v>1413</v>
      </c>
      <c r="C178" s="1132"/>
      <c r="D178" s="1133"/>
      <c r="E178" s="1132"/>
      <c r="F178" s="1129"/>
      <c r="G178" s="1124"/>
      <c r="H178" s="1124"/>
      <c r="I178" s="1679"/>
      <c r="J178" s="1130"/>
      <c r="K178" s="1125"/>
      <c r="L178" s="1124"/>
      <c r="M178" s="1138">
        <f>+M176/$E176</f>
        <v>2188.3719999999998</v>
      </c>
      <c r="N178" s="1124"/>
      <c r="O178" s="1127"/>
      <c r="P178" s="1126"/>
      <c r="Q178" s="1127"/>
      <c r="R178" s="1124"/>
      <c r="S178" s="1128"/>
      <c r="T178" s="1130"/>
      <c r="U178" s="1138">
        <f ca="1">+U176/$E176</f>
        <v>2935.3437333333336</v>
      </c>
      <c r="V178" s="2032"/>
      <c r="W178" s="1130">
        <f ca="1">+U178-M178</f>
        <v>746.97173333333376</v>
      </c>
      <c r="X178" s="1130">
        <f ca="1">W178/M178</f>
        <v>0.34133672580956703</v>
      </c>
      <c r="Y178" s="1039"/>
      <c r="Z178" s="820"/>
      <c r="AA178" s="821"/>
      <c r="AB178" s="821"/>
      <c r="AC178" s="821"/>
      <c r="AD178" s="821"/>
      <c r="AE178" s="821"/>
      <c r="AF178" s="797"/>
      <c r="AG178" s="797"/>
      <c r="AH178" s="797"/>
      <c r="AI178" s="797"/>
      <c r="AJ178" s="797"/>
      <c r="AK178" s="797"/>
      <c r="AL178" s="797"/>
      <c r="AM178" s="797"/>
      <c r="AN178" s="797"/>
      <c r="AO178" s="797"/>
      <c r="AP178" s="797"/>
      <c r="AQ178" s="797"/>
      <c r="AR178" s="797"/>
      <c r="AS178" s="797"/>
      <c r="AT178" s="812"/>
      <c r="AU178" s="812"/>
      <c r="AV178" s="812"/>
      <c r="AW178" s="1092"/>
      <c r="AX178" s="812"/>
    </row>
    <row r="179" spans="1:50" ht="12.75" thickTop="1">
      <c r="A179" s="1524">
        <v>170</v>
      </c>
      <c r="B179" s="1106" t="s">
        <v>1412</v>
      </c>
      <c r="C179" s="1124">
        <v>1951</v>
      </c>
      <c r="D179" s="1129"/>
      <c r="E179" s="1124"/>
      <c r="F179" s="1129"/>
      <c r="G179" s="1124"/>
      <c r="H179" s="1124"/>
      <c r="I179" s="1683"/>
      <c r="J179" s="1130"/>
      <c r="K179" s="1125"/>
      <c r="L179" s="1124"/>
      <c r="M179" s="1125"/>
      <c r="N179" s="1124"/>
      <c r="O179" s="1127"/>
      <c r="P179" s="1126"/>
      <c r="Q179" s="1127"/>
      <c r="R179" s="1124"/>
      <c r="S179" s="1128"/>
      <c r="T179" s="1129"/>
      <c r="U179" s="1131"/>
      <c r="V179" s="2028"/>
      <c r="W179" s="1129"/>
      <c r="X179" s="1129"/>
      <c r="Y179" s="1040"/>
      <c r="Z179" s="820"/>
      <c r="AA179" s="821"/>
      <c r="AB179" s="821"/>
      <c r="AC179" s="821"/>
      <c r="AD179" s="821"/>
      <c r="AE179" s="821"/>
      <c r="AF179" s="797"/>
      <c r="AG179" s="797"/>
      <c r="AH179" s="797"/>
      <c r="AI179" s="797"/>
      <c r="AJ179" s="797"/>
      <c r="AK179" s="797"/>
      <c r="AL179" s="797"/>
      <c r="AM179" s="797"/>
      <c r="AN179" s="797"/>
      <c r="AO179" s="797"/>
      <c r="AP179" s="797"/>
      <c r="AQ179" s="797"/>
      <c r="AR179" s="797"/>
      <c r="AS179" s="797"/>
      <c r="AT179" s="1094"/>
      <c r="AU179" s="1094"/>
      <c r="AV179" s="1094"/>
      <c r="AW179" s="1094"/>
      <c r="AX179" s="1094"/>
    </row>
    <row r="180" spans="1:50">
      <c r="A180" s="1524">
        <v>171</v>
      </c>
      <c r="B180" s="1141" t="s">
        <v>712</v>
      </c>
      <c r="C180" s="1124"/>
      <c r="D180" s="1129"/>
      <c r="E180" s="1124">
        <v>12</v>
      </c>
      <c r="F180" s="1129"/>
      <c r="G180" s="1124"/>
      <c r="H180" s="1124"/>
      <c r="I180" s="1682">
        <v>406.82</v>
      </c>
      <c r="J180" s="1130"/>
      <c r="K180" s="1125">
        <f>+E180*I180</f>
        <v>4881.84</v>
      </c>
      <c r="L180" s="1124"/>
      <c r="M180" s="1125">
        <f>+K180</f>
        <v>4881.84</v>
      </c>
      <c r="N180" s="1124"/>
      <c r="O180" s="1127">
        <f>+E180</f>
        <v>12</v>
      </c>
      <c r="P180" s="1126"/>
      <c r="Q180" s="1127"/>
      <c r="R180" s="1124"/>
      <c r="S180" s="1142">
        <f ca="1">'wp - t-1 COSS'!$F$19</f>
        <v>410.86</v>
      </c>
      <c r="T180" s="1130"/>
      <c r="U180" s="1143">
        <f ca="1">+O180*S180</f>
        <v>4930.32</v>
      </c>
      <c r="V180" s="2029"/>
      <c r="W180" s="1130"/>
      <c r="X180" s="1130"/>
      <c r="Y180" s="1039"/>
      <c r="Z180" s="820"/>
      <c r="AA180" s="821"/>
      <c r="AB180" s="821"/>
      <c r="AC180" s="821"/>
      <c r="AD180" s="821"/>
      <c r="AE180" s="821"/>
      <c r="AF180" s="797"/>
      <c r="AG180" s="797"/>
      <c r="AH180" s="797"/>
      <c r="AI180" s="797"/>
      <c r="AJ180" s="797"/>
      <c r="AK180" s="797"/>
      <c r="AL180" s="797"/>
      <c r="AM180" s="797"/>
      <c r="AN180" s="797"/>
      <c r="AO180" s="797"/>
      <c r="AP180" s="797"/>
      <c r="AQ180" s="797"/>
      <c r="AR180" s="797"/>
      <c r="AS180" s="797"/>
      <c r="AT180" s="812"/>
      <c r="AU180" s="812"/>
      <c r="AV180" s="812"/>
      <c r="AW180" s="1092"/>
      <c r="AX180" s="812"/>
    </row>
    <row r="181" spans="1:50">
      <c r="A181" s="1524">
        <v>172</v>
      </c>
      <c r="B181" s="1141" t="s">
        <v>713</v>
      </c>
      <c r="C181" s="1132"/>
      <c r="D181" s="1133"/>
      <c r="E181" s="1132"/>
      <c r="F181" s="1129"/>
      <c r="G181" s="1124">
        <v>464.20600000000002</v>
      </c>
      <c r="H181" s="1124"/>
      <c r="I181" s="1680">
        <v>2.76</v>
      </c>
      <c r="J181" s="1130"/>
      <c r="K181" s="1127">
        <f>+G181*I181</f>
        <v>1281.20856</v>
      </c>
      <c r="L181" s="1124"/>
      <c r="M181" s="1125">
        <f t="shared" ref="M181" si="71">+K181</f>
        <v>1281.20856</v>
      </c>
      <c r="N181" s="1124"/>
      <c r="O181" s="1127"/>
      <c r="P181" s="1126"/>
      <c r="Q181" s="1127">
        <f>+G181</f>
        <v>464.20600000000002</v>
      </c>
      <c r="R181" s="1124"/>
      <c r="S181" s="2114">
        <f ca="1">'wp - t-1 COSS'!$F$37</f>
        <v>3.8170000000000002</v>
      </c>
      <c r="T181" s="1130"/>
      <c r="U181" s="1143">
        <f ca="1">+Q181*S181</f>
        <v>1771.8743020000002</v>
      </c>
      <c r="V181" s="2029"/>
      <c r="W181" s="1130"/>
      <c r="X181" s="1130"/>
      <c r="Y181" s="1039"/>
      <c r="Z181" s="820"/>
      <c r="AA181" s="821"/>
      <c r="AB181" s="821"/>
      <c r="AC181" s="821"/>
      <c r="AD181" s="821"/>
      <c r="AE181" s="821"/>
      <c r="AF181" s="797"/>
      <c r="AG181" s="797"/>
      <c r="AH181" s="797"/>
      <c r="AI181" s="797"/>
      <c r="AJ181" s="797"/>
      <c r="AK181" s="797"/>
      <c r="AL181" s="797"/>
      <c r="AM181" s="797"/>
      <c r="AN181" s="797"/>
      <c r="AO181" s="797"/>
      <c r="AP181" s="797"/>
      <c r="AQ181" s="797"/>
      <c r="AR181" s="797"/>
      <c r="AS181" s="797"/>
      <c r="AT181" s="812"/>
      <c r="AU181" s="812"/>
      <c r="AV181" s="812"/>
      <c r="AW181" s="1092"/>
      <c r="AX181" s="812"/>
    </row>
    <row r="182" spans="1:50" s="1110" customFormat="1" ht="12.75" thickBot="1">
      <c r="A182" s="1524">
        <v>173</v>
      </c>
      <c r="B182" s="1109" t="s">
        <v>1411</v>
      </c>
      <c r="C182" s="1134">
        <f>SUM(C178:C181)</f>
        <v>1951</v>
      </c>
      <c r="D182" s="1135"/>
      <c r="E182" s="1134">
        <f>SUM(E178:E181)</f>
        <v>12</v>
      </c>
      <c r="F182" s="1135"/>
      <c r="G182" s="1134">
        <f>SUM(G179:G181)</f>
        <v>464.20600000000002</v>
      </c>
      <c r="H182" s="1096"/>
      <c r="I182" s="1678"/>
      <c r="J182" s="1097"/>
      <c r="K182" s="1136">
        <f>SUM(K179:L181)</f>
        <v>6163.0485600000002</v>
      </c>
      <c r="L182" s="1096"/>
      <c r="M182" s="1136">
        <f>SUM(M179:N181)</f>
        <v>6163.0485600000002</v>
      </c>
      <c r="N182" s="1096"/>
      <c r="O182" s="1147">
        <f>SUM(O179:O181)</f>
        <v>12</v>
      </c>
      <c r="P182" s="1126"/>
      <c r="Q182" s="1147">
        <f>SUM(Q179:Q181)</f>
        <v>464.20600000000002</v>
      </c>
      <c r="R182" s="1096"/>
      <c r="S182" s="1128"/>
      <c r="T182" s="1135"/>
      <c r="U182" s="1147">
        <f ca="1">SUM(U179:U181)</f>
        <v>6702.1943019999999</v>
      </c>
      <c r="V182" s="2033"/>
      <c r="W182" s="1135"/>
      <c r="X182" s="1135"/>
      <c r="Y182" s="941"/>
      <c r="Z182" s="831"/>
      <c r="AA182" s="832"/>
      <c r="AB182" s="832"/>
      <c r="AC182" s="832"/>
      <c r="AD182" s="832"/>
      <c r="AE182" s="832"/>
      <c r="AF182" s="832" t="s">
        <v>425</v>
      </c>
      <c r="AG182" s="1103"/>
      <c r="AH182" s="1097"/>
      <c r="AI182" s="1135"/>
      <c r="AJ182" s="1135"/>
      <c r="AK182" s="1135"/>
      <c r="AL182" s="1097"/>
      <c r="AM182" s="833"/>
      <c r="AN182" s="1097"/>
      <c r="AO182" s="833"/>
      <c r="AP182" s="1097"/>
      <c r="AQ182" s="833"/>
      <c r="AR182" s="1097"/>
      <c r="AS182" s="833"/>
      <c r="AT182" s="834"/>
      <c r="AU182" s="834"/>
      <c r="AV182" s="834"/>
      <c r="AW182" s="834"/>
      <c r="AX182" s="834"/>
    </row>
    <row r="183" spans="1:50" ht="12.75" thickTop="1">
      <c r="A183" s="1524">
        <v>174</v>
      </c>
      <c r="B183" s="1109"/>
      <c r="C183" s="1132"/>
      <c r="D183" s="1133"/>
      <c r="E183" s="1132"/>
      <c r="F183" s="1129"/>
      <c r="G183" s="1124"/>
      <c r="H183" s="1124"/>
      <c r="I183" s="1679"/>
      <c r="J183" s="1130"/>
      <c r="K183" s="1125"/>
      <c r="L183" s="1124"/>
      <c r="M183" s="1125"/>
      <c r="N183" s="1124"/>
      <c r="O183" s="1127"/>
      <c r="P183" s="1126"/>
      <c r="Q183" s="1127"/>
      <c r="R183" s="1124"/>
      <c r="S183" s="1128"/>
      <c r="T183" s="1130"/>
      <c r="U183" s="1093"/>
      <c r="V183" s="2031"/>
      <c r="W183" s="1130"/>
      <c r="X183" s="1130"/>
      <c r="Y183" s="1039"/>
      <c r="Z183" s="820"/>
      <c r="AA183" s="821"/>
      <c r="AB183" s="821"/>
      <c r="AC183" s="821"/>
      <c r="AD183" s="821"/>
      <c r="AE183" s="821"/>
      <c r="AF183" s="797"/>
      <c r="AG183" s="797"/>
      <c r="AH183" s="797"/>
      <c r="AI183" s="797"/>
      <c r="AJ183" s="797"/>
      <c r="AK183" s="797"/>
      <c r="AL183" s="797"/>
      <c r="AM183" s="797"/>
      <c r="AN183" s="797"/>
      <c r="AO183" s="797"/>
      <c r="AP183" s="797"/>
      <c r="AQ183" s="797"/>
      <c r="AR183" s="797"/>
      <c r="AS183" s="797"/>
      <c r="AT183" s="812"/>
      <c r="AU183" s="812"/>
      <c r="AV183" s="812"/>
      <c r="AW183" s="1092"/>
      <c r="AX183" s="812"/>
    </row>
    <row r="184" spans="1:50" ht="12.75" thickBot="1">
      <c r="A184" s="1524">
        <v>175</v>
      </c>
      <c r="B184" s="1111" t="s">
        <v>1410</v>
      </c>
      <c r="C184" s="1132"/>
      <c r="D184" s="1133"/>
      <c r="E184" s="1132"/>
      <c r="F184" s="1129"/>
      <c r="G184" s="1124"/>
      <c r="H184" s="1124"/>
      <c r="I184" s="1679"/>
      <c r="J184" s="1130"/>
      <c r="K184" s="1125"/>
      <c r="L184" s="1124"/>
      <c r="M184" s="1138">
        <f>+M182/$E182</f>
        <v>513.58738000000005</v>
      </c>
      <c r="N184" s="1124"/>
      <c r="O184" s="1127"/>
      <c r="P184" s="1126"/>
      <c r="Q184" s="1127"/>
      <c r="R184" s="1124"/>
      <c r="S184" s="1128"/>
      <c r="T184" s="1130"/>
      <c r="U184" s="1138">
        <f ca="1">+U182/$E182</f>
        <v>558.51619183333332</v>
      </c>
      <c r="V184" s="2032"/>
      <c r="W184" s="1130">
        <f ca="1">+U184-M184</f>
        <v>44.92881183333327</v>
      </c>
      <c r="X184" s="1130">
        <f ca="1">W184/M184</f>
        <v>8.7480365723420356E-2</v>
      </c>
      <c r="Y184" s="1039"/>
      <c r="Z184" s="820"/>
      <c r="AA184" s="821"/>
      <c r="AB184" s="821"/>
      <c r="AC184" s="821"/>
      <c r="AD184" s="821"/>
      <c r="AE184" s="821"/>
      <c r="AF184" s="797"/>
      <c r="AG184" s="797"/>
      <c r="AH184" s="797"/>
      <c r="AI184" s="797"/>
      <c r="AJ184" s="797"/>
      <c r="AK184" s="797"/>
      <c r="AL184" s="797"/>
      <c r="AM184" s="797"/>
      <c r="AN184" s="797"/>
      <c r="AO184" s="797"/>
      <c r="AP184" s="797"/>
      <c r="AQ184" s="797"/>
      <c r="AR184" s="797"/>
      <c r="AS184" s="797"/>
      <c r="AT184" s="812"/>
      <c r="AU184" s="812"/>
      <c r="AV184" s="812"/>
      <c r="AW184" s="1092"/>
      <c r="AX184" s="812"/>
    </row>
    <row r="185" spans="1:50" ht="12.75" thickTop="1">
      <c r="A185" s="1524">
        <v>176</v>
      </c>
      <c r="B185" s="1106" t="s">
        <v>1409</v>
      </c>
      <c r="C185" s="1124">
        <v>371</v>
      </c>
      <c r="D185" s="1129"/>
      <c r="E185" s="1124"/>
      <c r="F185" s="1129"/>
      <c r="G185" s="1124"/>
      <c r="H185" s="1124"/>
      <c r="I185" s="1683"/>
      <c r="J185" s="1130"/>
      <c r="K185" s="1125"/>
      <c r="L185" s="1124"/>
      <c r="M185" s="1125"/>
      <c r="N185" s="1124"/>
      <c r="O185" s="1127"/>
      <c r="P185" s="1126"/>
      <c r="Q185" s="1127"/>
      <c r="R185" s="1124"/>
      <c r="S185" s="1128"/>
      <c r="T185" s="1129"/>
      <c r="U185" s="1131"/>
      <c r="V185" s="2028"/>
      <c r="W185" s="1129"/>
      <c r="X185" s="1129"/>
      <c r="Y185" s="1040"/>
      <c r="Z185" s="820"/>
      <c r="AA185" s="821"/>
      <c r="AB185" s="821"/>
      <c r="AC185" s="821"/>
      <c r="AD185" s="821"/>
      <c r="AE185" s="821"/>
      <c r="AF185" s="797"/>
      <c r="AG185" s="797"/>
      <c r="AH185" s="797"/>
      <c r="AI185" s="797"/>
      <c r="AJ185" s="797"/>
      <c r="AK185" s="797"/>
      <c r="AL185" s="797"/>
      <c r="AM185" s="797"/>
      <c r="AN185" s="797"/>
      <c r="AO185" s="797"/>
      <c r="AP185" s="797"/>
      <c r="AQ185" s="797"/>
      <c r="AR185" s="797"/>
      <c r="AS185" s="797"/>
      <c r="AT185" s="1094"/>
      <c r="AU185" s="1094"/>
      <c r="AV185" s="1094"/>
      <c r="AW185" s="1094"/>
      <c r="AX185" s="1094"/>
    </row>
    <row r="186" spans="1:50">
      <c r="A186" s="1524">
        <v>177</v>
      </c>
      <c r="B186" s="1141" t="s">
        <v>712</v>
      </c>
      <c r="C186" s="1124"/>
      <c r="D186" s="1129"/>
      <c r="E186" s="1124">
        <v>12</v>
      </c>
      <c r="F186" s="1129"/>
      <c r="G186" s="1124"/>
      <c r="H186" s="1124"/>
      <c r="I186" s="1682">
        <v>406.82</v>
      </c>
      <c r="J186" s="1130"/>
      <c r="K186" s="1125">
        <f>+E186*I186</f>
        <v>4881.84</v>
      </c>
      <c r="L186" s="1124"/>
      <c r="M186" s="1125">
        <f>+K186</f>
        <v>4881.84</v>
      </c>
      <c r="N186" s="1124"/>
      <c r="O186" s="1127">
        <f>+E186</f>
        <v>12</v>
      </c>
      <c r="P186" s="1126"/>
      <c r="Q186" s="1127"/>
      <c r="R186" s="1124"/>
      <c r="S186" s="1142">
        <f ca="1">'wp - t-1 COSS'!$F$19</f>
        <v>410.86</v>
      </c>
      <c r="T186" s="1130"/>
      <c r="U186" s="1143">
        <f ca="1">+O186*S186</f>
        <v>4930.32</v>
      </c>
      <c r="V186" s="2029"/>
      <c r="W186" s="1130"/>
      <c r="X186" s="1130"/>
      <c r="Y186" s="1039"/>
      <c r="Z186" s="820"/>
      <c r="AA186" s="821"/>
      <c r="AB186" s="821"/>
      <c r="AC186" s="821"/>
      <c r="AD186" s="821"/>
      <c r="AE186" s="821"/>
      <c r="AF186" s="797"/>
      <c r="AG186" s="797"/>
      <c r="AH186" s="797"/>
      <c r="AI186" s="797"/>
      <c r="AJ186" s="797"/>
      <c r="AK186" s="797"/>
      <c r="AL186" s="797"/>
      <c r="AM186" s="797"/>
      <c r="AN186" s="797"/>
      <c r="AO186" s="797"/>
      <c r="AP186" s="797"/>
      <c r="AQ186" s="797"/>
      <c r="AR186" s="797"/>
      <c r="AS186" s="797"/>
      <c r="AT186" s="812"/>
      <c r="AU186" s="812"/>
      <c r="AV186" s="812"/>
      <c r="AW186" s="1092"/>
      <c r="AX186" s="812"/>
    </row>
    <row r="187" spans="1:50">
      <c r="A187" s="1524">
        <v>178</v>
      </c>
      <c r="B187" s="1141" t="s">
        <v>713</v>
      </c>
      <c r="C187" s="1132"/>
      <c r="D187" s="1133"/>
      <c r="E187" s="1132"/>
      <c r="F187" s="1129"/>
      <c r="G187" s="1124">
        <v>0</v>
      </c>
      <c r="H187" s="1124"/>
      <c r="I187" s="1680">
        <v>2.76</v>
      </c>
      <c r="J187" s="1130"/>
      <c r="K187" s="1125">
        <f>+G187*I187</f>
        <v>0</v>
      </c>
      <c r="L187" s="1124"/>
      <c r="M187" s="1125">
        <f t="shared" ref="M187" si="72">+K187</f>
        <v>0</v>
      </c>
      <c r="N187" s="1124"/>
      <c r="O187" s="1127"/>
      <c r="P187" s="1126"/>
      <c r="Q187" s="1127">
        <f>+G187</f>
        <v>0</v>
      </c>
      <c r="R187" s="1124"/>
      <c r="S187" s="2114">
        <f ca="1">'wp - t-1 COSS'!$F$37</f>
        <v>3.8170000000000002</v>
      </c>
      <c r="T187" s="1130"/>
      <c r="U187" s="1143">
        <f ca="1">+Q187*S187</f>
        <v>0</v>
      </c>
      <c r="V187" s="2029"/>
      <c r="W187" s="1130"/>
      <c r="X187" s="1130"/>
      <c r="Y187" s="1039"/>
      <c r="Z187" s="820"/>
      <c r="AA187" s="821"/>
      <c r="AB187" s="821"/>
      <c r="AC187" s="821"/>
      <c r="AD187" s="821"/>
      <c r="AE187" s="821"/>
      <c r="AF187" s="797"/>
      <c r="AG187" s="797"/>
      <c r="AH187" s="797"/>
      <c r="AI187" s="797"/>
      <c r="AJ187" s="797"/>
      <c r="AK187" s="797"/>
      <c r="AL187" s="797"/>
      <c r="AM187" s="797"/>
      <c r="AN187" s="797"/>
      <c r="AO187" s="797"/>
      <c r="AP187" s="797"/>
      <c r="AQ187" s="797"/>
      <c r="AR187" s="797"/>
      <c r="AS187" s="797"/>
      <c r="AT187" s="812"/>
      <c r="AU187" s="812"/>
      <c r="AV187" s="812"/>
      <c r="AW187" s="1092"/>
      <c r="AX187" s="812"/>
    </row>
    <row r="188" spans="1:50" s="1110" customFormat="1" ht="12.75" thickBot="1">
      <c r="A188" s="1524">
        <v>179</v>
      </c>
      <c r="B188" s="1109" t="s">
        <v>1408</v>
      </c>
      <c r="C188" s="1134">
        <f>SUM(C185:C187)</f>
        <v>371</v>
      </c>
      <c r="D188" s="1135"/>
      <c r="E188" s="1134">
        <f>SUM(E185:E187)</f>
        <v>12</v>
      </c>
      <c r="F188" s="1135"/>
      <c r="G188" s="1134">
        <f>SUM(G185:H187)</f>
        <v>0</v>
      </c>
      <c r="H188" s="1096"/>
      <c r="I188" s="1678"/>
      <c r="J188" s="1097"/>
      <c r="K188" s="1136">
        <f>SUM(K185:L187)</f>
        <v>4881.84</v>
      </c>
      <c r="L188" s="1096"/>
      <c r="M188" s="1136">
        <f>SUM(M185:N187)</f>
        <v>4881.84</v>
      </c>
      <c r="N188" s="1096"/>
      <c r="O188" s="1137">
        <f>SUM(O185:O187)</f>
        <v>12</v>
      </c>
      <c r="P188" s="1099"/>
      <c r="Q188" s="1137">
        <f>SUM(Q185:Q187)</f>
        <v>0</v>
      </c>
      <c r="R188" s="1096"/>
      <c r="S188" s="1128"/>
      <c r="T188" s="1135"/>
      <c r="U188" s="1136">
        <f ca="1">SUM(U185:U187)</f>
        <v>4930.32</v>
      </c>
      <c r="V188" s="2030"/>
      <c r="W188" s="1135"/>
      <c r="X188" s="1135"/>
      <c r="Y188" s="941"/>
      <c r="Z188" s="831"/>
      <c r="AA188" s="832"/>
      <c r="AB188" s="832"/>
      <c r="AC188" s="832"/>
      <c r="AD188" s="832"/>
      <c r="AE188" s="832"/>
      <c r="AF188" s="832" t="s">
        <v>425</v>
      </c>
      <c r="AG188" s="1103"/>
      <c r="AH188" s="1097"/>
      <c r="AI188" s="1135"/>
      <c r="AJ188" s="1135"/>
      <c r="AK188" s="1135"/>
      <c r="AL188" s="1097"/>
      <c r="AM188" s="833"/>
      <c r="AN188" s="1097"/>
      <c r="AO188" s="833"/>
      <c r="AP188" s="1097"/>
      <c r="AQ188" s="833"/>
      <c r="AR188" s="1097"/>
      <c r="AS188" s="833"/>
      <c r="AT188" s="834"/>
      <c r="AU188" s="834"/>
      <c r="AV188" s="834"/>
      <c r="AW188" s="834"/>
      <c r="AX188" s="834"/>
    </row>
    <row r="189" spans="1:50" ht="12.75" thickTop="1">
      <c r="A189" s="1524">
        <v>180</v>
      </c>
      <c r="B189" s="1109"/>
      <c r="C189" s="1132"/>
      <c r="D189" s="1133"/>
      <c r="E189" s="1132"/>
      <c r="F189" s="1129"/>
      <c r="G189" s="1124"/>
      <c r="H189" s="1124"/>
      <c r="I189" s="1679"/>
      <c r="J189" s="1130"/>
      <c r="K189" s="1125"/>
      <c r="L189" s="1124"/>
      <c r="M189" s="1125"/>
      <c r="N189" s="1124"/>
      <c r="O189" s="1127"/>
      <c r="P189" s="1126"/>
      <c r="Q189" s="1127"/>
      <c r="R189" s="1124"/>
      <c r="S189" s="1128"/>
      <c r="T189" s="1130"/>
      <c r="U189" s="1093"/>
      <c r="V189" s="2031"/>
      <c r="W189" s="1130"/>
      <c r="X189" s="1130"/>
      <c r="Y189" s="1039"/>
      <c r="Z189" s="820"/>
      <c r="AA189" s="821"/>
      <c r="AB189" s="821"/>
      <c r="AC189" s="821"/>
      <c r="AD189" s="821"/>
      <c r="AE189" s="821"/>
      <c r="AF189" s="797"/>
      <c r="AG189" s="797"/>
      <c r="AH189" s="797"/>
      <c r="AI189" s="797"/>
      <c r="AJ189" s="797"/>
      <c r="AK189" s="797"/>
      <c r="AL189" s="797"/>
      <c r="AM189" s="797"/>
      <c r="AN189" s="797"/>
      <c r="AO189" s="797"/>
      <c r="AP189" s="797"/>
      <c r="AQ189" s="797"/>
      <c r="AR189" s="797"/>
      <c r="AS189" s="797"/>
      <c r="AT189" s="812"/>
      <c r="AU189" s="812"/>
      <c r="AV189" s="812"/>
      <c r="AW189" s="1092"/>
      <c r="AX189" s="812"/>
    </row>
    <row r="190" spans="1:50" ht="12.75" thickBot="1">
      <c r="A190" s="1524">
        <v>181</v>
      </c>
      <c r="B190" s="1111" t="s">
        <v>1407</v>
      </c>
      <c r="C190" s="1132"/>
      <c r="D190" s="1133"/>
      <c r="E190" s="1132"/>
      <c r="F190" s="1129"/>
      <c r="G190" s="1124"/>
      <c r="H190" s="1124"/>
      <c r="I190" s="1679"/>
      <c r="J190" s="1130"/>
      <c r="K190" s="1125"/>
      <c r="L190" s="1124"/>
      <c r="M190" s="1138">
        <f>+M188/$E188</f>
        <v>406.82</v>
      </c>
      <c r="N190" s="1124"/>
      <c r="O190" s="1127"/>
      <c r="P190" s="1126"/>
      <c r="Q190" s="1127"/>
      <c r="R190" s="1124"/>
      <c r="S190" s="1128"/>
      <c r="T190" s="1130"/>
      <c r="U190" s="1138">
        <f ca="1">+U188/$E188</f>
        <v>410.85999999999996</v>
      </c>
      <c r="V190" s="2032"/>
      <c r="W190" s="1130">
        <f ca="1">+U190-M190</f>
        <v>4.0399999999999636</v>
      </c>
      <c r="X190" s="1130">
        <f ca="1">W190/M190</f>
        <v>9.9306818740474007E-3</v>
      </c>
      <c r="Y190" s="1039"/>
      <c r="Z190" s="820"/>
      <c r="AA190" s="821"/>
      <c r="AB190" s="821"/>
      <c r="AC190" s="821"/>
      <c r="AD190" s="821"/>
      <c r="AE190" s="821"/>
      <c r="AF190" s="797"/>
      <c r="AG190" s="797"/>
      <c r="AH190" s="797"/>
      <c r="AI190" s="797"/>
      <c r="AJ190" s="797"/>
      <c r="AK190" s="797"/>
      <c r="AL190" s="797"/>
      <c r="AM190" s="797"/>
      <c r="AN190" s="797"/>
      <c r="AO190" s="797"/>
      <c r="AP190" s="797"/>
      <c r="AQ190" s="797"/>
      <c r="AR190" s="797"/>
      <c r="AS190" s="797"/>
      <c r="AT190" s="812"/>
      <c r="AU190" s="812"/>
      <c r="AV190" s="812"/>
      <c r="AW190" s="1092"/>
      <c r="AX190" s="812"/>
    </row>
    <row r="191" spans="1:50" ht="12.75" thickTop="1">
      <c r="A191" s="1524">
        <v>182</v>
      </c>
      <c r="B191" s="1106" t="s">
        <v>1406</v>
      </c>
      <c r="C191" s="1124">
        <v>1444</v>
      </c>
      <c r="D191" s="1129"/>
      <c r="E191" s="1124"/>
      <c r="F191" s="1129"/>
      <c r="G191" s="1124"/>
      <c r="H191" s="1124"/>
      <c r="I191" s="1683"/>
      <c r="J191" s="1130"/>
      <c r="K191" s="1125"/>
      <c r="L191" s="1124"/>
      <c r="M191" s="1125"/>
      <c r="N191" s="1124"/>
      <c r="O191" s="1127"/>
      <c r="P191" s="1126"/>
      <c r="Q191" s="1127"/>
      <c r="R191" s="1124"/>
      <c r="S191" s="1128"/>
      <c r="T191" s="1129"/>
      <c r="U191" s="1131"/>
      <c r="V191" s="2028"/>
      <c r="W191" s="1129"/>
      <c r="X191" s="1129"/>
      <c r="Y191" s="1040"/>
      <c r="Z191" s="820"/>
      <c r="AA191" s="821"/>
      <c r="AB191" s="821"/>
      <c r="AC191" s="821"/>
      <c r="AD191" s="821"/>
      <c r="AE191" s="821"/>
      <c r="AF191" s="797"/>
      <c r="AG191" s="797"/>
      <c r="AH191" s="797"/>
      <c r="AI191" s="797"/>
      <c r="AJ191" s="797"/>
      <c r="AK191" s="797"/>
      <c r="AL191" s="797"/>
      <c r="AM191" s="797"/>
      <c r="AN191" s="797"/>
      <c r="AO191" s="797"/>
      <c r="AP191" s="797"/>
      <c r="AQ191" s="797"/>
      <c r="AR191" s="797"/>
      <c r="AS191" s="797"/>
      <c r="AT191" s="1094"/>
      <c r="AU191" s="1094"/>
      <c r="AV191" s="1094"/>
      <c r="AW191" s="1094"/>
      <c r="AX191" s="1094"/>
    </row>
    <row r="192" spans="1:50">
      <c r="A192" s="1524">
        <v>183</v>
      </c>
      <c r="B192" s="1141" t="s">
        <v>712</v>
      </c>
      <c r="C192" s="1124"/>
      <c r="D192" s="1129"/>
      <c r="E192" s="1124">
        <v>12</v>
      </c>
      <c r="F192" s="1129"/>
      <c r="G192" s="1124"/>
      <c r="H192" s="1124"/>
      <c r="I192" s="1682">
        <v>406.82</v>
      </c>
      <c r="J192" s="1130"/>
      <c r="K192" s="1125">
        <f>+E192*I192</f>
        <v>4881.84</v>
      </c>
      <c r="L192" s="1124"/>
      <c r="M192" s="1125">
        <f>+K192</f>
        <v>4881.84</v>
      </c>
      <c r="N192" s="1124"/>
      <c r="O192" s="1127">
        <f>+E192</f>
        <v>12</v>
      </c>
      <c r="P192" s="1126"/>
      <c r="Q192" s="1127"/>
      <c r="R192" s="1124"/>
      <c r="S192" s="1142">
        <f ca="1">'wp - t-1 COSS'!$F$19</f>
        <v>410.86</v>
      </c>
      <c r="T192" s="1130"/>
      <c r="U192" s="1143">
        <f ca="1">+O192*S192</f>
        <v>4930.32</v>
      </c>
      <c r="V192" s="2029"/>
      <c r="W192" s="1130"/>
      <c r="X192" s="1130"/>
      <c r="Y192" s="1039"/>
      <c r="Z192" s="820"/>
      <c r="AA192" s="821"/>
      <c r="AB192" s="821"/>
      <c r="AC192" s="821"/>
      <c r="AD192" s="821"/>
      <c r="AE192" s="821"/>
      <c r="AF192" s="797"/>
      <c r="AG192" s="797"/>
      <c r="AH192" s="797"/>
      <c r="AI192" s="797"/>
      <c r="AJ192" s="797"/>
      <c r="AK192" s="797"/>
      <c r="AL192" s="797"/>
      <c r="AM192" s="797"/>
      <c r="AN192" s="797"/>
      <c r="AO192" s="797"/>
      <c r="AP192" s="797"/>
      <c r="AQ192" s="797"/>
      <c r="AR192" s="797"/>
      <c r="AS192" s="797"/>
      <c r="AT192" s="812"/>
      <c r="AU192" s="812"/>
      <c r="AV192" s="812"/>
      <c r="AW192" s="1092"/>
      <c r="AX192" s="812"/>
    </row>
    <row r="193" spans="1:50">
      <c r="A193" s="1524">
        <v>184</v>
      </c>
      <c r="B193" s="1141" t="s">
        <v>713</v>
      </c>
      <c r="C193" s="1132"/>
      <c r="D193" s="1133"/>
      <c r="E193" s="1132"/>
      <c r="F193" s="1129"/>
      <c r="G193" s="1124">
        <v>123.929</v>
      </c>
      <c r="H193" s="1124"/>
      <c r="I193" s="1680">
        <v>2.76</v>
      </c>
      <c r="J193" s="1130"/>
      <c r="K193" s="1127">
        <f>+G193*I193</f>
        <v>342.04404</v>
      </c>
      <c r="L193" s="1124"/>
      <c r="M193" s="1125">
        <f t="shared" ref="M193" si="73">+K193</f>
        <v>342.04404</v>
      </c>
      <c r="N193" s="1124"/>
      <c r="O193" s="1127"/>
      <c r="P193" s="1126"/>
      <c r="Q193" s="1127">
        <f>+G193</f>
        <v>123.929</v>
      </c>
      <c r="R193" s="1124"/>
      <c r="S193" s="2114">
        <f ca="1">'wp - t-1 COSS'!$F$37</f>
        <v>3.8170000000000002</v>
      </c>
      <c r="T193" s="1130"/>
      <c r="U193" s="1143">
        <f ca="1">+Q193*S193</f>
        <v>473.03699300000005</v>
      </c>
      <c r="V193" s="2029"/>
      <c r="W193" s="1130"/>
      <c r="X193" s="1130"/>
      <c r="Y193" s="1039"/>
      <c r="Z193" s="820"/>
      <c r="AA193" s="821"/>
      <c r="AB193" s="821"/>
      <c r="AC193" s="821"/>
      <c r="AD193" s="821"/>
      <c r="AE193" s="821"/>
      <c r="AF193" s="797"/>
      <c r="AG193" s="797"/>
      <c r="AH193" s="797"/>
      <c r="AI193" s="797"/>
      <c r="AJ193" s="797"/>
      <c r="AK193" s="797"/>
      <c r="AL193" s="797"/>
      <c r="AM193" s="797"/>
      <c r="AN193" s="797"/>
      <c r="AO193" s="797"/>
      <c r="AP193" s="797"/>
      <c r="AQ193" s="797"/>
      <c r="AR193" s="797"/>
      <c r="AS193" s="797"/>
      <c r="AT193" s="812"/>
      <c r="AU193" s="812"/>
      <c r="AV193" s="812"/>
      <c r="AW193" s="1092"/>
      <c r="AX193" s="812"/>
    </row>
    <row r="194" spans="1:50" s="1110" customFormat="1" ht="12.75" thickBot="1">
      <c r="A194" s="1524">
        <v>185</v>
      </c>
      <c r="B194" s="1109" t="s">
        <v>1405</v>
      </c>
      <c r="C194" s="1134">
        <f>SUM(C191:C193)</f>
        <v>1444</v>
      </c>
      <c r="D194" s="1135"/>
      <c r="E194" s="1134">
        <f>SUM(E191:E193)</f>
        <v>12</v>
      </c>
      <c r="F194" s="1135"/>
      <c r="G194" s="1134">
        <f>SUM(G191:G193)</f>
        <v>123.929</v>
      </c>
      <c r="H194" s="1096"/>
      <c r="I194" s="1678"/>
      <c r="J194" s="1097"/>
      <c r="K194" s="1136">
        <f>SUM(K191:K193)</f>
        <v>5223.8840399999999</v>
      </c>
      <c r="L194" s="1096"/>
      <c r="M194" s="1136">
        <f>SUM(M191:N193)</f>
        <v>5223.8840399999999</v>
      </c>
      <c r="N194" s="1096"/>
      <c r="O194" s="1137">
        <f>SUM(O191:O193)</f>
        <v>12</v>
      </c>
      <c r="P194" s="1099"/>
      <c r="Q194" s="1137">
        <f>SUM(Q191:Q193)</f>
        <v>123.929</v>
      </c>
      <c r="R194" s="1096"/>
      <c r="S194" s="1128"/>
      <c r="T194" s="1135"/>
      <c r="U194" s="1136">
        <f ca="1">SUM(U191:U193)</f>
        <v>5403.3569929999994</v>
      </c>
      <c r="V194" s="2030"/>
      <c r="W194" s="1135"/>
      <c r="X194" s="1135"/>
      <c r="Y194" s="941"/>
      <c r="Z194" s="831"/>
      <c r="AA194" s="832"/>
      <c r="AB194" s="832"/>
      <c r="AC194" s="832"/>
      <c r="AD194" s="832"/>
      <c r="AE194" s="832"/>
      <c r="AF194" s="832" t="s">
        <v>425</v>
      </c>
      <c r="AG194" s="1103"/>
      <c r="AH194" s="1097"/>
      <c r="AI194" s="1135"/>
      <c r="AJ194" s="1135"/>
      <c r="AK194" s="1135"/>
      <c r="AL194" s="1097"/>
      <c r="AM194" s="833"/>
      <c r="AN194" s="1097"/>
      <c r="AO194" s="833"/>
      <c r="AP194" s="1097"/>
      <c r="AQ194" s="833"/>
      <c r="AR194" s="1097"/>
      <c r="AS194" s="833"/>
      <c r="AT194" s="834"/>
      <c r="AU194" s="834"/>
      <c r="AV194" s="834"/>
      <c r="AW194" s="834"/>
      <c r="AX194" s="834"/>
    </row>
    <row r="195" spans="1:50" ht="12.75" thickTop="1">
      <c r="A195" s="1524">
        <v>186</v>
      </c>
      <c r="B195" s="1109"/>
      <c r="C195" s="1132"/>
      <c r="D195" s="1133"/>
      <c r="E195" s="1132"/>
      <c r="F195" s="1129"/>
      <c r="G195" s="1124"/>
      <c r="H195" s="1124"/>
      <c r="I195" s="1679"/>
      <c r="J195" s="1130"/>
      <c r="K195" s="1125"/>
      <c r="L195" s="1124"/>
      <c r="M195" s="1125"/>
      <c r="N195" s="1124"/>
      <c r="O195" s="1127"/>
      <c r="P195" s="1126"/>
      <c r="Q195" s="1127"/>
      <c r="R195" s="1124"/>
      <c r="S195" s="1128"/>
      <c r="T195" s="1130"/>
      <c r="U195" s="1093"/>
      <c r="V195" s="2031"/>
      <c r="W195" s="1130"/>
      <c r="X195" s="1130"/>
      <c r="Y195" s="1039"/>
      <c r="Z195" s="820"/>
      <c r="AA195" s="821"/>
      <c r="AB195" s="821"/>
      <c r="AC195" s="821"/>
      <c r="AD195" s="821"/>
      <c r="AE195" s="821"/>
      <c r="AF195" s="797"/>
      <c r="AG195" s="797"/>
      <c r="AH195" s="797"/>
      <c r="AI195" s="797"/>
      <c r="AJ195" s="797"/>
      <c r="AK195" s="797"/>
      <c r="AL195" s="797"/>
      <c r="AM195" s="797"/>
      <c r="AN195" s="797"/>
      <c r="AO195" s="797"/>
      <c r="AP195" s="797"/>
      <c r="AQ195" s="797"/>
      <c r="AR195" s="797"/>
      <c r="AS195" s="797"/>
      <c r="AT195" s="812"/>
      <c r="AU195" s="812"/>
      <c r="AV195" s="812"/>
      <c r="AW195" s="1092"/>
      <c r="AX195" s="812"/>
    </row>
    <row r="196" spans="1:50" ht="12.75" thickBot="1">
      <c r="A196" s="1524">
        <v>187</v>
      </c>
      <c r="B196" s="1111" t="s">
        <v>1404</v>
      </c>
      <c r="C196" s="1132"/>
      <c r="D196" s="1133"/>
      <c r="E196" s="1132"/>
      <c r="F196" s="1129"/>
      <c r="G196" s="1124"/>
      <c r="H196" s="1124"/>
      <c r="I196" s="1679"/>
      <c r="J196" s="1130"/>
      <c r="K196" s="1125"/>
      <c r="L196" s="1124"/>
      <c r="M196" s="1138">
        <f>+M194/$E194</f>
        <v>435.32366999999999</v>
      </c>
      <c r="N196" s="1124"/>
      <c r="O196" s="1127"/>
      <c r="P196" s="1126"/>
      <c r="Q196" s="1127"/>
      <c r="R196" s="1124"/>
      <c r="S196" s="1128"/>
      <c r="T196" s="1130"/>
      <c r="U196" s="1138">
        <f ca="1">+U194/$E194</f>
        <v>450.27974941666662</v>
      </c>
      <c r="V196" s="2032"/>
      <c r="W196" s="1130">
        <f ca="1">+U196-M196</f>
        <v>14.956079416666626</v>
      </c>
      <c r="X196" s="1130">
        <f ca="1">W196/M196</f>
        <v>3.4356228359157741E-2</v>
      </c>
      <c r="Y196" s="1039"/>
      <c r="Z196" s="820"/>
      <c r="AA196" s="821"/>
      <c r="AB196" s="821"/>
      <c r="AC196" s="821"/>
      <c r="AD196" s="821"/>
      <c r="AE196" s="821"/>
      <c r="AF196" s="797"/>
      <c r="AG196" s="797"/>
      <c r="AH196" s="797"/>
      <c r="AI196" s="797"/>
      <c r="AJ196" s="797"/>
      <c r="AK196" s="797"/>
      <c r="AL196" s="797"/>
      <c r="AM196" s="797"/>
      <c r="AN196" s="797"/>
      <c r="AO196" s="797"/>
      <c r="AP196" s="797"/>
      <c r="AQ196" s="797"/>
      <c r="AR196" s="797"/>
      <c r="AS196" s="797"/>
      <c r="AT196" s="812"/>
      <c r="AU196" s="812"/>
      <c r="AV196" s="812"/>
      <c r="AW196" s="1092"/>
      <c r="AX196" s="812"/>
    </row>
    <row r="197" spans="1:50" ht="12.75" thickTop="1">
      <c r="A197" s="1524">
        <v>188</v>
      </c>
      <c r="B197" s="1106" t="s">
        <v>1403</v>
      </c>
      <c r="C197" s="1124">
        <v>1693.6</v>
      </c>
      <c r="D197" s="1129"/>
      <c r="E197" s="1124"/>
      <c r="F197" s="1129"/>
      <c r="G197" s="1124"/>
      <c r="H197" s="1124"/>
      <c r="I197" s="1683"/>
      <c r="J197" s="1130"/>
      <c r="K197" s="1125"/>
      <c r="L197" s="1124"/>
      <c r="M197" s="1125"/>
      <c r="N197" s="1124"/>
      <c r="O197" s="1127"/>
      <c r="P197" s="1126"/>
      <c r="Q197" s="1127"/>
      <c r="R197" s="1124"/>
      <c r="S197" s="1128"/>
      <c r="T197" s="1129"/>
      <c r="U197" s="1131"/>
      <c r="V197" s="2028"/>
      <c r="W197" s="1129"/>
      <c r="X197" s="1130"/>
      <c r="Y197" s="1040"/>
      <c r="Z197" s="820"/>
      <c r="AA197" s="821"/>
      <c r="AB197" s="821"/>
      <c r="AC197" s="821"/>
      <c r="AD197" s="821"/>
      <c r="AE197" s="821"/>
      <c r="AF197" s="797"/>
      <c r="AG197" s="797"/>
      <c r="AH197" s="797"/>
      <c r="AI197" s="797"/>
      <c r="AJ197" s="797"/>
      <c r="AK197" s="797"/>
      <c r="AL197" s="797"/>
      <c r="AM197" s="797"/>
      <c r="AN197" s="797"/>
      <c r="AO197" s="797"/>
      <c r="AP197" s="797"/>
      <c r="AQ197" s="797"/>
      <c r="AR197" s="797"/>
      <c r="AS197" s="797"/>
      <c r="AT197" s="1094"/>
      <c r="AU197" s="1094"/>
      <c r="AV197" s="1094"/>
      <c r="AW197" s="1094"/>
      <c r="AX197" s="1094"/>
    </row>
    <row r="198" spans="1:50">
      <c r="A198" s="1524">
        <v>189</v>
      </c>
      <c r="B198" s="1141" t="s">
        <v>462</v>
      </c>
      <c r="C198" s="1124"/>
      <c r="D198" s="1129"/>
      <c r="E198" s="1124">
        <v>24</v>
      </c>
      <c r="F198" s="1129"/>
      <c r="G198" s="1124"/>
      <c r="H198" s="1124"/>
      <c r="I198" s="1682">
        <v>831.52</v>
      </c>
      <c r="J198" s="1130"/>
      <c r="K198" s="1125">
        <f>+E198*I198</f>
        <v>19956.48</v>
      </c>
      <c r="L198" s="1124"/>
      <c r="M198" s="1125">
        <f>+K198</f>
        <v>19956.48</v>
      </c>
      <c r="N198" s="1124"/>
      <c r="O198" s="1127">
        <f>+E198</f>
        <v>24</v>
      </c>
      <c r="P198" s="1126"/>
      <c r="Q198" s="1127"/>
      <c r="R198" s="1124"/>
      <c r="S198" s="1142">
        <f ca="1">'wp - t-1 COSS'!$F$20</f>
        <v>822.66</v>
      </c>
      <c r="T198" s="1130"/>
      <c r="U198" s="1143">
        <f ca="1">+O198*S198</f>
        <v>19743.84</v>
      </c>
      <c r="V198" s="2029"/>
      <c r="W198" s="1130"/>
      <c r="X198" s="1130"/>
      <c r="Y198" s="1039"/>
      <c r="Z198" s="820"/>
      <c r="AA198" s="821"/>
      <c r="AB198" s="821"/>
      <c r="AC198" s="821"/>
      <c r="AD198" s="821"/>
      <c r="AE198" s="821"/>
      <c r="AF198" s="797"/>
      <c r="AG198" s="797"/>
      <c r="AH198" s="797"/>
      <c r="AI198" s="797"/>
      <c r="AJ198" s="797"/>
      <c r="AK198" s="797"/>
      <c r="AL198" s="797"/>
      <c r="AM198" s="797"/>
      <c r="AN198" s="797"/>
      <c r="AO198" s="797"/>
      <c r="AP198" s="797"/>
      <c r="AQ198" s="797"/>
      <c r="AR198" s="797"/>
      <c r="AS198" s="797"/>
      <c r="AT198" s="812"/>
      <c r="AU198" s="812"/>
      <c r="AV198" s="812"/>
      <c r="AW198" s="1092"/>
      <c r="AX198" s="812"/>
    </row>
    <row r="199" spans="1:50">
      <c r="A199" s="1524">
        <v>190</v>
      </c>
      <c r="B199" s="1148" t="s">
        <v>710</v>
      </c>
      <c r="C199" s="1132"/>
      <c r="D199" s="1133"/>
      <c r="E199" s="1132"/>
      <c r="F199" s="1129"/>
      <c r="G199" s="1124">
        <v>0</v>
      </c>
      <c r="H199" s="1124"/>
      <c r="I199" s="1680">
        <v>2.76</v>
      </c>
      <c r="J199" s="1130"/>
      <c r="K199" s="1127">
        <f>+G199*I199</f>
        <v>0</v>
      </c>
      <c r="L199" s="1124"/>
      <c r="M199" s="1125">
        <f t="shared" ref="M199" si="74">+K199</f>
        <v>0</v>
      </c>
      <c r="N199" s="1124"/>
      <c r="O199" s="1127"/>
      <c r="P199" s="1126"/>
      <c r="Q199" s="1127">
        <f>+G199</f>
        <v>0</v>
      </c>
      <c r="R199" s="1124"/>
      <c r="S199" s="2114">
        <f ca="1">'wp - t-1 COSS'!$F$38</f>
        <v>3.8170000000000002</v>
      </c>
      <c r="T199" s="1130"/>
      <c r="U199" s="1143">
        <f ca="1">+Q199*S199</f>
        <v>0</v>
      </c>
      <c r="V199" s="2029"/>
      <c r="W199" s="1130"/>
      <c r="X199" s="1130"/>
      <c r="Y199" s="1039"/>
      <c r="Z199" s="820"/>
      <c r="AA199" s="821"/>
      <c r="AB199" s="821"/>
      <c r="AC199" s="821"/>
      <c r="AD199" s="821"/>
      <c r="AE199" s="821"/>
      <c r="AF199" s="797"/>
      <c r="AG199" s="797"/>
      <c r="AH199" s="797"/>
      <c r="AI199" s="797"/>
      <c r="AJ199" s="797"/>
      <c r="AK199" s="797"/>
      <c r="AL199" s="797"/>
      <c r="AM199" s="797"/>
      <c r="AN199" s="797"/>
      <c r="AO199" s="797"/>
      <c r="AP199" s="797"/>
      <c r="AQ199" s="797"/>
      <c r="AR199" s="797"/>
      <c r="AS199" s="797"/>
      <c r="AT199" s="812"/>
      <c r="AU199" s="812"/>
      <c r="AV199" s="812"/>
      <c r="AW199" s="1092"/>
      <c r="AX199" s="812"/>
    </row>
    <row r="200" spans="1:50" s="1110" customFormat="1" ht="12.75" thickBot="1">
      <c r="A200" s="1524">
        <v>191</v>
      </c>
      <c r="B200" s="1109" t="s">
        <v>1402</v>
      </c>
      <c r="C200" s="1134">
        <f>SUM(C197:C199)</f>
        <v>1693.6</v>
      </c>
      <c r="D200" s="1135"/>
      <c r="E200" s="1134">
        <f>SUM(E197:E199)</f>
        <v>24</v>
      </c>
      <c r="F200" s="1135"/>
      <c r="G200" s="1134">
        <f>SUM(G197:G199)</f>
        <v>0</v>
      </c>
      <c r="H200" s="1096"/>
      <c r="I200" s="1678"/>
      <c r="J200" s="1097"/>
      <c r="K200" s="1136">
        <f>SUM(K198:L199)</f>
        <v>19956.48</v>
      </c>
      <c r="L200" s="1096"/>
      <c r="M200" s="1136">
        <f>SUM(M198:N199)</f>
        <v>19956.48</v>
      </c>
      <c r="N200" s="1096"/>
      <c r="O200" s="1134">
        <f>SUM(O197:O199)</f>
        <v>24</v>
      </c>
      <c r="P200" s="1099"/>
      <c r="Q200" s="1134">
        <f>SUM(Q197:Q199)</f>
        <v>0</v>
      </c>
      <c r="R200" s="1096"/>
      <c r="S200" s="1128"/>
      <c r="T200" s="1135"/>
      <c r="U200" s="1136">
        <f ca="1">SUM(U198:U199)</f>
        <v>19743.84</v>
      </c>
      <c r="V200" s="2030"/>
      <c r="W200" s="1135"/>
      <c r="X200" s="1135"/>
      <c r="Y200" s="941"/>
      <c r="Z200" s="831"/>
      <c r="AA200" s="832"/>
      <c r="AB200" s="832"/>
      <c r="AC200" s="832"/>
      <c r="AD200" s="832"/>
      <c r="AE200" s="832"/>
      <c r="AF200" s="832" t="s">
        <v>425</v>
      </c>
      <c r="AG200" s="1103"/>
      <c r="AH200" s="1097"/>
      <c r="AI200" s="1135"/>
      <c r="AJ200" s="1135"/>
      <c r="AK200" s="1135"/>
      <c r="AL200" s="1097"/>
      <c r="AM200" s="833"/>
      <c r="AN200" s="1097"/>
      <c r="AO200" s="833"/>
      <c r="AP200" s="1097"/>
      <c r="AQ200" s="833"/>
      <c r="AR200" s="1097"/>
      <c r="AS200" s="833"/>
      <c r="AT200" s="834"/>
      <c r="AU200" s="834"/>
      <c r="AV200" s="834"/>
      <c r="AW200" s="834"/>
      <c r="AX200" s="834"/>
    </row>
    <row r="201" spans="1:50" ht="12.75" thickTop="1">
      <c r="A201" s="1524">
        <v>192</v>
      </c>
      <c r="B201" s="1109"/>
      <c r="C201" s="1132"/>
      <c r="D201" s="1133"/>
      <c r="E201" s="1132"/>
      <c r="F201" s="1129"/>
      <c r="G201" s="1124"/>
      <c r="H201" s="1124"/>
      <c r="I201" s="1679"/>
      <c r="J201" s="1130"/>
      <c r="K201" s="1125"/>
      <c r="L201" s="1124"/>
      <c r="M201" s="1125"/>
      <c r="N201" s="1124"/>
      <c r="O201" s="1127"/>
      <c r="P201" s="1126"/>
      <c r="Q201" s="1127"/>
      <c r="R201" s="1124"/>
      <c r="S201" s="1128"/>
      <c r="T201" s="1130"/>
      <c r="U201" s="1093"/>
      <c r="V201" s="2031"/>
      <c r="W201" s="1130"/>
      <c r="X201" s="1130"/>
      <c r="Y201" s="1039"/>
      <c r="Z201" s="820"/>
      <c r="AA201" s="821"/>
      <c r="AB201" s="821"/>
      <c r="AC201" s="821"/>
      <c r="AD201" s="821"/>
      <c r="AE201" s="821"/>
      <c r="AF201" s="797"/>
      <c r="AG201" s="797"/>
      <c r="AH201" s="797"/>
      <c r="AI201" s="797"/>
      <c r="AJ201" s="797"/>
      <c r="AK201" s="797"/>
      <c r="AL201" s="797"/>
      <c r="AM201" s="797"/>
      <c r="AN201" s="797"/>
      <c r="AO201" s="797"/>
      <c r="AP201" s="797"/>
      <c r="AQ201" s="797"/>
      <c r="AR201" s="797"/>
      <c r="AS201" s="797"/>
      <c r="AT201" s="812"/>
      <c r="AU201" s="812"/>
      <c r="AV201" s="812"/>
      <c r="AW201" s="1092"/>
      <c r="AX201" s="812"/>
    </row>
    <row r="202" spans="1:50" ht="12.75" thickBot="1">
      <c r="A202" s="1524">
        <v>193</v>
      </c>
      <c r="B202" s="1111" t="s">
        <v>1401</v>
      </c>
      <c r="C202" s="1132"/>
      <c r="D202" s="1133"/>
      <c r="E202" s="1132"/>
      <c r="F202" s="1129"/>
      <c r="G202" s="1124"/>
      <c r="H202" s="1124"/>
      <c r="I202" s="1679"/>
      <c r="J202" s="1130"/>
      <c r="K202" s="1125"/>
      <c r="L202" s="1124"/>
      <c r="M202" s="1138">
        <f>+M200/$E200</f>
        <v>831.52</v>
      </c>
      <c r="N202" s="1124"/>
      <c r="O202" s="1127"/>
      <c r="P202" s="1126"/>
      <c r="Q202" s="1127"/>
      <c r="R202" s="1124"/>
      <c r="S202" s="1128"/>
      <c r="T202" s="1130"/>
      <c r="U202" s="1138">
        <f ca="1">+U200/$E200</f>
        <v>822.66</v>
      </c>
      <c r="V202" s="2032"/>
      <c r="W202" s="1130">
        <f ca="1">+U202-M202</f>
        <v>-8.8600000000000136</v>
      </c>
      <c r="X202" s="1130">
        <f ca="1">W202/M202</f>
        <v>-1.0655185684048506E-2</v>
      </c>
      <c r="Y202" s="1039"/>
      <c r="Z202" s="820"/>
      <c r="AA202" s="821"/>
      <c r="AB202" s="821"/>
      <c r="AC202" s="821"/>
      <c r="AD202" s="821"/>
      <c r="AE202" s="821"/>
      <c r="AF202" s="797"/>
      <c r="AG202" s="797"/>
      <c r="AH202" s="797"/>
      <c r="AI202" s="797"/>
      <c r="AJ202" s="797"/>
      <c r="AK202" s="797"/>
      <c r="AL202" s="797"/>
      <c r="AM202" s="797"/>
      <c r="AN202" s="797"/>
      <c r="AO202" s="797"/>
      <c r="AP202" s="797"/>
      <c r="AQ202" s="797"/>
      <c r="AR202" s="797"/>
      <c r="AS202" s="797"/>
      <c r="AT202" s="812"/>
      <c r="AU202" s="812"/>
      <c r="AV202" s="812"/>
      <c r="AW202" s="1092"/>
      <c r="AX202" s="812"/>
    </row>
    <row r="203" spans="1:50" ht="12.75" thickTop="1">
      <c r="A203" s="1524">
        <v>194</v>
      </c>
      <c r="B203" s="1106" t="s">
        <v>1400</v>
      </c>
      <c r="C203" s="1124">
        <v>40318</v>
      </c>
      <c r="D203" s="1129"/>
      <c r="E203" s="1124"/>
      <c r="F203" s="1129"/>
      <c r="G203" s="1124"/>
      <c r="H203" s="1124"/>
      <c r="I203" s="1683"/>
      <c r="J203" s="1130"/>
      <c r="K203" s="1125"/>
      <c r="L203" s="1124"/>
      <c r="M203" s="1125"/>
      <c r="N203" s="1124"/>
      <c r="O203" s="1127"/>
      <c r="P203" s="1126"/>
      <c r="Q203" s="1127"/>
      <c r="R203" s="1124"/>
      <c r="S203" s="1128"/>
      <c r="T203" s="1129"/>
      <c r="U203" s="1131"/>
      <c r="V203" s="2028"/>
      <c r="W203" s="1129"/>
      <c r="X203" s="1129"/>
      <c r="Y203" s="857"/>
      <c r="Z203" s="801"/>
      <c r="AB203" s="821"/>
      <c r="AC203" s="821"/>
      <c r="AD203" s="821"/>
      <c r="AE203" s="821"/>
      <c r="AF203" s="797"/>
      <c r="AG203" s="797"/>
      <c r="AH203" s="797"/>
      <c r="AI203" s="797"/>
      <c r="AJ203" s="797"/>
      <c r="AK203" s="797"/>
      <c r="AL203" s="797"/>
      <c r="AM203" s="797"/>
      <c r="AN203" s="797"/>
      <c r="AO203" s="797"/>
      <c r="AP203" s="797"/>
      <c r="AQ203" s="797"/>
      <c r="AR203" s="797"/>
      <c r="AS203" s="797"/>
      <c r="AT203" s="1094"/>
      <c r="AU203" s="1094"/>
      <c r="AV203" s="1094"/>
      <c r="AW203" s="1094"/>
      <c r="AX203" s="1094"/>
    </row>
    <row r="204" spans="1:50">
      <c r="A204" s="1524">
        <v>195</v>
      </c>
      <c r="B204" s="1141" t="s">
        <v>462</v>
      </c>
      <c r="C204" s="1124"/>
      <c r="D204" s="1129"/>
      <c r="E204" s="1124">
        <v>12</v>
      </c>
      <c r="F204" s="1129"/>
      <c r="G204" s="1124"/>
      <c r="H204" s="1124"/>
      <c r="I204" s="1682">
        <v>831.52</v>
      </c>
      <c r="J204" s="1130"/>
      <c r="K204" s="1125">
        <f>+E204*I204</f>
        <v>9978.24</v>
      </c>
      <c r="L204" s="1124"/>
      <c r="M204" s="1125">
        <f>+K204</f>
        <v>9978.24</v>
      </c>
      <c r="N204" s="1124"/>
      <c r="O204" s="1127">
        <f>+E204</f>
        <v>12</v>
      </c>
      <c r="P204" s="1126"/>
      <c r="Q204" s="1127"/>
      <c r="R204" s="1124"/>
      <c r="S204" s="1142">
        <f ca="1">'wp - t-1 COSS'!$F$20</f>
        <v>822.66</v>
      </c>
      <c r="T204" s="1130"/>
      <c r="U204" s="1143">
        <f ca="1">+O204*S204</f>
        <v>9871.92</v>
      </c>
      <c r="V204" s="2029"/>
      <c r="W204" s="1130"/>
      <c r="X204" s="1130"/>
      <c r="Y204" s="857"/>
      <c r="Z204" s="801"/>
      <c r="AB204" s="821"/>
      <c r="AC204" s="821"/>
      <c r="AD204" s="821"/>
      <c r="AE204" s="821"/>
      <c r="AF204" s="797"/>
      <c r="AG204" s="797"/>
      <c r="AH204" s="797"/>
      <c r="AI204" s="797"/>
      <c r="AJ204" s="797"/>
      <c r="AK204" s="797"/>
      <c r="AL204" s="797"/>
      <c r="AM204" s="797"/>
      <c r="AN204" s="797"/>
      <c r="AO204" s="797"/>
      <c r="AP204" s="797"/>
      <c r="AQ204" s="797"/>
      <c r="AR204" s="797"/>
      <c r="AS204" s="797"/>
      <c r="AT204" s="812"/>
      <c r="AU204" s="812"/>
      <c r="AV204" s="812"/>
      <c r="AW204" s="1092"/>
      <c r="AX204" s="812"/>
    </row>
    <row r="205" spans="1:50">
      <c r="A205" s="1524">
        <v>196</v>
      </c>
      <c r="B205" s="1148" t="s">
        <v>710</v>
      </c>
      <c r="C205" s="1132"/>
      <c r="D205" s="1133"/>
      <c r="E205" s="1132"/>
      <c r="F205" s="1129"/>
      <c r="G205" s="1124">
        <v>36940</v>
      </c>
      <c r="H205" s="1124"/>
      <c r="I205" s="1680">
        <v>2.76</v>
      </c>
      <c r="J205" s="1130"/>
      <c r="K205" s="1127">
        <f>+G205*I205</f>
        <v>101954.4</v>
      </c>
      <c r="L205" s="1124"/>
      <c r="M205" s="1125">
        <f t="shared" ref="M205" si="75">+K205</f>
        <v>101954.4</v>
      </c>
      <c r="N205" s="1124"/>
      <c r="O205" s="1127"/>
      <c r="P205" s="1126"/>
      <c r="Q205" s="1127">
        <f>+G205</f>
        <v>36940</v>
      </c>
      <c r="R205" s="1124"/>
      <c r="S205" s="2114">
        <f ca="1">'wp - t-1 COSS'!$F$38</f>
        <v>3.8170000000000002</v>
      </c>
      <c r="T205" s="1130"/>
      <c r="U205" s="1143">
        <f ca="1">+Q205*S205</f>
        <v>140999.98000000001</v>
      </c>
      <c r="V205" s="2029"/>
      <c r="W205" s="1130"/>
      <c r="X205" s="1130"/>
      <c r="Y205" s="857"/>
      <c r="Z205" s="801"/>
      <c r="AB205" s="821"/>
      <c r="AC205" s="821"/>
      <c r="AD205" s="821"/>
      <c r="AE205" s="821"/>
      <c r="AF205" s="797"/>
      <c r="AG205" s="797"/>
      <c r="AH205" s="797"/>
      <c r="AI205" s="797"/>
      <c r="AJ205" s="797"/>
      <c r="AK205" s="797"/>
      <c r="AL205" s="797"/>
      <c r="AM205" s="797"/>
      <c r="AN205" s="797"/>
      <c r="AO205" s="797"/>
      <c r="AP205" s="797"/>
      <c r="AQ205" s="797"/>
      <c r="AR205" s="797"/>
      <c r="AS205" s="797"/>
      <c r="AT205" s="812"/>
      <c r="AU205" s="812"/>
      <c r="AV205" s="812"/>
      <c r="AW205" s="1092"/>
      <c r="AX205" s="812"/>
    </row>
    <row r="206" spans="1:50" s="1110" customFormat="1" ht="12.75" thickBot="1">
      <c r="A206" s="1524">
        <v>197</v>
      </c>
      <c r="B206" s="1109" t="s">
        <v>1399</v>
      </c>
      <c r="C206" s="1134">
        <f>SUM(C203:C205)</f>
        <v>40318</v>
      </c>
      <c r="D206" s="1135"/>
      <c r="E206" s="1134">
        <f>SUM(E203:E205)</f>
        <v>12</v>
      </c>
      <c r="F206" s="1135"/>
      <c r="G206" s="1134">
        <f>SUM(G203:H205)</f>
        <v>36940</v>
      </c>
      <c r="H206" s="1096"/>
      <c r="I206" s="1678"/>
      <c r="J206" s="1097"/>
      <c r="K206" s="1136">
        <f>SUM(K204:K205)</f>
        <v>111932.64</v>
      </c>
      <c r="L206" s="1096"/>
      <c r="M206" s="1136">
        <f>SUM(M204:M205)</f>
        <v>111932.64</v>
      </c>
      <c r="N206" s="1096"/>
      <c r="O206" s="1134">
        <f>SUM(O203:O205)</f>
        <v>12</v>
      </c>
      <c r="P206" s="1099"/>
      <c r="Q206" s="1134">
        <f>SUM(Q203:Q205)</f>
        <v>36940</v>
      </c>
      <c r="R206" s="1096"/>
      <c r="S206" s="1128"/>
      <c r="T206" s="1135"/>
      <c r="U206" s="1136">
        <f ca="1">SUM(U204:U205)</f>
        <v>150871.90000000002</v>
      </c>
      <c r="V206" s="2030"/>
      <c r="W206" s="1135"/>
      <c r="X206" s="1135"/>
      <c r="Y206" s="1041"/>
      <c r="AB206" s="832"/>
      <c r="AC206" s="832"/>
      <c r="AD206" s="832"/>
      <c r="AE206" s="832"/>
      <c r="AF206" s="832" t="s">
        <v>425</v>
      </c>
      <c r="AG206" s="1103"/>
      <c r="AH206" s="1097"/>
      <c r="AI206" s="1135"/>
      <c r="AJ206" s="1135"/>
      <c r="AK206" s="1135"/>
      <c r="AL206" s="1097"/>
      <c r="AM206" s="833"/>
      <c r="AN206" s="1097"/>
      <c r="AO206" s="833"/>
      <c r="AP206" s="1097"/>
      <c r="AQ206" s="833"/>
      <c r="AR206" s="1097"/>
      <c r="AS206" s="833"/>
      <c r="AT206" s="834"/>
      <c r="AU206" s="834"/>
      <c r="AV206" s="834"/>
      <c r="AW206" s="834"/>
      <c r="AX206" s="834"/>
    </row>
    <row r="207" spans="1:50" ht="12.75" thickTop="1">
      <c r="A207" s="1524">
        <v>198</v>
      </c>
      <c r="B207" s="1109"/>
      <c r="C207" s="1132"/>
      <c r="D207" s="1133"/>
      <c r="E207" s="1132"/>
      <c r="F207" s="1129"/>
      <c r="G207" s="1124"/>
      <c r="H207" s="1124"/>
      <c r="I207" s="1679"/>
      <c r="J207" s="1130"/>
      <c r="K207" s="1125"/>
      <c r="L207" s="1124"/>
      <c r="M207" s="1125"/>
      <c r="N207" s="1124"/>
      <c r="O207" s="1127"/>
      <c r="P207" s="1126"/>
      <c r="Q207" s="1127"/>
      <c r="R207" s="1124"/>
      <c r="S207" s="1128"/>
      <c r="T207" s="1130"/>
      <c r="U207" s="1093"/>
      <c r="V207" s="2031"/>
      <c r="W207" s="1130"/>
      <c r="X207" s="1130"/>
      <c r="Y207" s="857"/>
      <c r="Z207" s="801"/>
      <c r="AB207" s="821"/>
      <c r="AC207" s="821"/>
      <c r="AD207" s="821"/>
      <c r="AE207" s="821"/>
      <c r="AF207" s="797"/>
      <c r="AG207" s="797"/>
      <c r="AH207" s="797"/>
      <c r="AI207" s="797"/>
      <c r="AJ207" s="797"/>
      <c r="AK207" s="797"/>
      <c r="AL207" s="797"/>
      <c r="AM207" s="797"/>
      <c r="AN207" s="797"/>
      <c r="AO207" s="797"/>
      <c r="AP207" s="797"/>
      <c r="AQ207" s="797"/>
      <c r="AR207" s="797"/>
      <c r="AS207" s="797"/>
      <c r="AT207" s="812"/>
      <c r="AU207" s="812"/>
      <c r="AV207" s="812"/>
      <c r="AW207" s="1092"/>
      <c r="AX207" s="812"/>
    </row>
    <row r="208" spans="1:50" ht="12" customHeight="1" thickBot="1">
      <c r="A208" s="1524">
        <v>199</v>
      </c>
      <c r="B208" s="1111" t="s">
        <v>1398</v>
      </c>
      <c r="C208" s="1132"/>
      <c r="D208" s="1133"/>
      <c r="E208" s="1132"/>
      <c r="F208" s="1129"/>
      <c r="G208" s="1124"/>
      <c r="H208" s="1124"/>
      <c r="I208" s="1679"/>
      <c r="J208" s="1130"/>
      <c r="K208" s="1125"/>
      <c r="L208" s="1124"/>
      <c r="M208" s="1138">
        <f>+M206/$E206</f>
        <v>9327.7199999999993</v>
      </c>
      <c r="N208" s="1124"/>
      <c r="O208" s="1127"/>
      <c r="P208" s="1126"/>
      <c r="Q208" s="1127"/>
      <c r="R208" s="1124"/>
      <c r="S208" s="1128"/>
      <c r="T208" s="1130"/>
      <c r="U208" s="1138">
        <f ca="1">+U206/$E206</f>
        <v>12572.658333333335</v>
      </c>
      <c r="V208" s="2032"/>
      <c r="W208" s="1130">
        <f ca="1">+U208-M208</f>
        <v>3244.9383333333353</v>
      </c>
      <c r="X208" s="1130"/>
      <c r="Y208" s="857"/>
      <c r="Z208" s="801"/>
      <c r="AB208" s="821"/>
      <c r="AC208" s="821"/>
      <c r="AD208" s="821"/>
      <c r="AE208" s="821"/>
      <c r="AF208" s="797"/>
      <c r="AG208" s="797"/>
      <c r="AH208" s="797"/>
      <c r="AI208" s="797"/>
      <c r="AJ208" s="797"/>
      <c r="AK208" s="797"/>
      <c r="AL208" s="797"/>
      <c r="AM208" s="797"/>
      <c r="AN208" s="797"/>
      <c r="AO208" s="797"/>
      <c r="AP208" s="797"/>
      <c r="AQ208" s="797"/>
      <c r="AR208" s="797"/>
      <c r="AS208" s="797"/>
      <c r="AT208" s="812"/>
      <c r="AU208" s="812"/>
      <c r="AV208" s="812"/>
      <c r="AW208" s="1092"/>
      <c r="AX208" s="812"/>
    </row>
    <row r="209" spans="1:50" ht="12.75" thickTop="1">
      <c r="A209" s="1524">
        <v>200</v>
      </c>
      <c r="B209" s="1106"/>
      <c r="C209" s="1132"/>
      <c r="D209" s="1133"/>
      <c r="E209" s="1132"/>
      <c r="F209" s="1129"/>
      <c r="G209" s="1124"/>
      <c r="H209" s="1124"/>
      <c r="I209" s="1679"/>
      <c r="J209" s="1130"/>
      <c r="K209" s="1125"/>
      <c r="L209" s="1124"/>
      <c r="M209" s="1125"/>
      <c r="N209" s="1124"/>
      <c r="O209" s="1127"/>
      <c r="P209" s="1126"/>
      <c r="Q209" s="1127"/>
      <c r="R209" s="1124"/>
      <c r="S209" s="1128"/>
      <c r="T209" s="1129"/>
      <c r="U209" s="1131"/>
      <c r="V209" s="2028"/>
      <c r="W209" s="1129"/>
      <c r="X209" s="1129"/>
      <c r="Y209" s="857"/>
      <c r="Z209" s="801"/>
      <c r="AB209" s="821"/>
      <c r="AC209" s="821"/>
      <c r="AD209" s="821"/>
      <c r="AE209" s="821"/>
      <c r="AF209" s="835"/>
      <c r="AG209" s="836"/>
      <c r="AH209" s="1092"/>
      <c r="AI209" s="1113"/>
      <c r="AJ209" s="1094"/>
      <c r="AK209" s="1094"/>
      <c r="AL209" s="1092"/>
      <c r="AM209" s="812"/>
      <c r="AN209" s="1094"/>
      <c r="AO209" s="812"/>
      <c r="AP209" s="1094"/>
      <c r="AQ209" s="812"/>
      <c r="AR209" s="812"/>
      <c r="AS209" s="812"/>
      <c r="AT209" s="812"/>
      <c r="AU209" s="812"/>
      <c r="AV209" s="812"/>
      <c r="AW209" s="812"/>
      <c r="AX209" s="812"/>
    </row>
    <row r="210" spans="1:50">
      <c r="A210" s="1524">
        <v>201</v>
      </c>
      <c r="B210" s="1601" t="s">
        <v>2391</v>
      </c>
      <c r="C210" s="1132">
        <v>0</v>
      </c>
      <c r="D210" s="1133"/>
      <c r="E210" s="1132">
        <v>12</v>
      </c>
      <c r="F210" s="1129"/>
      <c r="G210" s="1124">
        <v>0</v>
      </c>
      <c r="H210" s="1124"/>
      <c r="I210" s="1680">
        <v>20.73</v>
      </c>
      <c r="J210" s="1130"/>
      <c r="K210" s="1125">
        <f>E210*I210*V210</f>
        <v>248.76</v>
      </c>
      <c r="L210" s="1124"/>
      <c r="M210" s="1125">
        <f t="shared" ref="M210" si="76">+K210</f>
        <v>248.76</v>
      </c>
      <c r="N210" s="1124"/>
      <c r="O210" s="1127">
        <f>+E210</f>
        <v>12</v>
      </c>
      <c r="P210" s="1126"/>
      <c r="Q210" s="1127">
        <f t="shared" ref="Q210" si="77">+G210</f>
        <v>0</v>
      </c>
      <c r="R210" s="1124"/>
      <c r="S210" s="1142">
        <f t="shared" ref="S210" si="78">+I210*(1+$X$5)</f>
        <v>20.73</v>
      </c>
      <c r="T210" s="1129"/>
      <c r="U210" s="1143">
        <f>+O210*S210*V210</f>
        <v>248.76</v>
      </c>
      <c r="V210" s="2029">
        <v>1</v>
      </c>
      <c r="W210" s="1129"/>
      <c r="X210" s="1129"/>
      <c r="Y210" s="1040"/>
      <c r="Z210" s="820"/>
      <c r="AA210" s="821"/>
      <c r="AB210" s="821"/>
      <c r="AC210" s="821"/>
      <c r="AD210" s="821"/>
      <c r="AE210" s="821"/>
      <c r="AF210" s="835"/>
      <c r="AG210" s="836"/>
      <c r="AH210" s="1092"/>
      <c r="AI210" s="1113"/>
      <c r="AJ210" s="1094"/>
      <c r="AK210" s="1094"/>
      <c r="AL210" s="1092"/>
      <c r="AM210" s="812"/>
      <c r="AN210" s="1094"/>
      <c r="AO210" s="812"/>
      <c r="AP210" s="1094"/>
      <c r="AQ210" s="812"/>
      <c r="AR210" s="812"/>
      <c r="AS210" s="812"/>
      <c r="AT210" s="812"/>
      <c r="AU210" s="812"/>
      <c r="AV210" s="812"/>
      <c r="AW210" s="812"/>
      <c r="AX210" s="812"/>
    </row>
    <row r="211" spans="1:50" ht="12.75" thickBot="1">
      <c r="A211" s="1524">
        <v>202</v>
      </c>
      <c r="B211" s="1109" t="s">
        <v>2394</v>
      </c>
      <c r="C211" s="1134">
        <f>SUM(C210)</f>
        <v>0</v>
      </c>
      <c r="D211" s="1133"/>
      <c r="E211" s="1134">
        <f>SUM(E210)</f>
        <v>12</v>
      </c>
      <c r="F211" s="1129"/>
      <c r="G211" s="1134">
        <f>SUM(G210)</f>
        <v>0</v>
      </c>
      <c r="H211" s="1124"/>
      <c r="I211" s="1679"/>
      <c r="J211" s="1130"/>
      <c r="K211" s="1136">
        <f>K210</f>
        <v>248.76</v>
      </c>
      <c r="L211" s="1124"/>
      <c r="M211" s="1136">
        <f>+M210</f>
        <v>248.76</v>
      </c>
      <c r="N211" s="1124"/>
      <c r="O211" s="1137">
        <f>+O210</f>
        <v>12</v>
      </c>
      <c r="P211" s="1126"/>
      <c r="Q211" s="1137">
        <f>+Q210</f>
        <v>0</v>
      </c>
      <c r="R211" s="1124"/>
      <c r="S211" s="1128"/>
      <c r="T211" s="1129"/>
      <c r="U211" s="1136">
        <f>+U210</f>
        <v>248.76</v>
      </c>
      <c r="V211" s="2030"/>
      <c r="W211" s="1129"/>
      <c r="X211" s="1129"/>
      <c r="Y211" s="1040"/>
      <c r="Z211" s="820"/>
      <c r="AA211" s="821"/>
      <c r="AB211" s="821"/>
      <c r="AC211" s="821"/>
      <c r="AD211" s="821"/>
      <c r="AE211" s="821"/>
      <c r="AF211" s="835"/>
      <c r="AG211" s="836"/>
      <c r="AH211" s="1092"/>
      <c r="AI211" s="1113"/>
      <c r="AJ211" s="1094"/>
      <c r="AK211" s="1094"/>
      <c r="AL211" s="1092"/>
      <c r="AM211" s="812"/>
      <c r="AN211" s="1094"/>
      <c r="AO211" s="812"/>
      <c r="AP211" s="1094"/>
      <c r="AQ211" s="812"/>
      <c r="AR211" s="812"/>
      <c r="AS211" s="812"/>
      <c r="AT211" s="812"/>
      <c r="AU211" s="812"/>
      <c r="AV211" s="812"/>
      <c r="AW211" s="812"/>
      <c r="AX211" s="812"/>
    </row>
    <row r="212" spans="1:50" ht="12.75" thickTop="1">
      <c r="A212" s="1524">
        <v>203</v>
      </c>
      <c r="B212" s="1601"/>
      <c r="C212" s="1132"/>
      <c r="D212" s="1133"/>
      <c r="E212" s="1132"/>
      <c r="F212" s="1129"/>
      <c r="G212" s="1124"/>
      <c r="H212" s="1124"/>
      <c r="I212" s="1679"/>
      <c r="J212" s="1130"/>
      <c r="K212" s="1125"/>
      <c r="L212" s="1124"/>
      <c r="M212" s="1125"/>
      <c r="N212" s="1124"/>
      <c r="O212" s="1127"/>
      <c r="P212" s="1126"/>
      <c r="Q212" s="1127"/>
      <c r="R212" s="1124"/>
      <c r="S212" s="1128"/>
      <c r="T212" s="1129"/>
      <c r="U212" s="1131"/>
      <c r="V212" s="2028"/>
      <c r="W212" s="1129"/>
      <c r="X212" s="1129"/>
      <c r="Y212" s="1040"/>
      <c r="Z212" s="820"/>
      <c r="AA212" s="821"/>
      <c r="AB212" s="821"/>
      <c r="AC212" s="821"/>
      <c r="AD212" s="821"/>
      <c r="AE212" s="821"/>
      <c r="AF212" s="835"/>
      <c r="AG212" s="836"/>
      <c r="AH212" s="1092"/>
      <c r="AI212" s="1113"/>
      <c r="AJ212" s="1094"/>
      <c r="AK212" s="1094"/>
      <c r="AL212" s="1092"/>
      <c r="AM212" s="812"/>
      <c r="AN212" s="1094"/>
      <c r="AO212" s="812"/>
      <c r="AP212" s="1094"/>
      <c r="AQ212" s="812"/>
      <c r="AR212" s="812"/>
      <c r="AS212" s="812"/>
      <c r="AT212" s="812"/>
      <c r="AU212" s="812"/>
      <c r="AV212" s="812"/>
      <c r="AW212" s="812"/>
      <c r="AX212" s="812"/>
    </row>
    <row r="213" spans="1:50" ht="12.75" thickBot="1">
      <c r="A213" s="1524">
        <v>204</v>
      </c>
      <c r="B213" s="1111" t="s">
        <v>2395</v>
      </c>
      <c r="C213" s="1132"/>
      <c r="D213" s="1133"/>
      <c r="E213" s="1132"/>
      <c r="F213" s="1129"/>
      <c r="G213" s="1124"/>
      <c r="H213" s="1124"/>
      <c r="I213" s="1679"/>
      <c r="J213" s="1130"/>
      <c r="K213" s="1125"/>
      <c r="L213" s="1124"/>
      <c r="M213" s="1138">
        <f>+M211/$E211</f>
        <v>20.73</v>
      </c>
      <c r="N213" s="1124"/>
      <c r="O213" s="1127"/>
      <c r="P213" s="1126"/>
      <c r="Q213" s="1127"/>
      <c r="R213" s="1124"/>
      <c r="S213" s="1128"/>
      <c r="T213" s="1130"/>
      <c r="U213" s="1138">
        <f>+U211/$E211</f>
        <v>20.73</v>
      </c>
      <c r="V213" s="2032"/>
      <c r="W213" s="1130">
        <f>+U213-M213</f>
        <v>0</v>
      </c>
      <c r="X213" s="1129"/>
      <c r="Y213" s="1040"/>
      <c r="Z213" s="820"/>
      <c r="AA213" s="821"/>
      <c r="AB213" s="821"/>
      <c r="AC213" s="821"/>
      <c r="AD213" s="821"/>
      <c r="AE213" s="821"/>
      <c r="AF213" s="835"/>
      <c r="AG213" s="836"/>
      <c r="AH213" s="1092"/>
      <c r="AI213" s="1113"/>
      <c r="AJ213" s="1094"/>
      <c r="AK213" s="1094"/>
      <c r="AL213" s="1092"/>
      <c r="AM213" s="812"/>
      <c r="AN213" s="1094"/>
      <c r="AO213" s="812"/>
      <c r="AP213" s="1094"/>
      <c r="AQ213" s="812"/>
      <c r="AR213" s="812"/>
      <c r="AS213" s="812"/>
      <c r="AT213" s="812"/>
      <c r="AU213" s="812"/>
      <c r="AV213" s="812"/>
      <c r="AW213" s="812"/>
      <c r="AX213" s="812"/>
    </row>
    <row r="214" spans="1:50" ht="12.75" thickTop="1">
      <c r="A214" s="1524">
        <v>205</v>
      </c>
      <c r="B214" s="1111"/>
      <c r="C214" s="1132"/>
      <c r="D214" s="1133"/>
      <c r="E214" s="1132"/>
      <c r="F214" s="1129"/>
      <c r="G214" s="1124"/>
      <c r="H214" s="1124"/>
      <c r="I214" s="1679"/>
      <c r="J214" s="1130"/>
      <c r="K214" s="1125"/>
      <c r="L214" s="1124"/>
      <c r="M214" s="1125"/>
      <c r="N214" s="1124"/>
      <c r="O214" s="1127"/>
      <c r="P214" s="1126"/>
      <c r="Q214" s="1127"/>
      <c r="R214" s="1124"/>
      <c r="S214" s="1128"/>
      <c r="T214" s="1129"/>
      <c r="U214" s="1602"/>
      <c r="V214" s="2034"/>
      <c r="W214" s="1129"/>
      <c r="X214" s="1129"/>
      <c r="Y214" s="1040"/>
      <c r="Z214" s="820"/>
      <c r="AA214" s="821"/>
      <c r="AB214" s="821"/>
      <c r="AC214" s="821"/>
      <c r="AD214" s="821"/>
      <c r="AE214" s="821"/>
      <c r="AF214" s="835"/>
      <c r="AG214" s="836"/>
      <c r="AH214" s="1092"/>
      <c r="AI214" s="1113"/>
      <c r="AJ214" s="1094"/>
      <c r="AK214" s="1094"/>
      <c r="AL214" s="1092"/>
      <c r="AM214" s="812"/>
      <c r="AN214" s="1094"/>
      <c r="AO214" s="812"/>
      <c r="AP214" s="1094"/>
      <c r="AQ214" s="812"/>
      <c r="AR214" s="812"/>
      <c r="AS214" s="812"/>
      <c r="AT214" s="812"/>
      <c r="AU214" s="812"/>
      <c r="AV214" s="812"/>
      <c r="AW214" s="812"/>
      <c r="AX214" s="812"/>
    </row>
    <row r="215" spans="1:50">
      <c r="A215" s="1524">
        <v>206</v>
      </c>
      <c r="B215" s="1601" t="s">
        <v>2393</v>
      </c>
      <c r="C215" s="1132">
        <v>0</v>
      </c>
      <c r="D215" s="1133"/>
      <c r="E215" s="1132">
        <v>12</v>
      </c>
      <c r="F215" s="1129"/>
      <c r="G215" s="1124">
        <v>0</v>
      </c>
      <c r="H215" s="1124"/>
      <c r="I215" s="1680">
        <v>20.73</v>
      </c>
      <c r="J215" s="1130"/>
      <c r="K215" s="1125">
        <f>E215*I215*V215</f>
        <v>7960.32</v>
      </c>
      <c r="L215" s="1124"/>
      <c r="M215" s="1125">
        <f t="shared" ref="M215" si="79">+K215</f>
        <v>7960.32</v>
      </c>
      <c r="N215" s="1124"/>
      <c r="O215" s="1127">
        <f>+E215</f>
        <v>12</v>
      </c>
      <c r="P215" s="1126"/>
      <c r="Q215" s="1127">
        <f>+G215</f>
        <v>0</v>
      </c>
      <c r="R215" s="1124"/>
      <c r="S215" s="1142">
        <f t="shared" ref="S215" si="80">+I215*(1+$X$5)</f>
        <v>20.73</v>
      </c>
      <c r="T215" s="1129"/>
      <c r="U215" s="1143">
        <f>+O215*S215*V215</f>
        <v>7960.32</v>
      </c>
      <c r="V215" s="2029">
        <v>32</v>
      </c>
      <c r="W215" s="1129"/>
      <c r="X215" s="1129"/>
      <c r="Y215" s="1040"/>
      <c r="Z215" s="820"/>
      <c r="AA215" s="821"/>
      <c r="AB215" s="821"/>
      <c r="AC215" s="821"/>
      <c r="AD215" s="821"/>
      <c r="AE215" s="821"/>
      <c r="AF215" s="835"/>
      <c r="AG215" s="836"/>
      <c r="AH215" s="1092"/>
      <c r="AI215" s="1113"/>
      <c r="AJ215" s="1094"/>
      <c r="AK215" s="1094"/>
      <c r="AL215" s="1092"/>
      <c r="AM215" s="812"/>
      <c r="AN215" s="1094"/>
      <c r="AO215" s="812"/>
      <c r="AP215" s="1094"/>
      <c r="AQ215" s="812"/>
      <c r="AR215" s="812"/>
      <c r="AS215" s="812"/>
      <c r="AT215" s="812"/>
      <c r="AU215" s="812"/>
      <c r="AV215" s="812"/>
      <c r="AW215" s="812"/>
      <c r="AX215" s="812"/>
    </row>
    <row r="216" spans="1:50" ht="12.75" thickBot="1">
      <c r="A216" s="1524">
        <v>207</v>
      </c>
      <c r="B216" s="1109" t="s">
        <v>3575</v>
      </c>
      <c r="C216" s="1134">
        <f>SUM(C215)</f>
        <v>0</v>
      </c>
      <c r="D216" s="1133"/>
      <c r="E216" s="1134">
        <f>SUM(E215)</f>
        <v>12</v>
      </c>
      <c r="F216" s="1129"/>
      <c r="G216" s="1134">
        <f>SUM(G215)</f>
        <v>0</v>
      </c>
      <c r="H216" s="1124"/>
      <c r="I216" s="1679"/>
      <c r="J216" s="1130"/>
      <c r="K216" s="1136">
        <f>K215</f>
        <v>7960.32</v>
      </c>
      <c r="L216" s="1124"/>
      <c r="M216" s="1136">
        <f>+M215</f>
        <v>7960.32</v>
      </c>
      <c r="N216" s="1124"/>
      <c r="O216" s="1137">
        <f>+O215</f>
        <v>12</v>
      </c>
      <c r="P216" s="1126"/>
      <c r="Q216" s="1137">
        <f>+Q215</f>
        <v>0</v>
      </c>
      <c r="R216" s="1124"/>
      <c r="S216" s="1128"/>
      <c r="T216" s="1129"/>
      <c r="U216" s="1136">
        <f>+U215</f>
        <v>7960.32</v>
      </c>
      <c r="V216" s="2030"/>
      <c r="W216" s="1129"/>
      <c r="X216" s="1129"/>
      <c r="Y216" s="1040"/>
      <c r="Z216" s="820"/>
      <c r="AA216" s="821"/>
      <c r="AB216" s="821"/>
      <c r="AC216" s="821"/>
      <c r="AD216" s="821"/>
      <c r="AE216" s="821"/>
      <c r="AF216" s="835"/>
      <c r="AG216" s="836"/>
      <c r="AH216" s="1092"/>
      <c r="AI216" s="1113"/>
      <c r="AJ216" s="1094"/>
      <c r="AK216" s="1094"/>
      <c r="AL216" s="1092"/>
      <c r="AM216" s="812"/>
      <c r="AN216" s="1094"/>
      <c r="AO216" s="812"/>
      <c r="AP216" s="1094"/>
      <c r="AQ216" s="812"/>
      <c r="AR216" s="812"/>
      <c r="AS216" s="812"/>
      <c r="AT216" s="812"/>
      <c r="AU216" s="812"/>
      <c r="AV216" s="812"/>
      <c r="AW216" s="812"/>
      <c r="AX216" s="812"/>
    </row>
    <row r="217" spans="1:50" ht="12.75" thickTop="1">
      <c r="A217" s="1524">
        <v>208</v>
      </c>
      <c r="B217" s="1601"/>
      <c r="C217" s="1132"/>
      <c r="D217" s="1133"/>
      <c r="E217" s="1132"/>
      <c r="F217" s="1129"/>
      <c r="G217" s="1124"/>
      <c r="H217" s="1124"/>
      <c r="I217" s="1679"/>
      <c r="J217" s="1130"/>
      <c r="K217" s="1125"/>
      <c r="L217" s="1124"/>
      <c r="M217" s="1125"/>
      <c r="N217" s="1124"/>
      <c r="O217" s="1127"/>
      <c r="P217" s="1126"/>
      <c r="Q217" s="1127"/>
      <c r="R217" s="1124"/>
      <c r="S217" s="1128"/>
      <c r="T217" s="1129"/>
      <c r="U217" s="1131"/>
      <c r="V217" s="2028"/>
      <c r="W217" s="1129"/>
      <c r="X217" s="1129"/>
      <c r="Y217" s="1040"/>
      <c r="Z217" s="820"/>
      <c r="AA217" s="821"/>
      <c r="AB217" s="821"/>
      <c r="AC217" s="821"/>
      <c r="AD217" s="821"/>
      <c r="AE217" s="821"/>
      <c r="AF217" s="835"/>
      <c r="AG217" s="836"/>
      <c r="AH217" s="1092"/>
      <c r="AI217" s="1113"/>
      <c r="AJ217" s="1094"/>
      <c r="AK217" s="1094"/>
      <c r="AL217" s="1092"/>
      <c r="AM217" s="812"/>
      <c r="AN217" s="1094"/>
      <c r="AO217" s="812"/>
      <c r="AP217" s="1094"/>
      <c r="AQ217" s="812"/>
      <c r="AR217" s="812"/>
      <c r="AS217" s="812"/>
      <c r="AT217" s="812"/>
      <c r="AU217" s="812"/>
      <c r="AV217" s="812"/>
      <c r="AW217" s="812"/>
      <c r="AX217" s="812"/>
    </row>
    <row r="218" spans="1:50" ht="12.75" thickBot="1">
      <c r="A218" s="1524">
        <v>209</v>
      </c>
      <c r="B218" s="1111" t="s">
        <v>3576</v>
      </c>
      <c r="C218" s="1132"/>
      <c r="D218" s="1133"/>
      <c r="E218" s="1132"/>
      <c r="F218" s="1129"/>
      <c r="G218" s="1124"/>
      <c r="H218" s="1124"/>
      <c r="I218" s="1679"/>
      <c r="J218" s="1130"/>
      <c r="K218" s="1125"/>
      <c r="L218" s="1124"/>
      <c r="M218" s="1138">
        <f>+M216/$E216</f>
        <v>663.36</v>
      </c>
      <c r="N218" s="1124"/>
      <c r="O218" s="1127"/>
      <c r="P218" s="1126"/>
      <c r="Q218" s="1127"/>
      <c r="R218" s="1124"/>
      <c r="S218" s="1128"/>
      <c r="T218" s="1130"/>
      <c r="U218" s="1138">
        <f>+U216/$E216</f>
        <v>663.36</v>
      </c>
      <c r="V218" s="2032"/>
      <c r="W218" s="1130">
        <f>+U218-M218</f>
        <v>0</v>
      </c>
      <c r="X218" s="1129"/>
      <c r="Y218" s="1040"/>
      <c r="Z218" s="820"/>
      <c r="AA218" s="821"/>
      <c r="AB218" s="821"/>
      <c r="AC218" s="821"/>
      <c r="AD218" s="821"/>
      <c r="AE218" s="821"/>
      <c r="AF218" s="835"/>
      <c r="AG218" s="836"/>
      <c r="AH218" s="1092"/>
      <c r="AI218" s="1113"/>
      <c r="AJ218" s="1094"/>
      <c r="AK218" s="1094"/>
      <c r="AL218" s="1092"/>
      <c r="AM218" s="812"/>
      <c r="AN218" s="1094"/>
      <c r="AO218" s="812"/>
      <c r="AP218" s="1094"/>
      <c r="AQ218" s="812"/>
      <c r="AR218" s="812"/>
      <c r="AS218" s="812"/>
      <c r="AT218" s="812"/>
      <c r="AU218" s="812"/>
      <c r="AV218" s="812"/>
      <c r="AW218" s="812"/>
      <c r="AX218" s="812"/>
    </row>
    <row r="219" spans="1:50" ht="12.75" thickTop="1">
      <c r="A219" s="1524">
        <v>210</v>
      </c>
      <c r="B219" s="1601" t="s">
        <v>2396</v>
      </c>
      <c r="C219" s="1132">
        <v>0</v>
      </c>
      <c r="D219" s="1133"/>
      <c r="E219" s="1132">
        <v>12</v>
      </c>
      <c r="F219" s="1129"/>
      <c r="G219" s="1124">
        <v>0</v>
      </c>
      <c r="H219" s="1124"/>
      <c r="I219" s="1680">
        <v>152.97999999999999</v>
      </c>
      <c r="J219" s="1130"/>
      <c r="K219" s="1125">
        <f>E219*I219*V219</f>
        <v>1835.7599999999998</v>
      </c>
      <c r="L219" s="1124"/>
      <c r="M219" s="1125">
        <f t="shared" ref="M219" si="81">+K219</f>
        <v>1835.7599999999998</v>
      </c>
      <c r="N219" s="1124"/>
      <c r="O219" s="1127">
        <f>+E219</f>
        <v>12</v>
      </c>
      <c r="P219" s="1126"/>
      <c r="Q219" s="1127">
        <f>+G219</f>
        <v>0</v>
      </c>
      <c r="R219" s="1124"/>
      <c r="S219" s="1142">
        <f t="shared" ref="S219" si="82">+I219*(1+$X$5)</f>
        <v>152.97999999999999</v>
      </c>
      <c r="T219" s="1129"/>
      <c r="U219" s="1143">
        <f>+O219*S219*V219</f>
        <v>1835.7599999999998</v>
      </c>
      <c r="V219" s="2029">
        <v>1</v>
      </c>
      <c r="W219" s="1129"/>
      <c r="X219" s="1129"/>
      <c r="Y219" s="1040"/>
      <c r="Z219" s="820"/>
      <c r="AA219" s="821"/>
      <c r="AB219" s="821"/>
      <c r="AC219" s="821"/>
      <c r="AD219" s="821"/>
      <c r="AE219" s="821"/>
      <c r="AF219" s="835"/>
      <c r="AG219" s="836"/>
      <c r="AH219" s="1092"/>
      <c r="AI219" s="1113"/>
      <c r="AJ219" s="1094"/>
      <c r="AK219" s="1094"/>
      <c r="AL219" s="1092"/>
      <c r="AM219" s="812"/>
      <c r="AN219" s="1094"/>
      <c r="AO219" s="812"/>
      <c r="AP219" s="1094"/>
      <c r="AQ219" s="812"/>
      <c r="AR219" s="812"/>
      <c r="AS219" s="812"/>
      <c r="AT219" s="812"/>
      <c r="AU219" s="812"/>
      <c r="AV219" s="812"/>
      <c r="AW219" s="812"/>
      <c r="AX219" s="812"/>
    </row>
    <row r="220" spans="1:50" ht="12.75" thickBot="1">
      <c r="A220" s="1524">
        <v>211</v>
      </c>
      <c r="B220" s="1109" t="s">
        <v>3577</v>
      </c>
      <c r="C220" s="1134">
        <f>SUM(C219)</f>
        <v>0</v>
      </c>
      <c r="D220" s="1133"/>
      <c r="E220" s="1134">
        <f>SUM(E219)</f>
        <v>12</v>
      </c>
      <c r="F220" s="1129"/>
      <c r="G220" s="1134">
        <f>SUM(G219)</f>
        <v>0</v>
      </c>
      <c r="H220" s="1124"/>
      <c r="I220" s="1679"/>
      <c r="J220" s="1130"/>
      <c r="K220" s="1136">
        <f>K219</f>
        <v>1835.7599999999998</v>
      </c>
      <c r="L220" s="1124"/>
      <c r="M220" s="1136">
        <f>+M219</f>
        <v>1835.7599999999998</v>
      </c>
      <c r="N220" s="1124"/>
      <c r="O220" s="1137">
        <f>+O219</f>
        <v>12</v>
      </c>
      <c r="P220" s="1126"/>
      <c r="Q220" s="1137">
        <f>+Q219</f>
        <v>0</v>
      </c>
      <c r="R220" s="1124"/>
      <c r="S220" s="1128"/>
      <c r="T220" s="1129"/>
      <c r="U220" s="1136">
        <f>+U219</f>
        <v>1835.7599999999998</v>
      </c>
      <c r="V220" s="2030"/>
      <c r="W220" s="1129"/>
      <c r="X220" s="1129"/>
      <c r="Y220" s="1040"/>
      <c r="Z220" s="820"/>
      <c r="AA220" s="821"/>
      <c r="AB220" s="821"/>
      <c r="AC220" s="821"/>
      <c r="AD220" s="821"/>
      <c r="AE220" s="821"/>
      <c r="AF220" s="835"/>
      <c r="AG220" s="836"/>
      <c r="AH220" s="1092"/>
      <c r="AI220" s="1113"/>
      <c r="AJ220" s="1094"/>
      <c r="AK220" s="1094"/>
      <c r="AL220" s="1092"/>
      <c r="AM220" s="812"/>
      <c r="AN220" s="1094"/>
      <c r="AO220" s="812"/>
      <c r="AP220" s="1094"/>
      <c r="AQ220" s="812"/>
      <c r="AR220" s="812"/>
      <c r="AS220" s="812"/>
      <c r="AT220" s="812"/>
      <c r="AU220" s="812"/>
      <c r="AV220" s="812"/>
      <c r="AW220" s="812"/>
      <c r="AX220" s="812"/>
    </row>
    <row r="221" spans="1:50" ht="12.75" thickTop="1">
      <c r="A221" s="1524">
        <v>212</v>
      </c>
      <c r="B221" s="1601"/>
      <c r="C221" s="1132"/>
      <c r="D221" s="1133"/>
      <c r="E221" s="1132"/>
      <c r="F221" s="1129"/>
      <c r="G221" s="1124"/>
      <c r="H221" s="1124"/>
      <c r="I221" s="1679"/>
      <c r="J221" s="1130"/>
      <c r="K221" s="1125"/>
      <c r="L221" s="1124"/>
      <c r="M221" s="1125"/>
      <c r="N221" s="1124"/>
      <c r="O221" s="1127"/>
      <c r="P221" s="1126"/>
      <c r="Q221" s="1127"/>
      <c r="R221" s="1124"/>
      <c r="S221" s="1128"/>
      <c r="T221" s="1129"/>
      <c r="U221" s="1131"/>
      <c r="V221" s="2028"/>
      <c r="W221" s="1129"/>
      <c r="X221" s="1129"/>
      <c r="Y221" s="1040"/>
      <c r="Z221" s="820"/>
      <c r="AA221" s="821"/>
      <c r="AB221" s="821"/>
      <c r="AC221" s="821"/>
      <c r="AD221" s="821"/>
      <c r="AE221" s="821"/>
      <c r="AF221" s="835"/>
      <c r="AG221" s="836"/>
      <c r="AH221" s="1092"/>
      <c r="AI221" s="1113"/>
      <c r="AJ221" s="1094"/>
      <c r="AK221" s="1094"/>
      <c r="AL221" s="1092"/>
      <c r="AM221" s="812"/>
      <c r="AN221" s="1094"/>
      <c r="AO221" s="812"/>
      <c r="AP221" s="1094"/>
      <c r="AQ221" s="812"/>
      <c r="AR221" s="812"/>
      <c r="AS221" s="812"/>
      <c r="AT221" s="812"/>
      <c r="AU221" s="812"/>
      <c r="AV221" s="812"/>
      <c r="AW221" s="812"/>
      <c r="AX221" s="812"/>
    </row>
    <row r="222" spans="1:50" ht="12.75" thickBot="1">
      <c r="A222" s="1524">
        <v>213</v>
      </c>
      <c r="B222" s="1111" t="s">
        <v>3578</v>
      </c>
      <c r="C222" s="1132"/>
      <c r="D222" s="1133"/>
      <c r="E222" s="1132"/>
      <c r="F222" s="1129"/>
      <c r="G222" s="1124"/>
      <c r="H222" s="1124"/>
      <c r="I222" s="1679"/>
      <c r="J222" s="1130"/>
      <c r="K222" s="1125"/>
      <c r="L222" s="1124"/>
      <c r="M222" s="1138">
        <f>+M220/$E220</f>
        <v>152.97999999999999</v>
      </c>
      <c r="N222" s="1124"/>
      <c r="O222" s="1127"/>
      <c r="P222" s="1126"/>
      <c r="Q222" s="1127"/>
      <c r="R222" s="1124"/>
      <c r="S222" s="1128"/>
      <c r="T222" s="1130"/>
      <c r="U222" s="1138">
        <f>+U220/$E220</f>
        <v>152.97999999999999</v>
      </c>
      <c r="V222" s="2032"/>
      <c r="W222" s="1130">
        <f>+U222-M222</f>
        <v>0</v>
      </c>
      <c r="X222" s="1129"/>
      <c r="Y222" s="1040"/>
      <c r="Z222" s="820"/>
      <c r="AA222" s="821"/>
      <c r="AB222" s="821"/>
      <c r="AC222" s="821"/>
      <c r="AD222" s="821"/>
      <c r="AE222" s="821"/>
      <c r="AF222" s="835"/>
      <c r="AG222" s="836"/>
      <c r="AH222" s="1092"/>
      <c r="AI222" s="1113"/>
      <c r="AJ222" s="1094"/>
      <c r="AK222" s="1094"/>
      <c r="AL222" s="1092"/>
      <c r="AM222" s="812"/>
      <c r="AN222" s="1094"/>
      <c r="AO222" s="812"/>
      <c r="AP222" s="1094"/>
      <c r="AQ222" s="812"/>
      <c r="AR222" s="812"/>
      <c r="AS222" s="812"/>
      <c r="AT222" s="812"/>
      <c r="AU222" s="812"/>
      <c r="AV222" s="812"/>
      <c r="AW222" s="812"/>
      <c r="AX222" s="812"/>
    </row>
    <row r="223" spans="1:50" ht="12.75" thickTop="1">
      <c r="A223" s="1524">
        <v>214</v>
      </c>
      <c r="B223" s="1601" t="s">
        <v>2397</v>
      </c>
      <c r="C223" s="1132">
        <v>0</v>
      </c>
      <c r="D223" s="1133"/>
      <c r="E223" s="1132">
        <v>12</v>
      </c>
      <c r="F223" s="1129"/>
      <c r="G223" s="1124">
        <v>0</v>
      </c>
      <c r="H223" s="1124"/>
      <c r="I223" s="1680">
        <v>20.73</v>
      </c>
      <c r="J223" s="1130"/>
      <c r="K223" s="1125">
        <f>E223*I223*V223</f>
        <v>9950.4</v>
      </c>
      <c r="L223" s="1124"/>
      <c r="M223" s="1125">
        <f t="shared" ref="M223" si="83">+K223</f>
        <v>9950.4</v>
      </c>
      <c r="N223" s="1124"/>
      <c r="O223" s="1127">
        <f>+E223</f>
        <v>12</v>
      </c>
      <c r="P223" s="1126"/>
      <c r="Q223" s="1127">
        <f>+G223</f>
        <v>0</v>
      </c>
      <c r="R223" s="1124"/>
      <c r="S223" s="1142">
        <f t="shared" ref="S223" si="84">+I223*(1+$X$5)</f>
        <v>20.73</v>
      </c>
      <c r="T223" s="1129"/>
      <c r="U223" s="1143">
        <f>+O223*S223*V223</f>
        <v>9950.4</v>
      </c>
      <c r="V223" s="2029">
        <v>40</v>
      </c>
      <c r="W223" s="1129"/>
      <c r="X223" s="1129"/>
      <c r="Y223" s="1040"/>
      <c r="Z223" s="820"/>
      <c r="AA223" s="821"/>
      <c r="AB223" s="821"/>
      <c r="AC223" s="821"/>
      <c r="AD223" s="821"/>
      <c r="AE223" s="821"/>
      <c r="AF223" s="835"/>
      <c r="AG223" s="836"/>
      <c r="AH223" s="1092"/>
      <c r="AI223" s="1113"/>
      <c r="AJ223" s="1094"/>
      <c r="AK223" s="1094"/>
      <c r="AL223" s="1092"/>
      <c r="AM223" s="812"/>
      <c r="AN223" s="1094"/>
      <c r="AO223" s="812"/>
      <c r="AP223" s="1094"/>
      <c r="AQ223" s="812"/>
      <c r="AR223" s="812"/>
      <c r="AS223" s="812"/>
      <c r="AT223" s="812"/>
      <c r="AU223" s="812"/>
      <c r="AV223" s="812"/>
      <c r="AW223" s="812"/>
      <c r="AX223" s="812"/>
    </row>
    <row r="224" spans="1:50" ht="12.75" thickBot="1">
      <c r="A224" s="1524">
        <v>215</v>
      </c>
      <c r="B224" s="1109" t="s">
        <v>2398</v>
      </c>
      <c r="C224" s="1134">
        <f>SUM(C223)</f>
        <v>0</v>
      </c>
      <c r="D224" s="1133"/>
      <c r="E224" s="1134">
        <f>SUM(E223)</f>
        <v>12</v>
      </c>
      <c r="F224" s="1129"/>
      <c r="G224" s="1134">
        <f>SUM(G223)</f>
        <v>0</v>
      </c>
      <c r="H224" s="1124"/>
      <c r="I224" s="1679"/>
      <c r="J224" s="1130"/>
      <c r="K224" s="1136">
        <f>K223</f>
        <v>9950.4</v>
      </c>
      <c r="L224" s="1124"/>
      <c r="M224" s="1136">
        <f>+M223</f>
        <v>9950.4</v>
      </c>
      <c r="N224" s="1124"/>
      <c r="O224" s="1137">
        <f>+O223</f>
        <v>12</v>
      </c>
      <c r="P224" s="1126"/>
      <c r="Q224" s="1137">
        <f>+Q223</f>
        <v>0</v>
      </c>
      <c r="R224" s="1124"/>
      <c r="S224" s="1128"/>
      <c r="T224" s="1129"/>
      <c r="U224" s="1136">
        <f>+U223</f>
        <v>9950.4</v>
      </c>
      <c r="V224" s="2030"/>
      <c r="W224" s="1129"/>
      <c r="X224" s="1129"/>
      <c r="Y224" s="1040"/>
      <c r="Z224" s="820"/>
      <c r="AA224" s="821"/>
      <c r="AB224" s="821"/>
      <c r="AC224" s="821"/>
      <c r="AD224" s="821"/>
      <c r="AE224" s="821"/>
      <c r="AF224" s="835"/>
      <c r="AG224" s="836"/>
      <c r="AH224" s="1092"/>
      <c r="AI224" s="1113"/>
      <c r="AJ224" s="1094"/>
      <c r="AK224" s="1094"/>
      <c r="AL224" s="1092"/>
      <c r="AM224" s="812"/>
      <c r="AN224" s="1094"/>
      <c r="AO224" s="812"/>
      <c r="AP224" s="1094"/>
      <c r="AQ224" s="812"/>
      <c r="AR224" s="812"/>
      <c r="AS224" s="812"/>
      <c r="AT224" s="812"/>
      <c r="AU224" s="812"/>
      <c r="AV224" s="812"/>
      <c r="AW224" s="812"/>
      <c r="AX224" s="812"/>
    </row>
    <row r="225" spans="1:50" ht="12.75" thickTop="1">
      <c r="A225" s="1524">
        <v>216</v>
      </c>
      <c r="B225" s="1601"/>
      <c r="C225" s="1132"/>
      <c r="D225" s="1133"/>
      <c r="E225" s="1132"/>
      <c r="F225" s="1129"/>
      <c r="G225" s="1124"/>
      <c r="H225" s="1124"/>
      <c r="I225" s="1679"/>
      <c r="J225" s="1130"/>
      <c r="K225" s="1125"/>
      <c r="L225" s="1124"/>
      <c r="M225" s="1125"/>
      <c r="N225" s="1124"/>
      <c r="O225" s="1127"/>
      <c r="P225" s="1126"/>
      <c r="Q225" s="1127"/>
      <c r="R225" s="1124"/>
      <c r="S225" s="1128"/>
      <c r="T225" s="1129"/>
      <c r="U225" s="1131"/>
      <c r="V225" s="2028"/>
      <c r="W225" s="1129"/>
      <c r="X225" s="1129"/>
      <c r="Y225" s="1040"/>
      <c r="Z225" s="820"/>
      <c r="AA225" s="821"/>
      <c r="AB225" s="821"/>
      <c r="AC225" s="821"/>
      <c r="AD225" s="821"/>
      <c r="AE225" s="821"/>
      <c r="AF225" s="835"/>
      <c r="AG225" s="836"/>
      <c r="AH225" s="1092"/>
      <c r="AI225" s="1113"/>
      <c r="AJ225" s="1094"/>
      <c r="AK225" s="1094"/>
      <c r="AL225" s="1092"/>
      <c r="AM225" s="812"/>
      <c r="AN225" s="1094"/>
      <c r="AO225" s="812"/>
      <c r="AP225" s="1094"/>
      <c r="AQ225" s="812"/>
      <c r="AR225" s="812"/>
      <c r="AS225" s="812"/>
      <c r="AT225" s="812"/>
      <c r="AU225" s="812"/>
      <c r="AV225" s="812"/>
      <c r="AW225" s="812"/>
      <c r="AX225" s="812"/>
    </row>
    <row r="226" spans="1:50" ht="12.75" thickBot="1">
      <c r="A226" s="1524">
        <v>217</v>
      </c>
      <c r="B226" s="1111" t="s">
        <v>2399</v>
      </c>
      <c r="C226" s="1132"/>
      <c r="D226" s="1133"/>
      <c r="E226" s="1132"/>
      <c r="F226" s="1129"/>
      <c r="G226" s="1124"/>
      <c r="H226" s="1124"/>
      <c r="I226" s="1679"/>
      <c r="J226" s="1130"/>
      <c r="K226" s="1125"/>
      <c r="L226" s="1124"/>
      <c r="M226" s="1138">
        <f>+M224/$E224</f>
        <v>829.19999999999993</v>
      </c>
      <c r="N226" s="1124"/>
      <c r="O226" s="1127"/>
      <c r="P226" s="1126"/>
      <c r="Q226" s="1127"/>
      <c r="R226" s="1124"/>
      <c r="S226" s="1128"/>
      <c r="T226" s="1130"/>
      <c r="U226" s="1138">
        <f>+U224/$E224</f>
        <v>829.19999999999993</v>
      </c>
      <c r="V226" s="2032"/>
      <c r="W226" s="1130">
        <f>+U226-M226</f>
        <v>0</v>
      </c>
      <c r="X226" s="1129"/>
      <c r="Y226" s="1040"/>
      <c r="Z226" s="820"/>
      <c r="AA226" s="821"/>
      <c r="AB226" s="821"/>
      <c r="AC226" s="821"/>
      <c r="AD226" s="821"/>
      <c r="AE226" s="821"/>
      <c r="AF226" s="835"/>
      <c r="AG226" s="836"/>
      <c r="AH226" s="1092"/>
      <c r="AI226" s="1113"/>
      <c r="AJ226" s="1094"/>
      <c r="AK226" s="1094"/>
      <c r="AL226" s="1092"/>
      <c r="AM226" s="812"/>
      <c r="AN226" s="1094"/>
      <c r="AO226" s="812"/>
      <c r="AP226" s="1094"/>
      <c r="AQ226" s="812"/>
      <c r="AR226" s="812"/>
      <c r="AS226" s="812"/>
      <c r="AT226" s="812"/>
      <c r="AU226" s="812"/>
      <c r="AV226" s="812"/>
      <c r="AW226" s="812"/>
      <c r="AX226" s="812"/>
    </row>
    <row r="227" spans="1:50" ht="12.75" thickTop="1">
      <c r="A227" s="1524">
        <v>218</v>
      </c>
      <c r="B227" s="1601" t="s">
        <v>3579</v>
      </c>
      <c r="C227" s="1132">
        <v>0</v>
      </c>
      <c r="D227" s="1133"/>
      <c r="E227" s="1132">
        <v>12</v>
      </c>
      <c r="F227" s="1129"/>
      <c r="G227" s="1124">
        <v>0</v>
      </c>
      <c r="H227" s="1124"/>
      <c r="I227" s="1680">
        <v>4.6100000000000003</v>
      </c>
      <c r="J227" s="1130"/>
      <c r="K227" s="1125">
        <f>E227*I227*V227</f>
        <v>15213.000000000002</v>
      </c>
      <c r="L227" s="1124"/>
      <c r="M227" s="1125">
        <f t="shared" ref="M227" si="85">+K227</f>
        <v>15213.000000000002</v>
      </c>
      <c r="N227" s="1124"/>
      <c r="O227" s="1127">
        <f>+E227</f>
        <v>12</v>
      </c>
      <c r="P227" s="1126"/>
      <c r="Q227" s="1127">
        <f>+G227</f>
        <v>0</v>
      </c>
      <c r="R227" s="1124"/>
      <c r="S227" s="1142">
        <f t="shared" ref="S227" si="86">+I227*(1+$X$5)</f>
        <v>4.6100000000000003</v>
      </c>
      <c r="T227" s="1129"/>
      <c r="U227" s="1143">
        <f>+O227*S227*V227</f>
        <v>15213.000000000002</v>
      </c>
      <c r="V227" s="2029">
        <v>275</v>
      </c>
      <c r="W227" s="1129"/>
      <c r="X227" s="1129"/>
      <c r="Y227" s="1040"/>
      <c r="Z227" s="820"/>
      <c r="AA227" s="821"/>
      <c r="AB227" s="821"/>
      <c r="AC227" s="821"/>
      <c r="AD227" s="821"/>
      <c r="AE227" s="821"/>
      <c r="AF227" s="835"/>
      <c r="AG227" s="836"/>
      <c r="AH227" s="1092"/>
      <c r="AI227" s="1113"/>
      <c r="AJ227" s="1094"/>
      <c r="AK227" s="1094"/>
      <c r="AL227" s="1092"/>
      <c r="AM227" s="812"/>
      <c r="AN227" s="1094"/>
      <c r="AO227" s="812"/>
      <c r="AP227" s="1094"/>
      <c r="AQ227" s="812"/>
      <c r="AR227" s="812"/>
      <c r="AS227" s="812"/>
      <c r="AT227" s="812"/>
      <c r="AU227" s="812"/>
      <c r="AV227" s="812"/>
      <c r="AW227" s="812"/>
      <c r="AX227" s="812"/>
    </row>
    <row r="228" spans="1:50" ht="12.75" thickBot="1">
      <c r="A228" s="1524">
        <v>219</v>
      </c>
      <c r="B228" s="1109" t="s">
        <v>3580</v>
      </c>
      <c r="C228" s="1134">
        <f>SUM(C227)</f>
        <v>0</v>
      </c>
      <c r="D228" s="1133"/>
      <c r="E228" s="1134">
        <f>SUM(E227)</f>
        <v>12</v>
      </c>
      <c r="F228" s="1129"/>
      <c r="G228" s="1134">
        <f>SUM(G227)</f>
        <v>0</v>
      </c>
      <c r="H228" s="1124"/>
      <c r="I228" s="1679"/>
      <c r="J228" s="1130"/>
      <c r="K228" s="1136">
        <f>K227</f>
        <v>15213.000000000002</v>
      </c>
      <c r="L228" s="1124"/>
      <c r="M228" s="1136">
        <f>+M227</f>
        <v>15213.000000000002</v>
      </c>
      <c r="N228" s="1124"/>
      <c r="O228" s="1137">
        <f>+O227</f>
        <v>12</v>
      </c>
      <c r="P228" s="1126"/>
      <c r="Q228" s="1137">
        <f>+Q227</f>
        <v>0</v>
      </c>
      <c r="R228" s="1124"/>
      <c r="S228" s="1128"/>
      <c r="T228" s="1129"/>
      <c r="U228" s="1136">
        <f>+U227</f>
        <v>15213.000000000002</v>
      </c>
      <c r="V228" s="2030"/>
      <c r="W228" s="1129"/>
      <c r="X228" s="1129"/>
      <c r="Y228" s="1040"/>
      <c r="Z228" s="820"/>
      <c r="AA228" s="821"/>
      <c r="AB228" s="821"/>
      <c r="AC228" s="821"/>
      <c r="AD228" s="821"/>
      <c r="AE228" s="821"/>
      <c r="AF228" s="835"/>
      <c r="AG228" s="836"/>
      <c r="AH228" s="1092"/>
      <c r="AI228" s="1113"/>
      <c r="AJ228" s="1094"/>
      <c r="AK228" s="1094"/>
      <c r="AL228" s="1092"/>
      <c r="AM228" s="812"/>
      <c r="AN228" s="1094"/>
      <c r="AO228" s="812"/>
      <c r="AP228" s="1094"/>
      <c r="AQ228" s="812"/>
      <c r="AR228" s="812"/>
      <c r="AS228" s="812"/>
      <c r="AT228" s="812"/>
      <c r="AU228" s="812"/>
      <c r="AV228" s="812"/>
      <c r="AW228" s="812"/>
      <c r="AX228" s="812"/>
    </row>
    <row r="229" spans="1:50" ht="12.75" thickTop="1">
      <c r="A229" s="1524">
        <v>220</v>
      </c>
      <c r="B229" s="1601"/>
      <c r="C229" s="1132"/>
      <c r="D229" s="1133"/>
      <c r="E229" s="1132"/>
      <c r="F229" s="1129"/>
      <c r="G229" s="1124"/>
      <c r="H229" s="1124"/>
      <c r="I229" s="1679"/>
      <c r="J229" s="1130"/>
      <c r="K229" s="1125"/>
      <c r="L229" s="1124"/>
      <c r="M229" s="1125"/>
      <c r="N229" s="1124"/>
      <c r="O229" s="1127"/>
      <c r="P229" s="1126"/>
      <c r="Q229" s="1127"/>
      <c r="R229" s="1124"/>
      <c r="S229" s="1128"/>
      <c r="T229" s="1129"/>
      <c r="U229" s="1131"/>
      <c r="V229" s="2028"/>
      <c r="W229" s="1129"/>
      <c r="X229" s="1129"/>
      <c r="Y229" s="1040"/>
      <c r="Z229" s="820"/>
      <c r="AA229" s="821"/>
      <c r="AB229" s="821"/>
      <c r="AC229" s="821"/>
      <c r="AD229" s="821"/>
      <c r="AE229" s="821"/>
      <c r="AF229" s="835"/>
      <c r="AG229" s="836"/>
      <c r="AH229" s="1092"/>
      <c r="AI229" s="1113"/>
      <c r="AJ229" s="1094"/>
      <c r="AK229" s="1094"/>
      <c r="AL229" s="1092"/>
      <c r="AM229" s="812"/>
      <c r="AN229" s="1094"/>
      <c r="AO229" s="812"/>
      <c r="AP229" s="1094"/>
      <c r="AQ229" s="812"/>
      <c r="AR229" s="812"/>
      <c r="AS229" s="812"/>
      <c r="AT229" s="812"/>
      <c r="AU229" s="812"/>
      <c r="AV229" s="812"/>
      <c r="AW229" s="812"/>
      <c r="AX229" s="812"/>
    </row>
    <row r="230" spans="1:50" ht="12.75" thickBot="1">
      <c r="A230" s="1524">
        <v>221</v>
      </c>
      <c r="B230" s="1111" t="s">
        <v>3581</v>
      </c>
      <c r="C230" s="1132"/>
      <c r="D230" s="1133"/>
      <c r="E230" s="1132"/>
      <c r="F230" s="1129"/>
      <c r="G230" s="1124"/>
      <c r="H230" s="1124"/>
      <c r="I230" s="1679"/>
      <c r="J230" s="1130"/>
      <c r="K230" s="1125"/>
      <c r="L230" s="1124"/>
      <c r="M230" s="1138">
        <f>+M228/$E228</f>
        <v>1267.7500000000002</v>
      </c>
      <c r="N230" s="1124"/>
      <c r="O230" s="1127"/>
      <c r="P230" s="1126"/>
      <c r="Q230" s="1127"/>
      <c r="R230" s="1124"/>
      <c r="S230" s="1128"/>
      <c r="T230" s="1130"/>
      <c r="U230" s="1138">
        <f>+U228/$E228</f>
        <v>1267.7500000000002</v>
      </c>
      <c r="V230" s="2032"/>
      <c r="W230" s="1130">
        <f>+U230-M230</f>
        <v>0</v>
      </c>
      <c r="X230" s="1129"/>
      <c r="Y230" s="1040"/>
      <c r="Z230" s="820"/>
      <c r="AA230" s="821"/>
      <c r="AB230" s="821"/>
      <c r="AC230" s="821"/>
      <c r="AD230" s="821"/>
      <c r="AE230" s="821"/>
      <c r="AF230" s="835"/>
      <c r="AG230" s="836"/>
      <c r="AH230" s="1092"/>
      <c r="AI230" s="1113"/>
      <c r="AJ230" s="1094"/>
      <c r="AK230" s="1094"/>
      <c r="AL230" s="1092"/>
      <c r="AM230" s="812"/>
      <c r="AN230" s="1094"/>
      <c r="AO230" s="812"/>
      <c r="AP230" s="1094"/>
      <c r="AQ230" s="812"/>
      <c r="AR230" s="812"/>
      <c r="AS230" s="812"/>
      <c r="AT230" s="812"/>
      <c r="AU230" s="812"/>
      <c r="AV230" s="812"/>
      <c r="AW230" s="812"/>
      <c r="AX230" s="812"/>
    </row>
    <row r="231" spans="1:50" ht="12.75" thickTop="1">
      <c r="A231" s="1524">
        <v>222</v>
      </c>
      <c r="B231" s="1106"/>
      <c r="C231" s="1132"/>
      <c r="D231" s="1133"/>
      <c r="E231" s="1132"/>
      <c r="F231" s="1129"/>
      <c r="G231" s="1124"/>
      <c r="H231" s="1124"/>
      <c r="I231" s="1679"/>
      <c r="J231" s="1130"/>
      <c r="K231" s="1125"/>
      <c r="L231" s="1124"/>
      <c r="M231" s="1604"/>
      <c r="N231" s="1124"/>
      <c r="O231" s="1127"/>
      <c r="P231" s="1126"/>
      <c r="Q231" s="1127"/>
      <c r="R231" s="1124"/>
      <c r="S231" s="1128"/>
      <c r="T231" s="1130"/>
      <c r="U231" s="1604"/>
      <c r="V231" s="2032"/>
      <c r="W231" s="1130"/>
      <c r="X231" s="1129"/>
      <c r="Y231" s="1042" t="s">
        <v>1397</v>
      </c>
      <c r="Z231" s="1410"/>
      <c r="AA231" s="1410"/>
      <c r="AB231" s="821"/>
      <c r="AC231" s="821"/>
      <c r="AD231" s="821"/>
      <c r="AE231" s="821"/>
      <c r="AF231" s="835"/>
      <c r="AG231" s="836"/>
      <c r="AH231" s="1092"/>
      <c r="AI231" s="1113"/>
      <c r="AJ231" s="1094"/>
      <c r="AK231" s="1094"/>
      <c r="AL231" s="1092"/>
      <c r="AM231" s="812"/>
      <c r="AN231" s="1094"/>
      <c r="AO231" s="812"/>
      <c r="AP231" s="1094"/>
      <c r="AQ231" s="812"/>
      <c r="AR231" s="812"/>
      <c r="AS231" s="812"/>
      <c r="AT231" s="812"/>
      <c r="AU231" s="812"/>
      <c r="AV231" s="812"/>
      <c r="AW231" s="812"/>
      <c r="AX231" s="812"/>
    </row>
    <row r="232" spans="1:50" ht="12.75" thickBot="1">
      <c r="A232" s="1524">
        <v>223</v>
      </c>
      <c r="B232" s="1103" t="s">
        <v>1395</v>
      </c>
      <c r="C232" s="1139">
        <f>+C216+C211+C206+C200+C194+C188+C182+C176+C169+C162+C154+C145+C136+C127+C118+C109+C99+C89+C79+C69+C59+C49+C39+C29+C19</f>
        <v>381762.97899999999</v>
      </c>
      <c r="D232" s="1104"/>
      <c r="E232" s="1139">
        <f>+E216+E211+E206+E200+E194+E188+E182+E176+E169+E162+E154+E145+E136+E127+E118+E109+E99+E89+E79+E69+E59+E49+E39+E29+E19+E220+E224+E228</f>
        <v>68203</v>
      </c>
      <c r="F232" s="1096"/>
      <c r="G232" s="1139">
        <f>+G216+G211+G206+G200+G194+G188+G182+G176+G169+G162+G154+G145+G136+G127+G118+G109+G99+G89+G79+G69+G59+G49+G39+G29+G19</f>
        <v>295522.95799999998</v>
      </c>
      <c r="H232" s="1096"/>
      <c r="I232" s="1679"/>
      <c r="J232" s="1097"/>
      <c r="K232" s="1090">
        <f>+K216+K211+K206+K200+K194+K188+K182+K176+K169+K162+K154+K145+K136+K127+K118+K109+K99+K89+K79+K69+K59+K49+K39+K29+K19+K228+K224+K220</f>
        <v>1856289.6797399994</v>
      </c>
      <c r="L232" s="1089"/>
      <c r="M232" s="1090">
        <f>+M216+M211+M206+M200+M194+M188+M182+M176+M169+M162+M154+M145+M136+M127+M118+M109+M99+M89+M79+M69+M59+M49+M39+M29+M19+M228+M224+M220</f>
        <v>1856289.6797399994</v>
      </c>
      <c r="N232" s="1096"/>
      <c r="O232" s="1139">
        <f>+O216+O211+O206+O200+O194+O188+O182+O176+O169+O162+O154+O145+O136+O127+O118+O109+O99+O89+O79+O69+O59+O49+O39+O29+O19</f>
        <v>68167</v>
      </c>
      <c r="P232" s="1114"/>
      <c r="Q232" s="1139">
        <f>+Q216+Q211+Q206+Q200+Q194+Q188+Q182+Q176+Q169+Q162+Q154+Q145+Q136+Q127+Q118+Q109+Q99+Q89+Q79+Q69+Q59+Q49+Q39+Q29+Q19</f>
        <v>295522.95799999998</v>
      </c>
      <c r="R232" s="1096"/>
      <c r="S232" s="1101"/>
      <c r="T232" s="1135"/>
      <c r="U232" s="1090">
        <f ca="1">+U216+U211+U206+U200+U194+U188+U182+U176+U169+U162+U154+U145+U136+U127+U118+U109+U99+U89+U79+U69+U59+U49+U39+U29+U19</f>
        <v>2374259.5006860001</v>
      </c>
      <c r="V232" s="2035"/>
      <c r="W232" s="1135"/>
      <c r="X232" s="1135"/>
      <c r="Y232" s="1039" t="s">
        <v>1396</v>
      </c>
      <c r="Z232" s="807" t="s">
        <v>2392</v>
      </c>
      <c r="AA232" s="837" t="s">
        <v>531</v>
      </c>
      <c r="AB232" s="821"/>
      <c r="AC232" s="821"/>
      <c r="AD232" s="821"/>
      <c r="AE232" s="821"/>
      <c r="AF232" s="835"/>
      <c r="AG232" s="836"/>
      <c r="AH232" s="1092"/>
      <c r="AI232" s="1113"/>
      <c r="AJ232" s="1094"/>
      <c r="AK232" s="1094"/>
      <c r="AL232" s="1092"/>
      <c r="AM232" s="812"/>
      <c r="AN232" s="1094"/>
      <c r="AO232" s="812"/>
      <c r="AP232" s="1094"/>
      <c r="AQ232" s="812"/>
      <c r="AR232" s="812"/>
      <c r="AS232" s="812"/>
      <c r="AT232" s="812"/>
      <c r="AU232" s="812"/>
      <c r="AV232" s="812"/>
      <c r="AW232" s="812"/>
      <c r="AX232" s="812"/>
    </row>
    <row r="233" spans="1:50" ht="12.75" thickTop="1">
      <c r="A233" s="1524">
        <v>224</v>
      </c>
      <c r="B233" s="1106"/>
      <c r="C233" s="1132"/>
      <c r="D233" s="1133"/>
      <c r="E233" s="1132"/>
      <c r="F233" s="1129"/>
      <c r="G233" s="1124"/>
      <c r="H233" s="1124"/>
      <c r="I233" s="1679"/>
      <c r="J233" s="1130"/>
      <c r="K233" s="1125"/>
      <c r="L233" s="1124"/>
      <c r="M233" s="1129"/>
      <c r="N233" s="1124"/>
      <c r="O233" s="1127"/>
      <c r="P233" s="1126"/>
      <c r="Q233" s="1127"/>
      <c r="R233" s="1124"/>
      <c r="S233" s="1128"/>
      <c r="T233" s="1129"/>
      <c r="U233" s="1131"/>
      <c r="V233" s="2028"/>
      <c r="W233" s="1129"/>
      <c r="X233" s="1129"/>
      <c r="Y233" s="1039">
        <f>M206+M200+M194+M188+M182+M176+M169+M162+M211+M231+M154+M145+M136+M127+M118+M109+M99+M89+M79+M69+M59+M49+M39+M29+M19+M226+M221+M216</f>
        <v>1830119.7197399996</v>
      </c>
      <c r="Z233" s="820">
        <v>1856289.6797399994</v>
      </c>
      <c r="AA233" s="838">
        <f>Z233-Y233</f>
        <v>26169.95999999973</v>
      </c>
      <c r="AB233" s="821"/>
      <c r="AC233" s="821"/>
      <c r="AD233" s="821"/>
      <c r="AE233" s="821"/>
      <c r="AF233" s="835"/>
      <c r="AG233" s="836"/>
      <c r="AH233" s="1092"/>
      <c r="AI233" s="1113"/>
      <c r="AJ233" s="1094"/>
      <c r="AK233" s="1094"/>
      <c r="AL233" s="1092"/>
      <c r="AM233" s="812"/>
      <c r="AN233" s="1094"/>
      <c r="AO233" s="812"/>
      <c r="AP233" s="1094"/>
      <c r="AQ233" s="812"/>
      <c r="AR233" s="812"/>
      <c r="AS233" s="812"/>
      <c r="AT233" s="812"/>
      <c r="AU233" s="812"/>
      <c r="AV233" s="812"/>
      <c r="AW233" s="812"/>
      <c r="AX233" s="812"/>
    </row>
    <row r="234" spans="1:50" ht="12.75" thickBot="1">
      <c r="A234" s="1524">
        <v>225</v>
      </c>
      <c r="B234" s="1684" t="s">
        <v>809</v>
      </c>
      <c r="C234" s="1115"/>
      <c r="D234" s="1113"/>
      <c r="E234" s="1115"/>
      <c r="F234" s="1094"/>
      <c r="G234" s="1126"/>
      <c r="H234" s="1126"/>
      <c r="I234" s="1685"/>
      <c r="J234" s="1092"/>
      <c r="K234" s="1116"/>
      <c r="L234" s="1126"/>
      <c r="M234" s="1116"/>
      <c r="N234" s="1126"/>
      <c r="O234" s="1108"/>
      <c r="P234" s="1126"/>
      <c r="Q234" s="1107"/>
      <c r="R234" s="1126"/>
      <c r="S234" s="1128"/>
      <c r="T234" s="1094"/>
      <c r="U234" s="1117"/>
      <c r="V234" s="2036"/>
      <c r="W234" s="1094"/>
      <c r="X234" s="1094"/>
      <c r="Y234" s="1040"/>
      <c r="Z234" s="820"/>
      <c r="AA234" s="821"/>
      <c r="AB234" s="821"/>
      <c r="AC234" s="821"/>
      <c r="AD234" s="821"/>
      <c r="AE234" s="821"/>
      <c r="AF234" s="835"/>
      <c r="AG234" s="836"/>
      <c r="AH234" s="1092"/>
      <c r="AI234" s="1113"/>
      <c r="AJ234" s="1094"/>
      <c r="AK234" s="1094"/>
      <c r="AL234" s="1092"/>
      <c r="AM234" s="812"/>
      <c r="AN234" s="1094"/>
      <c r="AO234" s="812"/>
      <c r="AP234" s="1094"/>
      <c r="AQ234" s="812"/>
      <c r="AR234" s="812"/>
      <c r="AS234" s="812"/>
      <c r="AT234" s="812"/>
      <c r="AU234" s="812"/>
      <c r="AV234" s="812"/>
      <c r="AW234" s="812"/>
      <c r="AX234" s="812"/>
    </row>
    <row r="235" spans="1:50" s="1110" customFormat="1" ht="12.75" thickBot="1">
      <c r="A235" s="1524">
        <v>226</v>
      </c>
      <c r="B235" s="1106" t="s">
        <v>1394</v>
      </c>
      <c r="C235" s="1124">
        <v>775.20299999999997</v>
      </c>
      <c r="D235" s="1129"/>
      <c r="E235" s="1124"/>
      <c r="F235" s="1129"/>
      <c r="G235" s="1124"/>
      <c r="H235" s="1124"/>
      <c r="I235" s="1679"/>
      <c r="J235" s="1129"/>
      <c r="K235" s="846"/>
      <c r="L235" s="826"/>
      <c r="M235" s="846"/>
      <c r="N235" s="1124"/>
      <c r="O235" s="1149"/>
      <c r="P235" s="847"/>
      <c r="Q235" s="1149"/>
      <c r="R235" s="826"/>
      <c r="S235" s="848"/>
      <c r="T235" s="849"/>
      <c r="U235" s="1131"/>
      <c r="V235" s="2028"/>
      <c r="W235" s="849"/>
      <c r="X235" s="849"/>
      <c r="Y235" s="1043">
        <f>M235-Z233</f>
        <v>-1856289.6797399994</v>
      </c>
      <c r="Z235" s="839" t="s">
        <v>1352</v>
      </c>
      <c r="AA235" s="832"/>
      <c r="AB235" s="832"/>
      <c r="AC235" s="832"/>
      <c r="AD235" s="832"/>
      <c r="AE235" s="832"/>
      <c r="AF235" s="840"/>
      <c r="AG235" s="841"/>
      <c r="AH235" s="842"/>
      <c r="AI235" s="843"/>
      <c r="AJ235" s="834"/>
      <c r="AK235" s="834"/>
      <c r="AL235" s="842"/>
      <c r="AM235" s="844"/>
      <c r="AN235" s="834"/>
      <c r="AO235" s="844"/>
      <c r="AP235" s="834"/>
      <c r="AQ235" s="844"/>
      <c r="AR235" s="844"/>
      <c r="AS235" s="844"/>
      <c r="AT235" s="844"/>
      <c r="AU235" s="844"/>
      <c r="AV235" s="844"/>
      <c r="AW235" s="844"/>
      <c r="AX235" s="844"/>
    </row>
    <row r="236" spans="1:50">
      <c r="A236" s="1524">
        <v>227</v>
      </c>
      <c r="B236" s="1141" t="s">
        <v>459</v>
      </c>
      <c r="C236" s="1124"/>
      <c r="D236" s="1129"/>
      <c r="E236" s="1124">
        <v>225</v>
      </c>
      <c r="F236" s="1129"/>
      <c r="I236" s="1686">
        <v>12.47</v>
      </c>
      <c r="J236" s="1129"/>
      <c r="K236" s="1125">
        <f>+E236*I236</f>
        <v>2805.75</v>
      </c>
      <c r="L236" s="1124"/>
      <c r="M236" s="1125">
        <f>+K236</f>
        <v>2805.75</v>
      </c>
      <c r="N236" s="1124"/>
      <c r="O236" s="1127">
        <f>+E236</f>
        <v>225</v>
      </c>
      <c r="P236" s="1126"/>
      <c r="Q236" s="1127"/>
      <c r="R236" s="1124"/>
      <c r="S236" s="1142">
        <f ca="1">'wp - t-1 COSS'!$F$13</f>
        <v>15.53</v>
      </c>
      <c r="T236" s="849"/>
      <c r="U236" s="1143">
        <f ca="1">+O236*S236</f>
        <v>3494.25</v>
      </c>
      <c r="V236" s="2029"/>
      <c r="W236" s="849"/>
      <c r="X236" s="849"/>
      <c r="Y236" s="1040"/>
      <c r="Z236" s="820"/>
      <c r="AA236" s="821"/>
      <c r="AB236" s="821"/>
      <c r="AC236" s="821"/>
      <c r="AD236" s="821"/>
      <c r="AE236" s="821"/>
      <c r="AF236" s="835"/>
      <c r="AG236" s="836"/>
      <c r="AH236" s="1092"/>
      <c r="AI236" s="1113"/>
      <c r="AJ236" s="1094"/>
      <c r="AK236" s="1094"/>
      <c r="AL236" s="1092"/>
      <c r="AM236" s="812"/>
      <c r="AN236" s="1094"/>
      <c r="AO236" s="812"/>
      <c r="AP236" s="1094"/>
      <c r="AQ236" s="812"/>
      <c r="AR236" s="812"/>
      <c r="AS236" s="812"/>
      <c r="AT236" s="812"/>
      <c r="AU236" s="812"/>
      <c r="AV236" s="812"/>
      <c r="AW236" s="812"/>
      <c r="AX236" s="812"/>
    </row>
    <row r="237" spans="1:50">
      <c r="A237" s="1524">
        <v>228</v>
      </c>
      <c r="B237" s="1141" t="s">
        <v>513</v>
      </c>
      <c r="C237" s="1124"/>
      <c r="D237" s="1129"/>
      <c r="E237" s="1124"/>
      <c r="F237" s="1129"/>
      <c r="G237" s="1124">
        <v>496.80200000000002</v>
      </c>
      <c r="H237" s="1124"/>
      <c r="I237" s="1686">
        <v>7.06</v>
      </c>
      <c r="J237" s="1129"/>
      <c r="K237" s="1127">
        <f>+G237*I237</f>
        <v>3507.4221200000002</v>
      </c>
      <c r="L237" s="1124"/>
      <c r="M237" s="1125">
        <f t="shared" ref="M237:M241" si="87">+K237</f>
        <v>3507.4221200000002</v>
      </c>
      <c r="N237" s="1124"/>
      <c r="O237" s="1127"/>
      <c r="P237" s="1126"/>
      <c r="Q237" s="1127">
        <f>+G237</f>
        <v>496.80200000000002</v>
      </c>
      <c r="R237" s="1124"/>
      <c r="S237" s="2114">
        <f ca="1">'wp - t-1 COSS'!$F$31</f>
        <v>3.8170000000000002</v>
      </c>
      <c r="T237" s="849"/>
      <c r="U237" s="1143">
        <f ca="1">+Q237*S237</f>
        <v>1896.2932340000002</v>
      </c>
      <c r="V237" s="2029"/>
      <c r="W237" s="852"/>
      <c r="X237" s="849"/>
      <c r="Y237" s="1040"/>
      <c r="Z237" s="807"/>
      <c r="AA237" s="797"/>
      <c r="AB237" s="797"/>
      <c r="AC237" s="797"/>
      <c r="AD237" s="797"/>
      <c r="AE237" s="797"/>
      <c r="AF237" s="797"/>
      <c r="AG237" s="797"/>
      <c r="AH237" s="797"/>
      <c r="AI237" s="797"/>
      <c r="AJ237" s="797"/>
      <c r="AK237" s="835"/>
      <c r="AL237" s="835"/>
      <c r="AM237" s="845"/>
      <c r="AN237" s="1094"/>
      <c r="AO237" s="1094"/>
      <c r="AP237" s="1094"/>
      <c r="AQ237" s="1094"/>
      <c r="AR237" s="1094"/>
      <c r="AS237" s="1094"/>
      <c r="AT237" s="1094"/>
      <c r="AU237" s="812"/>
      <c r="AV237" s="812"/>
      <c r="AW237" s="812"/>
      <c r="AX237" s="812"/>
    </row>
    <row r="238" spans="1:50">
      <c r="A238" s="1524">
        <v>229</v>
      </c>
      <c r="B238" s="1141" t="s">
        <v>706</v>
      </c>
      <c r="C238" s="1124"/>
      <c r="D238" s="1129"/>
      <c r="E238" s="1124"/>
      <c r="F238" s="1129"/>
      <c r="G238" s="1124">
        <v>54.1</v>
      </c>
      <c r="H238" s="1124"/>
      <c r="I238" s="1686">
        <v>6.48</v>
      </c>
      <c r="J238" s="1129"/>
      <c r="K238" s="1127">
        <f t="shared" ref="K238:K241" si="88">+G238*I238</f>
        <v>350.56800000000004</v>
      </c>
      <c r="L238" s="1124"/>
      <c r="M238" s="1125">
        <f t="shared" si="87"/>
        <v>350.56800000000004</v>
      </c>
      <c r="N238" s="1124"/>
      <c r="O238" s="1127"/>
      <c r="P238" s="1126"/>
      <c r="Q238" s="1127">
        <f t="shared" ref="Q238:Q241" si="89">+G238</f>
        <v>54.1</v>
      </c>
      <c r="R238" s="1124"/>
      <c r="S238" s="2114">
        <f ca="1">'wp - t-1 COSS'!$F$31</f>
        <v>3.8170000000000002</v>
      </c>
      <c r="T238" s="849"/>
      <c r="U238" s="1143">
        <f t="shared" ref="U238:U241" ca="1" si="90">+Q238*S238</f>
        <v>206.49970000000002</v>
      </c>
      <c r="V238" s="2029"/>
      <c r="W238" s="849"/>
      <c r="X238" s="849"/>
      <c r="Y238" s="857"/>
      <c r="Z238" s="801"/>
      <c r="AB238" s="797"/>
      <c r="AC238" s="797"/>
      <c r="AD238" s="797"/>
      <c r="AE238" s="797"/>
      <c r="AF238" s="797"/>
      <c r="AG238" s="797"/>
      <c r="AH238" s="797"/>
      <c r="AI238" s="797"/>
      <c r="AJ238" s="797"/>
      <c r="AK238" s="835"/>
      <c r="AL238" s="850"/>
      <c r="AM238" s="851"/>
      <c r="AN238" s="1113"/>
      <c r="AO238" s="1094"/>
      <c r="AP238" s="1094"/>
      <c r="AQ238" s="1092"/>
      <c r="AR238" s="1094"/>
      <c r="AS238" s="1094"/>
      <c r="AT238" s="1094"/>
      <c r="AU238" s="1094"/>
      <c r="AV238" s="1094"/>
      <c r="AW238" s="1092"/>
      <c r="AX238" s="1092"/>
    </row>
    <row r="239" spans="1:50">
      <c r="A239" s="1524">
        <v>230</v>
      </c>
      <c r="B239" s="1141" t="s">
        <v>707</v>
      </c>
      <c r="C239" s="1124"/>
      <c r="D239" s="1129"/>
      <c r="E239" s="1124"/>
      <c r="F239" s="1129"/>
      <c r="G239" s="1124">
        <v>6.4009999999999998</v>
      </c>
      <c r="H239" s="1124"/>
      <c r="I239" s="1686">
        <v>5.91</v>
      </c>
      <c r="J239" s="1129"/>
      <c r="K239" s="1127">
        <f t="shared" si="88"/>
        <v>37.829909999999998</v>
      </c>
      <c r="L239" s="1124"/>
      <c r="M239" s="1125">
        <f t="shared" si="87"/>
        <v>37.829909999999998</v>
      </c>
      <c r="N239" s="1124"/>
      <c r="O239" s="1127"/>
      <c r="P239" s="1126"/>
      <c r="Q239" s="1127">
        <f t="shared" si="89"/>
        <v>6.4009999999999998</v>
      </c>
      <c r="R239" s="1124"/>
      <c r="S239" s="2114">
        <f ca="1">'wp - t-1 COSS'!$F$31</f>
        <v>3.8170000000000002</v>
      </c>
      <c r="T239" s="849"/>
      <c r="U239" s="1143">
        <f t="shared" ca="1" si="90"/>
        <v>24.432617</v>
      </c>
      <c r="V239" s="2029"/>
      <c r="W239" s="849"/>
      <c r="X239" s="849"/>
      <c r="Y239" s="857"/>
      <c r="Z239" s="801"/>
      <c r="AB239" s="797"/>
      <c r="AC239" s="797"/>
      <c r="AD239" s="797"/>
      <c r="AE239" s="797"/>
      <c r="AF239" s="797"/>
      <c r="AG239" s="797"/>
      <c r="AH239" s="797"/>
      <c r="AI239" s="797"/>
      <c r="AJ239" s="797"/>
      <c r="AK239" s="835"/>
      <c r="AL239" s="850"/>
      <c r="AM239" s="851"/>
      <c r="AN239" s="1113"/>
      <c r="AO239" s="1094"/>
      <c r="AP239" s="1094"/>
      <c r="AQ239" s="1092"/>
      <c r="AR239" s="1094"/>
      <c r="AS239" s="1094"/>
      <c r="AT239" s="1094"/>
      <c r="AU239" s="1094"/>
      <c r="AV239" s="1094"/>
      <c r="AW239" s="1092"/>
      <c r="AX239" s="1092"/>
    </row>
    <row r="240" spans="1:50">
      <c r="A240" s="1524">
        <v>231</v>
      </c>
      <c r="B240" s="1141" t="s">
        <v>708</v>
      </c>
      <c r="C240" s="1124"/>
      <c r="D240" s="1129"/>
      <c r="E240" s="1124"/>
      <c r="F240" s="1129"/>
      <c r="G240" s="1124">
        <v>0</v>
      </c>
      <c r="H240" s="1124"/>
      <c r="I240" s="1686">
        <v>5.24</v>
      </c>
      <c r="J240" s="1129"/>
      <c r="K240" s="1127">
        <f t="shared" si="88"/>
        <v>0</v>
      </c>
      <c r="L240" s="1124"/>
      <c r="M240" s="1125">
        <f t="shared" si="87"/>
        <v>0</v>
      </c>
      <c r="N240" s="1124"/>
      <c r="O240" s="1127"/>
      <c r="P240" s="1126"/>
      <c r="Q240" s="1127">
        <f t="shared" si="89"/>
        <v>0</v>
      </c>
      <c r="R240" s="1124"/>
      <c r="S240" s="2114">
        <f ca="1">'wp - t-1 COSS'!$F$31</f>
        <v>3.8170000000000002</v>
      </c>
      <c r="T240" s="849"/>
      <c r="U240" s="1143">
        <f t="shared" ca="1" si="90"/>
        <v>0</v>
      </c>
      <c r="V240" s="2029"/>
      <c r="W240" s="849"/>
      <c r="X240" s="849"/>
      <c r="Y240" s="857"/>
      <c r="Z240" s="801"/>
      <c r="AB240" s="797"/>
      <c r="AC240" s="797"/>
      <c r="AD240" s="797"/>
      <c r="AE240" s="797"/>
      <c r="AF240" s="797"/>
      <c r="AG240" s="797"/>
      <c r="AH240" s="797"/>
      <c r="AI240" s="797"/>
      <c r="AJ240" s="797"/>
      <c r="AK240" s="835"/>
      <c r="AL240" s="850"/>
      <c r="AM240" s="851"/>
      <c r="AN240" s="1113"/>
      <c r="AO240" s="1094"/>
      <c r="AP240" s="1094"/>
      <c r="AQ240" s="1092"/>
      <c r="AR240" s="1094"/>
      <c r="AS240" s="1094"/>
      <c r="AT240" s="1094"/>
      <c r="AU240" s="1094"/>
      <c r="AV240" s="1094"/>
      <c r="AW240" s="1092"/>
      <c r="AX240" s="1092"/>
    </row>
    <row r="241" spans="1:50">
      <c r="A241" s="1524">
        <v>232</v>
      </c>
      <c r="B241" s="1141" t="s">
        <v>711</v>
      </c>
      <c r="C241" s="1124"/>
      <c r="D241" s="1129"/>
      <c r="E241" s="1124"/>
      <c r="F241" s="1129"/>
      <c r="G241" s="1124">
        <v>0</v>
      </c>
      <c r="H241" s="1124"/>
      <c r="I241" s="1686">
        <v>4.58</v>
      </c>
      <c r="J241" s="1129"/>
      <c r="K241" s="1127">
        <f t="shared" si="88"/>
        <v>0</v>
      </c>
      <c r="L241" s="1124"/>
      <c r="M241" s="1125">
        <f t="shared" si="87"/>
        <v>0</v>
      </c>
      <c r="N241" s="1124"/>
      <c r="O241" s="1127"/>
      <c r="P241" s="1126"/>
      <c r="Q241" s="1127">
        <f t="shared" si="89"/>
        <v>0</v>
      </c>
      <c r="R241" s="1124"/>
      <c r="S241" s="2114">
        <f ca="1">'wp - t-1 COSS'!$F$31</f>
        <v>3.8170000000000002</v>
      </c>
      <c r="T241" s="849"/>
      <c r="U241" s="1143">
        <f t="shared" ca="1" si="90"/>
        <v>0</v>
      </c>
      <c r="V241" s="2029"/>
      <c r="W241" s="849"/>
      <c r="X241" s="849"/>
      <c r="Y241" s="1040"/>
      <c r="Z241" s="807"/>
      <c r="AA241" s="797"/>
      <c r="AB241" s="797"/>
      <c r="AC241" s="797"/>
      <c r="AD241" s="797"/>
      <c r="AE241" s="797"/>
      <c r="AF241" s="797"/>
      <c r="AG241" s="797"/>
      <c r="AH241" s="797"/>
      <c r="AI241" s="797"/>
      <c r="AJ241" s="797"/>
      <c r="AK241" s="835"/>
      <c r="AL241" s="850"/>
      <c r="AM241" s="851"/>
      <c r="AN241" s="1113"/>
      <c r="AO241" s="1094"/>
      <c r="AP241" s="1094"/>
      <c r="AQ241" s="1092"/>
      <c r="AR241" s="1094"/>
      <c r="AS241" s="1094"/>
      <c r="AT241" s="1094"/>
      <c r="AU241" s="1094"/>
      <c r="AV241" s="1094"/>
      <c r="AW241" s="1092"/>
      <c r="AX241" s="1092"/>
    </row>
    <row r="242" spans="1:50" ht="12.75" thickBot="1">
      <c r="A242" s="1524">
        <v>233</v>
      </c>
      <c r="B242" s="1109" t="s">
        <v>1393</v>
      </c>
      <c r="C242" s="1145">
        <f>SUM(C235:C241)</f>
        <v>775.20299999999997</v>
      </c>
      <c r="D242" s="1135"/>
      <c r="E242" s="1145">
        <f>SUM(E235:E241)</f>
        <v>225</v>
      </c>
      <c r="F242" s="1135"/>
      <c r="G242" s="1145">
        <f>SUM(G235:G241)</f>
        <v>557.303</v>
      </c>
      <c r="H242" s="1096"/>
      <c r="I242" s="1678"/>
      <c r="J242" s="1097"/>
      <c r="K242" s="1136">
        <f>SUM(K235:K241)</f>
        <v>6701.5700300000008</v>
      </c>
      <c r="L242" s="1096"/>
      <c r="M242" s="1136">
        <f>SUM(M235:M241)</f>
        <v>6701.5700300000008</v>
      </c>
      <c r="N242" s="1096"/>
      <c r="O242" s="1145">
        <f>SUM(O235:O241)</f>
        <v>225</v>
      </c>
      <c r="P242" s="1099"/>
      <c r="Q242" s="1145">
        <f>SUM(Q235:Q241)</f>
        <v>557.303</v>
      </c>
      <c r="R242" s="1096"/>
      <c r="S242" s="1128"/>
      <c r="T242" s="1135"/>
      <c r="U242" s="1136">
        <f ca="1">SUM(U235:U241)</f>
        <v>5621.4755510000014</v>
      </c>
      <c r="V242" s="2030"/>
      <c r="W242" s="1135"/>
      <c r="X242" s="853"/>
      <c r="Y242" s="1040"/>
      <c r="Z242" s="807"/>
      <c r="AA242" s="797"/>
      <c r="AB242" s="797"/>
      <c r="AC242" s="797"/>
      <c r="AD242" s="797"/>
      <c r="AE242" s="797"/>
      <c r="AF242" s="797"/>
      <c r="AG242" s="797"/>
      <c r="AH242" s="797"/>
      <c r="AI242" s="797"/>
      <c r="AJ242" s="797"/>
      <c r="AK242" s="835"/>
      <c r="AL242" s="850"/>
      <c r="AM242" s="851"/>
      <c r="AN242" s="1113"/>
      <c r="AO242" s="1094"/>
      <c r="AP242" s="1094"/>
      <c r="AQ242" s="1092"/>
      <c r="AR242" s="1094"/>
      <c r="AS242" s="1094"/>
      <c r="AT242" s="1094"/>
      <c r="AU242" s="1094"/>
      <c r="AV242" s="1094"/>
      <c r="AW242" s="1092"/>
      <c r="AX242" s="1092"/>
    </row>
    <row r="243" spans="1:50" ht="12.75" thickTop="1">
      <c r="A243" s="1524">
        <v>234</v>
      </c>
      <c r="B243" s="1109"/>
      <c r="C243" s="1132"/>
      <c r="D243" s="1133"/>
      <c r="E243" s="1132"/>
      <c r="F243" s="1129"/>
      <c r="G243" s="1124"/>
      <c r="H243" s="1124"/>
      <c r="I243" s="1679"/>
      <c r="J243" s="1130"/>
      <c r="K243" s="1125"/>
      <c r="L243" s="1124"/>
      <c r="M243" s="1125"/>
      <c r="N243" s="1124"/>
      <c r="O243" s="1127"/>
      <c r="P243" s="1126"/>
      <c r="Q243" s="1127"/>
      <c r="R243" s="1124"/>
      <c r="S243" s="1128"/>
      <c r="T243" s="1130"/>
      <c r="U243" s="1093"/>
      <c r="V243" s="2031"/>
      <c r="W243" s="1130"/>
      <c r="X243" s="853"/>
      <c r="Y243" s="1040"/>
      <c r="Z243" s="807"/>
      <c r="AA243" s="797"/>
      <c r="AB243" s="797"/>
      <c r="AC243" s="797"/>
      <c r="AD243" s="797"/>
      <c r="AE243" s="797"/>
      <c r="AF243" s="797"/>
      <c r="AG243" s="797"/>
      <c r="AH243" s="797"/>
      <c r="AI243" s="797"/>
      <c r="AJ243" s="797"/>
      <c r="AK243" s="835"/>
      <c r="AL243" s="850"/>
      <c r="AM243" s="851"/>
      <c r="AN243" s="1113"/>
      <c r="AO243" s="1094"/>
      <c r="AP243" s="1094"/>
      <c r="AQ243" s="1092"/>
      <c r="AR243" s="1094"/>
      <c r="AS243" s="1094"/>
      <c r="AT243" s="1094"/>
      <c r="AU243" s="1094"/>
      <c r="AV243" s="1094"/>
      <c r="AW243" s="1092"/>
      <c r="AX243" s="1092"/>
    </row>
    <row r="244" spans="1:50" ht="12.75" thickBot="1">
      <c r="A244" s="1524">
        <v>235</v>
      </c>
      <c r="B244" s="1111" t="s">
        <v>1392</v>
      </c>
      <c r="C244" s="1132"/>
      <c r="D244" s="1133"/>
      <c r="E244" s="1132"/>
      <c r="F244" s="1129"/>
      <c r="G244" s="1124"/>
      <c r="H244" s="1124"/>
      <c r="I244" s="1679"/>
      <c r="J244" s="1130"/>
      <c r="K244" s="1125"/>
      <c r="L244" s="1124"/>
      <c r="M244" s="1138">
        <f>+M242/$E242</f>
        <v>29.784755688888893</v>
      </c>
      <c r="N244" s="1124"/>
      <c r="O244" s="1127"/>
      <c r="P244" s="1126"/>
      <c r="Q244" s="1127"/>
      <c r="R244" s="1124"/>
      <c r="S244" s="1128"/>
      <c r="T244" s="1130"/>
      <c r="U244" s="1138">
        <f ca="1">+U242/$E242</f>
        <v>24.984335782222228</v>
      </c>
      <c r="V244" s="2032"/>
      <c r="W244" s="1130">
        <f ca="1">+U244-M244</f>
        <v>-4.8004199066666651</v>
      </c>
      <c r="X244" s="853"/>
      <c r="Y244" s="1040"/>
      <c r="Z244" s="807"/>
      <c r="AA244" s="797"/>
      <c r="AB244" s="797"/>
      <c r="AC244" s="797"/>
      <c r="AD244" s="797"/>
      <c r="AE244" s="797"/>
      <c r="AF244" s="797"/>
      <c r="AG244" s="797"/>
      <c r="AH244" s="797"/>
      <c r="AI244" s="797"/>
      <c r="AJ244" s="797"/>
      <c r="AK244" s="835"/>
      <c r="AL244" s="850"/>
      <c r="AM244" s="851"/>
      <c r="AN244" s="1113"/>
      <c r="AO244" s="1094"/>
      <c r="AP244" s="1094"/>
      <c r="AQ244" s="1092"/>
      <c r="AR244" s="1094"/>
      <c r="AS244" s="1094"/>
      <c r="AT244" s="1094"/>
      <c r="AU244" s="1094"/>
      <c r="AV244" s="1094"/>
      <c r="AW244" s="1092"/>
      <c r="AX244" s="1092"/>
    </row>
    <row r="245" spans="1:50" s="1110" customFormat="1" ht="12.75" thickTop="1">
      <c r="A245" s="1524">
        <v>236</v>
      </c>
      <c r="B245" s="1106" t="s">
        <v>1391</v>
      </c>
      <c r="C245" s="1124">
        <v>113.8</v>
      </c>
      <c r="D245" s="1129"/>
      <c r="E245" s="1124"/>
      <c r="F245" s="1129"/>
      <c r="G245" s="1124"/>
      <c r="H245" s="1124"/>
      <c r="I245" s="1679"/>
      <c r="J245" s="1129"/>
      <c r="K245" s="846"/>
      <c r="L245" s="1124"/>
      <c r="M245" s="1125"/>
      <c r="N245" s="1124"/>
      <c r="O245" s="1127"/>
      <c r="P245" s="1126"/>
      <c r="Q245" s="1127"/>
      <c r="R245" s="1124"/>
      <c r="S245" s="1128"/>
      <c r="T245" s="849"/>
      <c r="U245" s="1143"/>
      <c r="V245" s="2029"/>
      <c r="W245" s="849"/>
      <c r="X245" s="849"/>
      <c r="Y245" s="941"/>
      <c r="Z245" s="811"/>
      <c r="AA245" s="808"/>
      <c r="AB245" s="808"/>
      <c r="AC245" s="808"/>
      <c r="AD245" s="808"/>
      <c r="AE245" s="808"/>
      <c r="AF245" s="808"/>
      <c r="AG245" s="808"/>
      <c r="AH245" s="808"/>
      <c r="AI245" s="808"/>
      <c r="AJ245" s="808"/>
      <c r="AK245" s="840"/>
      <c r="AL245" s="854"/>
      <c r="AM245" s="855"/>
      <c r="AN245" s="843"/>
      <c r="AO245" s="834"/>
      <c r="AP245" s="834"/>
      <c r="AQ245" s="842"/>
      <c r="AR245" s="834"/>
      <c r="AS245" s="834"/>
      <c r="AT245" s="834"/>
      <c r="AU245" s="834"/>
      <c r="AV245" s="834"/>
      <c r="AW245" s="842"/>
      <c r="AX245" s="842"/>
    </row>
    <row r="246" spans="1:50" s="1110" customFormat="1">
      <c r="A246" s="1524">
        <v>237</v>
      </c>
      <c r="B246" s="1141" t="s">
        <v>459</v>
      </c>
      <c r="C246" s="1124"/>
      <c r="D246" s="1129"/>
      <c r="E246" s="1124">
        <v>46</v>
      </c>
      <c r="F246" s="1129"/>
      <c r="G246" s="826"/>
      <c r="H246" s="1124"/>
      <c r="I246" s="1680">
        <v>12.47</v>
      </c>
      <c r="J246" s="1129"/>
      <c r="K246" s="1125">
        <f>+E246*I246</f>
        <v>573.62</v>
      </c>
      <c r="L246" s="1124"/>
      <c r="M246" s="1125">
        <f>+K246</f>
        <v>573.62</v>
      </c>
      <c r="N246" s="1124"/>
      <c r="O246" s="1127">
        <f>+E246</f>
        <v>46</v>
      </c>
      <c r="P246" s="1126"/>
      <c r="Q246" s="1127"/>
      <c r="R246" s="1124"/>
      <c r="S246" s="1142">
        <f ca="1">'wp - t-1 COSS'!$F$13</f>
        <v>15.53</v>
      </c>
      <c r="T246" s="849"/>
      <c r="U246" s="1143">
        <f ca="1">+O246*S246</f>
        <v>714.38</v>
      </c>
      <c r="V246" s="2029"/>
      <c r="W246" s="849"/>
      <c r="X246" s="849"/>
      <c r="Y246" s="941"/>
      <c r="Z246" s="811"/>
      <c r="AA246" s="808"/>
      <c r="AB246" s="808"/>
      <c r="AC246" s="808"/>
      <c r="AD246" s="808"/>
      <c r="AE246" s="808"/>
      <c r="AF246" s="808"/>
      <c r="AG246" s="808"/>
      <c r="AH246" s="808"/>
      <c r="AI246" s="808"/>
      <c r="AJ246" s="808"/>
      <c r="AK246" s="840"/>
      <c r="AL246" s="854"/>
      <c r="AM246" s="855"/>
      <c r="AN246" s="843"/>
      <c r="AO246" s="834"/>
      <c r="AP246" s="834"/>
      <c r="AQ246" s="842"/>
      <c r="AR246" s="834"/>
      <c r="AS246" s="834"/>
      <c r="AT246" s="834"/>
      <c r="AU246" s="834"/>
      <c r="AV246" s="834"/>
      <c r="AW246" s="842"/>
      <c r="AX246" s="842"/>
    </row>
    <row r="247" spans="1:50" s="1110" customFormat="1">
      <c r="A247" s="1524">
        <v>238</v>
      </c>
      <c r="B247" s="1141" t="s">
        <v>513</v>
      </c>
      <c r="C247" s="1124"/>
      <c r="D247" s="1129"/>
      <c r="E247" s="1124"/>
      <c r="F247" s="1129"/>
      <c r="G247" s="1124">
        <v>76.7</v>
      </c>
      <c r="H247" s="1124"/>
      <c r="I247" s="1680">
        <v>7.06</v>
      </c>
      <c r="J247" s="1129"/>
      <c r="K247" s="1127">
        <f>+G247*I247</f>
        <v>541.50199999999995</v>
      </c>
      <c r="L247" s="1124"/>
      <c r="M247" s="1125">
        <f t="shared" ref="M247:M251" si="91">+K247</f>
        <v>541.50199999999995</v>
      </c>
      <c r="N247" s="1124"/>
      <c r="O247" s="1127"/>
      <c r="P247" s="1126"/>
      <c r="Q247" s="1127">
        <f>+G247</f>
        <v>76.7</v>
      </c>
      <c r="R247" s="1124"/>
      <c r="S247" s="2114">
        <f ca="1">'wp - t-1 COSS'!$F$31</f>
        <v>3.8170000000000002</v>
      </c>
      <c r="T247" s="849"/>
      <c r="U247" s="1143">
        <f ca="1">+Q247*S247</f>
        <v>292.76390000000004</v>
      </c>
      <c r="V247" s="2029"/>
      <c r="W247" s="849"/>
      <c r="X247" s="849"/>
      <c r="Y247" s="941"/>
      <c r="Z247" s="811"/>
      <c r="AA247" s="808"/>
      <c r="AB247" s="808"/>
      <c r="AC247" s="808"/>
      <c r="AD247" s="808"/>
      <c r="AE247" s="808"/>
      <c r="AF247" s="808"/>
      <c r="AG247" s="808"/>
      <c r="AH247" s="808"/>
      <c r="AI247" s="808"/>
      <c r="AJ247" s="808"/>
      <c r="AK247" s="840"/>
      <c r="AL247" s="854"/>
      <c r="AM247" s="855"/>
      <c r="AN247" s="843"/>
      <c r="AO247" s="834"/>
      <c r="AP247" s="834"/>
      <c r="AQ247" s="842"/>
      <c r="AR247" s="834"/>
      <c r="AS247" s="834"/>
      <c r="AT247" s="834"/>
      <c r="AU247" s="834"/>
      <c r="AV247" s="834"/>
      <c r="AW247" s="842"/>
      <c r="AX247" s="842"/>
    </row>
    <row r="248" spans="1:50">
      <c r="A248" s="1524">
        <v>239</v>
      </c>
      <c r="B248" s="1141" t="s">
        <v>706</v>
      </c>
      <c r="C248" s="1124"/>
      <c r="D248" s="1129"/>
      <c r="E248" s="1124"/>
      <c r="F248" s="1129"/>
      <c r="G248" s="1124">
        <v>1.1000000000000001</v>
      </c>
      <c r="H248" s="1124"/>
      <c r="I248" s="1680">
        <v>6.48</v>
      </c>
      <c r="J248" s="1129"/>
      <c r="K248" s="1127">
        <f t="shared" ref="K248:K251" si="92">+G248*I248</f>
        <v>7.128000000000001</v>
      </c>
      <c r="L248" s="1124"/>
      <c r="M248" s="1125">
        <f t="shared" si="91"/>
        <v>7.128000000000001</v>
      </c>
      <c r="N248" s="1124"/>
      <c r="O248" s="1127"/>
      <c r="P248" s="1126"/>
      <c r="Q248" s="1127">
        <f t="shared" ref="Q248:Q251" si="93">+G248</f>
        <v>1.1000000000000001</v>
      </c>
      <c r="R248" s="1124"/>
      <c r="S248" s="2114">
        <f ca="1">'wp - t-1 COSS'!$F$31</f>
        <v>3.8170000000000002</v>
      </c>
      <c r="T248" s="849"/>
      <c r="U248" s="1143">
        <f t="shared" ref="U248:U251" ca="1" si="94">+Q248*S248</f>
        <v>4.1987000000000005</v>
      </c>
      <c r="V248" s="2029"/>
      <c r="W248" s="849"/>
      <c r="X248" s="849"/>
      <c r="Y248" s="1040"/>
      <c r="Z248" s="807"/>
      <c r="AA248" s="797"/>
      <c r="AB248" s="797"/>
      <c r="AC248" s="797"/>
      <c r="AD248" s="797"/>
      <c r="AE248" s="797"/>
      <c r="AF248" s="797"/>
      <c r="AG248" s="797"/>
      <c r="AH248" s="797"/>
      <c r="AI248" s="797"/>
      <c r="AJ248" s="797"/>
      <c r="AK248" s="835"/>
      <c r="AL248" s="850"/>
      <c r="AM248" s="851"/>
      <c r="AN248" s="1113"/>
      <c r="AO248" s="1094"/>
      <c r="AP248" s="1094"/>
      <c r="AQ248" s="1092"/>
      <c r="AR248" s="1094"/>
      <c r="AS248" s="1094"/>
      <c r="AT248" s="1094"/>
      <c r="AU248" s="1094"/>
      <c r="AV248" s="1094"/>
      <c r="AW248" s="1092"/>
      <c r="AX248" s="1092"/>
    </row>
    <row r="249" spans="1:50">
      <c r="A249" s="1524">
        <v>240</v>
      </c>
      <c r="B249" s="1141" t="s">
        <v>707</v>
      </c>
      <c r="C249" s="1124"/>
      <c r="D249" s="1129"/>
      <c r="E249" s="1124"/>
      <c r="F249" s="1129"/>
      <c r="G249" s="1124">
        <v>0</v>
      </c>
      <c r="H249" s="1124"/>
      <c r="I249" s="1680">
        <v>5.91</v>
      </c>
      <c r="J249" s="1129"/>
      <c r="K249" s="1127">
        <f t="shared" si="92"/>
        <v>0</v>
      </c>
      <c r="L249" s="1124"/>
      <c r="M249" s="1125">
        <f t="shared" si="91"/>
        <v>0</v>
      </c>
      <c r="N249" s="1124"/>
      <c r="O249" s="1127"/>
      <c r="P249" s="1126"/>
      <c r="Q249" s="1127">
        <f t="shared" si="93"/>
        <v>0</v>
      </c>
      <c r="R249" s="1124"/>
      <c r="S249" s="2114">
        <f ca="1">'wp - t-1 COSS'!$F$31</f>
        <v>3.8170000000000002</v>
      </c>
      <c r="T249" s="849"/>
      <c r="U249" s="1143">
        <f t="shared" ca="1" si="94"/>
        <v>0</v>
      </c>
      <c r="V249" s="2029"/>
      <c r="W249" s="849"/>
      <c r="X249" s="849"/>
      <c r="Y249" s="1040"/>
      <c r="Z249" s="807"/>
      <c r="AA249" s="797"/>
      <c r="AB249" s="797"/>
      <c r="AC249" s="797"/>
      <c r="AD249" s="797"/>
      <c r="AE249" s="797"/>
      <c r="AF249" s="797"/>
      <c r="AG249" s="797"/>
      <c r="AH249" s="797"/>
      <c r="AI249" s="797"/>
      <c r="AJ249" s="797"/>
      <c r="AK249" s="835"/>
      <c r="AL249" s="850"/>
      <c r="AM249" s="851"/>
      <c r="AN249" s="1113"/>
      <c r="AO249" s="1094"/>
      <c r="AP249" s="1094"/>
      <c r="AQ249" s="1092"/>
      <c r="AR249" s="1094"/>
      <c r="AS249" s="1094"/>
      <c r="AT249" s="1094"/>
      <c r="AU249" s="1094"/>
      <c r="AV249" s="1094"/>
      <c r="AW249" s="1092"/>
      <c r="AX249" s="1092"/>
    </row>
    <row r="250" spans="1:50">
      <c r="A250" s="1524">
        <v>241</v>
      </c>
      <c r="B250" s="1141" t="s">
        <v>708</v>
      </c>
      <c r="C250" s="1124"/>
      <c r="D250" s="1129"/>
      <c r="E250" s="1124"/>
      <c r="F250" s="1129"/>
      <c r="G250" s="1124">
        <v>0</v>
      </c>
      <c r="H250" s="1124"/>
      <c r="I250" s="1680">
        <v>5.24</v>
      </c>
      <c r="J250" s="1129"/>
      <c r="K250" s="1127">
        <f t="shared" si="92"/>
        <v>0</v>
      </c>
      <c r="L250" s="1124"/>
      <c r="M250" s="1125">
        <f t="shared" si="91"/>
        <v>0</v>
      </c>
      <c r="N250" s="1124"/>
      <c r="O250" s="1127"/>
      <c r="P250" s="1126"/>
      <c r="Q250" s="1127">
        <f t="shared" si="93"/>
        <v>0</v>
      </c>
      <c r="R250" s="1124"/>
      <c r="S250" s="2114">
        <f ca="1">'wp - t-1 COSS'!$F$31</f>
        <v>3.8170000000000002</v>
      </c>
      <c r="T250" s="849"/>
      <c r="U250" s="1143">
        <f t="shared" ca="1" si="94"/>
        <v>0</v>
      </c>
      <c r="V250" s="2029"/>
      <c r="W250" s="849"/>
      <c r="X250" s="849"/>
      <c r="Y250" s="1040"/>
      <c r="Z250" s="807"/>
      <c r="AA250" s="797"/>
      <c r="AB250" s="797"/>
      <c r="AC250" s="797"/>
      <c r="AD250" s="797"/>
      <c r="AE250" s="797"/>
      <c r="AF250" s="797"/>
      <c r="AG250" s="797"/>
      <c r="AH250" s="797"/>
      <c r="AI250" s="797"/>
      <c r="AJ250" s="797"/>
      <c r="AK250" s="835"/>
      <c r="AL250" s="850"/>
      <c r="AM250" s="851"/>
      <c r="AN250" s="1113"/>
      <c r="AO250" s="1094"/>
      <c r="AP250" s="1094"/>
      <c r="AQ250" s="1092"/>
      <c r="AR250" s="1094"/>
      <c r="AS250" s="1094"/>
      <c r="AT250" s="1094"/>
      <c r="AU250" s="1094"/>
      <c r="AV250" s="1094"/>
      <c r="AW250" s="1092"/>
      <c r="AX250" s="1092"/>
    </row>
    <row r="251" spans="1:50">
      <c r="A251" s="1524">
        <v>242</v>
      </c>
      <c r="B251" s="1141" t="s">
        <v>711</v>
      </c>
      <c r="C251" s="1124"/>
      <c r="D251" s="1129"/>
      <c r="E251" s="1124"/>
      <c r="F251" s="1129"/>
      <c r="G251" s="1124">
        <v>0</v>
      </c>
      <c r="H251" s="1124"/>
      <c r="I251" s="1680">
        <v>4.58</v>
      </c>
      <c r="J251" s="1129"/>
      <c r="K251" s="1127">
        <f t="shared" si="92"/>
        <v>0</v>
      </c>
      <c r="L251" s="1124"/>
      <c r="M251" s="1125">
        <f t="shared" si="91"/>
        <v>0</v>
      </c>
      <c r="N251" s="1124"/>
      <c r="O251" s="1127"/>
      <c r="P251" s="1126"/>
      <c r="Q251" s="1127">
        <f t="shared" si="93"/>
        <v>0</v>
      </c>
      <c r="R251" s="1124"/>
      <c r="S251" s="2114">
        <f ca="1">'wp - t-1 COSS'!$F$31</f>
        <v>3.8170000000000002</v>
      </c>
      <c r="T251" s="849"/>
      <c r="U251" s="1143">
        <f t="shared" ca="1" si="94"/>
        <v>0</v>
      </c>
      <c r="V251" s="2029"/>
      <c r="W251" s="849"/>
      <c r="X251" s="849"/>
      <c r="Y251" s="1040"/>
      <c r="Z251" s="807"/>
      <c r="AA251" s="797"/>
      <c r="AB251" s="797"/>
      <c r="AC251" s="797"/>
      <c r="AD251" s="797"/>
      <c r="AE251" s="797"/>
      <c r="AF251" s="797"/>
      <c r="AG251" s="797"/>
      <c r="AH251" s="797"/>
      <c r="AI251" s="797"/>
      <c r="AJ251" s="797"/>
      <c r="AK251" s="835"/>
      <c r="AL251" s="850"/>
      <c r="AM251" s="851"/>
      <c r="AN251" s="1113"/>
      <c r="AO251" s="1094"/>
      <c r="AP251" s="1094"/>
      <c r="AQ251" s="1092"/>
      <c r="AR251" s="1094"/>
      <c r="AS251" s="1094"/>
      <c r="AT251" s="1094"/>
      <c r="AU251" s="1094"/>
      <c r="AV251" s="1094"/>
      <c r="AW251" s="1092"/>
      <c r="AX251" s="1092"/>
    </row>
    <row r="252" spans="1:50" ht="12.75" thickBot="1">
      <c r="A252" s="1524">
        <v>243</v>
      </c>
      <c r="B252" s="1150" t="s">
        <v>1390</v>
      </c>
      <c r="C252" s="1145">
        <f>SUM(C245:C251)</f>
        <v>113.8</v>
      </c>
      <c r="D252" s="1135"/>
      <c r="E252" s="1145">
        <f>SUM(E245:E251)</f>
        <v>46</v>
      </c>
      <c r="F252" s="1135"/>
      <c r="G252" s="1145">
        <f>SUM(G245:G251)</f>
        <v>77.8</v>
      </c>
      <c r="H252" s="1096"/>
      <c r="I252" s="1678"/>
      <c r="J252" s="1097"/>
      <c r="K252" s="1136">
        <f>SUM(K245:K251)</f>
        <v>1122.2499999999998</v>
      </c>
      <c r="L252" s="1096"/>
      <c r="M252" s="1136">
        <f>SUM(M245:M251)</f>
        <v>1122.2499999999998</v>
      </c>
      <c r="N252" s="1096"/>
      <c r="O252" s="1145">
        <f>SUM(O245:O251)</f>
        <v>46</v>
      </c>
      <c r="P252" s="1099"/>
      <c r="Q252" s="1145">
        <f>SUM(Q245:Q251)</f>
        <v>77.8</v>
      </c>
      <c r="R252" s="1096"/>
      <c r="S252" s="1128"/>
      <c r="T252" s="1135"/>
      <c r="U252" s="1136">
        <f ca="1">SUM(U245:U251)</f>
        <v>1011.3426000000001</v>
      </c>
      <c r="V252" s="2030"/>
      <c r="W252" s="1135"/>
      <c r="X252" s="853"/>
      <c r="Y252" s="1040"/>
      <c r="Z252" s="807"/>
      <c r="AA252" s="797"/>
      <c r="AB252" s="797"/>
      <c r="AC252" s="797"/>
      <c r="AD252" s="797"/>
      <c r="AE252" s="797"/>
      <c r="AF252" s="797"/>
      <c r="AG252" s="797"/>
      <c r="AH252" s="797"/>
      <c r="AI252" s="797"/>
      <c r="AJ252" s="797"/>
      <c r="AK252" s="835"/>
      <c r="AL252" s="850"/>
      <c r="AM252" s="851"/>
      <c r="AN252" s="1113"/>
      <c r="AO252" s="1094"/>
      <c r="AP252" s="1094"/>
      <c r="AQ252" s="1092"/>
      <c r="AR252" s="1094"/>
      <c r="AS252" s="1094"/>
      <c r="AT252" s="1094"/>
      <c r="AU252" s="1094"/>
      <c r="AV252" s="1094"/>
      <c r="AW252" s="1092"/>
      <c r="AX252" s="1092"/>
    </row>
    <row r="253" spans="1:50" ht="12.75" thickTop="1">
      <c r="A253" s="1524">
        <v>244</v>
      </c>
      <c r="B253" s="1150"/>
      <c r="C253" s="1132"/>
      <c r="D253" s="1133"/>
      <c r="E253" s="1132"/>
      <c r="F253" s="1129"/>
      <c r="G253" s="1124"/>
      <c r="H253" s="1124"/>
      <c r="I253" s="1679"/>
      <c r="J253" s="1130"/>
      <c r="K253" s="1125"/>
      <c r="L253" s="1124"/>
      <c r="M253" s="1125"/>
      <c r="N253" s="1124"/>
      <c r="O253" s="1127"/>
      <c r="P253" s="1126"/>
      <c r="Q253" s="1127"/>
      <c r="R253" s="1124"/>
      <c r="S253" s="1128"/>
      <c r="T253" s="1130"/>
      <c r="U253" s="1093"/>
      <c r="V253" s="2031"/>
      <c r="W253" s="1130"/>
      <c r="X253" s="853"/>
      <c r="Y253" s="1040"/>
      <c r="Z253" s="807"/>
      <c r="AA253" s="797"/>
      <c r="AB253" s="797"/>
      <c r="AC253" s="797"/>
      <c r="AD253" s="797"/>
      <c r="AE253" s="797"/>
      <c r="AF253" s="797"/>
      <c r="AG253" s="797"/>
      <c r="AH253" s="797"/>
      <c r="AI253" s="797"/>
      <c r="AJ253" s="797"/>
      <c r="AK253" s="835"/>
      <c r="AL253" s="850"/>
      <c r="AM253" s="851"/>
      <c r="AN253" s="1113"/>
      <c r="AO253" s="1094"/>
      <c r="AP253" s="1094"/>
      <c r="AQ253" s="1092"/>
      <c r="AR253" s="1094"/>
      <c r="AS253" s="1094"/>
      <c r="AT253" s="1094"/>
      <c r="AU253" s="1094"/>
      <c r="AV253" s="1094"/>
      <c r="AW253" s="1092"/>
      <c r="AX253" s="1092"/>
    </row>
    <row r="254" spans="1:50" ht="12.75" thickBot="1">
      <c r="A254" s="1524">
        <v>245</v>
      </c>
      <c r="B254" s="1151" t="s">
        <v>1389</v>
      </c>
      <c r="C254" s="1132"/>
      <c r="D254" s="1133"/>
      <c r="E254" s="1132"/>
      <c r="F254" s="1129"/>
      <c r="G254" s="1124"/>
      <c r="H254" s="1124"/>
      <c r="I254" s="1679"/>
      <c r="J254" s="1130"/>
      <c r="K254" s="1125"/>
      <c r="L254" s="1124"/>
      <c r="M254" s="1138">
        <f>+M252/$E252</f>
        <v>24.396739130434778</v>
      </c>
      <c r="N254" s="1124"/>
      <c r="O254" s="1127"/>
      <c r="P254" s="1126"/>
      <c r="Q254" s="1127"/>
      <c r="R254" s="1124"/>
      <c r="S254" s="1128"/>
      <c r="T254" s="1130"/>
      <c r="U254" s="1138">
        <f ca="1">+U252/$E252</f>
        <v>21.985708695652175</v>
      </c>
      <c r="V254" s="2032"/>
      <c r="W254" s="1130">
        <f ca="1">+U254-M254</f>
        <v>-2.411030434782603</v>
      </c>
      <c r="X254" s="853"/>
      <c r="Y254" s="1040"/>
      <c r="Z254" s="807"/>
      <c r="AA254" s="797"/>
      <c r="AB254" s="797"/>
      <c r="AC254" s="797"/>
      <c r="AD254" s="797"/>
      <c r="AE254" s="797"/>
      <c r="AF254" s="797"/>
      <c r="AG254" s="797"/>
      <c r="AH254" s="797"/>
      <c r="AI254" s="797"/>
      <c r="AJ254" s="797"/>
      <c r="AK254" s="835"/>
      <c r="AL254" s="850"/>
      <c r="AM254" s="851"/>
      <c r="AN254" s="1113"/>
      <c r="AO254" s="1094"/>
      <c r="AP254" s="1094"/>
      <c r="AQ254" s="1092"/>
      <c r="AR254" s="1094"/>
      <c r="AS254" s="1094"/>
      <c r="AT254" s="1094"/>
      <c r="AU254" s="1094"/>
      <c r="AV254" s="1094"/>
      <c r="AW254" s="1092"/>
      <c r="AX254" s="1092"/>
    </row>
    <row r="255" spans="1:50" s="1110" customFormat="1" ht="12.75" thickTop="1">
      <c r="A255" s="1524">
        <v>246</v>
      </c>
      <c r="B255" s="1106" t="s">
        <v>1388</v>
      </c>
      <c r="C255" s="1124">
        <v>63.600999999999999</v>
      </c>
      <c r="D255" s="1129"/>
      <c r="E255" s="1124"/>
      <c r="F255" s="1129"/>
      <c r="G255" s="1124"/>
      <c r="H255" s="1124"/>
      <c r="I255" s="1679"/>
      <c r="J255" s="1129"/>
      <c r="K255" s="1125"/>
      <c r="L255" s="1124"/>
      <c r="M255" s="1125"/>
      <c r="N255" s="1124"/>
      <c r="O255" s="1127"/>
      <c r="P255" s="1126"/>
      <c r="Q255" s="1127"/>
      <c r="R255" s="1124"/>
      <c r="S255" s="1128"/>
      <c r="T255" s="849"/>
      <c r="U255" s="1143"/>
      <c r="V255" s="2029"/>
      <c r="W255" s="849"/>
      <c r="X255" s="849"/>
      <c r="Y255" s="941"/>
      <c r="Z255" s="811"/>
      <c r="AA255" s="808"/>
      <c r="AB255" s="808"/>
      <c r="AC255" s="808"/>
      <c r="AD255" s="808"/>
      <c r="AE255" s="808"/>
      <c r="AF255" s="808"/>
      <c r="AG255" s="808"/>
      <c r="AH255" s="808"/>
      <c r="AI255" s="808"/>
      <c r="AJ255" s="808"/>
      <c r="AK255" s="840"/>
      <c r="AL255" s="854"/>
      <c r="AM255" s="855"/>
      <c r="AN255" s="843"/>
      <c r="AO255" s="834"/>
      <c r="AP255" s="834"/>
      <c r="AQ255" s="842"/>
      <c r="AR255" s="834"/>
      <c r="AS255" s="834"/>
      <c r="AT255" s="834"/>
      <c r="AU255" s="834"/>
      <c r="AV255" s="834"/>
      <c r="AW255" s="842"/>
      <c r="AX255" s="842"/>
    </row>
    <row r="256" spans="1:50" s="1110" customFormat="1">
      <c r="A256" s="1524">
        <v>247</v>
      </c>
      <c r="B256" s="1141" t="s">
        <v>459</v>
      </c>
      <c r="C256" s="1124"/>
      <c r="D256" s="1129"/>
      <c r="E256" s="1124">
        <v>24</v>
      </c>
      <c r="F256" s="1129"/>
      <c r="G256" s="826"/>
      <c r="H256" s="1124"/>
      <c r="I256" s="1680">
        <v>12.47</v>
      </c>
      <c r="J256" s="1129"/>
      <c r="K256" s="1125">
        <f>+E256*I256</f>
        <v>299.28000000000003</v>
      </c>
      <c r="L256" s="1124"/>
      <c r="M256" s="1125">
        <f>+K256</f>
        <v>299.28000000000003</v>
      </c>
      <c r="N256" s="1124"/>
      <c r="O256" s="1127">
        <f>+E256</f>
        <v>24</v>
      </c>
      <c r="P256" s="1126"/>
      <c r="Q256" s="1127"/>
      <c r="R256" s="1124"/>
      <c r="S256" s="1142">
        <f ca="1">'wp - t-1 COSS'!$F$13</f>
        <v>15.53</v>
      </c>
      <c r="T256" s="849"/>
      <c r="U256" s="1143">
        <f ca="1">+O256*S256</f>
        <v>372.71999999999997</v>
      </c>
      <c r="V256" s="2029"/>
      <c r="W256" s="849"/>
      <c r="X256" s="849"/>
      <c r="Y256" s="941"/>
      <c r="Z256" s="811"/>
      <c r="AA256" s="808"/>
      <c r="AB256" s="808"/>
      <c r="AC256" s="808"/>
      <c r="AD256" s="808"/>
      <c r="AE256" s="808"/>
      <c r="AF256" s="808"/>
      <c r="AG256" s="808"/>
      <c r="AH256" s="808"/>
      <c r="AI256" s="808"/>
      <c r="AJ256" s="808"/>
      <c r="AK256" s="840"/>
      <c r="AL256" s="854"/>
      <c r="AM256" s="855"/>
      <c r="AN256" s="843"/>
      <c r="AO256" s="834"/>
      <c r="AP256" s="834"/>
      <c r="AQ256" s="842"/>
      <c r="AR256" s="834"/>
      <c r="AS256" s="834"/>
      <c r="AT256" s="834"/>
      <c r="AU256" s="834"/>
      <c r="AV256" s="834"/>
      <c r="AW256" s="842"/>
      <c r="AX256" s="842"/>
    </row>
    <row r="257" spans="1:50" s="1110" customFormat="1">
      <c r="A257" s="1524">
        <v>248</v>
      </c>
      <c r="B257" s="1141" t="s">
        <v>513</v>
      </c>
      <c r="C257" s="1124"/>
      <c r="D257" s="1129"/>
      <c r="E257" s="1124"/>
      <c r="F257" s="1129"/>
      <c r="G257" s="1124">
        <v>34.200000000000003</v>
      </c>
      <c r="H257" s="1124"/>
      <c r="I257" s="1680">
        <v>7.06</v>
      </c>
      <c r="J257" s="1129"/>
      <c r="K257" s="1127">
        <f>+G257*I257</f>
        <v>241.452</v>
      </c>
      <c r="L257" s="1124"/>
      <c r="M257" s="1125">
        <f t="shared" ref="M257:M261" si="95">+K257</f>
        <v>241.452</v>
      </c>
      <c r="N257" s="1124"/>
      <c r="O257" s="1127"/>
      <c r="P257" s="1126"/>
      <c r="Q257" s="1127">
        <f>+G257</f>
        <v>34.200000000000003</v>
      </c>
      <c r="R257" s="1124"/>
      <c r="S257" s="2114">
        <f ca="1">'wp - t-1 COSS'!$F$31</f>
        <v>3.8170000000000002</v>
      </c>
      <c r="T257" s="849"/>
      <c r="U257" s="1143">
        <f ca="1">+Q257*S257</f>
        <v>130.54140000000001</v>
      </c>
      <c r="V257" s="2029"/>
      <c r="W257" s="849"/>
      <c r="X257" s="849"/>
      <c r="Y257" s="941"/>
      <c r="Z257" s="811"/>
      <c r="AA257" s="808"/>
      <c r="AB257" s="808"/>
      <c r="AC257" s="808"/>
      <c r="AD257" s="808"/>
      <c r="AE257" s="808"/>
      <c r="AF257" s="808"/>
      <c r="AG257" s="808"/>
      <c r="AH257" s="808"/>
      <c r="AI257" s="808"/>
      <c r="AJ257" s="808"/>
      <c r="AK257" s="840"/>
      <c r="AL257" s="854"/>
      <c r="AM257" s="855"/>
      <c r="AN257" s="843"/>
      <c r="AO257" s="834"/>
      <c r="AP257" s="834"/>
      <c r="AQ257" s="842"/>
      <c r="AR257" s="834"/>
      <c r="AS257" s="834"/>
      <c r="AT257" s="834"/>
      <c r="AU257" s="834"/>
      <c r="AV257" s="834"/>
      <c r="AW257" s="842"/>
      <c r="AX257" s="842"/>
    </row>
    <row r="258" spans="1:50">
      <c r="A258" s="1524">
        <v>249</v>
      </c>
      <c r="B258" s="1141" t="s">
        <v>706</v>
      </c>
      <c r="C258" s="1124"/>
      <c r="D258" s="1129"/>
      <c r="E258" s="1124"/>
      <c r="F258" s="1129"/>
      <c r="G258" s="1124">
        <v>8.2010000000000005</v>
      </c>
      <c r="H258" s="1124"/>
      <c r="I258" s="1680">
        <v>6.48</v>
      </c>
      <c r="J258" s="1129"/>
      <c r="K258" s="1127">
        <f t="shared" ref="K258:K261" si="96">+G258*I258</f>
        <v>53.142480000000006</v>
      </c>
      <c r="L258" s="1124"/>
      <c r="M258" s="1125">
        <f t="shared" si="95"/>
        <v>53.142480000000006</v>
      </c>
      <c r="N258" s="1124"/>
      <c r="O258" s="1127"/>
      <c r="P258" s="1126"/>
      <c r="Q258" s="1127">
        <f t="shared" ref="Q258:Q261" si="97">+G258</f>
        <v>8.2010000000000005</v>
      </c>
      <c r="R258" s="1124"/>
      <c r="S258" s="2114">
        <f ca="1">'wp - t-1 COSS'!$F$31</f>
        <v>3.8170000000000002</v>
      </c>
      <c r="T258" s="849"/>
      <c r="U258" s="1143">
        <f t="shared" ref="U258:U261" ca="1" si="98">+Q258*S258</f>
        <v>31.303217000000004</v>
      </c>
      <c r="V258" s="2029"/>
      <c r="W258" s="849"/>
      <c r="X258" s="849"/>
      <c r="Y258" s="1040"/>
      <c r="Z258" s="807"/>
      <c r="AA258" s="797"/>
      <c r="AB258" s="797"/>
      <c r="AC258" s="797"/>
      <c r="AD258" s="797"/>
      <c r="AE258" s="797"/>
      <c r="AF258" s="797"/>
      <c r="AG258" s="797"/>
      <c r="AH258" s="797"/>
      <c r="AI258" s="797"/>
      <c r="AJ258" s="797"/>
      <c r="AK258" s="835"/>
      <c r="AL258" s="850"/>
      <c r="AM258" s="851"/>
      <c r="AN258" s="1113"/>
      <c r="AO258" s="1094"/>
      <c r="AP258" s="1094"/>
      <c r="AQ258" s="1092"/>
      <c r="AR258" s="1094"/>
      <c r="AS258" s="1094"/>
      <c r="AT258" s="1094"/>
      <c r="AU258" s="1094"/>
      <c r="AV258" s="1094"/>
      <c r="AW258" s="1092"/>
      <c r="AX258" s="1092"/>
    </row>
    <row r="259" spans="1:50">
      <c r="A259" s="1524">
        <v>250</v>
      </c>
      <c r="B259" s="1141" t="s">
        <v>707</v>
      </c>
      <c r="C259" s="1124"/>
      <c r="D259" s="1129"/>
      <c r="E259" s="1124"/>
      <c r="F259" s="1129"/>
      <c r="G259" s="1124">
        <v>0</v>
      </c>
      <c r="H259" s="1124"/>
      <c r="I259" s="1680">
        <v>5.91</v>
      </c>
      <c r="J259" s="1129"/>
      <c r="K259" s="1127">
        <f t="shared" si="96"/>
        <v>0</v>
      </c>
      <c r="L259" s="1124"/>
      <c r="M259" s="1125">
        <f t="shared" si="95"/>
        <v>0</v>
      </c>
      <c r="N259" s="1124"/>
      <c r="O259" s="1127"/>
      <c r="P259" s="1126"/>
      <c r="Q259" s="1127">
        <f t="shared" si="97"/>
        <v>0</v>
      </c>
      <c r="R259" s="1124"/>
      <c r="S259" s="2114">
        <f ca="1">'wp - t-1 COSS'!$F$31</f>
        <v>3.8170000000000002</v>
      </c>
      <c r="T259" s="849"/>
      <c r="U259" s="1143">
        <f t="shared" ca="1" si="98"/>
        <v>0</v>
      </c>
      <c r="V259" s="2029"/>
      <c r="W259" s="849"/>
      <c r="X259" s="849"/>
      <c r="Y259" s="1040"/>
      <c r="Z259" s="807"/>
      <c r="AA259" s="797"/>
      <c r="AB259" s="797"/>
      <c r="AC259" s="797"/>
      <c r="AD259" s="797"/>
      <c r="AE259" s="797"/>
      <c r="AF259" s="797"/>
      <c r="AG259" s="797"/>
      <c r="AH259" s="797"/>
      <c r="AI259" s="797"/>
      <c r="AJ259" s="797"/>
      <c r="AK259" s="835"/>
      <c r="AL259" s="850"/>
      <c r="AM259" s="851"/>
      <c r="AN259" s="1113"/>
      <c r="AO259" s="1094"/>
      <c r="AP259" s="1094"/>
      <c r="AQ259" s="1092"/>
      <c r="AR259" s="1094"/>
      <c r="AS259" s="1094"/>
      <c r="AT259" s="1094"/>
      <c r="AU259" s="1094"/>
      <c r="AV259" s="1094"/>
      <c r="AW259" s="1092"/>
      <c r="AX259" s="1092"/>
    </row>
    <row r="260" spans="1:50">
      <c r="A260" s="1524">
        <v>251</v>
      </c>
      <c r="B260" s="1141" t="s">
        <v>708</v>
      </c>
      <c r="C260" s="1124"/>
      <c r="D260" s="1129"/>
      <c r="E260" s="1124"/>
      <c r="F260" s="1129"/>
      <c r="G260" s="1124">
        <v>0</v>
      </c>
      <c r="H260" s="1124"/>
      <c r="I260" s="1680">
        <v>5.24</v>
      </c>
      <c r="J260" s="1129"/>
      <c r="K260" s="1127">
        <f t="shared" si="96"/>
        <v>0</v>
      </c>
      <c r="L260" s="1124"/>
      <c r="M260" s="1125">
        <f t="shared" si="95"/>
        <v>0</v>
      </c>
      <c r="N260" s="1124"/>
      <c r="O260" s="1127"/>
      <c r="P260" s="1126"/>
      <c r="Q260" s="1127">
        <f t="shared" si="97"/>
        <v>0</v>
      </c>
      <c r="R260" s="1124"/>
      <c r="S260" s="2114">
        <f ca="1">'wp - t-1 COSS'!$F$31</f>
        <v>3.8170000000000002</v>
      </c>
      <c r="T260" s="849"/>
      <c r="U260" s="1143">
        <f t="shared" ca="1" si="98"/>
        <v>0</v>
      </c>
      <c r="V260" s="2029"/>
      <c r="W260" s="849"/>
      <c r="X260" s="849"/>
      <c r="Y260" s="1040"/>
      <c r="Z260" s="807"/>
      <c r="AA260" s="797"/>
      <c r="AB260" s="797"/>
      <c r="AC260" s="797"/>
      <c r="AD260" s="797"/>
      <c r="AE260" s="797"/>
      <c r="AF260" s="797"/>
      <c r="AG260" s="797"/>
      <c r="AH260" s="797"/>
      <c r="AI260" s="797"/>
      <c r="AJ260" s="797"/>
      <c r="AK260" s="835"/>
      <c r="AL260" s="850"/>
      <c r="AM260" s="851"/>
      <c r="AN260" s="1113"/>
      <c r="AO260" s="1094"/>
      <c r="AP260" s="1094"/>
      <c r="AQ260" s="1092"/>
      <c r="AR260" s="1094"/>
      <c r="AS260" s="1094"/>
      <c r="AT260" s="1094"/>
      <c r="AU260" s="1094"/>
      <c r="AV260" s="1094"/>
      <c r="AW260" s="1092"/>
      <c r="AX260" s="1092"/>
    </row>
    <row r="261" spans="1:50">
      <c r="A261" s="1524">
        <v>252</v>
      </c>
      <c r="B261" s="1141" t="s">
        <v>711</v>
      </c>
      <c r="C261" s="1124"/>
      <c r="D261" s="1129"/>
      <c r="E261" s="1124"/>
      <c r="F261" s="1129"/>
      <c r="G261" s="1124">
        <v>0</v>
      </c>
      <c r="H261" s="1124"/>
      <c r="I261" s="1680">
        <v>4.58</v>
      </c>
      <c r="J261" s="1129"/>
      <c r="K261" s="1127">
        <f t="shared" si="96"/>
        <v>0</v>
      </c>
      <c r="L261" s="1124"/>
      <c r="M261" s="1125">
        <f t="shared" si="95"/>
        <v>0</v>
      </c>
      <c r="N261" s="1124"/>
      <c r="O261" s="1127"/>
      <c r="P261" s="1126"/>
      <c r="Q261" s="1127">
        <f t="shared" si="97"/>
        <v>0</v>
      </c>
      <c r="R261" s="1124"/>
      <c r="S261" s="2114">
        <f ca="1">'wp - t-1 COSS'!$F$31</f>
        <v>3.8170000000000002</v>
      </c>
      <c r="T261" s="849"/>
      <c r="U261" s="1143">
        <f t="shared" ca="1" si="98"/>
        <v>0</v>
      </c>
      <c r="V261" s="2029"/>
      <c r="W261" s="849"/>
      <c r="X261" s="849"/>
      <c r="Y261" s="1040"/>
      <c r="Z261" s="807"/>
      <c r="AA261" s="797"/>
      <c r="AB261" s="797"/>
      <c r="AC261" s="797"/>
      <c r="AD261" s="797"/>
      <c r="AE261" s="797"/>
      <c r="AF261" s="797"/>
      <c r="AG261" s="797"/>
      <c r="AH261" s="797"/>
      <c r="AI261" s="797"/>
      <c r="AJ261" s="797"/>
      <c r="AK261" s="835"/>
      <c r="AL261" s="850"/>
      <c r="AM261" s="851"/>
      <c r="AN261" s="1113"/>
      <c r="AO261" s="1094"/>
      <c r="AP261" s="1094"/>
      <c r="AQ261" s="1092"/>
      <c r="AR261" s="1094"/>
      <c r="AS261" s="1094"/>
      <c r="AT261" s="1094"/>
      <c r="AU261" s="1094"/>
      <c r="AV261" s="1094"/>
      <c r="AW261" s="1092"/>
      <c r="AX261" s="1092"/>
    </row>
    <row r="262" spans="1:50" ht="12.75" thickBot="1">
      <c r="A262" s="1524">
        <v>253</v>
      </c>
      <c r="B262" s="1150" t="s">
        <v>1387</v>
      </c>
      <c r="C262" s="1145">
        <f>SUM(C255:C261)</f>
        <v>63.600999999999999</v>
      </c>
      <c r="D262" s="1135"/>
      <c r="E262" s="1145">
        <f>SUM(E255:E261)</f>
        <v>24</v>
      </c>
      <c r="F262" s="1135"/>
      <c r="G262" s="1145">
        <f>SUM(G255:G261)</f>
        <v>42.401000000000003</v>
      </c>
      <c r="H262" s="1096"/>
      <c r="I262" s="1678"/>
      <c r="J262" s="1097"/>
      <c r="K262" s="1136">
        <f>SUM(K255:K261)</f>
        <v>593.87447999999995</v>
      </c>
      <c r="L262" s="1096"/>
      <c r="M262" s="1136">
        <f>SUM(M255:M261)</f>
        <v>593.87447999999995</v>
      </c>
      <c r="N262" s="1096"/>
      <c r="O262" s="1145">
        <f>SUM(O255:O261)</f>
        <v>24</v>
      </c>
      <c r="P262" s="1099"/>
      <c r="Q262" s="1145">
        <f>SUM(Q255:Q261)</f>
        <v>42.401000000000003</v>
      </c>
      <c r="R262" s="1096"/>
      <c r="S262" s="1128"/>
      <c r="T262" s="1135"/>
      <c r="U262" s="1136">
        <f ca="1">SUM(U255:U261)</f>
        <v>534.564617</v>
      </c>
      <c r="V262" s="2030"/>
      <c r="W262" s="1135"/>
      <c r="X262" s="853"/>
      <c r="Y262" s="1040"/>
      <c r="Z262" s="807"/>
      <c r="AA262" s="797"/>
      <c r="AB262" s="797"/>
      <c r="AC262" s="797"/>
      <c r="AD262" s="797"/>
      <c r="AE262" s="797"/>
      <c r="AF262" s="797"/>
      <c r="AG262" s="797"/>
      <c r="AH262" s="797"/>
      <c r="AI262" s="797"/>
      <c r="AJ262" s="797"/>
      <c r="AK262" s="835"/>
      <c r="AL262" s="850"/>
      <c r="AM262" s="851"/>
      <c r="AN262" s="1113"/>
      <c r="AO262" s="1094"/>
      <c r="AP262" s="1094"/>
      <c r="AQ262" s="1092"/>
      <c r="AR262" s="1094"/>
      <c r="AS262" s="1094"/>
      <c r="AT262" s="1094"/>
      <c r="AU262" s="1094"/>
      <c r="AV262" s="1094"/>
      <c r="AW262" s="1092"/>
      <c r="AX262" s="1092"/>
    </row>
    <row r="263" spans="1:50" ht="12.75" thickTop="1">
      <c r="A263" s="1524">
        <v>254</v>
      </c>
      <c r="B263" s="1150"/>
      <c r="C263" s="1132"/>
      <c r="D263" s="1133"/>
      <c r="E263" s="1132"/>
      <c r="F263" s="1129"/>
      <c r="G263" s="1124"/>
      <c r="H263" s="1124"/>
      <c r="I263" s="1679"/>
      <c r="J263" s="1130"/>
      <c r="K263" s="1125"/>
      <c r="L263" s="1124"/>
      <c r="M263" s="1125"/>
      <c r="N263" s="1124"/>
      <c r="O263" s="1127"/>
      <c r="P263" s="1126"/>
      <c r="Q263" s="1127"/>
      <c r="R263" s="1124"/>
      <c r="S263" s="1128"/>
      <c r="T263" s="1130"/>
      <c r="U263" s="1093"/>
      <c r="V263" s="2031"/>
      <c r="W263" s="1130"/>
      <c r="X263" s="853"/>
      <c r="Y263" s="1040"/>
      <c r="Z263" s="807"/>
      <c r="AA263" s="797"/>
      <c r="AB263" s="797"/>
      <c r="AC263" s="797"/>
      <c r="AD263" s="797"/>
      <c r="AE263" s="797"/>
      <c r="AF263" s="797"/>
      <c r="AG263" s="797"/>
      <c r="AH263" s="797"/>
      <c r="AI263" s="797"/>
      <c r="AJ263" s="797"/>
      <c r="AK263" s="835"/>
      <c r="AL263" s="850"/>
      <c r="AM263" s="851"/>
      <c r="AN263" s="1113"/>
      <c r="AO263" s="1094"/>
      <c r="AP263" s="1094"/>
      <c r="AQ263" s="1092"/>
      <c r="AR263" s="1094"/>
      <c r="AS263" s="1094"/>
      <c r="AT263" s="1094"/>
      <c r="AU263" s="1094"/>
      <c r="AV263" s="1094"/>
      <c r="AW263" s="1092"/>
      <c r="AX263" s="1092"/>
    </row>
    <row r="264" spans="1:50" ht="12.75" thickBot="1">
      <c r="A264" s="1524">
        <v>255</v>
      </c>
      <c r="B264" s="1151" t="s">
        <v>1386</v>
      </c>
      <c r="C264" s="1132"/>
      <c r="D264" s="1133"/>
      <c r="E264" s="1132"/>
      <c r="F264" s="1129"/>
      <c r="G264" s="1124"/>
      <c r="H264" s="1124"/>
      <c r="I264" s="1679"/>
      <c r="J264" s="1130"/>
      <c r="K264" s="1125"/>
      <c r="L264" s="1124"/>
      <c r="M264" s="1138">
        <f>+M262/$E262</f>
        <v>24.744769999999999</v>
      </c>
      <c r="N264" s="1124"/>
      <c r="O264" s="1127"/>
      <c r="P264" s="1126"/>
      <c r="Q264" s="1127"/>
      <c r="R264" s="1124"/>
      <c r="S264" s="1128"/>
      <c r="T264" s="1130"/>
      <c r="U264" s="1138">
        <f ca="1">+U262/$E262</f>
        <v>22.273525708333334</v>
      </c>
      <c r="V264" s="2032"/>
      <c r="W264" s="1130">
        <f ca="1">+U264-M264</f>
        <v>-2.4712442916666646</v>
      </c>
      <c r="X264" s="849"/>
      <c r="Y264" s="1040"/>
      <c r="Z264" s="807"/>
      <c r="AA264" s="797"/>
      <c r="AB264" s="797"/>
      <c r="AC264" s="797"/>
      <c r="AD264" s="797"/>
      <c r="AE264" s="797"/>
      <c r="AF264" s="797"/>
      <c r="AG264" s="797"/>
      <c r="AH264" s="797"/>
      <c r="AI264" s="797"/>
      <c r="AJ264" s="797"/>
      <c r="AK264" s="835"/>
      <c r="AL264" s="850"/>
      <c r="AM264" s="851"/>
      <c r="AN264" s="1113"/>
      <c r="AO264" s="1094"/>
      <c r="AP264" s="1094"/>
      <c r="AQ264" s="1092"/>
      <c r="AR264" s="1094"/>
      <c r="AS264" s="1094"/>
      <c r="AT264" s="1094"/>
      <c r="AU264" s="1094"/>
      <c r="AV264" s="1094"/>
      <c r="AW264" s="1092"/>
      <c r="AX264" s="1092"/>
    </row>
    <row r="265" spans="1:50" s="1110" customFormat="1" ht="12.75" thickTop="1">
      <c r="A265" s="1524">
        <v>256</v>
      </c>
      <c r="B265" s="1106" t="s">
        <v>1385</v>
      </c>
      <c r="C265" s="1124">
        <v>17815.267</v>
      </c>
      <c r="D265" s="1129"/>
      <c r="E265" s="1124"/>
      <c r="F265" s="1129"/>
      <c r="G265" s="1124"/>
      <c r="H265" s="826"/>
      <c r="I265" s="1687"/>
      <c r="J265" s="1129"/>
      <c r="K265" s="846"/>
      <c r="L265" s="1124"/>
      <c r="M265" s="1125"/>
      <c r="N265" s="1124"/>
      <c r="O265" s="1127"/>
      <c r="P265" s="1126"/>
      <c r="Q265" s="1127"/>
      <c r="R265" s="1124"/>
      <c r="S265" s="1128"/>
      <c r="T265" s="849"/>
      <c r="U265" s="1143"/>
      <c r="V265" s="2029"/>
      <c r="W265" s="849"/>
      <c r="X265" s="849"/>
      <c r="Y265" s="941"/>
      <c r="Z265" s="811"/>
      <c r="AA265" s="808"/>
      <c r="AB265" s="808"/>
      <c r="AC265" s="808"/>
      <c r="AD265" s="808"/>
      <c r="AE265" s="808"/>
      <c r="AF265" s="808"/>
      <c r="AG265" s="808"/>
      <c r="AH265" s="808"/>
      <c r="AI265" s="808"/>
      <c r="AJ265" s="808"/>
      <c r="AK265" s="840"/>
      <c r="AL265" s="854"/>
      <c r="AM265" s="855"/>
      <c r="AN265" s="843"/>
      <c r="AO265" s="834"/>
      <c r="AP265" s="834"/>
      <c r="AQ265" s="842"/>
      <c r="AR265" s="834"/>
      <c r="AS265" s="834"/>
      <c r="AT265" s="834"/>
      <c r="AU265" s="834"/>
      <c r="AV265" s="834"/>
      <c r="AW265" s="842"/>
      <c r="AX265" s="842"/>
    </row>
    <row r="266" spans="1:50" s="1110" customFormat="1">
      <c r="A266" s="1524">
        <v>257</v>
      </c>
      <c r="B266" s="1141" t="s">
        <v>459</v>
      </c>
      <c r="C266" s="1124"/>
      <c r="D266" s="1129"/>
      <c r="E266" s="1124">
        <v>5588</v>
      </c>
      <c r="F266" s="1129"/>
      <c r="G266" s="826"/>
      <c r="H266" s="826"/>
      <c r="I266" s="1680">
        <v>12.47</v>
      </c>
      <c r="J266" s="1129"/>
      <c r="K266" s="1125">
        <f>+E266*I266</f>
        <v>69682.36</v>
      </c>
      <c r="L266" s="1124"/>
      <c r="M266" s="1125">
        <f>+K266</f>
        <v>69682.36</v>
      </c>
      <c r="N266" s="1124"/>
      <c r="O266" s="1127">
        <f>+E266</f>
        <v>5588</v>
      </c>
      <c r="P266" s="1126"/>
      <c r="Q266" s="1127"/>
      <c r="R266" s="1124"/>
      <c r="S266" s="1142">
        <v>15.53</v>
      </c>
      <c r="T266" s="849"/>
      <c r="U266" s="1143">
        <f>+O266*S266</f>
        <v>86781.64</v>
      </c>
      <c r="V266" s="2029"/>
      <c r="W266" s="849"/>
      <c r="X266" s="849"/>
      <c r="Y266" s="941"/>
      <c r="Z266" s="811"/>
      <c r="AA266" s="808"/>
      <c r="AB266" s="808"/>
      <c r="AC266" s="808"/>
      <c r="AD266" s="808"/>
      <c r="AE266" s="808"/>
      <c r="AF266" s="808"/>
      <c r="AG266" s="808"/>
      <c r="AH266" s="808"/>
      <c r="AI266" s="808"/>
      <c r="AJ266" s="808"/>
      <c r="AK266" s="840"/>
      <c r="AL266" s="854"/>
      <c r="AM266" s="855"/>
      <c r="AN266" s="843"/>
      <c r="AO266" s="834"/>
      <c r="AP266" s="834"/>
      <c r="AQ266" s="842"/>
      <c r="AR266" s="834"/>
      <c r="AS266" s="834"/>
      <c r="AT266" s="834"/>
      <c r="AU266" s="834"/>
      <c r="AV266" s="834"/>
      <c r="AW266" s="842"/>
      <c r="AX266" s="842"/>
    </row>
    <row r="267" spans="1:50">
      <c r="A267" s="1524">
        <v>258</v>
      </c>
      <c r="B267" s="1141" t="s">
        <v>513</v>
      </c>
      <c r="C267" s="1124"/>
      <c r="D267" s="1129"/>
      <c r="E267" s="1124"/>
      <c r="F267" s="1129"/>
      <c r="G267" s="1124">
        <v>11943.662</v>
      </c>
      <c r="I267" s="1680">
        <v>7.06</v>
      </c>
      <c r="J267" s="1129"/>
      <c r="K267" s="1127">
        <f>+G267*I267</f>
        <v>84322.253719999993</v>
      </c>
      <c r="L267" s="1124"/>
      <c r="M267" s="1125">
        <f t="shared" ref="M267:M271" si="99">+K267</f>
        <v>84322.253719999993</v>
      </c>
      <c r="N267" s="1124"/>
      <c r="O267" s="1127"/>
      <c r="P267" s="1126"/>
      <c r="Q267" s="1127">
        <f>+G267</f>
        <v>11943.662</v>
      </c>
      <c r="R267" s="1124"/>
      <c r="S267" s="2114">
        <v>3.8170000000000002</v>
      </c>
      <c r="T267" s="849"/>
      <c r="U267" s="1143">
        <f>+Q267*S267</f>
        <v>45588.957854</v>
      </c>
      <c r="V267" s="2029"/>
      <c r="W267" s="849"/>
      <c r="X267" s="849"/>
      <c r="Y267" s="1040"/>
      <c r="Z267" s="807"/>
      <c r="AA267" s="797"/>
      <c r="AB267" s="797"/>
      <c r="AC267" s="797"/>
      <c r="AD267" s="797"/>
      <c r="AE267" s="797"/>
      <c r="AF267" s="797"/>
      <c r="AG267" s="797"/>
      <c r="AH267" s="797"/>
      <c r="AI267" s="797"/>
      <c r="AJ267" s="797"/>
      <c r="AK267" s="835"/>
      <c r="AL267" s="850"/>
      <c r="AM267" s="851"/>
      <c r="AN267" s="1113"/>
      <c r="AO267" s="1094"/>
      <c r="AP267" s="1094"/>
      <c r="AQ267" s="1092"/>
      <c r="AR267" s="1094"/>
      <c r="AS267" s="1094"/>
      <c r="AT267" s="1094"/>
      <c r="AU267" s="1094"/>
      <c r="AV267" s="1094"/>
      <c r="AW267" s="1092"/>
      <c r="AX267" s="1092"/>
    </row>
    <row r="268" spans="1:50">
      <c r="A268" s="1524">
        <v>259</v>
      </c>
      <c r="B268" s="1141" t="s">
        <v>706</v>
      </c>
      <c r="C268" s="1124"/>
      <c r="D268" s="1129"/>
      <c r="E268" s="1124"/>
      <c r="F268" s="1129"/>
      <c r="G268" s="1124">
        <v>614.803</v>
      </c>
      <c r="I268" s="1680">
        <v>6.48</v>
      </c>
      <c r="J268" s="1129"/>
      <c r="K268" s="1127">
        <f t="shared" ref="K268:K271" si="100">+G268*I268</f>
        <v>3983.92344</v>
      </c>
      <c r="L268" s="1124"/>
      <c r="M268" s="1125">
        <f t="shared" si="99"/>
        <v>3983.92344</v>
      </c>
      <c r="N268" s="1124"/>
      <c r="O268" s="1127"/>
      <c r="P268" s="1126"/>
      <c r="Q268" s="1127">
        <f t="shared" ref="Q268:Q271" si="101">+G268</f>
        <v>614.803</v>
      </c>
      <c r="R268" s="1124"/>
      <c r="S268" s="2114">
        <v>3.8170000000000002</v>
      </c>
      <c r="T268" s="849"/>
      <c r="U268" s="1143">
        <f t="shared" ref="U268:U271" si="102">+Q268*S268</f>
        <v>2346.703051</v>
      </c>
      <c r="V268" s="2029"/>
      <c r="W268" s="849"/>
      <c r="X268" s="849"/>
      <c r="Y268" s="1040"/>
      <c r="Z268" s="807"/>
      <c r="AA268" s="797"/>
      <c r="AB268" s="797"/>
      <c r="AC268" s="797"/>
      <c r="AD268" s="797"/>
      <c r="AE268" s="797"/>
      <c r="AF268" s="797"/>
      <c r="AG268" s="797"/>
      <c r="AH268" s="797"/>
      <c r="AI268" s="797"/>
      <c r="AJ268" s="797"/>
      <c r="AK268" s="835"/>
      <c r="AL268" s="850"/>
      <c r="AM268" s="851"/>
      <c r="AN268" s="1113"/>
      <c r="AO268" s="1094"/>
      <c r="AP268" s="1094"/>
      <c r="AQ268" s="1092"/>
      <c r="AR268" s="1094"/>
      <c r="AS268" s="1094"/>
      <c r="AT268" s="1094"/>
      <c r="AU268" s="1094"/>
      <c r="AV268" s="1094"/>
      <c r="AW268" s="1092"/>
      <c r="AX268" s="1092"/>
    </row>
    <row r="269" spans="1:50">
      <c r="A269" s="1524">
        <v>260</v>
      </c>
      <c r="B269" s="1141" t="s">
        <v>707</v>
      </c>
      <c r="C269" s="1124"/>
      <c r="D269" s="1129"/>
      <c r="E269" s="1124"/>
      <c r="F269" s="1129"/>
      <c r="G269" s="1124">
        <v>143.1</v>
      </c>
      <c r="I269" s="1680">
        <v>5.91</v>
      </c>
      <c r="J269" s="1129"/>
      <c r="K269" s="1127">
        <f t="shared" si="100"/>
        <v>845.721</v>
      </c>
      <c r="L269" s="1124"/>
      <c r="M269" s="1125">
        <f t="shared" si="99"/>
        <v>845.721</v>
      </c>
      <c r="N269" s="1124"/>
      <c r="O269" s="1127"/>
      <c r="P269" s="1126"/>
      <c r="Q269" s="1127">
        <f t="shared" si="101"/>
        <v>143.1</v>
      </c>
      <c r="R269" s="1124"/>
      <c r="S269" s="2114">
        <v>3.8170000000000002</v>
      </c>
      <c r="T269" s="849"/>
      <c r="U269" s="1143">
        <f t="shared" si="102"/>
        <v>546.21270000000004</v>
      </c>
      <c r="V269" s="2029"/>
      <c r="W269" s="849"/>
      <c r="X269" s="849"/>
      <c r="Y269" s="1040"/>
      <c r="Z269" s="807"/>
      <c r="AA269" s="797"/>
      <c r="AB269" s="797"/>
      <c r="AC269" s="797"/>
      <c r="AD269" s="797"/>
      <c r="AE269" s="797"/>
      <c r="AF269" s="797"/>
      <c r="AG269" s="797"/>
      <c r="AH269" s="797"/>
      <c r="AI269" s="797"/>
      <c r="AJ269" s="797"/>
      <c r="AK269" s="835"/>
      <c r="AL269" s="850"/>
      <c r="AM269" s="851"/>
      <c r="AN269" s="1113"/>
      <c r="AO269" s="1094"/>
      <c r="AP269" s="1094"/>
      <c r="AQ269" s="1092"/>
      <c r="AR269" s="1094"/>
      <c r="AS269" s="1094"/>
      <c r="AT269" s="1094"/>
      <c r="AU269" s="1094"/>
      <c r="AV269" s="1094"/>
      <c r="AW269" s="1092"/>
      <c r="AX269" s="1092"/>
    </row>
    <row r="270" spans="1:50">
      <c r="A270" s="1524">
        <v>261</v>
      </c>
      <c r="B270" s="1141" t="s">
        <v>708</v>
      </c>
      <c r="C270" s="1124"/>
      <c r="D270" s="1129"/>
      <c r="E270" s="1124"/>
      <c r="F270" s="1129"/>
      <c r="G270" s="1124">
        <v>6</v>
      </c>
      <c r="I270" s="1680">
        <v>5.24</v>
      </c>
      <c r="J270" s="1129"/>
      <c r="K270" s="1127">
        <f t="shared" si="100"/>
        <v>31.44</v>
      </c>
      <c r="L270" s="1124"/>
      <c r="M270" s="1125">
        <f t="shared" si="99"/>
        <v>31.44</v>
      </c>
      <c r="N270" s="1124"/>
      <c r="O270" s="1127"/>
      <c r="P270" s="1126"/>
      <c r="Q270" s="1127">
        <f t="shared" si="101"/>
        <v>6</v>
      </c>
      <c r="R270" s="1124"/>
      <c r="S270" s="2114">
        <v>3.8170000000000002</v>
      </c>
      <c r="T270" s="849"/>
      <c r="U270" s="1143">
        <f t="shared" si="102"/>
        <v>22.902000000000001</v>
      </c>
      <c r="V270" s="2029"/>
      <c r="W270" s="849"/>
      <c r="X270" s="849"/>
      <c r="Y270" s="1040"/>
      <c r="Z270" s="807"/>
      <c r="AA270" s="797"/>
      <c r="AB270" s="797"/>
      <c r="AC270" s="797"/>
      <c r="AD270" s="797"/>
      <c r="AE270" s="797"/>
      <c r="AF270" s="797"/>
      <c r="AG270" s="797"/>
      <c r="AH270" s="797"/>
      <c r="AI270" s="797"/>
      <c r="AJ270" s="797"/>
      <c r="AK270" s="835"/>
      <c r="AL270" s="850"/>
      <c r="AM270" s="851"/>
      <c r="AN270" s="1113"/>
      <c r="AO270" s="1094"/>
      <c r="AP270" s="1094"/>
      <c r="AQ270" s="1092"/>
      <c r="AR270" s="1094"/>
      <c r="AS270" s="1094"/>
      <c r="AT270" s="1094"/>
      <c r="AU270" s="1094"/>
      <c r="AV270" s="1094"/>
      <c r="AW270" s="1092"/>
      <c r="AX270" s="1092"/>
    </row>
    <row r="271" spans="1:50">
      <c r="A271" s="1524">
        <v>262</v>
      </c>
      <c r="B271" s="1141" t="s">
        <v>711</v>
      </c>
      <c r="C271" s="1124"/>
      <c r="D271" s="1129"/>
      <c r="E271" s="1124"/>
      <c r="F271" s="1129"/>
      <c r="G271" s="1124">
        <v>0</v>
      </c>
      <c r="I271" s="1680">
        <v>4.58</v>
      </c>
      <c r="J271" s="1129"/>
      <c r="K271" s="1127">
        <f t="shared" si="100"/>
        <v>0</v>
      </c>
      <c r="L271" s="1124"/>
      <c r="M271" s="1125">
        <f t="shared" si="99"/>
        <v>0</v>
      </c>
      <c r="N271" s="1124"/>
      <c r="O271" s="1127"/>
      <c r="P271" s="1126"/>
      <c r="Q271" s="1127">
        <f t="shared" si="101"/>
        <v>0</v>
      </c>
      <c r="R271" s="1124"/>
      <c r="S271" s="2114">
        <v>3.8170000000000002</v>
      </c>
      <c r="T271" s="849"/>
      <c r="U271" s="1143">
        <f t="shared" si="102"/>
        <v>0</v>
      </c>
      <c r="V271" s="2029"/>
      <c r="W271" s="849"/>
      <c r="X271" s="849"/>
      <c r="Y271" s="1040"/>
      <c r="Z271" s="807"/>
      <c r="AA271" s="797"/>
      <c r="AB271" s="797"/>
      <c r="AC271" s="797"/>
      <c r="AD271" s="797"/>
      <c r="AE271" s="797"/>
      <c r="AF271" s="797"/>
      <c r="AG271" s="797"/>
      <c r="AH271" s="797"/>
      <c r="AI271" s="797"/>
      <c r="AJ271" s="797"/>
      <c r="AK271" s="835"/>
      <c r="AL271" s="850"/>
      <c r="AM271" s="851"/>
      <c r="AN271" s="1113"/>
      <c r="AO271" s="1094"/>
      <c r="AP271" s="1094"/>
      <c r="AQ271" s="1092"/>
      <c r="AR271" s="1094"/>
      <c r="AS271" s="1094"/>
      <c r="AT271" s="1094"/>
      <c r="AU271" s="1094"/>
      <c r="AV271" s="1094"/>
      <c r="AW271" s="1092"/>
      <c r="AX271" s="1092"/>
    </row>
    <row r="272" spans="1:50" ht="12.75" thickBot="1">
      <c r="A272" s="1524">
        <v>263</v>
      </c>
      <c r="B272" s="1150" t="s">
        <v>1384</v>
      </c>
      <c r="C272" s="1145">
        <f>SUM(C265:C271)</f>
        <v>17815.267</v>
      </c>
      <c r="D272" s="1135"/>
      <c r="E272" s="1145">
        <f>SUM(E265:E271)</f>
        <v>5588</v>
      </c>
      <c r="F272" s="1135"/>
      <c r="G272" s="1145">
        <f>SUM(G265:G271)</f>
        <v>12707.565000000001</v>
      </c>
      <c r="H272" s="1096"/>
      <c r="I272" s="1678"/>
      <c r="J272" s="1097"/>
      <c r="K272" s="1136">
        <f>SUM(K265:K271)</f>
        <v>158865.69816</v>
      </c>
      <c r="L272" s="1096"/>
      <c r="M272" s="1136">
        <f>SUM(M265:M271)</f>
        <v>158865.69816</v>
      </c>
      <c r="N272" s="1096"/>
      <c r="O272" s="1145">
        <f>SUM(O265:O271)</f>
        <v>5588</v>
      </c>
      <c r="P272" s="1099"/>
      <c r="Q272" s="1145">
        <f>SUM(Q265:Q271)</f>
        <v>12707.565000000001</v>
      </c>
      <c r="R272" s="1096"/>
      <c r="S272" s="1128"/>
      <c r="T272" s="1135"/>
      <c r="U272" s="1136">
        <f>SUM(U265:U271)</f>
        <v>135286.41560499999</v>
      </c>
      <c r="V272" s="2030"/>
      <c r="W272" s="1135"/>
      <c r="X272" s="853"/>
      <c r="Y272" s="1040"/>
      <c r="Z272" s="807"/>
      <c r="AA272" s="797"/>
      <c r="AB272" s="797"/>
      <c r="AC272" s="797"/>
      <c r="AD272" s="797"/>
      <c r="AE272" s="797"/>
      <c r="AF272" s="797"/>
      <c r="AG272" s="797"/>
      <c r="AH272" s="797"/>
      <c r="AI272" s="797"/>
      <c r="AJ272" s="797"/>
      <c r="AK272" s="835"/>
      <c r="AL272" s="850"/>
      <c r="AM272" s="851"/>
      <c r="AN272" s="1113"/>
      <c r="AO272" s="1094"/>
      <c r="AP272" s="1094"/>
      <c r="AQ272" s="1092"/>
      <c r="AR272" s="1094"/>
      <c r="AS272" s="1094"/>
      <c r="AT272" s="1094"/>
      <c r="AU272" s="1094"/>
      <c r="AV272" s="1094"/>
      <c r="AW272" s="1092"/>
      <c r="AX272" s="1092"/>
    </row>
    <row r="273" spans="1:50" ht="12.75" thickTop="1">
      <c r="A273" s="1524">
        <v>264</v>
      </c>
      <c r="B273" s="1150"/>
      <c r="C273" s="1132"/>
      <c r="D273" s="1133"/>
      <c r="E273" s="1132"/>
      <c r="F273" s="1129"/>
      <c r="G273" s="1124"/>
      <c r="H273" s="1124"/>
      <c r="I273" s="1679"/>
      <c r="J273" s="1130"/>
      <c r="K273" s="1125"/>
      <c r="L273" s="1124"/>
      <c r="M273" s="1125"/>
      <c r="N273" s="1124"/>
      <c r="O273" s="1127"/>
      <c r="P273" s="1126"/>
      <c r="Q273" s="1127"/>
      <c r="R273" s="1124"/>
      <c r="S273" s="1128"/>
      <c r="T273" s="1130"/>
      <c r="U273" s="1093"/>
      <c r="V273" s="2031"/>
      <c r="W273" s="1130"/>
      <c r="X273" s="853"/>
      <c r="Y273" s="1040"/>
      <c r="Z273" s="807"/>
      <c r="AA273" s="797"/>
      <c r="AB273" s="797"/>
      <c r="AC273" s="797"/>
      <c r="AD273" s="797"/>
      <c r="AE273" s="797"/>
      <c r="AF273" s="797"/>
      <c r="AG273" s="797"/>
      <c r="AH273" s="797"/>
      <c r="AI273" s="797"/>
      <c r="AJ273" s="797"/>
      <c r="AK273" s="835"/>
      <c r="AL273" s="850"/>
      <c r="AM273" s="851"/>
      <c r="AN273" s="1113"/>
      <c r="AO273" s="1094"/>
      <c r="AP273" s="1094"/>
      <c r="AQ273" s="1092"/>
      <c r="AR273" s="1094"/>
      <c r="AS273" s="1094"/>
      <c r="AT273" s="1094"/>
      <c r="AU273" s="1094"/>
      <c r="AV273" s="1094"/>
      <c r="AW273" s="1092"/>
      <c r="AX273" s="1092"/>
    </row>
    <row r="274" spans="1:50" ht="12.75" thickBot="1">
      <c r="A274" s="1524">
        <v>265</v>
      </c>
      <c r="B274" s="1151" t="s">
        <v>1383</v>
      </c>
      <c r="C274" s="1132"/>
      <c r="D274" s="1133"/>
      <c r="E274" s="1132"/>
      <c r="F274" s="1129"/>
      <c r="G274" s="1124"/>
      <c r="H274" s="1124"/>
      <c r="I274" s="1679"/>
      <c r="J274" s="1130"/>
      <c r="K274" s="1125"/>
      <c r="L274" s="1124"/>
      <c r="M274" s="1138">
        <f>+M272/$E272</f>
        <v>28.429795662133142</v>
      </c>
      <c r="N274" s="1124"/>
      <c r="O274" s="1127"/>
      <c r="P274" s="1126"/>
      <c r="Q274" s="1127"/>
      <c r="R274" s="1124"/>
      <c r="S274" s="1128"/>
      <c r="T274" s="1130"/>
      <c r="U274" s="1138">
        <f>+U272/$E272</f>
        <v>24.210167431102359</v>
      </c>
      <c r="V274" s="2032"/>
      <c r="W274" s="1130">
        <f>+U274-M274</f>
        <v>-4.2196282310307822</v>
      </c>
      <c r="X274" s="849"/>
      <c r="Y274" s="1040"/>
      <c r="Z274" s="807"/>
      <c r="AA274" s="797"/>
      <c r="AB274" s="797"/>
      <c r="AC274" s="797"/>
      <c r="AD274" s="797"/>
      <c r="AE274" s="797"/>
      <c r="AF274" s="797"/>
      <c r="AG274" s="797"/>
      <c r="AH274" s="797"/>
      <c r="AI274" s="797"/>
      <c r="AJ274" s="797"/>
      <c r="AK274" s="835"/>
      <c r="AL274" s="850"/>
      <c r="AM274" s="851"/>
      <c r="AN274" s="1113"/>
      <c r="AO274" s="1094"/>
      <c r="AP274" s="1094"/>
      <c r="AQ274" s="1092"/>
      <c r="AR274" s="1094"/>
      <c r="AS274" s="1094"/>
      <c r="AT274" s="1094"/>
      <c r="AU274" s="1094"/>
      <c r="AV274" s="1094"/>
      <c r="AW274" s="1092"/>
      <c r="AX274" s="1092"/>
    </row>
    <row r="275" spans="1:50" s="1110" customFormat="1" ht="12.75" thickTop="1">
      <c r="A275" s="1524">
        <v>266</v>
      </c>
      <c r="B275" s="1106" t="s">
        <v>1382</v>
      </c>
      <c r="C275" s="1124">
        <v>2543.3110000000001</v>
      </c>
      <c r="D275" s="1129"/>
      <c r="E275" s="1124"/>
      <c r="F275" s="1129"/>
      <c r="G275" s="1124"/>
      <c r="H275" s="826"/>
      <c r="I275" s="1687"/>
      <c r="J275" s="1129"/>
      <c r="K275" s="846"/>
      <c r="L275" s="1124"/>
      <c r="M275" s="1125"/>
      <c r="N275" s="1124"/>
      <c r="O275" s="1127"/>
      <c r="P275" s="1126"/>
      <c r="Q275" s="1127"/>
      <c r="R275" s="1124"/>
      <c r="S275" s="1128"/>
      <c r="T275" s="849"/>
      <c r="U275" s="1143"/>
      <c r="V275" s="2029"/>
      <c r="W275" s="849"/>
      <c r="X275" s="849"/>
      <c r="Y275" s="941"/>
      <c r="Z275" s="811"/>
      <c r="AA275" s="808"/>
      <c r="AB275" s="808"/>
      <c r="AC275" s="808"/>
      <c r="AD275" s="808"/>
      <c r="AE275" s="808"/>
      <c r="AF275" s="808"/>
      <c r="AG275" s="808"/>
      <c r="AH275" s="808"/>
      <c r="AI275" s="808"/>
      <c r="AJ275" s="808"/>
      <c r="AK275" s="840"/>
      <c r="AL275" s="854"/>
      <c r="AM275" s="855"/>
      <c r="AN275" s="843"/>
      <c r="AO275" s="834"/>
      <c r="AP275" s="834"/>
      <c r="AQ275" s="842"/>
      <c r="AR275" s="834"/>
      <c r="AS275" s="834"/>
      <c r="AT275" s="834"/>
      <c r="AU275" s="834"/>
      <c r="AV275" s="834"/>
      <c r="AW275" s="842"/>
      <c r="AX275" s="842"/>
    </row>
    <row r="276" spans="1:50" s="1110" customFormat="1">
      <c r="A276" s="1524">
        <v>267</v>
      </c>
      <c r="B276" s="1141" t="s">
        <v>459</v>
      </c>
      <c r="C276" s="1124"/>
      <c r="D276" s="1129"/>
      <c r="E276" s="1124">
        <v>663</v>
      </c>
      <c r="F276" s="1129"/>
      <c r="G276" s="826"/>
      <c r="H276" s="826"/>
      <c r="I276" s="1688">
        <v>12.47</v>
      </c>
      <c r="J276" s="1129"/>
      <c r="K276" s="1125">
        <f>+E276*I276</f>
        <v>8267.61</v>
      </c>
      <c r="L276" s="1124"/>
      <c r="M276" s="1125">
        <f>+K276</f>
        <v>8267.61</v>
      </c>
      <c r="N276" s="1124"/>
      <c r="O276" s="1127">
        <f>+E276</f>
        <v>663</v>
      </c>
      <c r="P276" s="1126"/>
      <c r="Q276" s="1127"/>
      <c r="R276" s="1124"/>
      <c r="S276" s="1142">
        <f ca="1">'wp - t-1 COSS'!$F$14</f>
        <v>15.53</v>
      </c>
      <c r="T276" s="849"/>
      <c r="U276" s="1143">
        <f ca="1">+O276*S276</f>
        <v>10296.39</v>
      </c>
      <c r="V276" s="2029"/>
      <c r="W276" s="849"/>
      <c r="X276" s="849"/>
      <c r="Y276" s="941"/>
      <c r="Z276" s="811"/>
      <c r="AA276" s="808"/>
      <c r="AB276" s="808"/>
      <c r="AC276" s="808"/>
      <c r="AD276" s="808"/>
      <c r="AE276" s="808"/>
      <c r="AF276" s="808"/>
      <c r="AG276" s="808"/>
      <c r="AH276" s="808"/>
      <c r="AI276" s="808"/>
      <c r="AJ276" s="808"/>
      <c r="AK276" s="840"/>
      <c r="AL276" s="854"/>
      <c r="AM276" s="855"/>
      <c r="AN276" s="843"/>
      <c r="AO276" s="834"/>
      <c r="AP276" s="834"/>
      <c r="AQ276" s="842"/>
      <c r="AR276" s="834"/>
      <c r="AS276" s="834"/>
      <c r="AT276" s="834"/>
      <c r="AU276" s="834"/>
      <c r="AV276" s="834"/>
      <c r="AW276" s="842"/>
      <c r="AX276" s="842"/>
    </row>
    <row r="277" spans="1:50">
      <c r="A277" s="1524">
        <v>268</v>
      </c>
      <c r="B277" s="1141" t="s">
        <v>513</v>
      </c>
      <c r="C277" s="1124"/>
      <c r="D277" s="1129"/>
      <c r="E277" s="1124"/>
      <c r="F277" s="1129"/>
      <c r="G277" s="1124">
        <v>1289.107</v>
      </c>
      <c r="I277" s="1688">
        <v>7.06</v>
      </c>
      <c r="J277" s="1144"/>
      <c r="K277" s="1127">
        <f>+G277*I277</f>
        <v>9101.0954199999996</v>
      </c>
      <c r="L277" s="1124"/>
      <c r="M277" s="1125">
        <f t="shared" ref="M277:M281" si="103">+K277</f>
        <v>9101.0954199999996</v>
      </c>
      <c r="N277" s="1124"/>
      <c r="O277" s="1127"/>
      <c r="P277" s="1126"/>
      <c r="Q277" s="1127">
        <f>+G277</f>
        <v>1289.107</v>
      </c>
      <c r="R277" s="1124"/>
      <c r="S277" s="2114">
        <f ca="1">'wp - t-1 COSS'!$F$32</f>
        <v>3.8170000000000002</v>
      </c>
      <c r="T277" s="849"/>
      <c r="U277" s="1143">
        <f ca="1">+Q277*S277</f>
        <v>4920.5214189999997</v>
      </c>
      <c r="V277" s="2029"/>
      <c r="W277" s="849"/>
      <c r="X277" s="849"/>
      <c r="Y277" s="1040"/>
      <c r="Z277" s="807"/>
      <c r="AA277" s="797"/>
      <c r="AB277" s="797"/>
      <c r="AC277" s="797"/>
      <c r="AD277" s="797"/>
      <c r="AE277" s="797"/>
      <c r="AF277" s="797"/>
      <c r="AG277" s="797"/>
      <c r="AH277" s="797"/>
      <c r="AI277" s="797"/>
      <c r="AJ277" s="797"/>
      <c r="AK277" s="835"/>
      <c r="AL277" s="850"/>
      <c r="AM277" s="851"/>
      <c r="AN277" s="1113"/>
      <c r="AO277" s="1094"/>
      <c r="AP277" s="1094"/>
      <c r="AQ277" s="1092"/>
      <c r="AR277" s="1094"/>
      <c r="AS277" s="1094"/>
      <c r="AT277" s="1094"/>
      <c r="AU277" s="1094"/>
      <c r="AV277" s="1094"/>
      <c r="AW277" s="1092"/>
      <c r="AX277" s="1092"/>
    </row>
    <row r="278" spans="1:50">
      <c r="A278" s="1524">
        <v>269</v>
      </c>
      <c r="B278" s="1141" t="s">
        <v>706</v>
      </c>
      <c r="C278" s="1124"/>
      <c r="D278" s="1129"/>
      <c r="E278" s="1124"/>
      <c r="F278" s="1129"/>
      <c r="G278" s="1124">
        <v>365.90199999999999</v>
      </c>
      <c r="I278" s="1688">
        <v>6.48</v>
      </c>
      <c r="J278" s="1144"/>
      <c r="K278" s="1127">
        <f t="shared" ref="K278:K281" si="104">+G278*I278</f>
        <v>2371.0449600000002</v>
      </c>
      <c r="L278" s="1124"/>
      <c r="M278" s="1125">
        <f t="shared" si="103"/>
        <v>2371.0449600000002</v>
      </c>
      <c r="N278" s="1124"/>
      <c r="O278" s="1127"/>
      <c r="P278" s="1126"/>
      <c r="Q278" s="1127">
        <f t="shared" ref="Q278:Q281" si="105">+G278</f>
        <v>365.90199999999999</v>
      </c>
      <c r="R278" s="1124"/>
      <c r="S278" s="2114">
        <f ca="1">'wp - t-1 COSS'!$F$32</f>
        <v>3.8170000000000002</v>
      </c>
      <c r="T278" s="849"/>
      <c r="U278" s="1143">
        <f t="shared" ref="U278:U281" ca="1" si="106">+Q278*S278</f>
        <v>1396.6479340000001</v>
      </c>
      <c r="V278" s="2029"/>
      <c r="W278" s="849"/>
      <c r="X278" s="849"/>
      <c r="Y278" s="1040"/>
      <c r="Z278" s="807"/>
      <c r="AA278" s="797"/>
      <c r="AB278" s="797"/>
      <c r="AC278" s="797"/>
      <c r="AD278" s="797"/>
      <c r="AE278" s="797"/>
      <c r="AF278" s="797"/>
      <c r="AG278" s="797"/>
      <c r="AH278" s="797"/>
      <c r="AI278" s="797"/>
      <c r="AJ278" s="797"/>
      <c r="AK278" s="835"/>
      <c r="AL278" s="850"/>
      <c r="AM278" s="851"/>
      <c r="AN278" s="1113"/>
      <c r="AO278" s="1094"/>
      <c r="AP278" s="1094"/>
      <c r="AQ278" s="1092"/>
      <c r="AR278" s="1094"/>
      <c r="AS278" s="1094"/>
      <c r="AT278" s="1094"/>
      <c r="AU278" s="1094"/>
      <c r="AV278" s="1094"/>
      <c r="AW278" s="1092"/>
      <c r="AX278" s="1092"/>
    </row>
    <row r="279" spans="1:50">
      <c r="A279" s="1524">
        <v>270</v>
      </c>
      <c r="B279" s="1141" t="s">
        <v>707</v>
      </c>
      <c r="C279" s="1124"/>
      <c r="D279" s="1129"/>
      <c r="E279" s="1124"/>
      <c r="F279" s="1129"/>
      <c r="G279" s="1124">
        <v>149.101</v>
      </c>
      <c r="I279" s="1688">
        <v>5.91</v>
      </c>
      <c r="J279" s="1144"/>
      <c r="K279" s="1127">
        <f t="shared" si="104"/>
        <v>881.18691000000001</v>
      </c>
      <c r="L279" s="1124"/>
      <c r="M279" s="1125">
        <f t="shared" si="103"/>
        <v>881.18691000000001</v>
      </c>
      <c r="N279" s="1124"/>
      <c r="O279" s="1127"/>
      <c r="P279" s="1126"/>
      <c r="Q279" s="1127">
        <f t="shared" si="105"/>
        <v>149.101</v>
      </c>
      <c r="R279" s="1124"/>
      <c r="S279" s="2114">
        <f ca="1">'wp - t-1 COSS'!$F$32</f>
        <v>3.8170000000000002</v>
      </c>
      <c r="T279" s="849"/>
      <c r="U279" s="1143">
        <f t="shared" ca="1" si="106"/>
        <v>569.118517</v>
      </c>
      <c r="V279" s="2029"/>
      <c r="W279" s="849"/>
      <c r="X279" s="849"/>
      <c r="Y279" s="1040"/>
      <c r="Z279" s="807"/>
      <c r="AA279" s="797"/>
      <c r="AB279" s="797"/>
      <c r="AC279" s="797"/>
      <c r="AD279" s="797"/>
      <c r="AE279" s="797"/>
      <c r="AF279" s="797"/>
      <c r="AG279" s="797"/>
      <c r="AH279" s="797"/>
      <c r="AI279" s="797"/>
      <c r="AJ279" s="797"/>
      <c r="AK279" s="835"/>
      <c r="AL279" s="850"/>
      <c r="AM279" s="851"/>
      <c r="AN279" s="1113"/>
      <c r="AO279" s="1094"/>
      <c r="AP279" s="1094"/>
      <c r="AQ279" s="1092"/>
      <c r="AR279" s="1094"/>
      <c r="AS279" s="1094"/>
      <c r="AT279" s="1094"/>
      <c r="AU279" s="1094"/>
      <c r="AV279" s="1094"/>
      <c r="AW279" s="1092"/>
      <c r="AX279" s="1092"/>
    </row>
    <row r="280" spans="1:50">
      <c r="A280" s="1524">
        <v>271</v>
      </c>
      <c r="B280" s="1141" t="s">
        <v>708</v>
      </c>
      <c r="C280" s="1124"/>
      <c r="D280" s="1129"/>
      <c r="E280" s="1124"/>
      <c r="F280" s="1129"/>
      <c r="G280" s="1124">
        <v>152.30000000000001</v>
      </c>
      <c r="I280" s="1688">
        <v>5.24</v>
      </c>
      <c r="J280" s="1144"/>
      <c r="K280" s="1127">
        <f t="shared" si="104"/>
        <v>798.05200000000013</v>
      </c>
      <c r="L280" s="1124"/>
      <c r="M280" s="1125">
        <f t="shared" si="103"/>
        <v>798.05200000000013</v>
      </c>
      <c r="N280" s="1124"/>
      <c r="O280" s="1127"/>
      <c r="P280" s="1126"/>
      <c r="Q280" s="1127">
        <f t="shared" si="105"/>
        <v>152.30000000000001</v>
      </c>
      <c r="R280" s="1124"/>
      <c r="S280" s="2114">
        <f ca="1">'wp - t-1 COSS'!$F$32</f>
        <v>3.8170000000000002</v>
      </c>
      <c r="T280" s="849"/>
      <c r="U280" s="1143">
        <f t="shared" ca="1" si="106"/>
        <v>581.32910000000004</v>
      </c>
      <c r="V280" s="2029"/>
      <c r="W280" s="849"/>
      <c r="X280" s="849"/>
      <c r="Y280" s="1040"/>
      <c r="Z280" s="807"/>
      <c r="AA280" s="797"/>
      <c r="AB280" s="797"/>
      <c r="AC280" s="797"/>
      <c r="AD280" s="797"/>
      <c r="AE280" s="797"/>
      <c r="AF280" s="797"/>
      <c r="AG280" s="797"/>
      <c r="AH280" s="797"/>
      <c r="AI280" s="797"/>
      <c r="AJ280" s="797"/>
      <c r="AK280" s="835"/>
      <c r="AL280" s="850"/>
      <c r="AM280" s="851"/>
      <c r="AN280" s="1113"/>
      <c r="AO280" s="1094"/>
      <c r="AP280" s="1094"/>
      <c r="AQ280" s="1092"/>
      <c r="AR280" s="1094"/>
      <c r="AS280" s="1094"/>
      <c r="AT280" s="1094"/>
      <c r="AU280" s="1094"/>
      <c r="AV280" s="1094"/>
      <c r="AW280" s="1092"/>
      <c r="AX280" s="1092"/>
    </row>
    <row r="281" spans="1:50">
      <c r="A281" s="1524">
        <v>272</v>
      </c>
      <c r="B281" s="1141" t="s">
        <v>711</v>
      </c>
      <c r="C281" s="1124"/>
      <c r="D281" s="1129"/>
      <c r="E281" s="1124"/>
      <c r="F281" s="1129"/>
      <c r="G281" s="1124">
        <v>167.6</v>
      </c>
      <c r="I281" s="1688">
        <v>4.58</v>
      </c>
      <c r="J281" s="1144"/>
      <c r="K281" s="1127">
        <f t="shared" si="104"/>
        <v>767.60799999999995</v>
      </c>
      <c r="L281" s="1124"/>
      <c r="M281" s="1125">
        <f t="shared" si="103"/>
        <v>767.60799999999995</v>
      </c>
      <c r="N281" s="1124"/>
      <c r="O281" s="1127"/>
      <c r="P281" s="1126"/>
      <c r="Q281" s="1127">
        <f t="shared" si="105"/>
        <v>167.6</v>
      </c>
      <c r="R281" s="1124"/>
      <c r="S281" s="2114">
        <f ca="1">'wp - t-1 COSS'!$F$32</f>
        <v>3.8170000000000002</v>
      </c>
      <c r="T281" s="849"/>
      <c r="U281" s="1143">
        <f t="shared" ca="1" si="106"/>
        <v>639.72919999999999</v>
      </c>
      <c r="V281" s="2029"/>
      <c r="W281" s="849"/>
      <c r="X281" s="849"/>
      <c r="Y281" s="819"/>
      <c r="Z281" s="807"/>
      <c r="AA281" s="797"/>
      <c r="AB281" s="797"/>
      <c r="AC281" s="797"/>
      <c r="AD281" s="797"/>
      <c r="AE281" s="797"/>
      <c r="AF281" s="797"/>
      <c r="AG281" s="797"/>
      <c r="AH281" s="797"/>
      <c r="AI281" s="797"/>
      <c r="AJ281" s="797"/>
      <c r="AK281" s="835"/>
      <c r="AL281" s="850"/>
      <c r="AM281" s="851"/>
      <c r="AN281" s="1113"/>
      <c r="AO281" s="1094"/>
      <c r="AP281" s="1094"/>
      <c r="AQ281" s="1092"/>
      <c r="AR281" s="1094"/>
      <c r="AS281" s="1094"/>
      <c r="AT281" s="1094"/>
      <c r="AU281" s="1094"/>
      <c r="AV281" s="1094"/>
      <c r="AW281" s="1092"/>
      <c r="AX281" s="1092"/>
    </row>
    <row r="282" spans="1:50" ht="12.75" thickBot="1">
      <c r="A282" s="1524">
        <v>273</v>
      </c>
      <c r="B282" s="1150" t="s">
        <v>1381</v>
      </c>
      <c r="C282" s="1145">
        <f>SUM(C275:C281)</f>
        <v>2543.3110000000001</v>
      </c>
      <c r="D282" s="1135"/>
      <c r="E282" s="1145">
        <f>SUM(E275:E281)</f>
        <v>663</v>
      </c>
      <c r="F282" s="1135"/>
      <c r="G282" s="1145">
        <f>SUM(G275:G281)</f>
        <v>2124.0100000000002</v>
      </c>
      <c r="H282" s="1096"/>
      <c r="I282" s="1678"/>
      <c r="J282" s="1097"/>
      <c r="K282" s="1136">
        <f>SUM(K275:K281)</f>
        <v>22186.597289999998</v>
      </c>
      <c r="L282" s="1096"/>
      <c r="M282" s="1136">
        <f>SUM(M275:M281)</f>
        <v>22186.597289999998</v>
      </c>
      <c r="N282" s="1096"/>
      <c r="O282" s="1145">
        <f>SUM(O275:O281)</f>
        <v>663</v>
      </c>
      <c r="P282" s="1099"/>
      <c r="Q282" s="1145">
        <f>SUM(Q275:Q281)</f>
        <v>2124.0100000000002</v>
      </c>
      <c r="R282" s="1096"/>
      <c r="S282" s="1128"/>
      <c r="T282" s="1135"/>
      <c r="U282" s="1136">
        <f ca="1">SUM(U275:U281)</f>
        <v>18403.73617</v>
      </c>
      <c r="V282" s="2030"/>
      <c r="W282" s="1135"/>
      <c r="X282" s="853"/>
      <c r="Y282" s="819"/>
      <c r="Z282" s="807"/>
      <c r="AA282" s="797"/>
      <c r="AB282" s="797"/>
      <c r="AC282" s="797"/>
      <c r="AD282" s="797"/>
      <c r="AE282" s="797"/>
      <c r="AF282" s="797"/>
      <c r="AG282" s="797"/>
      <c r="AH282" s="797"/>
      <c r="AI282" s="797"/>
      <c r="AJ282" s="797"/>
      <c r="AK282" s="835"/>
      <c r="AL282" s="850"/>
      <c r="AM282" s="851"/>
      <c r="AN282" s="1113"/>
      <c r="AO282" s="1094"/>
      <c r="AP282" s="1094"/>
      <c r="AQ282" s="1092"/>
      <c r="AR282" s="1094"/>
      <c r="AS282" s="1094"/>
      <c r="AT282" s="1094"/>
      <c r="AU282" s="1094"/>
      <c r="AV282" s="1094"/>
      <c r="AW282" s="1092"/>
      <c r="AX282" s="1092"/>
    </row>
    <row r="283" spans="1:50" ht="12.75" thickTop="1">
      <c r="A283" s="1524">
        <v>274</v>
      </c>
      <c r="B283" s="1150"/>
      <c r="C283" s="1132"/>
      <c r="D283" s="1133"/>
      <c r="E283" s="1132"/>
      <c r="F283" s="1129"/>
      <c r="G283" s="1124"/>
      <c r="H283" s="1124"/>
      <c r="I283" s="1679"/>
      <c r="J283" s="1130"/>
      <c r="K283" s="1125"/>
      <c r="L283" s="1124"/>
      <c r="M283" s="1125"/>
      <c r="N283" s="1124"/>
      <c r="O283" s="1127"/>
      <c r="P283" s="1126"/>
      <c r="Q283" s="1127"/>
      <c r="R283" s="1124"/>
      <c r="S283" s="1128"/>
      <c r="T283" s="1130"/>
      <c r="U283" s="1093"/>
      <c r="V283" s="2031"/>
      <c r="W283" s="1130"/>
      <c r="X283" s="853"/>
      <c r="Y283" s="819"/>
      <c r="Z283" s="807"/>
      <c r="AA283" s="797"/>
      <c r="AB283" s="797"/>
      <c r="AC283" s="797"/>
      <c r="AD283" s="797"/>
      <c r="AE283" s="797"/>
      <c r="AF283" s="797"/>
      <c r="AG283" s="797"/>
      <c r="AH283" s="797"/>
      <c r="AI283" s="797"/>
      <c r="AJ283" s="797"/>
      <c r="AK283" s="835"/>
      <c r="AL283" s="850"/>
      <c r="AM283" s="851"/>
      <c r="AN283" s="1113"/>
      <c r="AO283" s="1094"/>
      <c r="AP283" s="1094"/>
      <c r="AQ283" s="1092"/>
      <c r="AR283" s="1094"/>
      <c r="AS283" s="1094"/>
      <c r="AT283" s="1094"/>
      <c r="AU283" s="1094"/>
      <c r="AV283" s="1094"/>
      <c r="AW283" s="1092"/>
      <c r="AX283" s="1092"/>
    </row>
    <row r="284" spans="1:50" ht="12.75" thickBot="1">
      <c r="A284" s="1524">
        <v>275</v>
      </c>
      <c r="B284" s="1151" t="s">
        <v>1380</v>
      </c>
      <c r="C284" s="1132"/>
      <c r="D284" s="1133"/>
      <c r="E284" s="1132"/>
      <c r="F284" s="1129"/>
      <c r="G284" s="1124"/>
      <c r="H284" s="1124"/>
      <c r="I284" s="1679"/>
      <c r="J284" s="1130"/>
      <c r="K284" s="1125"/>
      <c r="L284" s="1124"/>
      <c r="M284" s="1138">
        <f>+M282/$E282</f>
        <v>33.463947647058824</v>
      </c>
      <c r="N284" s="1124"/>
      <c r="O284" s="1127"/>
      <c r="P284" s="1126"/>
      <c r="Q284" s="1127"/>
      <c r="R284" s="1124"/>
      <c r="S284" s="1128"/>
      <c r="T284" s="1130"/>
      <c r="U284" s="1138">
        <f ca="1">+U282/$E282</f>
        <v>27.758274766214178</v>
      </c>
      <c r="V284" s="2032"/>
      <c r="W284" s="1130">
        <f ca="1">+U284-M284</f>
        <v>-5.7056728808446451</v>
      </c>
      <c r="X284" s="849"/>
      <c r="Y284" s="819"/>
      <c r="Z284" s="807"/>
      <c r="AA284" s="797"/>
      <c r="AB284" s="797"/>
      <c r="AC284" s="797"/>
      <c r="AD284" s="797"/>
      <c r="AE284" s="797"/>
      <c r="AF284" s="797"/>
      <c r="AG284" s="797"/>
      <c r="AH284" s="797"/>
      <c r="AI284" s="797"/>
      <c r="AJ284" s="797"/>
      <c r="AK284" s="835"/>
      <c r="AL284" s="850"/>
      <c r="AM284" s="851"/>
      <c r="AN284" s="1113"/>
      <c r="AO284" s="1094"/>
      <c r="AP284" s="1094"/>
      <c r="AQ284" s="1092"/>
      <c r="AR284" s="1094"/>
      <c r="AS284" s="1094"/>
      <c r="AT284" s="1094"/>
      <c r="AU284" s="1094"/>
      <c r="AV284" s="1094"/>
      <c r="AW284" s="1092"/>
      <c r="AX284" s="1092"/>
    </row>
    <row r="285" spans="1:50" s="1110" customFormat="1" ht="12.75" thickTop="1">
      <c r="A285" s="1524">
        <v>276</v>
      </c>
      <c r="B285" s="1106" t="s">
        <v>1379</v>
      </c>
      <c r="C285" s="1124">
        <v>628.30200000000002</v>
      </c>
      <c r="D285" s="1129"/>
      <c r="E285" s="1124"/>
      <c r="F285" s="1129"/>
      <c r="G285" s="1124"/>
      <c r="H285" s="826"/>
      <c r="I285" s="1687"/>
      <c r="J285" s="1129"/>
      <c r="K285" s="846"/>
      <c r="L285" s="1124"/>
      <c r="M285" s="1125"/>
      <c r="N285" s="1124"/>
      <c r="O285" s="1127"/>
      <c r="P285" s="1126"/>
      <c r="Q285" s="1127"/>
      <c r="R285" s="1124"/>
      <c r="S285" s="1128"/>
      <c r="T285" s="849"/>
      <c r="U285" s="1143"/>
      <c r="V285" s="2029"/>
      <c r="W285" s="849"/>
      <c r="X285" s="849"/>
      <c r="Y285" s="830"/>
      <c r="Z285" s="811"/>
      <c r="AA285" s="808"/>
      <c r="AB285" s="808"/>
      <c r="AC285" s="808"/>
      <c r="AD285" s="808"/>
      <c r="AE285" s="808"/>
      <c r="AF285" s="808"/>
      <c r="AG285" s="808"/>
      <c r="AH285" s="808"/>
      <c r="AI285" s="808"/>
      <c r="AJ285" s="808"/>
      <c r="AK285" s="840"/>
      <c r="AL285" s="854"/>
      <c r="AM285" s="855"/>
      <c r="AN285" s="843"/>
      <c r="AO285" s="834"/>
      <c r="AP285" s="834"/>
      <c r="AQ285" s="842"/>
      <c r="AR285" s="834"/>
      <c r="AS285" s="834"/>
      <c r="AT285" s="834"/>
      <c r="AU285" s="834"/>
      <c r="AV285" s="834"/>
      <c r="AW285" s="842"/>
      <c r="AX285" s="842"/>
    </row>
    <row r="286" spans="1:50" s="1110" customFormat="1">
      <c r="A286" s="1524">
        <v>277</v>
      </c>
      <c r="B286" s="1141" t="s">
        <v>459</v>
      </c>
      <c r="C286" s="1124"/>
      <c r="D286" s="1129"/>
      <c r="E286" s="1124">
        <v>108</v>
      </c>
      <c r="F286" s="1129"/>
      <c r="G286" s="826"/>
      <c r="H286" s="826"/>
      <c r="I286" s="1688">
        <v>12.47</v>
      </c>
      <c r="J286" s="1129"/>
      <c r="K286" s="1125">
        <f>+E286*I286</f>
        <v>1346.76</v>
      </c>
      <c r="L286" s="1124"/>
      <c r="M286" s="1125">
        <f>+K286</f>
        <v>1346.76</v>
      </c>
      <c r="N286" s="1124"/>
      <c r="O286" s="1127">
        <f>+E286</f>
        <v>108</v>
      </c>
      <c r="P286" s="1126"/>
      <c r="Q286" s="1127"/>
      <c r="R286" s="1124"/>
      <c r="S286" s="1142">
        <f ca="1">'wp - t-1 COSS'!$F$14</f>
        <v>15.53</v>
      </c>
      <c r="T286" s="849"/>
      <c r="U286" s="1143">
        <f ca="1">+O286*S286</f>
        <v>1677.24</v>
      </c>
      <c r="V286" s="2029"/>
      <c r="W286" s="849"/>
      <c r="X286" s="849"/>
      <c r="Y286" s="830"/>
      <c r="Z286" s="811"/>
      <c r="AA286" s="808"/>
      <c r="AB286" s="808"/>
      <c r="AC286" s="808"/>
      <c r="AD286" s="808"/>
      <c r="AE286" s="808"/>
      <c r="AF286" s="808"/>
      <c r="AG286" s="808"/>
      <c r="AH286" s="808"/>
      <c r="AI286" s="808"/>
      <c r="AJ286" s="808"/>
      <c r="AK286" s="840"/>
      <c r="AL286" s="854"/>
      <c r="AM286" s="855"/>
      <c r="AN286" s="843"/>
      <c r="AO286" s="834"/>
      <c r="AP286" s="834"/>
      <c r="AQ286" s="842"/>
      <c r="AR286" s="834"/>
      <c r="AS286" s="834"/>
      <c r="AT286" s="834"/>
      <c r="AU286" s="834"/>
      <c r="AV286" s="834"/>
      <c r="AW286" s="842"/>
      <c r="AX286" s="842"/>
    </row>
    <row r="287" spans="1:50">
      <c r="A287" s="1524">
        <v>278</v>
      </c>
      <c r="B287" s="1141" t="s">
        <v>513</v>
      </c>
      <c r="C287" s="1124"/>
      <c r="D287" s="1129"/>
      <c r="E287" s="1124"/>
      <c r="F287" s="1129"/>
      <c r="G287" s="1124">
        <v>266.702</v>
      </c>
      <c r="I287" s="1688">
        <v>7.06</v>
      </c>
      <c r="J287" s="1129"/>
      <c r="K287" s="1127">
        <f>+G287*I287</f>
        <v>1882.9161199999999</v>
      </c>
      <c r="L287" s="1124"/>
      <c r="M287" s="1125">
        <f t="shared" ref="M287:M291" si="107">+K287</f>
        <v>1882.9161199999999</v>
      </c>
      <c r="N287" s="1124"/>
      <c r="O287" s="1127"/>
      <c r="P287" s="1126"/>
      <c r="Q287" s="1127">
        <f>+G287</f>
        <v>266.702</v>
      </c>
      <c r="R287" s="1124"/>
      <c r="S287" s="2114">
        <f ca="1">'wp - t-1 COSS'!$F$32</f>
        <v>3.8170000000000002</v>
      </c>
      <c r="T287" s="849"/>
      <c r="U287" s="1143">
        <f ca="1">+Q287*S287</f>
        <v>1018.001534</v>
      </c>
      <c r="V287" s="2029"/>
      <c r="W287" s="849"/>
      <c r="X287" s="849"/>
      <c r="Y287" s="819"/>
      <c r="Z287" s="807"/>
      <c r="AA287" s="797"/>
      <c r="AB287" s="797"/>
      <c r="AC287" s="797"/>
      <c r="AD287" s="797"/>
      <c r="AE287" s="797"/>
      <c r="AF287" s="797"/>
      <c r="AG287" s="797"/>
      <c r="AH287" s="797"/>
      <c r="AI287" s="797"/>
      <c r="AJ287" s="797"/>
      <c r="AK287" s="835"/>
      <c r="AL287" s="850"/>
      <c r="AM287" s="851"/>
      <c r="AN287" s="1113"/>
      <c r="AO287" s="1094"/>
      <c r="AP287" s="1094"/>
      <c r="AQ287" s="1092"/>
      <c r="AR287" s="1094"/>
      <c r="AS287" s="1094"/>
      <c r="AT287" s="1094"/>
      <c r="AU287" s="1094"/>
      <c r="AV287" s="1094"/>
      <c r="AW287" s="1092"/>
      <c r="AX287" s="1092"/>
    </row>
    <row r="288" spans="1:50">
      <c r="A288" s="1524">
        <v>279</v>
      </c>
      <c r="B288" s="1141" t="s">
        <v>706</v>
      </c>
      <c r="C288" s="1124"/>
      <c r="D288" s="1129"/>
      <c r="E288" s="1124"/>
      <c r="F288" s="1129"/>
      <c r="G288" s="1124">
        <v>170.3</v>
      </c>
      <c r="I288" s="1688">
        <v>6.48</v>
      </c>
      <c r="J288" s="1129"/>
      <c r="K288" s="1127">
        <f t="shared" ref="K288:K291" si="108">+G288*I288</f>
        <v>1103.5440000000001</v>
      </c>
      <c r="L288" s="1124"/>
      <c r="M288" s="1125">
        <f t="shared" si="107"/>
        <v>1103.5440000000001</v>
      </c>
      <c r="N288" s="1124"/>
      <c r="O288" s="1127"/>
      <c r="P288" s="1126"/>
      <c r="Q288" s="1127">
        <f t="shared" ref="Q288:Q291" si="109">+G288</f>
        <v>170.3</v>
      </c>
      <c r="R288" s="1124"/>
      <c r="S288" s="2114">
        <f ca="1">'wp - t-1 COSS'!$F$32</f>
        <v>3.8170000000000002</v>
      </c>
      <c r="T288" s="849"/>
      <c r="U288" s="1143">
        <f t="shared" ref="U288:U291" ca="1" si="110">+Q288*S288</f>
        <v>650.03510000000006</v>
      </c>
      <c r="V288" s="2029"/>
      <c r="W288" s="849"/>
      <c r="X288" s="849"/>
      <c r="Y288" s="819" t="s">
        <v>530</v>
      </c>
      <c r="Z288" s="807"/>
      <c r="AA288" s="797"/>
      <c r="AB288" s="797"/>
      <c r="AC288" s="797"/>
      <c r="AD288" s="797"/>
      <c r="AE288" s="797"/>
      <c r="AF288" s="797"/>
      <c r="AG288" s="797"/>
      <c r="AH288" s="797"/>
      <c r="AI288" s="797"/>
      <c r="AJ288" s="797"/>
      <c r="AK288" s="835"/>
      <c r="AL288" s="836"/>
      <c r="AM288" s="1092"/>
      <c r="AN288" s="1113"/>
      <c r="AO288" s="1094"/>
      <c r="AP288" s="1094"/>
      <c r="AQ288" s="1092"/>
      <c r="AR288" s="1094"/>
      <c r="AS288" s="1094"/>
      <c r="AT288" s="1094"/>
      <c r="AU288" s="1094"/>
      <c r="AV288" s="1094"/>
      <c r="AW288" s="1092"/>
      <c r="AX288" s="1092"/>
    </row>
    <row r="289" spans="1:50">
      <c r="A289" s="1524">
        <v>280</v>
      </c>
      <c r="B289" s="1141" t="s">
        <v>707</v>
      </c>
      <c r="C289" s="1124"/>
      <c r="D289" s="1129"/>
      <c r="E289" s="1124"/>
      <c r="F289" s="1129"/>
      <c r="G289" s="1124">
        <v>61</v>
      </c>
      <c r="I289" s="1688">
        <v>5.91</v>
      </c>
      <c r="J289" s="1129"/>
      <c r="K289" s="1127">
        <f t="shared" si="108"/>
        <v>360.51</v>
      </c>
      <c r="L289" s="1124"/>
      <c r="M289" s="1125">
        <f t="shared" si="107"/>
        <v>360.51</v>
      </c>
      <c r="N289" s="1124"/>
      <c r="O289" s="1127"/>
      <c r="P289" s="1126"/>
      <c r="Q289" s="1127">
        <f t="shared" si="109"/>
        <v>61</v>
      </c>
      <c r="R289" s="1124"/>
      <c r="S289" s="2114">
        <f ca="1">'wp - t-1 COSS'!$F$32</f>
        <v>3.8170000000000002</v>
      </c>
      <c r="T289" s="849"/>
      <c r="U289" s="1143">
        <f t="shared" ca="1" si="110"/>
        <v>232.83700000000002</v>
      </c>
      <c r="V289" s="2029"/>
      <c r="W289" s="849"/>
      <c r="X289" s="849"/>
      <c r="Y289" s="819"/>
      <c r="Z289" s="807"/>
      <c r="AA289" s="797"/>
      <c r="AB289" s="797"/>
      <c r="AC289" s="797"/>
      <c r="AD289" s="797"/>
      <c r="AE289" s="797"/>
      <c r="AF289" s="797"/>
      <c r="AG289" s="797"/>
      <c r="AH289" s="797"/>
      <c r="AI289" s="797"/>
      <c r="AJ289" s="797"/>
      <c r="AK289" s="835"/>
      <c r="AL289" s="836"/>
      <c r="AM289" s="1092"/>
      <c r="AN289" s="1113"/>
      <c r="AO289" s="1094"/>
      <c r="AP289" s="1094"/>
      <c r="AQ289" s="1092"/>
      <c r="AR289" s="1094"/>
      <c r="AS289" s="1094"/>
      <c r="AT289" s="1094"/>
      <c r="AU289" s="1094"/>
      <c r="AV289" s="1094"/>
      <c r="AW289" s="1092"/>
      <c r="AX289" s="1092"/>
    </row>
    <row r="290" spans="1:50">
      <c r="A290" s="1524">
        <v>281</v>
      </c>
      <c r="B290" s="1141" t="s">
        <v>708</v>
      </c>
      <c r="C290" s="1124"/>
      <c r="D290" s="1129"/>
      <c r="E290" s="1124"/>
      <c r="F290" s="1129"/>
      <c r="G290" s="1124">
        <v>48.6</v>
      </c>
      <c r="I290" s="1688">
        <v>5.24</v>
      </c>
      <c r="J290" s="1129"/>
      <c r="K290" s="1127">
        <f t="shared" si="108"/>
        <v>254.66400000000002</v>
      </c>
      <c r="L290" s="1124"/>
      <c r="M290" s="1125">
        <f t="shared" si="107"/>
        <v>254.66400000000002</v>
      </c>
      <c r="N290" s="1124"/>
      <c r="O290" s="1127"/>
      <c r="P290" s="1126"/>
      <c r="Q290" s="1127">
        <f t="shared" si="109"/>
        <v>48.6</v>
      </c>
      <c r="R290" s="1124"/>
      <c r="S290" s="2114">
        <f ca="1">'wp - t-1 COSS'!$F$32</f>
        <v>3.8170000000000002</v>
      </c>
      <c r="T290" s="849"/>
      <c r="U290" s="1143">
        <f t="shared" ca="1" si="110"/>
        <v>185.50620000000001</v>
      </c>
      <c r="V290" s="2029"/>
      <c r="W290" s="849"/>
      <c r="X290" s="849"/>
      <c r="Y290" s="819"/>
      <c r="Z290" s="807"/>
      <c r="AA290" s="797"/>
      <c r="AB290" s="797"/>
      <c r="AC290" s="797"/>
      <c r="AD290" s="797"/>
      <c r="AE290" s="797"/>
      <c r="AF290" s="797"/>
      <c r="AG290" s="797"/>
      <c r="AH290" s="797"/>
      <c r="AI290" s="797"/>
      <c r="AJ290" s="797"/>
      <c r="AK290" s="835"/>
      <c r="AL290" s="836"/>
      <c r="AM290" s="1092"/>
      <c r="AN290" s="1113"/>
      <c r="AO290" s="1094"/>
      <c r="AP290" s="1094"/>
      <c r="AQ290" s="1092"/>
      <c r="AR290" s="1094"/>
      <c r="AS290" s="1094"/>
      <c r="AT290" s="1094"/>
      <c r="AU290" s="1094"/>
      <c r="AV290" s="1094"/>
      <c r="AW290" s="1092"/>
      <c r="AX290" s="1092"/>
    </row>
    <row r="291" spans="1:50">
      <c r="A291" s="1524">
        <v>282</v>
      </c>
      <c r="B291" s="1141" t="s">
        <v>711</v>
      </c>
      <c r="C291" s="1124"/>
      <c r="D291" s="1129"/>
      <c r="E291" s="1124"/>
      <c r="F291" s="1129"/>
      <c r="G291" s="1124">
        <v>0</v>
      </c>
      <c r="I291" s="1688">
        <v>4.58</v>
      </c>
      <c r="J291" s="1129"/>
      <c r="K291" s="1127">
        <f t="shared" si="108"/>
        <v>0</v>
      </c>
      <c r="L291" s="1124"/>
      <c r="M291" s="1125">
        <f t="shared" si="107"/>
        <v>0</v>
      </c>
      <c r="N291" s="1124"/>
      <c r="O291" s="1127"/>
      <c r="P291" s="1126"/>
      <c r="Q291" s="1127">
        <f t="shared" si="109"/>
        <v>0</v>
      </c>
      <c r="R291" s="1124"/>
      <c r="S291" s="2114">
        <f ca="1">'wp - t-1 COSS'!$F$32</f>
        <v>3.8170000000000002</v>
      </c>
      <c r="T291" s="849"/>
      <c r="U291" s="1143">
        <f t="shared" ca="1" si="110"/>
        <v>0</v>
      </c>
      <c r="V291" s="2029"/>
      <c r="W291" s="849"/>
      <c r="X291" s="849"/>
      <c r="Y291" s="819"/>
      <c r="Z291" s="807"/>
      <c r="AA291" s="797"/>
      <c r="AB291" s="797"/>
      <c r="AC291" s="797"/>
      <c r="AD291" s="797"/>
      <c r="AE291" s="797"/>
      <c r="AF291" s="797"/>
      <c r="AG291" s="797"/>
      <c r="AH291" s="797"/>
      <c r="AI291" s="797"/>
      <c r="AJ291" s="797"/>
      <c r="AK291" s="835"/>
      <c r="AL291" s="836"/>
      <c r="AM291" s="1092"/>
      <c r="AN291" s="1113"/>
      <c r="AO291" s="1094"/>
      <c r="AP291" s="1094"/>
      <c r="AQ291" s="1092"/>
      <c r="AR291" s="1094"/>
      <c r="AS291" s="1094"/>
      <c r="AT291" s="1094"/>
      <c r="AU291" s="1094"/>
      <c r="AV291" s="1094"/>
      <c r="AW291" s="1092"/>
      <c r="AX291" s="1092"/>
    </row>
    <row r="292" spans="1:50" ht="12.75" thickBot="1">
      <c r="A292" s="1524">
        <v>283</v>
      </c>
      <c r="B292" s="1150" t="s">
        <v>1378</v>
      </c>
      <c r="C292" s="1145">
        <f>SUM(C285:C291)</f>
        <v>628.30200000000002</v>
      </c>
      <c r="D292" s="1135"/>
      <c r="E292" s="1145">
        <f>SUM(E285:E291)</f>
        <v>108</v>
      </c>
      <c r="F292" s="1135"/>
      <c r="G292" s="1145">
        <f>SUM(G285:G291)</f>
        <v>546.60199999999998</v>
      </c>
      <c r="H292" s="1096"/>
      <c r="I292" s="1678"/>
      <c r="J292" s="1097"/>
      <c r="K292" s="1136">
        <f>SUM(K285:K291)</f>
        <v>4948.3941199999999</v>
      </c>
      <c r="L292" s="1096"/>
      <c r="M292" s="1136">
        <f>SUM(M285:M291)</f>
        <v>4948.3941199999999</v>
      </c>
      <c r="N292" s="1096"/>
      <c r="O292" s="1145">
        <f>SUM(O285:O291)</f>
        <v>108</v>
      </c>
      <c r="P292" s="1099"/>
      <c r="Q292" s="1145">
        <f>SUM(Q285:Q291)</f>
        <v>546.60199999999998</v>
      </c>
      <c r="R292" s="1096"/>
      <c r="S292" s="1128"/>
      <c r="T292" s="1135"/>
      <c r="U292" s="1136">
        <f ca="1">SUM(U285:U291)</f>
        <v>3763.6198339999996</v>
      </c>
      <c r="V292" s="2030"/>
      <c r="W292" s="1135"/>
      <c r="X292" s="844"/>
      <c r="Y292" s="819"/>
      <c r="Z292" s="807"/>
      <c r="AA292" s="797"/>
      <c r="AB292" s="797"/>
      <c r="AC292" s="797"/>
      <c r="AD292" s="797"/>
      <c r="AE292" s="797"/>
      <c r="AF292" s="797"/>
      <c r="AG292" s="797"/>
      <c r="AH292" s="797"/>
      <c r="AI292" s="797"/>
      <c r="AJ292" s="797"/>
      <c r="AK292" s="835"/>
      <c r="AL292" s="836"/>
      <c r="AM292" s="1092"/>
      <c r="AN292" s="1113"/>
      <c r="AO292" s="1094"/>
      <c r="AP292" s="1094"/>
      <c r="AQ292" s="1092"/>
      <c r="AR292" s="1094"/>
      <c r="AS292" s="1094"/>
      <c r="AT292" s="1094"/>
      <c r="AU292" s="1094"/>
      <c r="AV292" s="1094"/>
      <c r="AW292" s="1092"/>
      <c r="AX292" s="1092"/>
    </row>
    <row r="293" spans="1:50" ht="12.75" thickTop="1">
      <c r="A293" s="1524">
        <v>284</v>
      </c>
      <c r="B293" s="1150"/>
      <c r="C293" s="1132"/>
      <c r="D293" s="1133"/>
      <c r="E293" s="1132"/>
      <c r="F293" s="1129"/>
      <c r="G293" s="1124"/>
      <c r="H293" s="1124"/>
      <c r="I293" s="1679"/>
      <c r="J293" s="1130"/>
      <c r="K293" s="1125"/>
      <c r="L293" s="1124"/>
      <c r="M293" s="1125"/>
      <c r="N293" s="1124"/>
      <c r="O293" s="1127"/>
      <c r="P293" s="1126"/>
      <c r="Q293" s="1127"/>
      <c r="R293" s="1124"/>
      <c r="S293" s="1128"/>
      <c r="T293" s="1130"/>
      <c r="U293" s="1093"/>
      <c r="V293" s="2031"/>
      <c r="W293" s="1130"/>
      <c r="X293" s="844"/>
      <c r="Y293" s="819"/>
      <c r="Z293" s="807"/>
      <c r="AA293" s="797"/>
      <c r="AB293" s="797"/>
      <c r="AC293" s="797"/>
      <c r="AD293" s="797"/>
      <c r="AE293" s="797"/>
      <c r="AF293" s="797"/>
      <c r="AG293" s="797"/>
      <c r="AH293" s="797"/>
      <c r="AI293" s="797"/>
      <c r="AJ293" s="797"/>
      <c r="AK293" s="835"/>
      <c r="AL293" s="836"/>
      <c r="AM293" s="1092"/>
      <c r="AN293" s="1113"/>
      <c r="AO293" s="1094"/>
      <c r="AP293" s="1094"/>
      <c r="AQ293" s="1092"/>
      <c r="AR293" s="1094"/>
      <c r="AS293" s="1094"/>
      <c r="AT293" s="1094"/>
      <c r="AU293" s="1094"/>
      <c r="AV293" s="1094"/>
      <c r="AW293" s="1092"/>
      <c r="AX293" s="1092"/>
    </row>
    <row r="294" spans="1:50" ht="12.75" thickBot="1">
      <c r="A294" s="1524">
        <v>285</v>
      </c>
      <c r="B294" s="1152" t="s">
        <v>1377</v>
      </c>
      <c r="C294" s="1132"/>
      <c r="D294" s="1133"/>
      <c r="E294" s="1132"/>
      <c r="F294" s="1129"/>
      <c r="G294" s="1124"/>
      <c r="H294" s="1124"/>
      <c r="I294" s="1679"/>
      <c r="J294" s="1130"/>
      <c r="K294" s="1125"/>
      <c r="L294" s="1124"/>
      <c r="M294" s="1138">
        <f>+M292/$E292</f>
        <v>45.818464074074072</v>
      </c>
      <c r="N294" s="1124"/>
      <c r="O294" s="1127"/>
      <c r="P294" s="1126"/>
      <c r="Q294" s="1127"/>
      <c r="R294" s="1124"/>
      <c r="S294" s="1128"/>
      <c r="T294" s="1130"/>
      <c r="U294" s="1138">
        <f ca="1">+U292/$E292</f>
        <v>34.848331796296293</v>
      </c>
      <c r="V294" s="2032"/>
      <c r="W294" s="1130">
        <f ca="1">+U294-M294</f>
        <v>-10.970132277777779</v>
      </c>
      <c r="X294" s="812"/>
      <c r="Y294" s="819"/>
      <c r="Z294" s="807"/>
      <c r="AA294" s="797"/>
      <c r="AB294" s="797"/>
      <c r="AC294" s="797"/>
      <c r="AD294" s="797"/>
      <c r="AE294" s="797"/>
      <c r="AF294" s="797"/>
      <c r="AG294" s="797"/>
      <c r="AH294" s="797"/>
      <c r="AI294" s="797"/>
      <c r="AJ294" s="797"/>
      <c r="AK294" s="835"/>
      <c r="AL294" s="836"/>
      <c r="AM294" s="1092"/>
      <c r="AN294" s="1113"/>
      <c r="AO294" s="1094"/>
      <c r="AP294" s="1094"/>
      <c r="AQ294" s="1092"/>
      <c r="AR294" s="1094"/>
      <c r="AS294" s="1094"/>
      <c r="AT294" s="1094"/>
      <c r="AU294" s="1094"/>
      <c r="AV294" s="1094"/>
      <c r="AW294" s="1092"/>
      <c r="AX294" s="1092"/>
    </row>
    <row r="295" spans="1:50" s="1110" customFormat="1" ht="12.75" thickTop="1">
      <c r="A295" s="1524">
        <v>286</v>
      </c>
      <c r="B295" s="1106" t="s">
        <v>1373</v>
      </c>
      <c r="C295" s="1124">
        <v>266.40199999999999</v>
      </c>
      <c r="D295" s="1129"/>
      <c r="E295" s="1124"/>
      <c r="F295" s="1129"/>
      <c r="G295" s="1124"/>
      <c r="H295" s="1124"/>
      <c r="I295" s="1679"/>
      <c r="J295" s="1129"/>
      <c r="K295" s="1125"/>
      <c r="L295" s="1124"/>
      <c r="M295" s="1116"/>
      <c r="N295" s="1124"/>
      <c r="O295" s="1127"/>
      <c r="P295" s="1126"/>
      <c r="Q295" s="1107"/>
      <c r="R295" s="1124"/>
      <c r="S295" s="1128"/>
      <c r="T295" s="1153"/>
      <c r="U295" s="1143"/>
      <c r="V295" s="2029"/>
      <c r="W295" s="858"/>
      <c r="X295" s="858"/>
      <c r="Y295" s="811"/>
      <c r="Z295" s="811"/>
      <c r="AA295" s="808"/>
      <c r="AB295" s="808"/>
      <c r="AC295" s="808"/>
      <c r="AD295" s="808"/>
      <c r="AE295" s="808"/>
      <c r="AF295" s="808"/>
      <c r="AG295" s="808"/>
      <c r="AH295" s="808"/>
      <c r="AI295" s="808"/>
      <c r="AJ295" s="808"/>
      <c r="AK295" s="840"/>
      <c r="AL295" s="841"/>
      <c r="AM295" s="842"/>
      <c r="AN295" s="843"/>
      <c r="AO295" s="834"/>
      <c r="AP295" s="834"/>
      <c r="AQ295" s="842"/>
      <c r="AR295" s="834"/>
      <c r="AS295" s="834"/>
      <c r="AT295" s="834"/>
      <c r="AU295" s="834"/>
      <c r="AV295" s="834"/>
      <c r="AW295" s="842"/>
      <c r="AX295" s="842"/>
    </row>
    <row r="296" spans="1:50" s="1110" customFormat="1">
      <c r="A296" s="1524">
        <v>287</v>
      </c>
      <c r="B296" s="1141" t="s">
        <v>793</v>
      </c>
      <c r="C296" s="1124"/>
      <c r="D296" s="1129"/>
      <c r="E296" s="1124">
        <v>36</v>
      </c>
      <c r="F296" s="1129"/>
      <c r="G296" s="1124"/>
      <c r="H296" s="1124"/>
      <c r="I296" s="1682">
        <v>42.84</v>
      </c>
      <c r="J296" s="1129"/>
      <c r="K296" s="1125">
        <f>+E296*I296</f>
        <v>1542.2400000000002</v>
      </c>
      <c r="L296" s="1124"/>
      <c r="M296" s="1125">
        <f>+K296</f>
        <v>1542.2400000000002</v>
      </c>
      <c r="N296" s="1124"/>
      <c r="O296" s="1127">
        <f>+E296</f>
        <v>36</v>
      </c>
      <c r="P296" s="1126"/>
      <c r="Q296" s="1127"/>
      <c r="R296" s="1124"/>
      <c r="S296" s="1142">
        <f ca="1">'wp - t-1 COSS'!$F$15</f>
        <v>40.229999999999997</v>
      </c>
      <c r="T296" s="1153"/>
      <c r="U296" s="1143">
        <f ca="1">+O296*S296</f>
        <v>1448.28</v>
      </c>
      <c r="V296" s="2029"/>
      <c r="W296" s="858"/>
      <c r="X296" s="858"/>
      <c r="Y296" s="811"/>
      <c r="Z296" s="811"/>
      <c r="AA296" s="808"/>
      <c r="AB296" s="808"/>
      <c r="AC296" s="808"/>
      <c r="AD296" s="808"/>
      <c r="AE296" s="808"/>
      <c r="AF296" s="808"/>
      <c r="AG296" s="808"/>
      <c r="AH296" s="808"/>
      <c r="AI296" s="808"/>
      <c r="AJ296" s="808"/>
      <c r="AK296" s="840"/>
      <c r="AL296" s="841"/>
      <c r="AM296" s="842"/>
      <c r="AN296" s="843"/>
      <c r="AO296" s="834"/>
      <c r="AP296" s="834"/>
      <c r="AQ296" s="842"/>
      <c r="AR296" s="834"/>
      <c r="AS296" s="834"/>
      <c r="AT296" s="834"/>
      <c r="AU296" s="834"/>
      <c r="AV296" s="834"/>
      <c r="AW296" s="842"/>
      <c r="AX296" s="842"/>
    </row>
    <row r="297" spans="1:50">
      <c r="A297" s="1524">
        <v>288</v>
      </c>
      <c r="B297" s="1141" t="s">
        <v>794</v>
      </c>
      <c r="C297" s="1124"/>
      <c r="D297" s="1129"/>
      <c r="E297" s="1124"/>
      <c r="F297" s="1129"/>
      <c r="G297" s="1124">
        <v>29.6</v>
      </c>
      <c r="H297" s="1124"/>
      <c r="I297" s="1680">
        <v>7.06</v>
      </c>
      <c r="J297" s="1129"/>
      <c r="K297" s="1127">
        <f>+G297*I297</f>
        <v>208.976</v>
      </c>
      <c r="L297" s="1124"/>
      <c r="M297" s="1125">
        <f t="shared" ref="M297:M301" si="111">+K297</f>
        <v>208.976</v>
      </c>
      <c r="N297" s="1124"/>
      <c r="O297" s="1127"/>
      <c r="P297" s="1126"/>
      <c r="Q297" s="1127">
        <f>+G297</f>
        <v>29.6</v>
      </c>
      <c r="R297" s="1124"/>
      <c r="S297" s="2114">
        <f ca="1">'wp - t-1 COSS'!$F$33</f>
        <v>3.8170000000000002</v>
      </c>
      <c r="T297" s="1153"/>
      <c r="U297" s="1143">
        <f ca="1">+Q297*S297</f>
        <v>112.98320000000001</v>
      </c>
      <c r="V297" s="2029"/>
      <c r="W297" s="858"/>
      <c r="X297" s="858"/>
      <c r="Y297" s="807"/>
      <c r="Z297" s="807"/>
      <c r="AA297" s="797"/>
      <c r="AB297" s="797"/>
      <c r="AC297" s="797"/>
      <c r="AD297" s="797"/>
      <c r="AE297" s="797"/>
      <c r="AF297" s="797"/>
      <c r="AG297" s="797"/>
      <c r="AH297" s="797"/>
      <c r="AI297" s="797"/>
      <c r="AJ297" s="797"/>
      <c r="AK297" s="835"/>
      <c r="AL297" s="836"/>
      <c r="AM297" s="1092"/>
      <c r="AN297" s="1113"/>
      <c r="AO297" s="1094"/>
      <c r="AP297" s="1094"/>
      <c r="AQ297" s="1092"/>
      <c r="AR297" s="1094"/>
      <c r="AS297" s="1094"/>
      <c r="AT297" s="1094"/>
      <c r="AU297" s="1094"/>
      <c r="AV297" s="1094"/>
      <c r="AW297" s="1092"/>
      <c r="AX297" s="1092"/>
    </row>
    <row r="298" spans="1:50">
      <c r="A298" s="1524">
        <v>289</v>
      </c>
      <c r="B298" s="1141" t="s">
        <v>706</v>
      </c>
      <c r="C298" s="1124"/>
      <c r="D298" s="1129"/>
      <c r="E298" s="1124"/>
      <c r="F298" s="1129"/>
      <c r="G298" s="1124">
        <v>94.4</v>
      </c>
      <c r="H298" s="1124"/>
      <c r="I298" s="1680">
        <v>6.48</v>
      </c>
      <c r="J298" s="1129"/>
      <c r="K298" s="1127">
        <f t="shared" ref="K298:K301" si="112">+G298*I298</f>
        <v>611.7120000000001</v>
      </c>
      <c r="L298" s="1124"/>
      <c r="M298" s="1125">
        <f t="shared" si="111"/>
        <v>611.7120000000001</v>
      </c>
      <c r="N298" s="1124"/>
      <c r="O298" s="1127"/>
      <c r="P298" s="1126"/>
      <c r="Q298" s="1127">
        <f t="shared" ref="Q298:Q301" si="113">+G298</f>
        <v>94.4</v>
      </c>
      <c r="R298" s="1124"/>
      <c r="S298" s="2114">
        <f ca="1">'wp - t-1 COSS'!$F$33</f>
        <v>3.8170000000000002</v>
      </c>
      <c r="T298" s="1153"/>
      <c r="U298" s="1143">
        <f t="shared" ref="U298:U301" ca="1" si="114">+Q298*S298</f>
        <v>360.32480000000004</v>
      </c>
      <c r="V298" s="2029"/>
      <c r="W298" s="858"/>
      <c r="X298" s="858"/>
      <c r="Y298" s="807"/>
      <c r="Z298" s="807"/>
      <c r="AA298" s="797"/>
      <c r="AB298" s="797"/>
      <c r="AC298" s="797"/>
      <c r="AD298" s="797"/>
      <c r="AE298" s="797"/>
      <c r="AF298" s="797"/>
      <c r="AG298" s="797"/>
      <c r="AH298" s="797"/>
      <c r="AI298" s="797"/>
      <c r="AJ298" s="797"/>
      <c r="AK298" s="859"/>
      <c r="AL298" s="860"/>
      <c r="AM298" s="861"/>
      <c r="AN298" s="1094"/>
      <c r="AO298" s="1094"/>
      <c r="AP298" s="1094"/>
      <c r="AQ298" s="1094"/>
      <c r="AR298" s="1094"/>
      <c r="AS298" s="1094"/>
      <c r="AT298" s="1094"/>
      <c r="AU298" s="812"/>
      <c r="AV298" s="812"/>
      <c r="AW298" s="812"/>
      <c r="AX298" s="812"/>
    </row>
    <row r="299" spans="1:50">
      <c r="A299" s="1524">
        <v>290</v>
      </c>
      <c r="B299" s="1141" t="s">
        <v>707</v>
      </c>
      <c r="C299" s="1124"/>
      <c r="D299" s="1129"/>
      <c r="E299" s="1124"/>
      <c r="F299" s="1129"/>
      <c r="G299" s="1124">
        <v>31.9</v>
      </c>
      <c r="H299" s="1124"/>
      <c r="I299" s="1680">
        <v>5.91</v>
      </c>
      <c r="J299" s="1129"/>
      <c r="K299" s="1127">
        <f t="shared" si="112"/>
        <v>188.529</v>
      </c>
      <c r="L299" s="1124"/>
      <c r="M299" s="1125">
        <f t="shared" si="111"/>
        <v>188.529</v>
      </c>
      <c r="N299" s="1124"/>
      <c r="O299" s="1127"/>
      <c r="P299" s="1126"/>
      <c r="Q299" s="1127">
        <f t="shared" si="113"/>
        <v>31.9</v>
      </c>
      <c r="R299" s="1124"/>
      <c r="S299" s="2114">
        <f ca="1">'wp - t-1 COSS'!$F$33</f>
        <v>3.8170000000000002</v>
      </c>
      <c r="T299" s="1153"/>
      <c r="U299" s="1143">
        <f t="shared" ca="1" si="114"/>
        <v>121.7623</v>
      </c>
      <c r="V299" s="2029"/>
      <c r="W299" s="858"/>
      <c r="X299" s="858"/>
      <c r="Y299" s="807"/>
      <c r="Z299" s="807"/>
      <c r="AA299" s="797"/>
      <c r="AB299" s="797"/>
      <c r="AC299" s="797"/>
      <c r="AD299" s="797"/>
      <c r="AE299" s="797"/>
      <c r="AF299" s="797"/>
      <c r="AG299" s="797"/>
      <c r="AH299" s="797"/>
      <c r="AI299" s="797"/>
      <c r="AJ299" s="797"/>
      <c r="AK299" s="859"/>
      <c r="AL299" s="860"/>
      <c r="AM299" s="861"/>
      <c r="AN299" s="1094"/>
      <c r="AO299" s="1094"/>
      <c r="AP299" s="1094"/>
      <c r="AQ299" s="1094"/>
      <c r="AR299" s="1094"/>
      <c r="AS299" s="1094"/>
      <c r="AT299" s="1094"/>
      <c r="AU299" s="812"/>
      <c r="AV299" s="812"/>
      <c r="AW299" s="812"/>
      <c r="AX299" s="812"/>
    </row>
    <row r="300" spans="1:50">
      <c r="A300" s="1524">
        <v>291</v>
      </c>
      <c r="B300" s="1141" t="s">
        <v>708</v>
      </c>
      <c r="C300" s="1124"/>
      <c r="D300" s="1129"/>
      <c r="E300" s="1124"/>
      <c r="F300" s="1129"/>
      <c r="G300" s="1124">
        <v>0</v>
      </c>
      <c r="H300" s="1124"/>
      <c r="I300" s="1680">
        <v>5.24</v>
      </c>
      <c r="J300" s="1129"/>
      <c r="K300" s="1127">
        <f t="shared" si="112"/>
        <v>0</v>
      </c>
      <c r="L300" s="1124"/>
      <c r="M300" s="1125">
        <f t="shared" si="111"/>
        <v>0</v>
      </c>
      <c r="N300" s="1124"/>
      <c r="O300" s="1127"/>
      <c r="P300" s="1126"/>
      <c r="Q300" s="1127">
        <f t="shared" si="113"/>
        <v>0</v>
      </c>
      <c r="R300" s="1124"/>
      <c r="S300" s="2114">
        <f ca="1">'wp - t-1 COSS'!$F$33</f>
        <v>3.8170000000000002</v>
      </c>
      <c r="T300" s="1153"/>
      <c r="U300" s="1143">
        <f t="shared" ca="1" si="114"/>
        <v>0</v>
      </c>
      <c r="V300" s="2029"/>
      <c r="W300" s="858"/>
      <c r="X300" s="858"/>
      <c r="Y300" s="807"/>
      <c r="Z300" s="807"/>
      <c r="AA300" s="797"/>
      <c r="AB300" s="797"/>
      <c r="AC300" s="797"/>
      <c r="AD300" s="797"/>
      <c r="AE300" s="797"/>
      <c r="AF300" s="797"/>
      <c r="AG300" s="797"/>
      <c r="AH300" s="797"/>
      <c r="AI300" s="797"/>
      <c r="AJ300" s="797"/>
      <c r="AK300" s="859"/>
      <c r="AL300" s="860"/>
      <c r="AM300" s="861"/>
      <c r="AN300" s="1094"/>
      <c r="AO300" s="1094"/>
      <c r="AP300" s="1094"/>
      <c r="AQ300" s="1094"/>
      <c r="AR300" s="1094"/>
      <c r="AS300" s="1094"/>
      <c r="AT300" s="1094"/>
      <c r="AU300" s="812"/>
      <c r="AV300" s="812"/>
      <c r="AW300" s="812"/>
      <c r="AX300" s="812"/>
    </row>
    <row r="301" spans="1:50">
      <c r="A301" s="1524">
        <v>292</v>
      </c>
      <c r="B301" s="1141" t="s">
        <v>711</v>
      </c>
      <c r="C301" s="1124"/>
      <c r="D301" s="1129"/>
      <c r="E301" s="1124"/>
      <c r="F301" s="1129"/>
      <c r="G301" s="1124">
        <v>0</v>
      </c>
      <c r="H301" s="1124"/>
      <c r="I301" s="1680">
        <v>4.58</v>
      </c>
      <c r="J301" s="1129"/>
      <c r="K301" s="1127">
        <f t="shared" si="112"/>
        <v>0</v>
      </c>
      <c r="L301" s="1124"/>
      <c r="M301" s="1125">
        <f t="shared" si="111"/>
        <v>0</v>
      </c>
      <c r="N301" s="1124"/>
      <c r="O301" s="1127"/>
      <c r="P301" s="1126"/>
      <c r="Q301" s="1127">
        <f t="shared" si="113"/>
        <v>0</v>
      </c>
      <c r="R301" s="1124"/>
      <c r="S301" s="2114">
        <f ca="1">'wp - t-1 COSS'!$F$33</f>
        <v>3.8170000000000002</v>
      </c>
      <c r="T301" s="1153"/>
      <c r="U301" s="1143">
        <f t="shared" ca="1" si="114"/>
        <v>0</v>
      </c>
      <c r="V301" s="2029"/>
      <c r="W301" s="858"/>
      <c r="X301" s="858"/>
      <c r="Y301" s="807"/>
      <c r="Z301" s="807"/>
      <c r="AA301" s="797"/>
      <c r="AB301" s="797"/>
      <c r="AC301" s="797"/>
      <c r="AD301" s="797"/>
      <c r="AE301" s="797"/>
      <c r="AF301" s="797"/>
      <c r="AG301" s="797"/>
      <c r="AH301" s="797"/>
      <c r="AI301" s="797"/>
      <c r="AJ301" s="797"/>
      <c r="AK301" s="859"/>
      <c r="AL301" s="860"/>
      <c r="AM301" s="861"/>
      <c r="AN301" s="1094"/>
      <c r="AO301" s="1094"/>
      <c r="AP301" s="1094"/>
      <c r="AQ301" s="1094"/>
      <c r="AR301" s="1094"/>
      <c r="AS301" s="1094"/>
      <c r="AT301" s="1094"/>
      <c r="AU301" s="812"/>
      <c r="AV301" s="812"/>
      <c r="AW301" s="812"/>
      <c r="AX301" s="812"/>
    </row>
    <row r="302" spans="1:50" ht="12.75" thickBot="1">
      <c r="A302" s="1524">
        <v>293</v>
      </c>
      <c r="B302" s="1150" t="s">
        <v>1372</v>
      </c>
      <c r="C302" s="1145">
        <f>SUM(C295:C301)</f>
        <v>266.40199999999999</v>
      </c>
      <c r="D302" s="1135"/>
      <c r="E302" s="1145">
        <f>SUM(E295:E301)</f>
        <v>36</v>
      </c>
      <c r="F302" s="1135"/>
      <c r="G302" s="1145">
        <f>SUM(G295:G301)</f>
        <v>155.9</v>
      </c>
      <c r="H302" s="1096"/>
      <c r="I302" s="1678"/>
      <c r="J302" s="1097"/>
      <c r="K302" s="1136">
        <f>SUM(K295:K301)</f>
        <v>2551.4570000000003</v>
      </c>
      <c r="L302" s="1096"/>
      <c r="M302" s="1136">
        <f>SUM(M295:M301)</f>
        <v>2551.4570000000003</v>
      </c>
      <c r="N302" s="1096"/>
      <c r="O302" s="1145">
        <f>SUM(O295:O301)</f>
        <v>36</v>
      </c>
      <c r="P302" s="1099"/>
      <c r="Q302" s="1145">
        <f>SUM(Q295:Q301)</f>
        <v>155.9</v>
      </c>
      <c r="R302" s="1096"/>
      <c r="S302" s="1128"/>
      <c r="T302" s="1135"/>
      <c r="U302" s="1136">
        <f ca="1">SUM(U295:U301)</f>
        <v>2043.3503000000001</v>
      </c>
      <c r="V302" s="2030"/>
      <c r="W302" s="1135"/>
      <c r="X302" s="858"/>
      <c r="Y302" s="807"/>
      <c r="Z302" s="807"/>
      <c r="AA302" s="797"/>
      <c r="AB302" s="797"/>
      <c r="AC302" s="797"/>
      <c r="AD302" s="797"/>
      <c r="AE302" s="797"/>
      <c r="AF302" s="797"/>
      <c r="AG302" s="797"/>
      <c r="AH302" s="797"/>
      <c r="AI302" s="797"/>
      <c r="AJ302" s="797"/>
      <c r="AK302" s="859"/>
      <c r="AL302" s="860"/>
      <c r="AM302" s="861"/>
      <c r="AN302" s="1094"/>
      <c r="AO302" s="1094"/>
      <c r="AP302" s="1094"/>
      <c r="AQ302" s="1094"/>
      <c r="AR302" s="1094"/>
      <c r="AS302" s="1094"/>
      <c r="AT302" s="1094"/>
      <c r="AU302" s="812"/>
      <c r="AV302" s="812"/>
      <c r="AW302" s="812"/>
      <c r="AX302" s="812"/>
    </row>
    <row r="303" spans="1:50" ht="12.75" thickTop="1">
      <c r="A303" s="1524">
        <v>294</v>
      </c>
      <c r="B303" s="1150"/>
      <c r="C303" s="1132"/>
      <c r="D303" s="1133"/>
      <c r="E303" s="1132"/>
      <c r="F303" s="1129"/>
      <c r="G303" s="1124"/>
      <c r="H303" s="1124"/>
      <c r="I303" s="1679"/>
      <c r="J303" s="1130"/>
      <c r="K303" s="1125"/>
      <c r="L303" s="1124"/>
      <c r="M303" s="1125"/>
      <c r="N303" s="1124"/>
      <c r="O303" s="1127"/>
      <c r="P303" s="1126"/>
      <c r="Q303" s="1127"/>
      <c r="R303" s="1124"/>
      <c r="S303" s="1128"/>
      <c r="T303" s="1130"/>
      <c r="U303" s="1093"/>
      <c r="V303" s="2031"/>
      <c r="W303" s="1130"/>
      <c r="X303" s="858"/>
      <c r="Y303" s="807"/>
      <c r="Z303" s="807"/>
      <c r="AA303" s="797"/>
      <c r="AB303" s="797"/>
      <c r="AC303" s="797"/>
      <c r="AD303" s="797"/>
      <c r="AE303" s="797"/>
      <c r="AF303" s="797"/>
      <c r="AG303" s="797"/>
      <c r="AH303" s="797"/>
      <c r="AI303" s="797"/>
      <c r="AJ303" s="797"/>
      <c r="AK303" s="859"/>
      <c r="AL303" s="860"/>
      <c r="AM303" s="861"/>
      <c r="AN303" s="1094"/>
      <c r="AO303" s="1094"/>
      <c r="AP303" s="1094"/>
      <c r="AQ303" s="1094"/>
      <c r="AR303" s="1094"/>
      <c r="AS303" s="1094"/>
      <c r="AT303" s="1094"/>
      <c r="AU303" s="812"/>
      <c r="AV303" s="812"/>
      <c r="AW303" s="812"/>
      <c r="AX303" s="812"/>
    </row>
    <row r="304" spans="1:50" ht="12.75" thickBot="1">
      <c r="A304" s="1524">
        <v>295</v>
      </c>
      <c r="B304" s="1151" t="s">
        <v>1371</v>
      </c>
      <c r="C304" s="1132"/>
      <c r="D304" s="1133"/>
      <c r="E304" s="1132"/>
      <c r="F304" s="1129"/>
      <c r="G304" s="1124"/>
      <c r="H304" s="1124"/>
      <c r="I304" s="1679"/>
      <c r="J304" s="1130"/>
      <c r="K304" s="1125"/>
      <c r="L304" s="1124"/>
      <c r="M304" s="1138">
        <f>+M302/$E302</f>
        <v>70.873805555555563</v>
      </c>
      <c r="N304" s="1124"/>
      <c r="O304" s="1127"/>
      <c r="P304" s="1126"/>
      <c r="Q304" s="1127"/>
      <c r="R304" s="1124"/>
      <c r="S304" s="1128"/>
      <c r="T304" s="1130"/>
      <c r="U304" s="1138">
        <f ca="1">+U302/$E302</f>
        <v>56.759730555555556</v>
      </c>
      <c r="V304" s="2032"/>
      <c r="W304" s="1130">
        <f ca="1">+U304-M304</f>
        <v>-14.114075000000007</v>
      </c>
      <c r="X304" s="1130">
        <f ca="1">W304/M304</f>
        <v>-0.19914374414305244</v>
      </c>
      <c r="Y304" s="807"/>
      <c r="Z304" s="807"/>
      <c r="AA304" s="797"/>
      <c r="AB304" s="797"/>
      <c r="AC304" s="797"/>
      <c r="AD304" s="797"/>
      <c r="AE304" s="797"/>
      <c r="AF304" s="797"/>
      <c r="AG304" s="797"/>
      <c r="AH304" s="797"/>
      <c r="AI304" s="797"/>
      <c r="AJ304" s="797"/>
      <c r="AK304" s="859"/>
      <c r="AL304" s="860"/>
      <c r="AM304" s="861"/>
      <c r="AN304" s="1094"/>
      <c r="AO304" s="1094"/>
      <c r="AP304" s="1094"/>
      <c r="AQ304" s="1094"/>
      <c r="AR304" s="1094"/>
      <c r="AS304" s="1094"/>
      <c r="AT304" s="1094"/>
      <c r="AU304" s="812"/>
      <c r="AV304" s="812"/>
      <c r="AW304" s="812"/>
      <c r="AX304" s="812"/>
    </row>
    <row r="305" spans="1:50" ht="12.75" thickTop="1">
      <c r="A305" s="1524">
        <v>296</v>
      </c>
      <c r="B305" s="1106" t="s">
        <v>1370</v>
      </c>
      <c r="C305" s="1124">
        <v>162.90199999999999</v>
      </c>
      <c r="D305" s="1129"/>
      <c r="E305" s="1124"/>
      <c r="F305" s="1129"/>
      <c r="G305" s="1124"/>
      <c r="H305" s="1124"/>
      <c r="I305" s="1687"/>
      <c r="J305" s="1129"/>
      <c r="K305" s="1125"/>
      <c r="L305" s="1124"/>
      <c r="M305" s="1125"/>
      <c r="N305" s="1124"/>
      <c r="O305" s="1127"/>
      <c r="P305" s="1126"/>
      <c r="Q305" s="1127"/>
      <c r="R305" s="1124"/>
      <c r="S305" s="1128"/>
      <c r="T305" s="1153"/>
      <c r="U305" s="1143"/>
      <c r="V305" s="2029"/>
      <c r="W305" s="858"/>
      <c r="X305" s="858"/>
      <c r="Y305" s="807"/>
      <c r="Z305" s="807"/>
      <c r="AA305" s="797"/>
      <c r="AB305" s="797"/>
      <c r="AC305" s="797"/>
      <c r="AD305" s="797"/>
      <c r="AE305" s="797"/>
      <c r="AF305" s="797"/>
      <c r="AG305" s="797"/>
      <c r="AH305" s="797"/>
      <c r="AI305" s="797"/>
      <c r="AJ305" s="797"/>
      <c r="AK305" s="859"/>
      <c r="AL305" s="860"/>
      <c r="AM305" s="861"/>
      <c r="AN305" s="1094"/>
      <c r="AO305" s="1094"/>
      <c r="AP305" s="1094"/>
      <c r="AQ305" s="1094"/>
      <c r="AR305" s="1094"/>
      <c r="AS305" s="1094"/>
      <c r="AT305" s="1094"/>
      <c r="AU305" s="812"/>
      <c r="AV305" s="812"/>
      <c r="AW305" s="812"/>
      <c r="AX305" s="812"/>
    </row>
    <row r="306" spans="1:50">
      <c r="A306" s="1524">
        <v>297</v>
      </c>
      <c r="B306" s="1141" t="s">
        <v>793</v>
      </c>
      <c r="C306" s="1124"/>
      <c r="D306" s="1129"/>
      <c r="E306" s="1124">
        <v>48</v>
      </c>
      <c r="F306" s="1129"/>
      <c r="G306" s="1124"/>
      <c r="H306" s="1124"/>
      <c r="I306" s="1682">
        <v>42.84</v>
      </c>
      <c r="J306" s="1129"/>
      <c r="K306" s="1125">
        <f>+E306*I306</f>
        <v>2056.3200000000002</v>
      </c>
      <c r="L306" s="1124"/>
      <c r="M306" s="1125">
        <f>+K306</f>
        <v>2056.3200000000002</v>
      </c>
      <c r="N306" s="1124"/>
      <c r="O306" s="1127">
        <f>+E306</f>
        <v>48</v>
      </c>
      <c r="P306" s="1126"/>
      <c r="Q306" s="1127"/>
      <c r="R306" s="1124"/>
      <c r="S306" s="1142">
        <f ca="1">'wp - t-1 COSS'!$F$15</f>
        <v>40.229999999999997</v>
      </c>
      <c r="T306" s="1153"/>
      <c r="U306" s="1143">
        <f ca="1">+O306*S306</f>
        <v>1931.04</v>
      </c>
      <c r="V306" s="2029"/>
      <c r="W306" s="858"/>
      <c r="X306" s="858"/>
      <c r="Y306" s="807"/>
      <c r="Z306" s="807"/>
      <c r="AA306" s="797"/>
      <c r="AB306" s="797"/>
      <c r="AC306" s="797"/>
      <c r="AD306" s="797"/>
      <c r="AE306" s="797"/>
      <c r="AF306" s="797"/>
      <c r="AG306" s="797"/>
      <c r="AH306" s="797"/>
      <c r="AI306" s="797"/>
      <c r="AJ306" s="797"/>
      <c r="AK306" s="859"/>
      <c r="AL306" s="860"/>
      <c r="AM306" s="861"/>
      <c r="AN306" s="1094"/>
      <c r="AO306" s="1094"/>
      <c r="AP306" s="1094"/>
      <c r="AQ306" s="1094"/>
      <c r="AR306" s="1094"/>
      <c r="AS306" s="1094"/>
      <c r="AT306" s="1094"/>
      <c r="AU306" s="812"/>
      <c r="AV306" s="812"/>
      <c r="AW306" s="812"/>
      <c r="AX306" s="812"/>
    </row>
    <row r="307" spans="1:50">
      <c r="A307" s="1524">
        <v>298</v>
      </c>
      <c r="B307" s="1141" t="s">
        <v>794</v>
      </c>
      <c r="C307" s="1124"/>
      <c r="D307" s="1129"/>
      <c r="E307" s="1124"/>
      <c r="F307" s="1129"/>
      <c r="G307" s="1124">
        <v>48.6</v>
      </c>
      <c r="H307" s="1124"/>
      <c r="I307" s="1680">
        <v>7.06</v>
      </c>
      <c r="J307" s="1129"/>
      <c r="K307" s="1127">
        <f>+G307*I307</f>
        <v>343.11599999999999</v>
      </c>
      <c r="L307" s="1124"/>
      <c r="M307" s="1125">
        <f t="shared" ref="M307:M311" si="115">+K307</f>
        <v>343.11599999999999</v>
      </c>
      <c r="N307" s="1124"/>
      <c r="O307" s="1127"/>
      <c r="P307" s="1126"/>
      <c r="Q307" s="1127">
        <f>+G307</f>
        <v>48.6</v>
      </c>
      <c r="R307" s="1124"/>
      <c r="S307" s="2114">
        <f ca="1">'wp - t-1 COSS'!$F$33</f>
        <v>3.8170000000000002</v>
      </c>
      <c r="T307" s="1153"/>
      <c r="U307" s="1143">
        <f ca="1">+Q307*S307</f>
        <v>185.50620000000001</v>
      </c>
      <c r="V307" s="2029"/>
      <c r="W307" s="858"/>
      <c r="X307" s="858"/>
      <c r="Y307" s="807"/>
      <c r="Z307" s="807"/>
      <c r="AA307" s="797"/>
      <c r="AB307" s="797"/>
      <c r="AC307" s="797"/>
      <c r="AD307" s="797"/>
      <c r="AE307" s="797"/>
      <c r="AF307" s="797"/>
      <c r="AG307" s="797"/>
      <c r="AH307" s="797"/>
      <c r="AI307" s="797"/>
      <c r="AJ307" s="797"/>
      <c r="AK307" s="859"/>
      <c r="AL307" s="860"/>
      <c r="AM307" s="861"/>
      <c r="AN307" s="1094"/>
      <c r="AO307" s="1094"/>
      <c r="AP307" s="1094"/>
      <c r="AQ307" s="1094"/>
      <c r="AR307" s="1094"/>
      <c r="AS307" s="1094"/>
      <c r="AT307" s="1094"/>
      <c r="AU307" s="812"/>
      <c r="AV307" s="812"/>
      <c r="AW307" s="812"/>
      <c r="AX307" s="812"/>
    </row>
    <row r="308" spans="1:50">
      <c r="A308" s="1524">
        <v>299</v>
      </c>
      <c r="B308" s="1141" t="s">
        <v>706</v>
      </c>
      <c r="C308" s="1124"/>
      <c r="D308" s="1129"/>
      <c r="E308" s="1124"/>
      <c r="F308" s="1129"/>
      <c r="G308" s="1124">
        <v>13.401</v>
      </c>
      <c r="H308" s="1124"/>
      <c r="I308" s="1680">
        <v>6.48</v>
      </c>
      <c r="J308" s="1129"/>
      <c r="K308" s="1127">
        <f t="shared" ref="K308:K311" si="116">+G308*I308</f>
        <v>86.838480000000004</v>
      </c>
      <c r="L308" s="1124"/>
      <c r="M308" s="1125">
        <f t="shared" si="115"/>
        <v>86.838480000000004</v>
      </c>
      <c r="N308" s="1124"/>
      <c r="O308" s="1127"/>
      <c r="P308" s="1126"/>
      <c r="Q308" s="1127">
        <f t="shared" ref="Q308:Q311" si="117">+G308</f>
        <v>13.401</v>
      </c>
      <c r="R308" s="1124"/>
      <c r="S308" s="2114">
        <f ca="1">'wp - t-1 COSS'!$F$33</f>
        <v>3.8170000000000002</v>
      </c>
      <c r="T308" s="1153"/>
      <c r="U308" s="1143">
        <f t="shared" ref="U308:U311" ca="1" si="118">+Q308*S308</f>
        <v>51.151617000000002</v>
      </c>
      <c r="V308" s="2029"/>
      <c r="W308" s="858"/>
      <c r="X308" s="858"/>
      <c r="Y308" s="807"/>
      <c r="Z308" s="807"/>
      <c r="AA308" s="797"/>
      <c r="AB308" s="797"/>
      <c r="AC308" s="797"/>
      <c r="AD308" s="797"/>
      <c r="AE308" s="797"/>
      <c r="AF308" s="797"/>
      <c r="AG308" s="797"/>
      <c r="AH308" s="797"/>
      <c r="AI308" s="797"/>
      <c r="AJ308" s="797"/>
      <c r="AK308" s="859"/>
      <c r="AL308" s="860"/>
      <c r="AM308" s="861"/>
      <c r="AN308" s="1094"/>
      <c r="AO308" s="1094"/>
      <c r="AP308" s="1094"/>
      <c r="AQ308" s="1094"/>
      <c r="AR308" s="1094"/>
      <c r="AS308" s="1094"/>
      <c r="AT308" s="1094"/>
      <c r="AU308" s="812"/>
      <c r="AV308" s="812"/>
      <c r="AW308" s="812"/>
      <c r="AX308" s="812"/>
    </row>
    <row r="309" spans="1:50">
      <c r="A309" s="1524">
        <v>300</v>
      </c>
      <c r="B309" s="1141" t="s">
        <v>707</v>
      </c>
      <c r="C309" s="1124"/>
      <c r="D309" s="1129"/>
      <c r="E309" s="1124"/>
      <c r="F309" s="1129"/>
      <c r="G309" s="1124">
        <v>0</v>
      </c>
      <c r="H309" s="1124"/>
      <c r="I309" s="1680">
        <v>5.91</v>
      </c>
      <c r="J309" s="1129"/>
      <c r="K309" s="1127">
        <f t="shared" si="116"/>
        <v>0</v>
      </c>
      <c r="L309" s="1124"/>
      <c r="M309" s="1125">
        <f t="shared" si="115"/>
        <v>0</v>
      </c>
      <c r="N309" s="1124"/>
      <c r="O309" s="1127"/>
      <c r="P309" s="1126"/>
      <c r="Q309" s="1127">
        <f t="shared" si="117"/>
        <v>0</v>
      </c>
      <c r="R309" s="1124"/>
      <c r="S309" s="2114">
        <f ca="1">'wp - t-1 COSS'!$F$33</f>
        <v>3.8170000000000002</v>
      </c>
      <c r="T309" s="1153"/>
      <c r="U309" s="1143">
        <f t="shared" ca="1" si="118"/>
        <v>0</v>
      </c>
      <c r="V309" s="2029"/>
      <c r="W309" s="858"/>
      <c r="X309" s="858"/>
      <c r="Y309" s="807"/>
      <c r="Z309" s="807"/>
      <c r="AA309" s="797"/>
      <c r="AB309" s="797"/>
      <c r="AC309" s="797"/>
      <c r="AD309" s="797"/>
      <c r="AE309" s="797"/>
      <c r="AF309" s="797"/>
      <c r="AG309" s="797"/>
      <c r="AH309" s="797"/>
      <c r="AI309" s="797"/>
      <c r="AJ309" s="797"/>
      <c r="AK309" s="859"/>
      <c r="AL309" s="860"/>
      <c r="AM309" s="861"/>
      <c r="AN309" s="1094"/>
      <c r="AO309" s="1094"/>
      <c r="AP309" s="1094"/>
      <c r="AQ309" s="1094"/>
      <c r="AR309" s="1094"/>
      <c r="AS309" s="1094"/>
      <c r="AT309" s="1094"/>
      <c r="AU309" s="812"/>
      <c r="AV309" s="812"/>
      <c r="AW309" s="812"/>
      <c r="AX309" s="812"/>
    </row>
    <row r="310" spans="1:50">
      <c r="A310" s="1524">
        <v>301</v>
      </c>
      <c r="B310" s="1141" t="s">
        <v>708</v>
      </c>
      <c r="C310" s="1124"/>
      <c r="D310" s="1129"/>
      <c r="E310" s="1124"/>
      <c r="F310" s="1129"/>
      <c r="G310" s="1124">
        <v>0</v>
      </c>
      <c r="H310" s="1124"/>
      <c r="I310" s="1680">
        <v>5.24</v>
      </c>
      <c r="J310" s="1129"/>
      <c r="K310" s="1127">
        <f t="shared" si="116"/>
        <v>0</v>
      </c>
      <c r="L310" s="1124"/>
      <c r="M310" s="1125">
        <f t="shared" si="115"/>
        <v>0</v>
      </c>
      <c r="N310" s="1124"/>
      <c r="O310" s="1127"/>
      <c r="P310" s="1126"/>
      <c r="Q310" s="1127">
        <f t="shared" si="117"/>
        <v>0</v>
      </c>
      <c r="R310" s="1124"/>
      <c r="S310" s="2114">
        <f ca="1">'wp - t-1 COSS'!$F$33</f>
        <v>3.8170000000000002</v>
      </c>
      <c r="T310" s="1153"/>
      <c r="U310" s="1143">
        <f t="shared" ca="1" si="118"/>
        <v>0</v>
      </c>
      <c r="V310" s="2029"/>
      <c r="W310" s="858"/>
      <c r="X310" s="858"/>
      <c r="Y310" s="807"/>
      <c r="Z310" s="807"/>
      <c r="AA310" s="797"/>
      <c r="AB310" s="797"/>
      <c r="AC310" s="797"/>
      <c r="AD310" s="797"/>
      <c r="AE310" s="797"/>
      <c r="AF310" s="797"/>
      <c r="AG310" s="797"/>
      <c r="AH310" s="797"/>
      <c r="AI310" s="797"/>
      <c r="AJ310" s="797"/>
      <c r="AK310" s="859"/>
      <c r="AL310" s="860"/>
      <c r="AM310" s="861"/>
      <c r="AN310" s="1094"/>
      <c r="AO310" s="1094"/>
      <c r="AP310" s="1094"/>
      <c r="AQ310" s="1094"/>
      <c r="AR310" s="1094"/>
      <c r="AS310" s="1094"/>
      <c r="AT310" s="1094"/>
      <c r="AU310" s="812"/>
      <c r="AV310" s="812"/>
      <c r="AW310" s="812"/>
      <c r="AX310" s="812"/>
    </row>
    <row r="311" spans="1:50">
      <c r="A311" s="1524">
        <v>302</v>
      </c>
      <c r="B311" s="1141" t="s">
        <v>711</v>
      </c>
      <c r="C311" s="1124"/>
      <c r="D311" s="1129"/>
      <c r="E311" s="1124"/>
      <c r="F311" s="1129"/>
      <c r="G311" s="1124">
        <v>0</v>
      </c>
      <c r="H311" s="1124"/>
      <c r="I311" s="1680">
        <v>4.58</v>
      </c>
      <c r="J311" s="1129"/>
      <c r="K311" s="1127">
        <f t="shared" si="116"/>
        <v>0</v>
      </c>
      <c r="L311" s="1124"/>
      <c r="M311" s="1125">
        <f t="shared" si="115"/>
        <v>0</v>
      </c>
      <c r="N311" s="1124"/>
      <c r="O311" s="1127"/>
      <c r="P311" s="1126"/>
      <c r="Q311" s="1127">
        <f t="shared" si="117"/>
        <v>0</v>
      </c>
      <c r="R311" s="1124"/>
      <c r="S311" s="2114">
        <f ca="1">'wp - t-1 COSS'!$F$33</f>
        <v>3.8170000000000002</v>
      </c>
      <c r="T311" s="1153"/>
      <c r="U311" s="1143">
        <f t="shared" ca="1" si="118"/>
        <v>0</v>
      </c>
      <c r="V311" s="2029"/>
      <c r="W311" s="858"/>
      <c r="X311" s="858"/>
      <c r="Y311" s="807"/>
      <c r="Z311" s="807"/>
      <c r="AA311" s="797"/>
      <c r="AB311" s="797"/>
      <c r="AC311" s="797"/>
      <c r="AD311" s="797"/>
      <c r="AE311" s="797"/>
      <c r="AF311" s="797"/>
      <c r="AG311" s="797"/>
      <c r="AH311" s="797"/>
      <c r="AI311" s="797"/>
      <c r="AJ311" s="797"/>
      <c r="AK311" s="859"/>
      <c r="AL311" s="860"/>
      <c r="AM311" s="861"/>
      <c r="AN311" s="1094"/>
      <c r="AO311" s="1094"/>
      <c r="AP311" s="1094"/>
      <c r="AQ311" s="1094"/>
      <c r="AR311" s="1094"/>
      <c r="AS311" s="1094"/>
      <c r="AT311" s="1094"/>
      <c r="AU311" s="812"/>
      <c r="AV311" s="812"/>
      <c r="AW311" s="812"/>
      <c r="AX311" s="812"/>
    </row>
    <row r="312" spans="1:50" ht="12.75" thickBot="1">
      <c r="A312" s="1524">
        <v>303</v>
      </c>
      <c r="B312" s="1150" t="s">
        <v>1369</v>
      </c>
      <c r="C312" s="1145">
        <f>SUM(C305:C311)</f>
        <v>162.90199999999999</v>
      </c>
      <c r="D312" s="1135"/>
      <c r="E312" s="1145">
        <f>SUM(E305:E311)</f>
        <v>48</v>
      </c>
      <c r="F312" s="1135"/>
      <c r="G312" s="1145">
        <f>SUM(G305:G311)</f>
        <v>62.001000000000005</v>
      </c>
      <c r="H312" s="1096"/>
      <c r="I312" s="1678"/>
      <c r="J312" s="1097"/>
      <c r="K312" s="1136">
        <f>SUM(K305:K311)</f>
        <v>2486.27448</v>
      </c>
      <c r="L312" s="1096"/>
      <c r="M312" s="1136">
        <f>SUM(M305:M311)</f>
        <v>2486.27448</v>
      </c>
      <c r="N312" s="1096"/>
      <c r="O312" s="1145">
        <f>SUM(O305:O311)</f>
        <v>48</v>
      </c>
      <c r="P312" s="1099"/>
      <c r="Q312" s="1145">
        <f>SUM(Q305:Q311)</f>
        <v>62.001000000000005</v>
      </c>
      <c r="R312" s="1096"/>
      <c r="S312" s="1128"/>
      <c r="T312" s="1135"/>
      <c r="U312" s="1136">
        <f ca="1">SUM(U305:U311)</f>
        <v>2167.6978169999998</v>
      </c>
      <c r="V312" s="2030"/>
      <c r="W312" s="1135"/>
      <c r="X312" s="858"/>
      <c r="Y312" s="807"/>
      <c r="Z312" s="807"/>
      <c r="AA312" s="797"/>
      <c r="AB312" s="797"/>
      <c r="AC312" s="797"/>
      <c r="AD312" s="797"/>
      <c r="AE312" s="797"/>
      <c r="AF312" s="797"/>
      <c r="AG312" s="797"/>
      <c r="AH312" s="797"/>
      <c r="AI312" s="797"/>
      <c r="AJ312" s="797"/>
      <c r="AK312" s="859"/>
      <c r="AL312" s="860"/>
      <c r="AM312" s="861"/>
      <c r="AN312" s="1094"/>
      <c r="AO312" s="1094"/>
      <c r="AP312" s="1094"/>
      <c r="AQ312" s="1094"/>
      <c r="AR312" s="1094"/>
      <c r="AS312" s="1094"/>
      <c r="AT312" s="1094"/>
      <c r="AU312" s="812"/>
      <c r="AV312" s="812"/>
      <c r="AW312" s="812"/>
      <c r="AX312" s="812"/>
    </row>
    <row r="313" spans="1:50" ht="12.75" thickTop="1">
      <c r="A313" s="1524">
        <v>304</v>
      </c>
      <c r="B313" s="1150"/>
      <c r="C313" s="1132"/>
      <c r="D313" s="1133"/>
      <c r="E313" s="1132"/>
      <c r="F313" s="1129"/>
      <c r="G313" s="1124"/>
      <c r="H313" s="1124"/>
      <c r="I313" s="1679"/>
      <c r="J313" s="1130"/>
      <c r="K313" s="1125"/>
      <c r="L313" s="1124"/>
      <c r="M313" s="1125"/>
      <c r="N313" s="1124"/>
      <c r="O313" s="1127"/>
      <c r="P313" s="1126"/>
      <c r="Q313" s="1127"/>
      <c r="R313" s="1124"/>
      <c r="S313" s="1128"/>
      <c r="T313" s="1130"/>
      <c r="U313" s="1093"/>
      <c r="V313" s="2031"/>
      <c r="W313" s="1130"/>
      <c r="X313" s="858"/>
      <c r="Y313" s="807"/>
      <c r="Z313" s="807"/>
      <c r="AA313" s="797"/>
      <c r="AB313" s="797"/>
      <c r="AC313" s="797"/>
      <c r="AD313" s="797"/>
      <c r="AE313" s="797"/>
      <c r="AF313" s="797"/>
      <c r="AG313" s="797"/>
      <c r="AH313" s="797"/>
      <c r="AI313" s="797"/>
      <c r="AJ313" s="797"/>
      <c r="AK313" s="859"/>
      <c r="AL313" s="860"/>
      <c r="AM313" s="861"/>
      <c r="AN313" s="1094"/>
      <c r="AO313" s="1094"/>
      <c r="AP313" s="1094"/>
      <c r="AQ313" s="1094"/>
      <c r="AR313" s="1094"/>
      <c r="AS313" s="1094"/>
      <c r="AT313" s="1094"/>
      <c r="AU313" s="812"/>
      <c r="AV313" s="812"/>
      <c r="AW313" s="812"/>
      <c r="AX313" s="812"/>
    </row>
    <row r="314" spans="1:50" ht="12.75" thickBot="1">
      <c r="A314" s="1524">
        <v>305</v>
      </c>
      <c r="B314" s="1151" t="s">
        <v>1368</v>
      </c>
      <c r="C314" s="1132"/>
      <c r="D314" s="1133"/>
      <c r="E314" s="1132"/>
      <c r="F314" s="1129"/>
      <c r="G314" s="1124"/>
      <c r="H314" s="1124"/>
      <c r="I314" s="1679"/>
      <c r="J314" s="1130"/>
      <c r="K314" s="1125"/>
      <c r="L314" s="1124"/>
      <c r="M314" s="1138">
        <f>+M312/$E312</f>
        <v>51.797384999999998</v>
      </c>
      <c r="N314" s="1124"/>
      <c r="O314" s="1127"/>
      <c r="P314" s="1126"/>
      <c r="Q314" s="1127"/>
      <c r="R314" s="1124"/>
      <c r="S314" s="1128"/>
      <c r="T314" s="1130"/>
      <c r="U314" s="1138">
        <f ca="1">+U312/$E312</f>
        <v>45.160371187499997</v>
      </c>
      <c r="V314" s="2032"/>
      <c r="W314" s="1130">
        <f ca="1">+U314-M314</f>
        <v>-6.6370138125000011</v>
      </c>
      <c r="X314" s="1130">
        <f ca="1">W314/M314</f>
        <v>-0.12813414832621378</v>
      </c>
      <c r="Y314" s="807"/>
      <c r="Z314" s="807"/>
      <c r="AA314" s="797"/>
      <c r="AB314" s="797"/>
      <c r="AC314" s="797"/>
      <c r="AD314" s="797"/>
      <c r="AE314" s="797"/>
      <c r="AF314" s="797"/>
      <c r="AG314" s="797"/>
      <c r="AH314" s="797"/>
      <c r="AI314" s="797"/>
      <c r="AJ314" s="797"/>
      <c r="AK314" s="859"/>
      <c r="AL314" s="860"/>
      <c r="AM314" s="861"/>
      <c r="AN314" s="1094"/>
      <c r="AO314" s="1094"/>
      <c r="AP314" s="1094"/>
      <c r="AQ314" s="1094"/>
      <c r="AR314" s="1094"/>
      <c r="AS314" s="1094"/>
      <c r="AT314" s="1094"/>
      <c r="AU314" s="812"/>
      <c r="AV314" s="812"/>
      <c r="AW314" s="812"/>
      <c r="AX314" s="812"/>
    </row>
    <row r="315" spans="1:50" ht="12.75" thickTop="1">
      <c r="A315" s="1524">
        <v>306</v>
      </c>
      <c r="B315" s="1106" t="s">
        <v>3582</v>
      </c>
      <c r="C315" s="1124">
        <v>1344.3</v>
      </c>
      <c r="D315" s="1129"/>
      <c r="E315" s="1124"/>
      <c r="F315" s="1129"/>
      <c r="G315" s="1124"/>
      <c r="H315" s="1124"/>
      <c r="I315" s="1679"/>
      <c r="J315" s="1129"/>
      <c r="K315" s="1125"/>
      <c r="L315" s="1124"/>
      <c r="M315" s="1125"/>
      <c r="N315" s="1124"/>
      <c r="O315" s="1127"/>
      <c r="P315" s="1126"/>
      <c r="Q315" s="1127"/>
      <c r="R315" s="1124"/>
      <c r="S315" s="1128"/>
      <c r="T315" s="1153"/>
      <c r="U315" s="1143"/>
      <c r="V315" s="2029"/>
      <c r="W315" s="858"/>
      <c r="X315" s="858"/>
      <c r="Y315" s="807"/>
      <c r="Z315" s="807"/>
      <c r="AA315" s="797"/>
      <c r="AB315" s="797"/>
      <c r="AC315" s="797"/>
      <c r="AD315" s="797"/>
      <c r="AE315" s="797"/>
      <c r="AF315" s="797"/>
      <c r="AG315" s="797"/>
      <c r="AH315" s="797"/>
      <c r="AI315" s="797"/>
      <c r="AJ315" s="797"/>
      <c r="AK315" s="859"/>
      <c r="AL315" s="860"/>
      <c r="AM315" s="861"/>
      <c r="AN315" s="1094"/>
      <c r="AO315" s="1094"/>
      <c r="AP315" s="1094"/>
      <c r="AQ315" s="1094"/>
      <c r="AR315" s="1094"/>
      <c r="AS315" s="1094"/>
      <c r="AT315" s="1094"/>
      <c r="AU315" s="812"/>
      <c r="AV315" s="812"/>
      <c r="AW315" s="812"/>
      <c r="AX315" s="812"/>
    </row>
    <row r="316" spans="1:50">
      <c r="A316" s="1524">
        <v>307</v>
      </c>
      <c r="B316" s="1141" t="s">
        <v>793</v>
      </c>
      <c r="C316" s="1124"/>
      <c r="D316" s="1129"/>
      <c r="E316" s="1124">
        <v>84</v>
      </c>
      <c r="F316" s="1129"/>
      <c r="G316" s="1124"/>
      <c r="H316" s="1124"/>
      <c r="I316" s="1682">
        <v>42.84</v>
      </c>
      <c r="J316" s="1129"/>
      <c r="K316" s="1125">
        <f>+E316*I316</f>
        <v>3598.5600000000004</v>
      </c>
      <c r="L316" s="1124"/>
      <c r="M316" s="1125">
        <f>+K316</f>
        <v>3598.5600000000004</v>
      </c>
      <c r="N316" s="1124"/>
      <c r="O316" s="1127">
        <f>+E316</f>
        <v>84</v>
      </c>
      <c r="P316" s="1126"/>
      <c r="Q316" s="1127"/>
      <c r="R316" s="1124"/>
      <c r="S316" s="1142">
        <f ca="1">'wp - t-1 COSS'!$F$15</f>
        <v>40.229999999999997</v>
      </c>
      <c r="T316" s="1153"/>
      <c r="U316" s="1143">
        <f ca="1">+O316*S316</f>
        <v>3379.3199999999997</v>
      </c>
      <c r="V316" s="2029"/>
      <c r="W316" s="858"/>
      <c r="X316" s="858"/>
      <c r="Y316" s="807"/>
      <c r="Z316" s="807"/>
      <c r="AA316" s="797"/>
      <c r="AB316" s="797"/>
      <c r="AC316" s="797"/>
      <c r="AD316" s="797"/>
      <c r="AE316" s="797"/>
      <c r="AF316" s="797"/>
      <c r="AG316" s="797"/>
      <c r="AH316" s="797"/>
      <c r="AI316" s="797"/>
      <c r="AJ316" s="797"/>
      <c r="AK316" s="859"/>
      <c r="AL316" s="860"/>
      <c r="AM316" s="861"/>
      <c r="AN316" s="1094"/>
      <c r="AO316" s="1094"/>
      <c r="AP316" s="1094"/>
      <c r="AQ316" s="1094"/>
      <c r="AR316" s="1094"/>
      <c r="AS316" s="1094"/>
      <c r="AT316" s="1094"/>
      <c r="AU316" s="812"/>
      <c r="AV316" s="812"/>
      <c r="AW316" s="812"/>
      <c r="AX316" s="812"/>
    </row>
    <row r="317" spans="1:50">
      <c r="A317" s="1524">
        <v>308</v>
      </c>
      <c r="B317" s="1141" t="s">
        <v>794</v>
      </c>
      <c r="C317" s="1124"/>
      <c r="D317" s="1129"/>
      <c r="E317" s="1124"/>
      <c r="F317" s="1129"/>
      <c r="G317" s="1124">
        <v>299.60000000000002</v>
      </c>
      <c r="H317" s="1124"/>
      <c r="I317" s="1680">
        <v>7.06</v>
      </c>
      <c r="J317" s="1129"/>
      <c r="K317" s="1127">
        <f>+G317*I317</f>
        <v>2115.1759999999999</v>
      </c>
      <c r="L317" s="1124"/>
      <c r="M317" s="1125">
        <f t="shared" ref="M317:M321" si="119">+K317</f>
        <v>2115.1759999999999</v>
      </c>
      <c r="N317" s="1124"/>
      <c r="O317" s="1127"/>
      <c r="P317" s="1126"/>
      <c r="Q317" s="1127">
        <f>+G317</f>
        <v>299.60000000000002</v>
      </c>
      <c r="R317" s="1124"/>
      <c r="S317" s="2114">
        <f ca="1">'wp - t-1 COSS'!$F$33</f>
        <v>3.8170000000000002</v>
      </c>
      <c r="T317" s="1153"/>
      <c r="U317" s="1143">
        <f ca="1">+Q317*S317</f>
        <v>1143.5732</v>
      </c>
      <c r="V317" s="2029"/>
      <c r="W317" s="858"/>
      <c r="X317" s="858"/>
      <c r="Y317" s="807"/>
      <c r="Z317" s="807"/>
      <c r="AA317" s="797"/>
      <c r="AB317" s="797"/>
      <c r="AC317" s="797"/>
      <c r="AD317" s="797"/>
      <c r="AE317" s="797"/>
      <c r="AF317" s="797"/>
      <c r="AG317" s="797"/>
      <c r="AH317" s="797"/>
      <c r="AI317" s="797"/>
      <c r="AJ317" s="797"/>
      <c r="AK317" s="859"/>
      <c r="AL317" s="860"/>
      <c r="AM317" s="861"/>
      <c r="AN317" s="1094"/>
      <c r="AO317" s="1094"/>
      <c r="AP317" s="1094"/>
      <c r="AQ317" s="1094"/>
      <c r="AR317" s="1094"/>
      <c r="AS317" s="1094"/>
      <c r="AT317" s="1094"/>
      <c r="AU317" s="812"/>
      <c r="AV317" s="812"/>
      <c r="AW317" s="812"/>
      <c r="AX317" s="812"/>
    </row>
    <row r="318" spans="1:50">
      <c r="A318" s="1524">
        <v>309</v>
      </c>
      <c r="B318" s="1141" t="s">
        <v>706</v>
      </c>
      <c r="C318" s="1124"/>
      <c r="D318" s="1129"/>
      <c r="E318" s="1124"/>
      <c r="F318" s="1129"/>
      <c r="G318" s="1124">
        <v>546.79999999999995</v>
      </c>
      <c r="H318" s="1124"/>
      <c r="I318" s="1680">
        <v>6.48</v>
      </c>
      <c r="J318" s="1129"/>
      <c r="K318" s="1127">
        <f t="shared" ref="K318:K321" si="120">+G318*I318</f>
        <v>3543.2640000000001</v>
      </c>
      <c r="L318" s="1124"/>
      <c r="M318" s="1125">
        <f t="shared" si="119"/>
        <v>3543.2640000000001</v>
      </c>
      <c r="N318" s="1124"/>
      <c r="O318" s="1127"/>
      <c r="P318" s="1126"/>
      <c r="Q318" s="1127">
        <f t="shared" ref="Q318:Q321" si="121">+G318</f>
        <v>546.79999999999995</v>
      </c>
      <c r="R318" s="1124"/>
      <c r="S318" s="2114">
        <f ca="1">'wp - t-1 COSS'!$F$33</f>
        <v>3.8170000000000002</v>
      </c>
      <c r="T318" s="1153"/>
      <c r="U318" s="1143">
        <f t="shared" ref="U318:U321" ca="1" si="122">+Q318*S318</f>
        <v>2087.1356000000001</v>
      </c>
      <c r="V318" s="2029"/>
      <c r="W318" s="858"/>
      <c r="X318" s="858"/>
      <c r="Y318" s="807"/>
      <c r="Z318" s="807"/>
      <c r="AA318" s="797"/>
      <c r="AB318" s="797"/>
      <c r="AC318" s="797"/>
      <c r="AD318" s="797"/>
      <c r="AE318" s="797"/>
      <c r="AF318" s="797"/>
      <c r="AG318" s="797"/>
      <c r="AH318" s="797"/>
      <c r="AI318" s="797"/>
      <c r="AJ318" s="797"/>
      <c r="AK318" s="859"/>
      <c r="AL318" s="860"/>
      <c r="AM318" s="861"/>
      <c r="AN318" s="1094"/>
      <c r="AO318" s="1094"/>
      <c r="AP318" s="1094"/>
      <c r="AQ318" s="1094"/>
      <c r="AR318" s="1094"/>
      <c r="AS318" s="1094"/>
      <c r="AT318" s="1094"/>
      <c r="AU318" s="812"/>
      <c r="AV318" s="812"/>
      <c r="AW318" s="812"/>
      <c r="AX318" s="812"/>
    </row>
    <row r="319" spans="1:50">
      <c r="A319" s="1524">
        <v>310</v>
      </c>
      <c r="B319" s="1141" t="s">
        <v>707</v>
      </c>
      <c r="C319" s="1124"/>
      <c r="D319" s="1129"/>
      <c r="E319" s="1124"/>
      <c r="F319" s="1129"/>
      <c r="G319" s="1124">
        <v>52.7</v>
      </c>
      <c r="H319" s="1124"/>
      <c r="I319" s="1680">
        <v>5.91</v>
      </c>
      <c r="J319" s="1129"/>
      <c r="K319" s="1127">
        <f t="shared" si="120"/>
        <v>311.45700000000005</v>
      </c>
      <c r="L319" s="1124"/>
      <c r="M319" s="1125">
        <f t="shared" si="119"/>
        <v>311.45700000000005</v>
      </c>
      <c r="N319" s="1124"/>
      <c r="O319" s="1127"/>
      <c r="P319" s="1126"/>
      <c r="Q319" s="1127">
        <f t="shared" si="121"/>
        <v>52.7</v>
      </c>
      <c r="R319" s="1124"/>
      <c r="S319" s="2114">
        <f ca="1">'wp - t-1 COSS'!$F$33</f>
        <v>3.8170000000000002</v>
      </c>
      <c r="T319" s="1153"/>
      <c r="U319" s="1143">
        <f t="shared" ca="1" si="122"/>
        <v>201.15590000000003</v>
      </c>
      <c r="V319" s="2029"/>
      <c r="W319" s="858"/>
      <c r="X319" s="858"/>
      <c r="Y319" s="807"/>
      <c r="Z319" s="807"/>
      <c r="AA319" s="797"/>
      <c r="AB319" s="797"/>
      <c r="AC319" s="797"/>
      <c r="AD319" s="797"/>
      <c r="AE319" s="797"/>
      <c r="AF319" s="797"/>
      <c r="AG319" s="797"/>
      <c r="AH319" s="797"/>
      <c r="AI319" s="797"/>
      <c r="AJ319" s="797"/>
      <c r="AK319" s="859"/>
      <c r="AL319" s="860"/>
      <c r="AM319" s="861"/>
      <c r="AN319" s="1094"/>
      <c r="AO319" s="1094"/>
      <c r="AP319" s="1094"/>
      <c r="AQ319" s="1094"/>
      <c r="AR319" s="1094"/>
      <c r="AS319" s="1094"/>
      <c r="AT319" s="1094"/>
      <c r="AU319" s="812"/>
      <c r="AV319" s="812"/>
      <c r="AW319" s="812"/>
      <c r="AX319" s="812"/>
    </row>
    <row r="320" spans="1:50">
      <c r="A320" s="1524">
        <v>311</v>
      </c>
      <c r="B320" s="1141" t="s">
        <v>708</v>
      </c>
      <c r="C320" s="1124"/>
      <c r="D320" s="1129"/>
      <c r="E320" s="1124"/>
      <c r="F320" s="1129"/>
      <c r="G320" s="1124">
        <v>0</v>
      </c>
      <c r="H320" s="1124"/>
      <c r="I320" s="1680">
        <v>5.24</v>
      </c>
      <c r="J320" s="1129"/>
      <c r="K320" s="1127">
        <f t="shared" si="120"/>
        <v>0</v>
      </c>
      <c r="L320" s="1124"/>
      <c r="M320" s="1125">
        <f t="shared" si="119"/>
        <v>0</v>
      </c>
      <c r="N320" s="1124"/>
      <c r="O320" s="1127"/>
      <c r="P320" s="1126"/>
      <c r="Q320" s="1127">
        <f t="shared" si="121"/>
        <v>0</v>
      </c>
      <c r="R320" s="1124"/>
      <c r="S320" s="2114">
        <f ca="1">'wp - t-1 COSS'!$F$33</f>
        <v>3.8170000000000002</v>
      </c>
      <c r="T320" s="1153"/>
      <c r="U320" s="1143">
        <f t="shared" ca="1" si="122"/>
        <v>0</v>
      </c>
      <c r="V320" s="2029"/>
      <c r="W320" s="858"/>
      <c r="X320" s="858"/>
      <c r="Y320" s="807"/>
      <c r="Z320" s="807"/>
      <c r="AA320" s="797"/>
      <c r="AB320" s="797"/>
      <c r="AC320" s="797"/>
      <c r="AD320" s="797"/>
      <c r="AE320" s="797"/>
      <c r="AF320" s="797"/>
      <c r="AG320" s="797"/>
      <c r="AH320" s="797"/>
      <c r="AI320" s="797"/>
      <c r="AJ320" s="797"/>
      <c r="AK320" s="859"/>
      <c r="AL320" s="860"/>
      <c r="AM320" s="861"/>
      <c r="AN320" s="1094"/>
      <c r="AO320" s="1094"/>
      <c r="AP320" s="1094"/>
      <c r="AQ320" s="1094"/>
      <c r="AR320" s="1094"/>
      <c r="AS320" s="1094"/>
      <c r="AT320" s="1094"/>
      <c r="AU320" s="812"/>
      <c r="AV320" s="812"/>
      <c r="AW320" s="812"/>
      <c r="AX320" s="812"/>
    </row>
    <row r="321" spans="1:50">
      <c r="A321" s="1524">
        <v>312</v>
      </c>
      <c r="B321" s="1141" t="s">
        <v>711</v>
      </c>
      <c r="C321" s="1124"/>
      <c r="D321" s="1129"/>
      <c r="E321" s="1124"/>
      <c r="F321" s="1129"/>
      <c r="G321" s="1124">
        <v>0</v>
      </c>
      <c r="H321" s="1124"/>
      <c r="I321" s="1680">
        <v>4.58</v>
      </c>
      <c r="J321" s="1129"/>
      <c r="K321" s="1127">
        <f t="shared" si="120"/>
        <v>0</v>
      </c>
      <c r="L321" s="1124"/>
      <c r="M321" s="1125">
        <f t="shared" si="119"/>
        <v>0</v>
      </c>
      <c r="N321" s="1124"/>
      <c r="O321" s="1127"/>
      <c r="P321" s="1126"/>
      <c r="Q321" s="1127">
        <f t="shared" si="121"/>
        <v>0</v>
      </c>
      <c r="R321" s="1124"/>
      <c r="S321" s="2114">
        <f ca="1">'wp - t-1 COSS'!$F$33</f>
        <v>3.8170000000000002</v>
      </c>
      <c r="T321" s="1153"/>
      <c r="U321" s="1143">
        <f t="shared" ca="1" si="122"/>
        <v>0</v>
      </c>
      <c r="V321" s="2029"/>
      <c r="W321" s="858"/>
      <c r="X321" s="858"/>
      <c r="Y321" s="807"/>
      <c r="Z321" s="807"/>
      <c r="AA321" s="797"/>
      <c r="AB321" s="797"/>
      <c r="AC321" s="797"/>
      <c r="AD321" s="797"/>
      <c r="AE321" s="797"/>
      <c r="AF321" s="797"/>
      <c r="AG321" s="797"/>
      <c r="AH321" s="797"/>
      <c r="AI321" s="797"/>
      <c r="AJ321" s="797"/>
      <c r="AK321" s="859"/>
      <c r="AL321" s="860"/>
      <c r="AM321" s="861"/>
      <c r="AN321" s="1094"/>
      <c r="AO321" s="1094"/>
      <c r="AP321" s="1094"/>
      <c r="AQ321" s="1094"/>
      <c r="AR321" s="1094"/>
      <c r="AS321" s="1094"/>
      <c r="AT321" s="1094"/>
      <c r="AU321" s="812"/>
      <c r="AV321" s="812"/>
      <c r="AW321" s="812"/>
      <c r="AX321" s="812"/>
    </row>
    <row r="322" spans="1:50" ht="12.75" thickBot="1">
      <c r="A322" s="1524">
        <v>313</v>
      </c>
      <c r="B322" s="1150" t="s">
        <v>3583</v>
      </c>
      <c r="C322" s="1134">
        <f>SUM(C315:C320)</f>
        <v>1344.3</v>
      </c>
      <c r="D322" s="1135"/>
      <c r="E322" s="1134">
        <f>SUM(E315:E320)</f>
        <v>84</v>
      </c>
      <c r="F322" s="1135"/>
      <c r="G322" s="1134">
        <f>SUM(G315:G321)</f>
        <v>899.1</v>
      </c>
      <c r="H322" s="1096"/>
      <c r="I322" s="1678"/>
      <c r="J322" s="1097"/>
      <c r="K322" s="1146">
        <f>SUM(K316:K321)</f>
        <v>9568.4570000000003</v>
      </c>
      <c r="L322" s="1096"/>
      <c r="M322" s="1146">
        <f>SUM(M316:M321)</f>
        <v>9568.4570000000003</v>
      </c>
      <c r="N322" s="1096"/>
      <c r="O322" s="1134">
        <f>SUM(O315:O320)</f>
        <v>84</v>
      </c>
      <c r="P322" s="1099"/>
      <c r="Q322" s="1134">
        <f>SUM(Q315:R321)</f>
        <v>899.1</v>
      </c>
      <c r="R322" s="1096"/>
      <c r="S322" s="1142"/>
      <c r="T322" s="1135"/>
      <c r="U322" s="1146">
        <f ca="1">SUM(U316:U321)</f>
        <v>6811.1846999999998</v>
      </c>
      <c r="V322" s="2030"/>
      <c r="W322" s="1135"/>
      <c r="X322" s="858"/>
      <c r="Y322" s="807"/>
      <c r="Z322" s="807"/>
      <c r="AA322" s="797"/>
      <c r="AB322" s="797"/>
      <c r="AC322" s="797"/>
      <c r="AD322" s="797"/>
      <c r="AE322" s="797"/>
      <c r="AF322" s="797"/>
      <c r="AG322" s="797"/>
      <c r="AH322" s="797"/>
      <c r="AI322" s="797"/>
      <c r="AJ322" s="797"/>
      <c r="AK322" s="859"/>
      <c r="AL322" s="860"/>
      <c r="AM322" s="861"/>
      <c r="AN322" s="1094"/>
      <c r="AO322" s="1094"/>
      <c r="AP322" s="1094"/>
      <c r="AQ322" s="1094"/>
      <c r="AR322" s="1094"/>
      <c r="AS322" s="1094"/>
      <c r="AT322" s="1094"/>
      <c r="AU322" s="812"/>
      <c r="AV322" s="812"/>
      <c r="AW322" s="812"/>
      <c r="AX322" s="812"/>
    </row>
    <row r="323" spans="1:50" ht="12.75" thickTop="1">
      <c r="A323" s="1524">
        <v>314</v>
      </c>
      <c r="B323" s="1150"/>
      <c r="C323" s="1132"/>
      <c r="D323" s="1133"/>
      <c r="E323" s="1132"/>
      <c r="F323" s="1129"/>
      <c r="G323" s="1124"/>
      <c r="H323" s="1124"/>
      <c r="I323" s="1679"/>
      <c r="J323" s="1130"/>
      <c r="K323" s="1125"/>
      <c r="L323" s="1124"/>
      <c r="M323" s="1125"/>
      <c r="N323" s="1124"/>
      <c r="O323" s="1127"/>
      <c r="P323" s="1126"/>
      <c r="Q323" s="1127"/>
      <c r="R323" s="1124"/>
      <c r="S323" s="1128"/>
      <c r="T323" s="1130"/>
      <c r="U323" s="1093"/>
      <c r="V323" s="2031"/>
      <c r="W323" s="1130"/>
      <c r="X323" s="858"/>
      <c r="Y323" s="807"/>
      <c r="Z323" s="807"/>
      <c r="AA323" s="797"/>
      <c r="AB323" s="797"/>
      <c r="AC323" s="797"/>
      <c r="AD323" s="797"/>
      <c r="AE323" s="797"/>
      <c r="AF323" s="797"/>
      <c r="AG323" s="797"/>
      <c r="AH323" s="797"/>
      <c r="AI323" s="797"/>
      <c r="AJ323" s="797"/>
      <c r="AK323" s="859"/>
      <c r="AL323" s="860"/>
      <c r="AM323" s="861"/>
      <c r="AN323" s="1094"/>
      <c r="AO323" s="1094"/>
      <c r="AP323" s="1094"/>
      <c r="AQ323" s="1094"/>
      <c r="AR323" s="1094"/>
      <c r="AS323" s="1094"/>
      <c r="AT323" s="1094"/>
      <c r="AU323" s="812"/>
      <c r="AV323" s="812"/>
      <c r="AW323" s="812"/>
      <c r="AX323" s="812"/>
    </row>
    <row r="324" spans="1:50" ht="12.75" thickBot="1">
      <c r="A324" s="1524">
        <v>315</v>
      </c>
      <c r="B324" s="1119" t="s">
        <v>3584</v>
      </c>
      <c r="C324" s="1132"/>
      <c r="D324" s="1133"/>
      <c r="E324" s="1132"/>
      <c r="F324" s="1129"/>
      <c r="G324" s="1124"/>
      <c r="H324" s="1124"/>
      <c r="I324" s="1679"/>
      <c r="J324" s="1130"/>
      <c r="K324" s="1125"/>
      <c r="L324" s="1124"/>
      <c r="M324" s="1138">
        <f>+M322/$E322</f>
        <v>113.91020238095238</v>
      </c>
      <c r="N324" s="1124"/>
      <c r="O324" s="1127"/>
      <c r="P324" s="1126"/>
      <c r="Q324" s="1127"/>
      <c r="R324" s="1124"/>
      <c r="S324" s="1128"/>
      <c r="T324" s="1130"/>
      <c r="U324" s="1138">
        <f ca="1">+U322/$E322</f>
        <v>81.085532142857147</v>
      </c>
      <c r="V324" s="2032"/>
      <c r="W324" s="1130">
        <f ca="1">+U324-M324</f>
        <v>-32.824670238095237</v>
      </c>
      <c r="X324" s="812"/>
      <c r="Y324" s="807"/>
      <c r="Z324" s="807"/>
      <c r="AA324" s="797"/>
      <c r="AB324" s="797"/>
      <c r="AC324" s="797"/>
      <c r="AD324" s="797"/>
      <c r="AE324" s="797"/>
      <c r="AF324" s="797"/>
      <c r="AG324" s="797"/>
      <c r="AH324" s="797"/>
      <c r="AI324" s="797"/>
      <c r="AJ324" s="797"/>
      <c r="AK324" s="859"/>
      <c r="AL324" s="860"/>
      <c r="AM324" s="861"/>
      <c r="AN324" s="1094"/>
      <c r="AO324" s="1094"/>
      <c r="AP324" s="1094"/>
      <c r="AQ324" s="1094"/>
      <c r="AR324" s="1094"/>
      <c r="AS324" s="1094"/>
      <c r="AT324" s="1094"/>
      <c r="AU324" s="812"/>
      <c r="AV324" s="812"/>
      <c r="AW324" s="812"/>
      <c r="AX324" s="812"/>
    </row>
    <row r="325" spans="1:50" ht="12.75" thickTop="1">
      <c r="A325" s="1524">
        <v>316</v>
      </c>
      <c r="B325" s="1106" t="s">
        <v>1367</v>
      </c>
      <c r="C325" s="1124">
        <v>1563.502</v>
      </c>
      <c r="D325" s="1129"/>
      <c r="E325" s="1124"/>
      <c r="F325" s="1129"/>
      <c r="G325" s="1124"/>
      <c r="H325" s="1124"/>
      <c r="I325" s="1679"/>
      <c r="J325" s="1129"/>
      <c r="K325" s="1125"/>
      <c r="L325" s="1124"/>
      <c r="M325" s="1125"/>
      <c r="N325" s="1124"/>
      <c r="O325" s="1127"/>
      <c r="P325" s="1126"/>
      <c r="Q325" s="1127"/>
      <c r="R325" s="1124"/>
      <c r="S325" s="1128"/>
      <c r="T325" s="1153"/>
      <c r="U325" s="1143"/>
      <c r="V325" s="2029"/>
      <c r="W325" s="858"/>
      <c r="X325" s="858"/>
      <c r="Y325" s="807"/>
      <c r="Z325" s="807"/>
      <c r="AA325" s="797"/>
      <c r="AB325" s="797"/>
      <c r="AC325" s="797"/>
      <c r="AD325" s="797"/>
      <c r="AE325" s="797"/>
      <c r="AF325" s="797"/>
      <c r="AG325" s="797"/>
      <c r="AH325" s="797"/>
      <c r="AI325" s="797"/>
      <c r="AJ325" s="797"/>
      <c r="AK325" s="859"/>
      <c r="AL325" s="860"/>
      <c r="AM325" s="861"/>
      <c r="AN325" s="1094"/>
      <c r="AO325" s="1094"/>
      <c r="AP325" s="1094"/>
      <c r="AQ325" s="1094"/>
      <c r="AR325" s="1094"/>
      <c r="AS325" s="1094"/>
      <c r="AT325" s="1094"/>
      <c r="AU325" s="812"/>
      <c r="AV325" s="812"/>
      <c r="AW325" s="812"/>
      <c r="AX325" s="812"/>
    </row>
    <row r="326" spans="1:50">
      <c r="A326" s="1524">
        <v>317</v>
      </c>
      <c r="B326" s="1141" t="s">
        <v>795</v>
      </c>
      <c r="C326" s="1124"/>
      <c r="D326" s="1129"/>
      <c r="E326" s="1124">
        <v>24</v>
      </c>
      <c r="F326" s="1129"/>
      <c r="G326" s="1124"/>
      <c r="H326" s="1124"/>
      <c r="I326" s="1682">
        <v>83.81</v>
      </c>
      <c r="J326" s="1129"/>
      <c r="K326" s="1125">
        <f>+E326*I326</f>
        <v>2011.44</v>
      </c>
      <c r="L326" s="1124"/>
      <c r="M326" s="1125">
        <f>+K326</f>
        <v>2011.44</v>
      </c>
      <c r="N326" s="1124"/>
      <c r="O326" s="1127">
        <f>+E326</f>
        <v>24</v>
      </c>
      <c r="P326" s="1126"/>
      <c r="Q326" s="1127"/>
      <c r="R326" s="1124"/>
      <c r="S326" s="1142">
        <f ca="1">'wp - t-1 COSS'!$F$16</f>
        <v>81.41</v>
      </c>
      <c r="T326" s="1153"/>
      <c r="U326" s="1143">
        <f ca="1">+O326*S326</f>
        <v>1953.84</v>
      </c>
      <c r="V326" s="2029"/>
      <c r="W326" s="858"/>
      <c r="X326" s="858"/>
      <c r="Y326" s="807"/>
      <c r="Z326" s="807"/>
      <c r="AA326" s="797"/>
      <c r="AB326" s="797"/>
      <c r="AC326" s="797"/>
      <c r="AD326" s="797"/>
      <c r="AE326" s="797"/>
      <c r="AF326" s="797"/>
      <c r="AG326" s="797"/>
      <c r="AH326" s="797"/>
      <c r="AI326" s="797"/>
      <c r="AJ326" s="797"/>
      <c r="AK326" s="859"/>
      <c r="AL326" s="860"/>
      <c r="AM326" s="861"/>
      <c r="AN326" s="1094"/>
      <c r="AO326" s="1094"/>
      <c r="AP326" s="1094"/>
      <c r="AQ326" s="1094"/>
      <c r="AR326" s="1094"/>
      <c r="AS326" s="1094"/>
      <c r="AT326" s="1094"/>
      <c r="AU326" s="812"/>
      <c r="AV326" s="812"/>
      <c r="AW326" s="812"/>
      <c r="AX326" s="812"/>
    </row>
    <row r="327" spans="1:50">
      <c r="A327" s="1524">
        <v>318</v>
      </c>
      <c r="B327" s="1141" t="s">
        <v>796</v>
      </c>
      <c r="C327" s="1132"/>
      <c r="D327" s="1133"/>
      <c r="E327" s="1132"/>
      <c r="F327" s="1129"/>
      <c r="G327" s="1124">
        <v>202.80099999999999</v>
      </c>
      <c r="H327" s="1124"/>
      <c r="I327" s="1680">
        <v>6.48</v>
      </c>
      <c r="J327" s="1129"/>
      <c r="K327" s="1127">
        <f>+G327*I327</f>
        <v>1314.15048</v>
      </c>
      <c r="L327" s="1124"/>
      <c r="M327" s="1125">
        <f t="shared" ref="M327:M330" si="123">+K327</f>
        <v>1314.15048</v>
      </c>
      <c r="N327" s="1124"/>
      <c r="O327" s="1127"/>
      <c r="P327" s="1126"/>
      <c r="Q327" s="1127">
        <f>+G327</f>
        <v>202.80099999999999</v>
      </c>
      <c r="R327" s="1124"/>
      <c r="S327" s="2114">
        <f ca="1">'wp - t-1 COSS'!$F$34</f>
        <v>3.8170000000000002</v>
      </c>
      <c r="T327" s="1153"/>
      <c r="U327" s="1143">
        <f ca="1">+Q327*S327</f>
        <v>774.09141699999998</v>
      </c>
      <c r="V327" s="2029"/>
      <c r="W327" s="858"/>
      <c r="X327" s="858"/>
      <c r="Y327" s="807"/>
      <c r="Z327" s="807"/>
      <c r="AA327" s="797"/>
      <c r="AB327" s="797"/>
      <c r="AC327" s="797"/>
      <c r="AD327" s="797"/>
      <c r="AE327" s="797"/>
      <c r="AF327" s="797"/>
      <c r="AG327" s="797"/>
      <c r="AH327" s="797"/>
      <c r="AI327" s="797"/>
      <c r="AJ327" s="797"/>
      <c r="AK327" s="859"/>
      <c r="AL327" s="860"/>
      <c r="AM327" s="861"/>
      <c r="AN327" s="1094"/>
      <c r="AO327" s="1094"/>
      <c r="AP327" s="1094"/>
      <c r="AQ327" s="1094"/>
      <c r="AR327" s="1094"/>
      <c r="AS327" s="1094"/>
      <c r="AT327" s="1094"/>
      <c r="AU327" s="812"/>
      <c r="AV327" s="812"/>
      <c r="AW327" s="812"/>
      <c r="AX327" s="812"/>
    </row>
    <row r="328" spans="1:50">
      <c r="A328" s="1524">
        <v>319</v>
      </c>
      <c r="B328" s="1141" t="s">
        <v>707</v>
      </c>
      <c r="C328" s="1132"/>
      <c r="D328" s="1133"/>
      <c r="E328" s="1132"/>
      <c r="F328" s="1129"/>
      <c r="G328" s="1124">
        <v>301</v>
      </c>
      <c r="H328" s="1124"/>
      <c r="I328" s="1680">
        <v>5.91</v>
      </c>
      <c r="J328" s="1129"/>
      <c r="K328" s="1127">
        <f t="shared" ref="K328:K330" si="124">+G328*I328</f>
        <v>1778.91</v>
      </c>
      <c r="L328" s="1124"/>
      <c r="M328" s="1125">
        <f t="shared" si="123"/>
        <v>1778.91</v>
      </c>
      <c r="N328" s="1124"/>
      <c r="O328" s="1127"/>
      <c r="P328" s="1126"/>
      <c r="Q328" s="1127">
        <f t="shared" ref="Q328:Q330" si="125">+G328</f>
        <v>301</v>
      </c>
      <c r="R328" s="1124"/>
      <c r="S328" s="2114">
        <f ca="1">'wp - t-1 COSS'!$F$34</f>
        <v>3.8170000000000002</v>
      </c>
      <c r="T328" s="1153"/>
      <c r="U328" s="1143">
        <f t="shared" ref="U328:U330" ca="1" si="126">+Q328*S328</f>
        <v>1148.9170000000001</v>
      </c>
      <c r="V328" s="2029"/>
      <c r="W328" s="858"/>
      <c r="X328" s="858"/>
      <c r="Y328" s="807"/>
      <c r="Z328" s="807"/>
      <c r="AA328" s="797"/>
      <c r="AB328" s="797"/>
      <c r="AC328" s="797"/>
      <c r="AD328" s="797"/>
      <c r="AE328" s="797"/>
      <c r="AF328" s="797"/>
      <c r="AG328" s="797"/>
      <c r="AH328" s="797"/>
      <c r="AI328" s="797"/>
      <c r="AJ328" s="797"/>
      <c r="AK328" s="859"/>
      <c r="AL328" s="860"/>
      <c r="AM328" s="861"/>
      <c r="AN328" s="1094"/>
      <c r="AO328" s="1094"/>
      <c r="AP328" s="1094"/>
      <c r="AQ328" s="1094"/>
      <c r="AR328" s="1094"/>
      <c r="AS328" s="1094"/>
      <c r="AT328" s="1094"/>
      <c r="AU328" s="812"/>
      <c r="AV328" s="812"/>
      <c r="AW328" s="812"/>
      <c r="AX328" s="812"/>
    </row>
    <row r="329" spans="1:50">
      <c r="A329" s="1524">
        <v>320</v>
      </c>
      <c r="B329" s="1141" t="s">
        <v>708</v>
      </c>
      <c r="C329" s="1132"/>
      <c r="D329" s="1133"/>
      <c r="E329" s="1132"/>
      <c r="F329" s="1129"/>
      <c r="G329" s="1124">
        <v>536.1</v>
      </c>
      <c r="H329" s="1124"/>
      <c r="I329" s="1680">
        <v>5.24</v>
      </c>
      <c r="J329" s="1129"/>
      <c r="K329" s="1127">
        <f t="shared" si="124"/>
        <v>2809.1640000000002</v>
      </c>
      <c r="L329" s="1124"/>
      <c r="M329" s="1125">
        <f t="shared" si="123"/>
        <v>2809.1640000000002</v>
      </c>
      <c r="N329" s="1124"/>
      <c r="O329" s="1127"/>
      <c r="P329" s="1126"/>
      <c r="Q329" s="1127">
        <f t="shared" si="125"/>
        <v>536.1</v>
      </c>
      <c r="R329" s="1124"/>
      <c r="S329" s="2114">
        <f ca="1">'wp - t-1 COSS'!$F$34</f>
        <v>3.8170000000000002</v>
      </c>
      <c r="T329" s="1153"/>
      <c r="U329" s="1143">
        <f t="shared" ca="1" si="126"/>
        <v>2046.2937000000002</v>
      </c>
      <c r="V329" s="2029"/>
      <c r="W329" s="858"/>
      <c r="X329" s="858"/>
      <c r="Y329" s="807"/>
      <c r="Z329" s="807"/>
      <c r="AA329" s="797"/>
      <c r="AB329" s="797"/>
      <c r="AC329" s="797"/>
      <c r="AD329" s="797"/>
      <c r="AE329" s="797"/>
      <c r="AF329" s="797"/>
      <c r="AG329" s="797"/>
      <c r="AH329" s="797"/>
      <c r="AI329" s="797"/>
      <c r="AJ329" s="797"/>
      <c r="AK329" s="859"/>
      <c r="AL329" s="860"/>
      <c r="AM329" s="861"/>
      <c r="AN329" s="1094"/>
      <c r="AO329" s="1094"/>
      <c r="AP329" s="1094"/>
      <c r="AQ329" s="1094"/>
      <c r="AR329" s="1094"/>
      <c r="AS329" s="1094"/>
      <c r="AT329" s="1094"/>
      <c r="AU329" s="812"/>
      <c r="AV329" s="812"/>
      <c r="AW329" s="812"/>
      <c r="AX329" s="812"/>
    </row>
    <row r="330" spans="1:50">
      <c r="A330" s="1524">
        <v>321</v>
      </c>
      <c r="B330" s="1141" t="s">
        <v>711</v>
      </c>
      <c r="C330" s="1132"/>
      <c r="D330" s="1133"/>
      <c r="E330" s="1132"/>
      <c r="F330" s="1129"/>
      <c r="G330" s="1124">
        <v>258.40100000000001</v>
      </c>
      <c r="H330" s="1124"/>
      <c r="I330" s="1680">
        <v>4.58</v>
      </c>
      <c r="J330" s="1129"/>
      <c r="K330" s="1127">
        <f t="shared" si="124"/>
        <v>1183.47658</v>
      </c>
      <c r="L330" s="1124"/>
      <c r="M330" s="1125">
        <f t="shared" si="123"/>
        <v>1183.47658</v>
      </c>
      <c r="N330" s="1124"/>
      <c r="O330" s="1127"/>
      <c r="P330" s="1126"/>
      <c r="Q330" s="1127">
        <f t="shared" si="125"/>
        <v>258.40100000000001</v>
      </c>
      <c r="R330" s="1124"/>
      <c r="S330" s="2114">
        <f ca="1">'wp - t-1 COSS'!$F$34</f>
        <v>3.8170000000000002</v>
      </c>
      <c r="T330" s="1153"/>
      <c r="U330" s="1143">
        <f t="shared" ca="1" si="126"/>
        <v>986.31661700000006</v>
      </c>
      <c r="V330" s="2029"/>
      <c r="W330" s="858"/>
      <c r="X330" s="858"/>
      <c r="Y330" s="807"/>
      <c r="Z330" s="807"/>
      <c r="AA330" s="797"/>
      <c r="AB330" s="797"/>
      <c r="AC330" s="797"/>
      <c r="AD330" s="797"/>
      <c r="AE330" s="797"/>
      <c r="AF330" s="797"/>
      <c r="AG330" s="797"/>
      <c r="AH330" s="797"/>
      <c r="AI330" s="797"/>
      <c r="AJ330" s="797"/>
      <c r="AK330" s="859"/>
      <c r="AL330" s="860"/>
      <c r="AM330" s="861"/>
      <c r="AN330" s="1094"/>
      <c r="AO330" s="1094"/>
      <c r="AP330" s="1094"/>
      <c r="AQ330" s="1094"/>
      <c r="AR330" s="1094"/>
      <c r="AS330" s="1094"/>
      <c r="AT330" s="1094"/>
      <c r="AU330" s="812"/>
      <c r="AV330" s="812"/>
      <c r="AW330" s="812"/>
      <c r="AX330" s="812"/>
    </row>
    <row r="331" spans="1:50" ht="12.75" thickBot="1">
      <c r="A331" s="1524">
        <v>322</v>
      </c>
      <c r="B331" s="1150" t="s">
        <v>1366</v>
      </c>
      <c r="C331" s="1134">
        <f>SUM(C324:C330)</f>
        <v>1563.502</v>
      </c>
      <c r="D331" s="1135"/>
      <c r="E331" s="1134">
        <f>SUM(E324:E330)</f>
        <v>24</v>
      </c>
      <c r="F331" s="1135"/>
      <c r="G331" s="1134">
        <f>SUM(G324:G330)</f>
        <v>1298.3020000000001</v>
      </c>
      <c r="H331" s="1096"/>
      <c r="I331" s="1678"/>
      <c r="J331" s="1097"/>
      <c r="K331" s="1136">
        <f>SUM(K326:K330)</f>
        <v>9097.1410599999999</v>
      </c>
      <c r="L331" s="1096"/>
      <c r="M331" s="1136">
        <f>SUM(M326:M330)</f>
        <v>9097.1410599999999</v>
      </c>
      <c r="N331" s="1096"/>
      <c r="O331" s="1145">
        <f>SUM(O326:O330)</f>
        <v>24</v>
      </c>
      <c r="P331" s="1099"/>
      <c r="Q331" s="1145">
        <f>SUM(Q326:Q330)</f>
        <v>1298.3020000000001</v>
      </c>
      <c r="R331" s="1096"/>
      <c r="S331" s="1128"/>
      <c r="T331" s="1135"/>
      <c r="U331" s="1136">
        <f ca="1">SUM(U326:U330)</f>
        <v>6909.4587340000007</v>
      </c>
      <c r="V331" s="2030"/>
      <c r="W331" s="1135"/>
      <c r="X331" s="833"/>
      <c r="Y331" s="807"/>
      <c r="Z331" s="807"/>
      <c r="AA331" s="797"/>
      <c r="AB331" s="797"/>
      <c r="AC331" s="797"/>
      <c r="AD331" s="797"/>
      <c r="AE331" s="797"/>
      <c r="AF331" s="797"/>
      <c r="AG331" s="797"/>
      <c r="AH331" s="797"/>
      <c r="AI331" s="797"/>
      <c r="AJ331" s="797"/>
      <c r="AK331" s="859"/>
      <c r="AL331" s="860"/>
      <c r="AM331" s="861"/>
      <c r="AN331" s="1094"/>
      <c r="AO331" s="1094"/>
      <c r="AP331" s="1094"/>
      <c r="AQ331" s="1094"/>
      <c r="AR331" s="1094"/>
      <c r="AS331" s="1094"/>
      <c r="AT331" s="1094"/>
      <c r="AU331" s="812"/>
      <c r="AV331" s="812"/>
      <c r="AW331" s="812"/>
      <c r="AX331" s="812"/>
    </row>
    <row r="332" spans="1:50" ht="12.75" thickTop="1">
      <c r="A332" s="1524">
        <v>323</v>
      </c>
      <c r="B332" s="1150"/>
      <c r="C332" s="1132"/>
      <c r="D332" s="1133"/>
      <c r="E332" s="1132"/>
      <c r="F332" s="1129"/>
      <c r="G332" s="1124"/>
      <c r="H332" s="1124"/>
      <c r="I332" s="1679"/>
      <c r="J332" s="1130"/>
      <c r="K332" s="1125"/>
      <c r="L332" s="1124"/>
      <c r="M332" s="1125"/>
      <c r="N332" s="1124"/>
      <c r="O332" s="1127"/>
      <c r="P332" s="1126"/>
      <c r="Q332" s="1127"/>
      <c r="R332" s="1124"/>
      <c r="S332" s="1128"/>
      <c r="T332" s="1130"/>
      <c r="U332" s="1093"/>
      <c r="V332" s="2031"/>
      <c r="W332" s="1130"/>
      <c r="X332" s="833"/>
      <c r="Y332" s="807"/>
      <c r="Z332" s="807"/>
      <c r="AA332" s="797"/>
      <c r="AB332" s="797"/>
      <c r="AC332" s="797"/>
      <c r="AD332" s="797"/>
      <c r="AE332" s="797"/>
      <c r="AF332" s="797"/>
      <c r="AG332" s="797"/>
      <c r="AH332" s="797"/>
      <c r="AI332" s="797"/>
      <c r="AJ332" s="797"/>
      <c r="AK332" s="859"/>
      <c r="AL332" s="860"/>
      <c r="AM332" s="861"/>
      <c r="AN332" s="1094"/>
      <c r="AO332" s="1094"/>
      <c r="AP332" s="1094"/>
      <c r="AQ332" s="1094"/>
      <c r="AR332" s="1094"/>
      <c r="AS332" s="1094"/>
      <c r="AT332" s="1094"/>
      <c r="AU332" s="812"/>
      <c r="AV332" s="812"/>
      <c r="AW332" s="812"/>
      <c r="AX332" s="812"/>
    </row>
    <row r="333" spans="1:50" ht="12.75" thickBot="1">
      <c r="A333" s="1524">
        <v>324</v>
      </c>
      <c r="B333" s="1151" t="s">
        <v>1365</v>
      </c>
      <c r="C333" s="1132"/>
      <c r="D333" s="1133"/>
      <c r="E333" s="1132"/>
      <c r="F333" s="1129"/>
      <c r="G333" s="1124"/>
      <c r="H333" s="1124"/>
      <c r="I333" s="1679"/>
      <c r="J333" s="1130"/>
      <c r="K333" s="1125"/>
      <c r="L333" s="1124"/>
      <c r="M333" s="1138">
        <f>+M331/$E331</f>
        <v>379.04754416666668</v>
      </c>
      <c r="N333" s="1124"/>
      <c r="O333" s="1127"/>
      <c r="P333" s="1126"/>
      <c r="Q333" s="1127"/>
      <c r="R333" s="1124"/>
      <c r="S333" s="1128"/>
      <c r="T333" s="1130"/>
      <c r="U333" s="1138">
        <f ca="1">+U331/$E331</f>
        <v>287.8941139166667</v>
      </c>
      <c r="V333" s="2032"/>
      <c r="W333" s="1130">
        <f ca="1">+U333-M333</f>
        <v>-91.153430249999985</v>
      </c>
      <c r="X333" s="858"/>
      <c r="Y333" s="807"/>
      <c r="Z333" s="807"/>
      <c r="AA333" s="797"/>
      <c r="AB333" s="797"/>
      <c r="AC333" s="797"/>
      <c r="AD333" s="797"/>
      <c r="AE333" s="797"/>
      <c r="AF333" s="797"/>
      <c r="AG333" s="797"/>
      <c r="AH333" s="797"/>
      <c r="AI333" s="797"/>
      <c r="AJ333" s="797"/>
      <c r="AK333" s="859"/>
      <c r="AL333" s="860"/>
      <c r="AM333" s="861"/>
      <c r="AN333" s="1094"/>
      <c r="AO333" s="1094"/>
      <c r="AP333" s="1094"/>
      <c r="AQ333" s="1094"/>
      <c r="AR333" s="1094"/>
      <c r="AS333" s="1094"/>
      <c r="AT333" s="1094"/>
      <c r="AU333" s="812"/>
      <c r="AV333" s="812"/>
      <c r="AW333" s="812"/>
      <c r="AX333" s="812"/>
    </row>
    <row r="334" spans="1:50" s="1110" customFormat="1" ht="12.75" thickTop="1">
      <c r="A334" s="1524">
        <v>325</v>
      </c>
      <c r="B334" s="1106" t="s">
        <v>1364</v>
      </c>
      <c r="C334" s="1124">
        <v>2222.7020000000002</v>
      </c>
      <c r="D334" s="1129"/>
      <c r="E334" s="1124"/>
      <c r="F334" s="1129"/>
      <c r="G334" s="1124"/>
      <c r="H334" s="1124"/>
      <c r="I334" s="1679"/>
      <c r="J334" s="1129"/>
      <c r="K334" s="1125"/>
      <c r="L334" s="1124"/>
      <c r="M334" s="1125"/>
      <c r="N334" s="1124"/>
      <c r="O334" s="1127"/>
      <c r="P334" s="1126"/>
      <c r="Q334" s="1127"/>
      <c r="R334" s="1124"/>
      <c r="S334" s="1128"/>
      <c r="T334" s="1153"/>
      <c r="U334" s="1143"/>
      <c r="V334" s="2029"/>
      <c r="W334" s="858"/>
      <c r="X334" s="858"/>
      <c r="Y334" s="811"/>
      <c r="Z334" s="811"/>
      <c r="AA334" s="808"/>
      <c r="AB334" s="808"/>
      <c r="AC334" s="808"/>
      <c r="AD334" s="808"/>
      <c r="AE334" s="808"/>
      <c r="AF334" s="808"/>
      <c r="AG334" s="808"/>
      <c r="AH334" s="808"/>
      <c r="AI334" s="808"/>
      <c r="AJ334" s="808"/>
      <c r="AK334" s="862"/>
      <c r="AL334" s="863"/>
      <c r="AM334" s="864"/>
      <c r="AN334" s="834"/>
      <c r="AO334" s="834"/>
      <c r="AP334" s="834"/>
      <c r="AQ334" s="834"/>
      <c r="AR334" s="834"/>
      <c r="AS334" s="834"/>
      <c r="AT334" s="834"/>
      <c r="AU334" s="844"/>
      <c r="AV334" s="844"/>
      <c r="AW334" s="844"/>
      <c r="AX334" s="844"/>
    </row>
    <row r="335" spans="1:50" s="1110" customFormat="1">
      <c r="A335" s="1524">
        <v>326</v>
      </c>
      <c r="B335" s="1141" t="s">
        <v>795</v>
      </c>
      <c r="C335" s="1124"/>
      <c r="D335" s="1129"/>
      <c r="E335" s="1124">
        <v>35</v>
      </c>
      <c r="F335" s="1129"/>
      <c r="G335" s="1124"/>
      <c r="H335" s="1124"/>
      <c r="I335" s="1682">
        <v>83.81</v>
      </c>
      <c r="J335" s="1129"/>
      <c r="K335" s="1125">
        <f>+E335*I335</f>
        <v>2933.35</v>
      </c>
      <c r="L335" s="1124"/>
      <c r="M335" s="1125">
        <f>+K335</f>
        <v>2933.35</v>
      </c>
      <c r="N335" s="1124"/>
      <c r="O335" s="1127">
        <f>+E335</f>
        <v>35</v>
      </c>
      <c r="P335" s="1126"/>
      <c r="Q335" s="1127"/>
      <c r="R335" s="1124"/>
      <c r="S335" s="1142">
        <f ca="1">'wp - t-1 COSS'!$F$16</f>
        <v>81.41</v>
      </c>
      <c r="T335" s="1153"/>
      <c r="U335" s="1143">
        <f ca="1">+O335*S335</f>
        <v>2849.35</v>
      </c>
      <c r="V335" s="2029"/>
      <c r="W335" s="858"/>
      <c r="X335" s="858"/>
      <c r="Y335" s="811"/>
      <c r="Z335" s="811"/>
      <c r="AA335" s="808"/>
      <c r="AB335" s="808"/>
      <c r="AC335" s="808"/>
      <c r="AD335" s="808"/>
      <c r="AE335" s="808"/>
      <c r="AF335" s="808"/>
      <c r="AG335" s="808"/>
      <c r="AH335" s="808"/>
      <c r="AI335" s="808"/>
      <c r="AJ335" s="808"/>
      <c r="AK335" s="862"/>
      <c r="AL335" s="863"/>
      <c r="AM335" s="864"/>
      <c r="AN335" s="834"/>
      <c r="AO335" s="834"/>
      <c r="AP335" s="834"/>
      <c r="AQ335" s="834"/>
      <c r="AR335" s="834"/>
      <c r="AS335" s="834"/>
      <c r="AT335" s="834"/>
      <c r="AU335" s="844"/>
      <c r="AV335" s="844"/>
      <c r="AW335" s="844"/>
      <c r="AX335" s="844"/>
    </row>
    <row r="336" spans="1:50">
      <c r="A336" s="1524">
        <v>327</v>
      </c>
      <c r="B336" s="1141" t="s">
        <v>796</v>
      </c>
      <c r="C336" s="1132"/>
      <c r="D336" s="1133"/>
      <c r="E336" s="1132"/>
      <c r="F336" s="1129"/>
      <c r="G336" s="1124">
        <v>320.5</v>
      </c>
      <c r="H336" s="1124"/>
      <c r="I336" s="1680">
        <v>6.48</v>
      </c>
      <c r="J336" s="1129"/>
      <c r="K336" s="1127">
        <f>+G336*I336</f>
        <v>2076.84</v>
      </c>
      <c r="L336" s="1124"/>
      <c r="M336" s="1125">
        <f t="shared" ref="M336:M339" si="127">+K336</f>
        <v>2076.84</v>
      </c>
      <c r="N336" s="1124"/>
      <c r="O336" s="1127"/>
      <c r="P336" s="1126"/>
      <c r="Q336" s="1127">
        <f>+G336</f>
        <v>320.5</v>
      </c>
      <c r="R336" s="1124"/>
      <c r="S336" s="2114">
        <f ca="1">'wp - t-1 COSS'!$F$34</f>
        <v>3.8170000000000002</v>
      </c>
      <c r="T336" s="1153"/>
      <c r="U336" s="1143">
        <f ca="1">+Q336*S336</f>
        <v>1223.3485000000001</v>
      </c>
      <c r="V336" s="2029"/>
      <c r="W336" s="858"/>
      <c r="X336" s="858"/>
      <c r="Y336" s="807"/>
      <c r="Z336" s="807"/>
      <c r="AA336" s="797"/>
      <c r="AB336" s="797"/>
      <c r="AC336" s="797"/>
      <c r="AD336" s="797"/>
      <c r="AE336" s="797"/>
      <c r="AF336" s="797"/>
      <c r="AG336" s="797"/>
      <c r="AH336" s="797"/>
      <c r="AI336" s="797"/>
      <c r="AJ336" s="797"/>
      <c r="AK336" s="859"/>
      <c r="AL336" s="860"/>
      <c r="AM336" s="861"/>
      <c r="AN336" s="1094"/>
      <c r="AO336" s="1094"/>
      <c r="AP336" s="1094"/>
      <c r="AQ336" s="1094"/>
      <c r="AR336" s="1094"/>
      <c r="AS336" s="1094"/>
      <c r="AT336" s="1094"/>
      <c r="AU336" s="812"/>
      <c r="AV336" s="812"/>
      <c r="AW336" s="812"/>
      <c r="AX336" s="812"/>
    </row>
    <row r="337" spans="1:50">
      <c r="A337" s="1524">
        <v>328</v>
      </c>
      <c r="B337" s="1141" t="s">
        <v>707</v>
      </c>
      <c r="C337" s="1132"/>
      <c r="D337" s="1133"/>
      <c r="E337" s="1132"/>
      <c r="F337" s="1129"/>
      <c r="G337" s="1124">
        <v>528</v>
      </c>
      <c r="H337" s="1124"/>
      <c r="I337" s="1680">
        <v>5.91</v>
      </c>
      <c r="J337" s="1129"/>
      <c r="K337" s="1127">
        <f t="shared" ref="K337:K339" si="128">+G337*I337</f>
        <v>3120.48</v>
      </c>
      <c r="L337" s="1124"/>
      <c r="M337" s="1125">
        <f t="shared" si="127"/>
        <v>3120.48</v>
      </c>
      <c r="N337" s="1124"/>
      <c r="O337" s="1127"/>
      <c r="P337" s="1126"/>
      <c r="Q337" s="1127">
        <f t="shared" ref="Q337:Q339" si="129">+G337</f>
        <v>528</v>
      </c>
      <c r="R337" s="1124"/>
      <c r="S337" s="2114">
        <f ca="1">'wp - t-1 COSS'!$F$34</f>
        <v>3.8170000000000002</v>
      </c>
      <c r="T337" s="1153"/>
      <c r="U337" s="1143">
        <f t="shared" ref="U337:U339" ca="1" si="130">+Q337*S337</f>
        <v>2015.3760000000002</v>
      </c>
      <c r="V337" s="2029"/>
      <c r="W337" s="858"/>
      <c r="X337" s="858"/>
      <c r="Y337" s="807"/>
      <c r="Z337" s="807"/>
      <c r="AA337" s="797"/>
      <c r="AB337" s="797"/>
      <c r="AC337" s="797"/>
      <c r="AD337" s="797"/>
      <c r="AE337" s="797"/>
      <c r="AF337" s="797"/>
      <c r="AG337" s="797"/>
      <c r="AH337" s="797"/>
      <c r="AI337" s="797"/>
      <c r="AJ337" s="797"/>
      <c r="AK337" s="859"/>
      <c r="AL337" s="860"/>
      <c r="AM337" s="861"/>
      <c r="AN337" s="1094"/>
      <c r="AO337" s="1094"/>
      <c r="AP337" s="1094"/>
      <c r="AQ337" s="1094"/>
      <c r="AR337" s="1094"/>
      <c r="AS337" s="1094"/>
      <c r="AT337" s="1094"/>
      <c r="AU337" s="812"/>
      <c r="AV337" s="812"/>
      <c r="AW337" s="812"/>
      <c r="AX337" s="812"/>
    </row>
    <row r="338" spans="1:50">
      <c r="A338" s="1524">
        <v>329</v>
      </c>
      <c r="B338" s="1141" t="s">
        <v>708</v>
      </c>
      <c r="C338" s="1132"/>
      <c r="D338" s="1133"/>
      <c r="E338" s="1132"/>
      <c r="F338" s="1129"/>
      <c r="G338" s="1124">
        <v>734.7</v>
      </c>
      <c r="H338" s="1124"/>
      <c r="I338" s="1680">
        <v>5.24</v>
      </c>
      <c r="J338" s="1129"/>
      <c r="K338" s="1127">
        <f t="shared" si="128"/>
        <v>3849.8280000000004</v>
      </c>
      <c r="L338" s="1124"/>
      <c r="M338" s="1125">
        <f t="shared" si="127"/>
        <v>3849.8280000000004</v>
      </c>
      <c r="N338" s="1124"/>
      <c r="O338" s="1127"/>
      <c r="P338" s="1126"/>
      <c r="Q338" s="1127">
        <f t="shared" si="129"/>
        <v>734.7</v>
      </c>
      <c r="R338" s="1124"/>
      <c r="S338" s="2114">
        <f ca="1">'wp - t-1 COSS'!$F$34</f>
        <v>3.8170000000000002</v>
      </c>
      <c r="T338" s="1153"/>
      <c r="U338" s="1143">
        <f t="shared" ca="1" si="130"/>
        <v>2804.3499000000002</v>
      </c>
      <c r="V338" s="2029"/>
      <c r="W338" s="858"/>
      <c r="X338" s="858"/>
      <c r="Y338" s="807"/>
      <c r="Z338" s="807"/>
      <c r="AA338" s="797"/>
      <c r="AB338" s="797"/>
      <c r="AC338" s="797"/>
      <c r="AD338" s="797"/>
      <c r="AE338" s="797"/>
      <c r="AF338" s="797"/>
      <c r="AG338" s="797"/>
      <c r="AH338" s="797"/>
      <c r="AI338" s="797"/>
      <c r="AJ338" s="797"/>
      <c r="AK338" s="859"/>
      <c r="AL338" s="860"/>
      <c r="AM338" s="861"/>
      <c r="AN338" s="1094"/>
      <c r="AO338" s="1094"/>
      <c r="AP338" s="1094"/>
      <c r="AQ338" s="1094"/>
      <c r="AR338" s="1094"/>
      <c r="AS338" s="1094"/>
      <c r="AT338" s="1094"/>
      <c r="AU338" s="812"/>
      <c r="AV338" s="812"/>
      <c r="AW338" s="812"/>
      <c r="AX338" s="812"/>
    </row>
    <row r="339" spans="1:50">
      <c r="A339" s="1524">
        <v>330</v>
      </c>
      <c r="B339" s="1141" t="s">
        <v>711</v>
      </c>
      <c r="C339" s="1132"/>
      <c r="D339" s="1133"/>
      <c r="E339" s="1132"/>
      <c r="F339" s="1129"/>
      <c r="G339" s="1124">
        <v>351.20100000000002</v>
      </c>
      <c r="H339" s="1124"/>
      <c r="I339" s="1680">
        <v>4.58</v>
      </c>
      <c r="J339" s="1129"/>
      <c r="K339" s="1127">
        <f t="shared" si="128"/>
        <v>1608.5005800000001</v>
      </c>
      <c r="L339" s="1124"/>
      <c r="M339" s="1125">
        <f t="shared" si="127"/>
        <v>1608.5005800000001</v>
      </c>
      <c r="N339" s="1124"/>
      <c r="O339" s="1127"/>
      <c r="P339" s="1126"/>
      <c r="Q339" s="1127">
        <f t="shared" si="129"/>
        <v>351.20100000000002</v>
      </c>
      <c r="R339" s="1124"/>
      <c r="S339" s="2114">
        <f ca="1">'wp - t-1 COSS'!$F$34</f>
        <v>3.8170000000000002</v>
      </c>
      <c r="T339" s="1153"/>
      <c r="U339" s="1143">
        <f t="shared" ca="1" si="130"/>
        <v>1340.5342170000001</v>
      </c>
      <c r="V339" s="2029"/>
      <c r="W339" s="858"/>
      <c r="X339" s="858"/>
      <c r="Y339" s="807"/>
      <c r="Z339" s="807"/>
      <c r="AA339" s="797"/>
      <c r="AB339" s="797"/>
      <c r="AC339" s="797"/>
      <c r="AD339" s="797"/>
      <c r="AE339" s="797"/>
      <c r="AF339" s="797"/>
      <c r="AG339" s="797"/>
      <c r="AH339" s="797"/>
      <c r="AI339" s="797"/>
      <c r="AJ339" s="797"/>
      <c r="AK339" s="859"/>
      <c r="AL339" s="860"/>
      <c r="AM339" s="861"/>
      <c r="AN339" s="1094"/>
      <c r="AO339" s="1094"/>
      <c r="AP339" s="1094"/>
      <c r="AQ339" s="1094"/>
      <c r="AR339" s="1094"/>
      <c r="AS339" s="1094"/>
      <c r="AT339" s="1094"/>
      <c r="AU339" s="812"/>
      <c r="AV339" s="812"/>
      <c r="AW339" s="812"/>
      <c r="AX339" s="812"/>
    </row>
    <row r="340" spans="1:50" ht="12.75" thickBot="1">
      <c r="A340" s="1524">
        <v>331</v>
      </c>
      <c r="B340" s="1150" t="s">
        <v>1363</v>
      </c>
      <c r="C340" s="1134">
        <f>SUM(C334:C339)</f>
        <v>2222.7020000000002</v>
      </c>
      <c r="D340" s="1135"/>
      <c r="E340" s="1134">
        <f>SUM(E334:E339)</f>
        <v>35</v>
      </c>
      <c r="F340" s="1135"/>
      <c r="G340" s="1134">
        <f>SUM(G334:G339)</f>
        <v>1934.4010000000001</v>
      </c>
      <c r="H340" s="1096"/>
      <c r="I340" s="1678"/>
      <c r="J340" s="1097"/>
      <c r="K340" s="1146">
        <f>SUM(K335:K339)</f>
        <v>13588.998579999999</v>
      </c>
      <c r="L340" s="1096"/>
      <c r="M340" s="1146">
        <f>SUM(M335:M339)</f>
        <v>13588.998579999999</v>
      </c>
      <c r="N340" s="1096"/>
      <c r="O340" s="1134">
        <f>SUM(O334:O339)</f>
        <v>35</v>
      </c>
      <c r="P340" s="1099"/>
      <c r="Q340" s="1134">
        <f>SUM(Q334:Q339)</f>
        <v>1934.4010000000001</v>
      </c>
      <c r="R340" s="1096"/>
      <c r="S340" s="1142"/>
      <c r="T340" s="1135"/>
      <c r="U340" s="1146">
        <f ca="1">SUM(U335:U339)</f>
        <v>10232.958617</v>
      </c>
      <c r="V340" s="2030"/>
      <c r="W340" s="1135"/>
      <c r="X340" s="833"/>
      <c r="Y340" s="807"/>
      <c r="Z340" s="807"/>
      <c r="AA340" s="797"/>
      <c r="AB340" s="797"/>
      <c r="AC340" s="797"/>
      <c r="AD340" s="797"/>
      <c r="AE340" s="797"/>
      <c r="AF340" s="797"/>
      <c r="AG340" s="797"/>
      <c r="AH340" s="797"/>
      <c r="AI340" s="797"/>
      <c r="AJ340" s="797"/>
      <c r="AK340" s="859"/>
      <c r="AL340" s="860"/>
      <c r="AM340" s="861"/>
      <c r="AN340" s="1094"/>
      <c r="AO340" s="1094"/>
      <c r="AP340" s="1094"/>
      <c r="AQ340" s="1094"/>
      <c r="AR340" s="1094"/>
      <c r="AS340" s="1094"/>
      <c r="AT340" s="1094"/>
      <c r="AU340" s="812"/>
      <c r="AV340" s="812"/>
      <c r="AW340" s="812"/>
      <c r="AX340" s="812"/>
    </row>
    <row r="341" spans="1:50" ht="12.75" thickTop="1">
      <c r="A341" s="1524">
        <v>332</v>
      </c>
      <c r="B341" s="1150"/>
      <c r="C341" s="1132"/>
      <c r="D341" s="1133"/>
      <c r="E341" s="1132"/>
      <c r="F341" s="1129"/>
      <c r="G341" s="1124"/>
      <c r="H341" s="1124"/>
      <c r="I341" s="1679"/>
      <c r="J341" s="1130"/>
      <c r="K341" s="1125"/>
      <c r="L341" s="1124"/>
      <c r="M341" s="1125"/>
      <c r="N341" s="1124"/>
      <c r="O341" s="1127"/>
      <c r="P341" s="1126"/>
      <c r="Q341" s="1127"/>
      <c r="R341" s="1124"/>
      <c r="S341" s="1128"/>
      <c r="T341" s="1130"/>
      <c r="U341" s="1093"/>
      <c r="V341" s="2031"/>
      <c r="W341" s="1130"/>
      <c r="X341" s="833"/>
      <c r="Y341" s="807"/>
      <c r="Z341" s="807"/>
      <c r="AA341" s="797"/>
      <c r="AB341" s="797"/>
      <c r="AC341" s="797"/>
      <c r="AD341" s="797"/>
      <c r="AE341" s="797"/>
      <c r="AF341" s="797"/>
      <c r="AG341" s="797"/>
      <c r="AH341" s="797"/>
      <c r="AI341" s="797"/>
      <c r="AJ341" s="797"/>
      <c r="AK341" s="859"/>
      <c r="AL341" s="860"/>
      <c r="AM341" s="861"/>
      <c r="AN341" s="1094"/>
      <c r="AO341" s="1094"/>
      <c r="AP341" s="1094"/>
      <c r="AQ341" s="1094"/>
      <c r="AR341" s="1094"/>
      <c r="AS341" s="1094"/>
      <c r="AT341" s="1094"/>
      <c r="AU341" s="812"/>
      <c r="AV341" s="812"/>
      <c r="AW341" s="812"/>
      <c r="AX341" s="812"/>
    </row>
    <row r="342" spans="1:50" ht="12.75" thickBot="1">
      <c r="A342" s="1524">
        <v>333</v>
      </c>
      <c r="B342" s="1151" t="s">
        <v>1362</v>
      </c>
      <c r="C342" s="1132"/>
      <c r="D342" s="1133"/>
      <c r="E342" s="1132"/>
      <c r="F342" s="1129"/>
      <c r="G342" s="1124"/>
      <c r="H342" s="1124"/>
      <c r="I342" s="1679"/>
      <c r="J342" s="1130"/>
      <c r="K342" s="1125"/>
      <c r="L342" s="1124"/>
      <c r="M342" s="1138">
        <f>+M340/$E340</f>
        <v>388.25710228571427</v>
      </c>
      <c r="N342" s="1124"/>
      <c r="O342" s="1127"/>
      <c r="P342" s="1126"/>
      <c r="Q342" s="1127"/>
      <c r="R342" s="1124"/>
      <c r="S342" s="1128"/>
      <c r="T342" s="1130"/>
      <c r="U342" s="1138">
        <f ca="1">+U340/$E340</f>
        <v>292.3702462</v>
      </c>
      <c r="V342" s="2032"/>
      <c r="W342" s="1130">
        <f ca="1">+U342-M342</f>
        <v>-95.886856085714271</v>
      </c>
      <c r="X342" s="858"/>
      <c r="Y342" s="807"/>
      <c r="Z342" s="807"/>
      <c r="AA342" s="797"/>
      <c r="AB342" s="797"/>
      <c r="AC342" s="797"/>
      <c r="AD342" s="797"/>
      <c r="AE342" s="797"/>
      <c r="AF342" s="797"/>
      <c r="AG342" s="797"/>
      <c r="AH342" s="797"/>
      <c r="AI342" s="797"/>
      <c r="AJ342" s="797"/>
      <c r="AK342" s="859"/>
      <c r="AL342" s="860"/>
      <c r="AM342" s="861"/>
      <c r="AN342" s="1094"/>
      <c r="AO342" s="1094"/>
      <c r="AP342" s="1094"/>
      <c r="AQ342" s="1094"/>
      <c r="AR342" s="1094"/>
      <c r="AS342" s="1094"/>
      <c r="AT342" s="1094"/>
      <c r="AU342" s="812"/>
      <c r="AV342" s="812"/>
      <c r="AW342" s="812"/>
      <c r="AX342" s="812"/>
    </row>
    <row r="343" spans="1:50" s="1110" customFormat="1" ht="12.75" thickTop="1">
      <c r="A343" s="1524">
        <v>334</v>
      </c>
      <c r="B343" s="1106" t="s">
        <v>3585</v>
      </c>
      <c r="C343" s="1124">
        <v>0</v>
      </c>
      <c r="D343" s="1129"/>
      <c r="E343" s="1124"/>
      <c r="F343" s="1129"/>
      <c r="G343" s="1124"/>
      <c r="H343" s="1124"/>
      <c r="I343" s="1687"/>
      <c r="J343" s="1129"/>
      <c r="K343" s="846"/>
      <c r="L343" s="1124"/>
      <c r="M343" s="1125"/>
      <c r="N343" s="1124"/>
      <c r="O343" s="1127"/>
      <c r="P343" s="1126"/>
      <c r="Q343" s="1127"/>
      <c r="R343" s="1124"/>
      <c r="S343" s="1128"/>
      <c r="T343" s="1153"/>
      <c r="U343" s="1143"/>
      <c r="V343" s="2029"/>
      <c r="W343" s="858"/>
      <c r="X343" s="858"/>
      <c r="Y343" s="811"/>
      <c r="Z343" s="811"/>
      <c r="AA343" s="808"/>
      <c r="AB343" s="808"/>
      <c r="AC343" s="808"/>
      <c r="AD343" s="808"/>
      <c r="AE343" s="808"/>
      <c r="AF343" s="808"/>
      <c r="AG343" s="808"/>
      <c r="AH343" s="808"/>
      <c r="AI343" s="808"/>
      <c r="AJ343" s="808"/>
      <c r="AK343" s="862"/>
      <c r="AL343" s="863"/>
      <c r="AM343" s="864"/>
      <c r="AN343" s="834"/>
      <c r="AO343" s="834"/>
      <c r="AP343" s="834"/>
      <c r="AQ343" s="834"/>
      <c r="AR343" s="834"/>
      <c r="AS343" s="834"/>
      <c r="AT343" s="834"/>
      <c r="AU343" s="844"/>
      <c r="AV343" s="844"/>
      <c r="AW343" s="844"/>
      <c r="AX343" s="844"/>
    </row>
    <row r="344" spans="1:50" s="1110" customFormat="1">
      <c r="A344" s="1524">
        <v>335</v>
      </c>
      <c r="B344" s="1141" t="s">
        <v>797</v>
      </c>
      <c r="C344" s="1124"/>
      <c r="D344" s="1129"/>
      <c r="E344" s="1124">
        <v>0</v>
      </c>
      <c r="F344" s="1129"/>
      <c r="G344" s="1124"/>
      <c r="H344" s="1124"/>
      <c r="I344" s="1689">
        <v>0</v>
      </c>
      <c r="J344" s="1129"/>
      <c r="K344" s="1125">
        <v>0</v>
      </c>
      <c r="L344" s="1124"/>
      <c r="M344" s="1125">
        <f>+K344</f>
        <v>0</v>
      </c>
      <c r="N344" s="1124"/>
      <c r="O344" s="1127">
        <f>+E344</f>
        <v>0</v>
      </c>
      <c r="P344" s="1126"/>
      <c r="Q344" s="1127"/>
      <c r="R344" s="1124"/>
      <c r="S344" s="1142">
        <f ca="1">'wp - t-1 COSS'!$F$17</f>
        <v>130.83000000000001</v>
      </c>
      <c r="T344" s="1153"/>
      <c r="U344" s="1143">
        <f ca="1">+O344*S344</f>
        <v>0</v>
      </c>
      <c r="V344" s="2029"/>
      <c r="W344" s="858"/>
      <c r="X344" s="858"/>
      <c r="Y344" s="811"/>
      <c r="Z344" s="811"/>
      <c r="AA344" s="808"/>
      <c r="AB344" s="808"/>
      <c r="AC344" s="808"/>
      <c r="AD344" s="808"/>
      <c r="AE344" s="808"/>
      <c r="AF344" s="808"/>
      <c r="AG344" s="808"/>
      <c r="AH344" s="808"/>
      <c r="AI344" s="808"/>
      <c r="AJ344" s="808"/>
      <c r="AK344" s="862"/>
      <c r="AL344" s="863"/>
      <c r="AM344" s="864"/>
      <c r="AN344" s="834"/>
      <c r="AO344" s="834"/>
      <c r="AP344" s="834"/>
      <c r="AQ344" s="834"/>
      <c r="AR344" s="834"/>
      <c r="AS344" s="834"/>
      <c r="AT344" s="834"/>
      <c r="AU344" s="844"/>
      <c r="AV344" s="844"/>
      <c r="AW344" s="844"/>
      <c r="AX344" s="844"/>
    </row>
    <row r="345" spans="1:50">
      <c r="A345" s="1524">
        <v>336</v>
      </c>
      <c r="B345" s="1141" t="s">
        <v>798</v>
      </c>
      <c r="C345" s="1132"/>
      <c r="D345" s="1133"/>
      <c r="E345" s="1132"/>
      <c r="F345" s="1129"/>
      <c r="G345" s="1124">
        <v>0</v>
      </c>
      <c r="H345" s="1124"/>
      <c r="I345" s="1690">
        <v>0</v>
      </c>
      <c r="J345" s="1129"/>
      <c r="K345" s="1127">
        <v>0</v>
      </c>
      <c r="L345" s="1124"/>
      <c r="M345" s="1125">
        <f t="shared" ref="M345:M348" si="131">+K345</f>
        <v>0</v>
      </c>
      <c r="N345" s="1124"/>
      <c r="O345" s="1127"/>
      <c r="P345" s="1126"/>
      <c r="Q345" s="1127">
        <f>+G345</f>
        <v>0</v>
      </c>
      <c r="R345" s="1124"/>
      <c r="S345" s="2114">
        <f ca="1">'wp - t-1 COSS'!$F$35</f>
        <v>3.8170000000000002</v>
      </c>
      <c r="T345" s="1153"/>
      <c r="U345" s="1143">
        <f ca="1">+Q345*S345</f>
        <v>0</v>
      </c>
      <c r="V345" s="2029"/>
      <c r="W345" s="858"/>
      <c r="X345" s="858"/>
      <c r="Y345" s="807"/>
      <c r="Z345" s="807"/>
      <c r="AA345" s="797"/>
      <c r="AB345" s="797"/>
      <c r="AC345" s="797"/>
      <c r="AD345" s="797"/>
      <c r="AE345" s="797"/>
      <c r="AF345" s="797"/>
      <c r="AG345" s="797"/>
      <c r="AH345" s="797"/>
      <c r="AI345" s="797"/>
      <c r="AJ345" s="797"/>
      <c r="AK345" s="859"/>
      <c r="AL345" s="860"/>
      <c r="AM345" s="861"/>
      <c r="AN345" s="1094"/>
      <c r="AO345" s="1094"/>
      <c r="AP345" s="1094"/>
      <c r="AQ345" s="1094"/>
      <c r="AR345" s="1094"/>
      <c r="AS345" s="1094"/>
      <c r="AT345" s="1094"/>
      <c r="AU345" s="812"/>
      <c r="AV345" s="812"/>
      <c r="AW345" s="812"/>
      <c r="AX345" s="812"/>
    </row>
    <row r="346" spans="1:50">
      <c r="A346" s="1524">
        <v>337</v>
      </c>
      <c r="B346" s="1141" t="s">
        <v>707</v>
      </c>
      <c r="C346" s="1132"/>
      <c r="D346" s="1133"/>
      <c r="E346" s="1132"/>
      <c r="F346" s="1129"/>
      <c r="G346" s="1124">
        <v>0</v>
      </c>
      <c r="H346" s="1124"/>
      <c r="I346" s="1690">
        <v>0</v>
      </c>
      <c r="J346" s="1129"/>
      <c r="K346" s="1127">
        <v>0</v>
      </c>
      <c r="L346" s="1124"/>
      <c r="M346" s="1125">
        <f t="shared" si="131"/>
        <v>0</v>
      </c>
      <c r="N346" s="1124"/>
      <c r="O346" s="1127"/>
      <c r="P346" s="1126"/>
      <c r="Q346" s="1127">
        <f t="shared" ref="Q346:Q348" si="132">+G346</f>
        <v>0</v>
      </c>
      <c r="R346" s="1124"/>
      <c r="S346" s="2114">
        <f ca="1">'wp - t-1 COSS'!$F$35</f>
        <v>3.8170000000000002</v>
      </c>
      <c r="T346" s="1153"/>
      <c r="U346" s="1143">
        <f t="shared" ref="U346:U348" ca="1" si="133">+Q346*S346</f>
        <v>0</v>
      </c>
      <c r="V346" s="2029"/>
      <c r="W346" s="858"/>
      <c r="X346" s="858"/>
      <c r="Y346" s="807"/>
      <c r="Z346" s="807"/>
      <c r="AA346" s="797"/>
      <c r="AB346" s="797"/>
      <c r="AC346" s="797"/>
      <c r="AD346" s="797"/>
      <c r="AE346" s="797"/>
      <c r="AF346" s="797"/>
      <c r="AG346" s="797"/>
      <c r="AH346" s="797"/>
      <c r="AI346" s="797"/>
      <c r="AJ346" s="797"/>
      <c r="AK346" s="859"/>
      <c r="AL346" s="860"/>
      <c r="AM346" s="861"/>
      <c r="AN346" s="1094"/>
      <c r="AO346" s="1094"/>
      <c r="AP346" s="1094"/>
      <c r="AQ346" s="1094"/>
      <c r="AR346" s="1094"/>
      <c r="AS346" s="1094"/>
      <c r="AT346" s="1094"/>
      <c r="AU346" s="812"/>
      <c r="AV346" s="812"/>
      <c r="AW346" s="812"/>
      <c r="AX346" s="812"/>
    </row>
    <row r="347" spans="1:50">
      <c r="A347" s="1524">
        <v>338</v>
      </c>
      <c r="B347" s="1141" t="s">
        <v>708</v>
      </c>
      <c r="C347" s="1132"/>
      <c r="D347" s="1133"/>
      <c r="E347" s="1132"/>
      <c r="F347" s="1129"/>
      <c r="G347" s="1124">
        <v>0</v>
      </c>
      <c r="H347" s="1124"/>
      <c r="I347" s="1690">
        <v>0</v>
      </c>
      <c r="J347" s="1129"/>
      <c r="K347" s="1127">
        <f t="shared" ref="K347:K348" si="134">+G347*I347</f>
        <v>0</v>
      </c>
      <c r="L347" s="1124"/>
      <c r="M347" s="1125">
        <f t="shared" si="131"/>
        <v>0</v>
      </c>
      <c r="N347" s="1124"/>
      <c r="O347" s="1127"/>
      <c r="P347" s="1126"/>
      <c r="Q347" s="1127">
        <f t="shared" si="132"/>
        <v>0</v>
      </c>
      <c r="R347" s="1124"/>
      <c r="S347" s="2114">
        <f ca="1">'wp - t-1 COSS'!$F$35</f>
        <v>3.8170000000000002</v>
      </c>
      <c r="T347" s="1153"/>
      <c r="U347" s="1143">
        <f t="shared" ca="1" si="133"/>
        <v>0</v>
      </c>
      <c r="V347" s="2029"/>
      <c r="W347" s="858"/>
      <c r="X347" s="858"/>
      <c r="Y347" s="807"/>
      <c r="Z347" s="807"/>
      <c r="AA347" s="797"/>
      <c r="AB347" s="797"/>
      <c r="AC347" s="797"/>
      <c r="AD347" s="797"/>
      <c r="AE347" s="797"/>
      <c r="AF347" s="797"/>
      <c r="AG347" s="797"/>
      <c r="AH347" s="797"/>
      <c r="AI347" s="797"/>
      <c r="AJ347" s="797"/>
      <c r="AK347" s="859"/>
      <c r="AL347" s="860"/>
      <c r="AM347" s="861"/>
      <c r="AN347" s="1094"/>
      <c r="AO347" s="1094"/>
      <c r="AP347" s="1094"/>
      <c r="AQ347" s="1094"/>
      <c r="AR347" s="1094"/>
      <c r="AS347" s="1094"/>
      <c r="AT347" s="1094"/>
      <c r="AU347" s="812"/>
      <c r="AV347" s="812"/>
      <c r="AW347" s="812"/>
      <c r="AX347" s="812"/>
    </row>
    <row r="348" spans="1:50">
      <c r="A348" s="1524">
        <v>339</v>
      </c>
      <c r="B348" s="1141" t="s">
        <v>711</v>
      </c>
      <c r="C348" s="1132"/>
      <c r="D348" s="1133"/>
      <c r="E348" s="1132"/>
      <c r="F348" s="1129"/>
      <c r="G348" s="1124">
        <v>0</v>
      </c>
      <c r="H348" s="1124"/>
      <c r="I348" s="1690">
        <v>0</v>
      </c>
      <c r="J348" s="1129"/>
      <c r="K348" s="1127">
        <f t="shared" si="134"/>
        <v>0</v>
      </c>
      <c r="L348" s="1124"/>
      <c r="M348" s="1125">
        <f t="shared" si="131"/>
        <v>0</v>
      </c>
      <c r="N348" s="1124"/>
      <c r="O348" s="1127"/>
      <c r="P348" s="1126"/>
      <c r="Q348" s="1127">
        <f t="shared" si="132"/>
        <v>0</v>
      </c>
      <c r="R348" s="1124"/>
      <c r="S348" s="2114">
        <f ca="1">'wp - t-1 COSS'!$F$35</f>
        <v>3.8170000000000002</v>
      </c>
      <c r="T348" s="1153"/>
      <c r="U348" s="1143">
        <f t="shared" ca="1" si="133"/>
        <v>0</v>
      </c>
      <c r="V348" s="2029"/>
      <c r="W348" s="858"/>
      <c r="X348" s="858"/>
      <c r="Y348" s="807"/>
      <c r="Z348" s="807"/>
      <c r="AA348" s="797"/>
      <c r="AB348" s="797"/>
      <c r="AC348" s="797"/>
      <c r="AD348" s="797"/>
      <c r="AE348" s="797"/>
      <c r="AF348" s="797"/>
      <c r="AG348" s="797"/>
      <c r="AH348" s="797"/>
      <c r="AI348" s="797"/>
      <c r="AJ348" s="797"/>
      <c r="AK348" s="859"/>
      <c r="AL348" s="860"/>
      <c r="AM348" s="861"/>
      <c r="AN348" s="1094"/>
      <c r="AO348" s="1094"/>
      <c r="AP348" s="1094"/>
      <c r="AQ348" s="1094"/>
      <c r="AR348" s="1094"/>
      <c r="AS348" s="1094"/>
      <c r="AT348" s="1094"/>
      <c r="AU348" s="812"/>
      <c r="AV348" s="812"/>
      <c r="AW348" s="812"/>
      <c r="AX348" s="812"/>
    </row>
    <row r="349" spans="1:50" ht="12.75" thickBot="1">
      <c r="A349" s="1524">
        <v>340</v>
      </c>
      <c r="B349" s="1109" t="s">
        <v>3586</v>
      </c>
      <c r="C349" s="1134">
        <f>SUM(C343:C348)</f>
        <v>0</v>
      </c>
      <c r="D349" s="1135"/>
      <c r="E349" s="1134">
        <f>SUM(E343:E348)</f>
        <v>0</v>
      </c>
      <c r="F349" s="1135"/>
      <c r="G349" s="1134">
        <f>SUM(G343:G348)</f>
        <v>0</v>
      </c>
      <c r="H349" s="1096"/>
      <c r="I349" s="1678"/>
      <c r="J349" s="1097"/>
      <c r="K349" s="1146">
        <f>SUM(K344:K348)</f>
        <v>0</v>
      </c>
      <c r="L349" s="1096"/>
      <c r="M349" s="1146">
        <f>SUM(M344:M348)</f>
        <v>0</v>
      </c>
      <c r="N349" s="1096"/>
      <c r="O349" s="1134">
        <f>SUM(O343:O348)</f>
        <v>0</v>
      </c>
      <c r="P349" s="1099"/>
      <c r="Q349" s="1134">
        <f>SUM(Q343:Q348)</f>
        <v>0</v>
      </c>
      <c r="R349" s="1096"/>
      <c r="S349" s="1142"/>
      <c r="T349" s="1135"/>
      <c r="U349" s="1146">
        <f ca="1">SUM(U344:U348)</f>
        <v>0</v>
      </c>
      <c r="V349" s="2030"/>
      <c r="W349" s="1135"/>
      <c r="X349" s="858"/>
      <c r="Y349" s="807"/>
      <c r="Z349" s="807"/>
      <c r="AA349" s="797"/>
      <c r="AB349" s="797"/>
      <c r="AC349" s="797"/>
      <c r="AD349" s="797"/>
      <c r="AE349" s="797"/>
      <c r="AF349" s="797"/>
      <c r="AG349" s="797"/>
      <c r="AH349" s="797"/>
      <c r="AI349" s="797"/>
      <c r="AJ349" s="797"/>
      <c r="AK349" s="859"/>
      <c r="AL349" s="860"/>
      <c r="AM349" s="861"/>
      <c r="AN349" s="1094"/>
      <c r="AO349" s="1094"/>
      <c r="AP349" s="1094"/>
      <c r="AQ349" s="1094"/>
      <c r="AR349" s="1094"/>
      <c r="AS349" s="1094"/>
      <c r="AT349" s="1094"/>
      <c r="AU349" s="812"/>
      <c r="AV349" s="812"/>
      <c r="AW349" s="812"/>
      <c r="AX349" s="812"/>
    </row>
    <row r="350" spans="1:50" ht="12.75" thickTop="1">
      <c r="A350" s="1524">
        <v>341</v>
      </c>
      <c r="B350" s="1109"/>
      <c r="C350" s="1132"/>
      <c r="D350" s="1133"/>
      <c r="E350" s="1132"/>
      <c r="F350" s="1129"/>
      <c r="G350" s="1124"/>
      <c r="H350" s="1124"/>
      <c r="I350" s="1679"/>
      <c r="J350" s="1130"/>
      <c r="K350" s="1125"/>
      <c r="L350" s="1124"/>
      <c r="M350" s="1125"/>
      <c r="N350" s="1124"/>
      <c r="O350" s="1127"/>
      <c r="P350" s="1126"/>
      <c r="Q350" s="1127"/>
      <c r="R350" s="1124"/>
      <c r="S350" s="1128"/>
      <c r="T350" s="1130"/>
      <c r="U350" s="1093"/>
      <c r="V350" s="2031"/>
      <c r="W350" s="1130"/>
      <c r="X350" s="858"/>
      <c r="Y350" s="807"/>
      <c r="Z350" s="807"/>
      <c r="AA350" s="797"/>
      <c r="AB350" s="797"/>
      <c r="AC350" s="797"/>
      <c r="AD350" s="797"/>
      <c r="AE350" s="797"/>
      <c r="AF350" s="797"/>
      <c r="AG350" s="797"/>
      <c r="AH350" s="797"/>
      <c r="AI350" s="797"/>
      <c r="AJ350" s="797"/>
      <c r="AK350" s="859"/>
      <c r="AL350" s="860"/>
      <c r="AM350" s="861"/>
      <c r="AN350" s="1094"/>
      <c r="AO350" s="1094"/>
      <c r="AP350" s="1094"/>
      <c r="AQ350" s="1094"/>
      <c r="AR350" s="1094"/>
      <c r="AS350" s="1094"/>
      <c r="AT350" s="1094"/>
      <c r="AU350" s="812"/>
      <c r="AV350" s="812"/>
      <c r="AW350" s="812"/>
      <c r="AX350" s="812"/>
    </row>
    <row r="351" spans="1:50" ht="12.75" thickBot="1">
      <c r="A351" s="1524">
        <v>342</v>
      </c>
      <c r="B351" s="1111" t="s">
        <v>3587</v>
      </c>
      <c r="C351" s="1132"/>
      <c r="D351" s="1133"/>
      <c r="E351" s="1132"/>
      <c r="F351" s="1129"/>
      <c r="G351" s="1124"/>
      <c r="H351" s="1124"/>
      <c r="I351" s="1679"/>
      <c r="J351" s="1130"/>
      <c r="K351" s="1125"/>
      <c r="L351" s="1124"/>
      <c r="M351" s="1138" t="e">
        <f>+M349/$E349</f>
        <v>#DIV/0!</v>
      </c>
      <c r="N351" s="1124"/>
      <c r="O351" s="1127"/>
      <c r="P351" s="1126"/>
      <c r="Q351" s="1127"/>
      <c r="R351" s="1124"/>
      <c r="S351" s="1128"/>
      <c r="T351" s="1130"/>
      <c r="U351" s="1138" t="e">
        <f ca="1">+U349/$E349</f>
        <v>#DIV/0!</v>
      </c>
      <c r="V351" s="2032"/>
      <c r="W351" s="1130" t="e">
        <f ca="1">+U351-M351</f>
        <v>#DIV/0!</v>
      </c>
      <c r="X351" s="858"/>
      <c r="Y351" s="807"/>
      <c r="Z351" s="807"/>
      <c r="AA351" s="797"/>
      <c r="AB351" s="797"/>
      <c r="AC351" s="797"/>
      <c r="AD351" s="797"/>
      <c r="AE351" s="797"/>
      <c r="AF351" s="797"/>
      <c r="AG351" s="797"/>
      <c r="AH351" s="797"/>
      <c r="AI351" s="797"/>
      <c r="AJ351" s="797"/>
      <c r="AK351" s="859"/>
      <c r="AL351" s="860"/>
      <c r="AM351" s="861"/>
      <c r="AN351" s="1094"/>
      <c r="AO351" s="1094"/>
      <c r="AP351" s="1094"/>
      <c r="AQ351" s="1094"/>
      <c r="AR351" s="1094"/>
      <c r="AS351" s="1094"/>
      <c r="AT351" s="1094"/>
      <c r="AU351" s="812"/>
      <c r="AV351" s="812"/>
      <c r="AW351" s="812"/>
      <c r="AX351" s="812"/>
    </row>
    <row r="352" spans="1:50" ht="12.75" thickTop="1">
      <c r="A352" s="1524">
        <v>343</v>
      </c>
      <c r="B352" s="1106" t="s">
        <v>1361</v>
      </c>
      <c r="C352" s="1124">
        <v>1607.001</v>
      </c>
      <c r="D352" s="1129"/>
      <c r="E352" s="1124"/>
      <c r="F352" s="1129"/>
      <c r="G352" s="1124"/>
      <c r="H352" s="1124"/>
      <c r="I352" s="1679"/>
      <c r="J352" s="1129"/>
      <c r="K352" s="1125"/>
      <c r="L352" s="1124"/>
      <c r="M352" s="1125"/>
      <c r="N352" s="1124"/>
      <c r="O352" s="1127"/>
      <c r="P352" s="1126"/>
      <c r="Q352" s="1127"/>
      <c r="R352" s="1124"/>
      <c r="S352" s="1128"/>
      <c r="T352" s="1153"/>
      <c r="U352" s="1143"/>
      <c r="V352" s="2029"/>
      <c r="W352" s="858"/>
      <c r="X352" s="858"/>
      <c r="Y352" s="807"/>
      <c r="Z352" s="807"/>
      <c r="AA352" s="797"/>
      <c r="AB352" s="797"/>
      <c r="AC352" s="797"/>
      <c r="AD352" s="797"/>
      <c r="AE352" s="797"/>
      <c r="AF352" s="797"/>
      <c r="AG352" s="797"/>
      <c r="AH352" s="797"/>
      <c r="AI352" s="797"/>
      <c r="AJ352" s="797"/>
      <c r="AK352" s="859"/>
      <c r="AL352" s="860"/>
      <c r="AM352" s="861"/>
      <c r="AN352" s="1094"/>
      <c r="AO352" s="1094"/>
      <c r="AP352" s="1094"/>
      <c r="AQ352" s="1094"/>
      <c r="AR352" s="1094"/>
      <c r="AS352" s="1094"/>
      <c r="AT352" s="1094"/>
      <c r="AU352" s="812"/>
      <c r="AV352" s="812"/>
      <c r="AW352" s="812"/>
      <c r="AX352" s="812"/>
    </row>
    <row r="353" spans="1:50">
      <c r="A353" s="1524">
        <v>344</v>
      </c>
      <c r="B353" s="1141" t="s">
        <v>797</v>
      </c>
      <c r="C353" s="1124"/>
      <c r="D353" s="1129"/>
      <c r="E353" s="1124">
        <v>12</v>
      </c>
      <c r="F353" s="1129"/>
      <c r="G353" s="1124"/>
      <c r="H353" s="1124"/>
      <c r="I353" s="1682">
        <v>125.3</v>
      </c>
      <c r="J353" s="1129"/>
      <c r="K353" s="1125">
        <f>+E353*I353</f>
        <v>1503.6</v>
      </c>
      <c r="L353" s="1124"/>
      <c r="M353" s="1125">
        <f>+K353</f>
        <v>1503.6</v>
      </c>
      <c r="N353" s="1124"/>
      <c r="O353" s="1127">
        <f>+E353</f>
        <v>12</v>
      </c>
      <c r="P353" s="1126"/>
      <c r="Q353" s="1127"/>
      <c r="R353" s="1124"/>
      <c r="S353" s="1142">
        <f ca="1">'wp - t-1 COSS'!$F$17</f>
        <v>130.83000000000001</v>
      </c>
      <c r="T353" s="1153"/>
      <c r="U353" s="1143">
        <f ca="1">+O353*S353</f>
        <v>1569.96</v>
      </c>
      <c r="V353" s="2029"/>
      <c r="W353" s="858"/>
      <c r="X353" s="858"/>
      <c r="Y353" s="807"/>
      <c r="Z353" s="807"/>
      <c r="AA353" s="797"/>
      <c r="AB353" s="797"/>
      <c r="AC353" s="797"/>
      <c r="AD353" s="797"/>
      <c r="AE353" s="797"/>
      <c r="AF353" s="797"/>
      <c r="AG353" s="797"/>
      <c r="AH353" s="797"/>
      <c r="AI353" s="797"/>
      <c r="AJ353" s="797"/>
      <c r="AK353" s="859"/>
      <c r="AL353" s="860"/>
      <c r="AM353" s="861"/>
      <c r="AN353" s="1094"/>
      <c r="AO353" s="1094"/>
      <c r="AP353" s="1094"/>
      <c r="AQ353" s="1094"/>
      <c r="AR353" s="1094"/>
      <c r="AS353" s="1094"/>
      <c r="AT353" s="1094"/>
      <c r="AU353" s="812"/>
      <c r="AV353" s="812"/>
      <c r="AW353" s="812"/>
      <c r="AX353" s="812"/>
    </row>
    <row r="354" spans="1:50">
      <c r="A354" s="1524">
        <v>345</v>
      </c>
      <c r="B354" s="1141" t="s">
        <v>798</v>
      </c>
      <c r="C354" s="1132"/>
      <c r="D354" s="1133"/>
      <c r="E354" s="1132"/>
      <c r="F354" s="1129"/>
      <c r="G354" s="1124">
        <v>88.8</v>
      </c>
      <c r="H354" s="1124"/>
      <c r="I354" s="1680">
        <v>6.48</v>
      </c>
      <c r="J354" s="1129"/>
      <c r="K354" s="1127">
        <f>+G354*I354</f>
        <v>575.42399999999998</v>
      </c>
      <c r="L354" s="1124"/>
      <c r="M354" s="1125">
        <f t="shared" ref="M354:M357" si="135">+K354</f>
        <v>575.42399999999998</v>
      </c>
      <c r="N354" s="1124"/>
      <c r="O354" s="1127"/>
      <c r="P354" s="1126"/>
      <c r="Q354" s="1127">
        <f>+G354</f>
        <v>88.8</v>
      </c>
      <c r="R354" s="1124"/>
      <c r="S354" s="2114">
        <f ca="1">'wp - t-1 COSS'!$F$35</f>
        <v>3.8170000000000002</v>
      </c>
      <c r="T354" s="1153"/>
      <c r="U354" s="1143">
        <f ca="1">+Q354*S354</f>
        <v>338.94960000000003</v>
      </c>
      <c r="V354" s="2029"/>
      <c r="W354" s="858"/>
      <c r="X354" s="858"/>
      <c r="Y354" s="807"/>
      <c r="Z354" s="807"/>
      <c r="AA354" s="797"/>
      <c r="AB354" s="797"/>
      <c r="AC354" s="797"/>
      <c r="AD354" s="797"/>
      <c r="AE354" s="797"/>
      <c r="AF354" s="797"/>
      <c r="AG354" s="797"/>
      <c r="AH354" s="797"/>
      <c r="AI354" s="797"/>
      <c r="AJ354" s="797"/>
      <c r="AK354" s="859"/>
      <c r="AL354" s="860"/>
      <c r="AM354" s="861"/>
      <c r="AN354" s="1094"/>
      <c r="AO354" s="1094"/>
      <c r="AP354" s="1094"/>
      <c r="AQ354" s="1094"/>
      <c r="AR354" s="1094"/>
      <c r="AS354" s="1094"/>
      <c r="AT354" s="1094"/>
      <c r="AU354" s="812"/>
      <c r="AV354" s="812"/>
      <c r="AW354" s="812"/>
      <c r="AX354" s="812"/>
    </row>
    <row r="355" spans="1:50">
      <c r="A355" s="1524">
        <v>346</v>
      </c>
      <c r="B355" s="1141" t="s">
        <v>707</v>
      </c>
      <c r="C355" s="1132"/>
      <c r="D355" s="1133"/>
      <c r="E355" s="1132"/>
      <c r="F355" s="1129"/>
      <c r="G355" s="1124">
        <v>300</v>
      </c>
      <c r="H355" s="1124"/>
      <c r="I355" s="1680">
        <v>5.91</v>
      </c>
      <c r="J355" s="1129"/>
      <c r="K355" s="1127">
        <f t="shared" ref="K355:K357" si="136">+G355*I355</f>
        <v>1773</v>
      </c>
      <c r="L355" s="1124"/>
      <c r="M355" s="1125">
        <f t="shared" si="135"/>
        <v>1773</v>
      </c>
      <c r="N355" s="1124"/>
      <c r="O355" s="1127"/>
      <c r="P355" s="1126"/>
      <c r="Q355" s="1127">
        <f t="shared" ref="Q355:Q357" si="137">+G355</f>
        <v>300</v>
      </c>
      <c r="R355" s="1124"/>
      <c r="S355" s="2114">
        <f ca="1">'wp - t-1 COSS'!$F$35</f>
        <v>3.8170000000000002</v>
      </c>
      <c r="T355" s="1153"/>
      <c r="U355" s="1143">
        <f t="shared" ref="U355:U357" ca="1" si="138">+Q355*S355</f>
        <v>1145.1000000000001</v>
      </c>
      <c r="V355" s="2029"/>
      <c r="W355" s="858"/>
      <c r="X355" s="858"/>
      <c r="Y355" s="807"/>
      <c r="Z355" s="807"/>
      <c r="AA355" s="797"/>
      <c r="AB355" s="797"/>
      <c r="AC355" s="797"/>
      <c r="AD355" s="797"/>
      <c r="AE355" s="797"/>
      <c r="AF355" s="797"/>
      <c r="AG355" s="797"/>
      <c r="AH355" s="797"/>
      <c r="AI355" s="797"/>
      <c r="AJ355" s="797"/>
      <c r="AK355" s="859"/>
      <c r="AL355" s="860"/>
      <c r="AM355" s="861"/>
      <c r="AN355" s="1094"/>
      <c r="AO355" s="1094"/>
      <c r="AP355" s="1094"/>
      <c r="AQ355" s="1094"/>
      <c r="AR355" s="1094"/>
      <c r="AS355" s="1094"/>
      <c r="AT355" s="1094"/>
      <c r="AU355" s="812"/>
      <c r="AV355" s="812"/>
      <c r="AW355" s="812"/>
      <c r="AX355" s="812"/>
    </row>
    <row r="356" spans="1:50">
      <c r="A356" s="1524">
        <v>347</v>
      </c>
      <c r="B356" s="1141" t="s">
        <v>708</v>
      </c>
      <c r="C356" s="1132"/>
      <c r="D356" s="1133"/>
      <c r="E356" s="1132"/>
      <c r="F356" s="1129"/>
      <c r="G356" s="1124">
        <v>600</v>
      </c>
      <c r="H356" s="1124"/>
      <c r="I356" s="1680">
        <v>5.24</v>
      </c>
      <c r="J356" s="1129"/>
      <c r="K356" s="1127">
        <f t="shared" si="136"/>
        <v>3144</v>
      </c>
      <c r="L356" s="1124"/>
      <c r="M356" s="1125">
        <f t="shared" si="135"/>
        <v>3144</v>
      </c>
      <c r="N356" s="1124"/>
      <c r="O356" s="1127"/>
      <c r="P356" s="1126"/>
      <c r="Q356" s="1127">
        <f t="shared" si="137"/>
        <v>600</v>
      </c>
      <c r="R356" s="1124"/>
      <c r="S356" s="2114">
        <f ca="1">'wp - t-1 COSS'!$F$35</f>
        <v>3.8170000000000002</v>
      </c>
      <c r="T356" s="1153"/>
      <c r="U356" s="1143">
        <f t="shared" ca="1" si="138"/>
        <v>2290.2000000000003</v>
      </c>
      <c r="V356" s="2029"/>
      <c r="W356" s="858"/>
      <c r="X356" s="858"/>
      <c r="Y356" s="807"/>
      <c r="Z356" s="807"/>
      <c r="AA356" s="797"/>
      <c r="AB356" s="797"/>
      <c r="AC356" s="797"/>
      <c r="AD356" s="797"/>
      <c r="AE356" s="797"/>
      <c r="AF356" s="797"/>
      <c r="AG356" s="797"/>
      <c r="AH356" s="797"/>
      <c r="AI356" s="797"/>
      <c r="AJ356" s="797"/>
      <c r="AK356" s="859"/>
      <c r="AL356" s="860"/>
      <c r="AM356" s="861"/>
      <c r="AN356" s="1094"/>
      <c r="AO356" s="1094"/>
      <c r="AP356" s="1094"/>
      <c r="AQ356" s="1094"/>
      <c r="AR356" s="1094"/>
      <c r="AS356" s="1094"/>
      <c r="AT356" s="1094"/>
      <c r="AU356" s="812"/>
      <c r="AV356" s="812"/>
      <c r="AW356" s="812"/>
      <c r="AX356" s="812"/>
    </row>
    <row r="357" spans="1:50">
      <c r="A357" s="1524">
        <v>348</v>
      </c>
      <c r="B357" s="1141" t="s">
        <v>711</v>
      </c>
      <c r="C357" s="1132"/>
      <c r="D357" s="1133"/>
      <c r="E357" s="1132"/>
      <c r="F357" s="1129"/>
      <c r="G357" s="1124">
        <v>407.00099999999998</v>
      </c>
      <c r="H357" s="1124"/>
      <c r="I357" s="1680">
        <v>4.58</v>
      </c>
      <c r="J357" s="1129"/>
      <c r="K357" s="1127">
        <f t="shared" si="136"/>
        <v>1864.06458</v>
      </c>
      <c r="L357" s="1124"/>
      <c r="M357" s="1125">
        <f t="shared" si="135"/>
        <v>1864.06458</v>
      </c>
      <c r="N357" s="1124"/>
      <c r="O357" s="1127"/>
      <c r="P357" s="1126"/>
      <c r="Q357" s="1127">
        <f t="shared" si="137"/>
        <v>407.00099999999998</v>
      </c>
      <c r="R357" s="1124"/>
      <c r="S357" s="2114">
        <f ca="1">'wp - t-1 COSS'!$F$35</f>
        <v>3.8170000000000002</v>
      </c>
      <c r="T357" s="1153"/>
      <c r="U357" s="1143">
        <f t="shared" ca="1" si="138"/>
        <v>1553.522817</v>
      </c>
      <c r="V357" s="2029"/>
      <c r="W357" s="858"/>
      <c r="X357" s="858"/>
      <c r="Y357" s="807"/>
      <c r="Z357" s="807"/>
      <c r="AA357" s="797"/>
      <c r="AB357" s="797"/>
      <c r="AC357" s="797"/>
      <c r="AD357" s="797"/>
      <c r="AE357" s="797"/>
      <c r="AF357" s="797"/>
      <c r="AG357" s="797"/>
      <c r="AH357" s="797"/>
      <c r="AI357" s="797"/>
      <c r="AJ357" s="797"/>
      <c r="AK357" s="859"/>
      <c r="AL357" s="860"/>
      <c r="AM357" s="861"/>
      <c r="AN357" s="1094"/>
      <c r="AO357" s="1094"/>
      <c r="AP357" s="1094"/>
      <c r="AQ357" s="1094"/>
      <c r="AR357" s="1094"/>
      <c r="AS357" s="1094"/>
      <c r="AT357" s="1094"/>
      <c r="AU357" s="812"/>
      <c r="AV357" s="812"/>
      <c r="AW357" s="812"/>
      <c r="AX357" s="812"/>
    </row>
    <row r="358" spans="1:50" ht="12.75" thickBot="1">
      <c r="A358" s="1524">
        <v>349</v>
      </c>
      <c r="B358" s="1150" t="s">
        <v>1360</v>
      </c>
      <c r="C358" s="1134">
        <f>SUM(C352:C357)</f>
        <v>1607.001</v>
      </c>
      <c r="D358" s="1135"/>
      <c r="E358" s="1134">
        <f>SUM(E352:E357)</f>
        <v>12</v>
      </c>
      <c r="F358" s="1135"/>
      <c r="G358" s="1134">
        <f>SUM(G352:G357)</f>
        <v>1395.8009999999999</v>
      </c>
      <c r="H358" s="1096"/>
      <c r="I358" s="1678"/>
      <c r="J358" s="1097"/>
      <c r="K358" s="1146">
        <f>SUM(K353:K357)</f>
        <v>8860.0885799999996</v>
      </c>
      <c r="L358" s="1096"/>
      <c r="M358" s="1146">
        <f>SUM(M353:M357)</f>
        <v>8860.0885799999996</v>
      </c>
      <c r="N358" s="1096"/>
      <c r="O358" s="1134">
        <f>SUM(O352:O357)</f>
        <v>12</v>
      </c>
      <c r="P358" s="1099"/>
      <c r="Q358" s="1134">
        <f>SUM(Q352:R357)</f>
        <v>1395.8009999999999</v>
      </c>
      <c r="R358" s="1096"/>
      <c r="S358" s="1142"/>
      <c r="T358" s="1135"/>
      <c r="U358" s="1146">
        <f ca="1">SUM(U353:U357)</f>
        <v>6897.7324170000002</v>
      </c>
      <c r="V358" s="2030"/>
      <c r="W358" s="1135"/>
      <c r="X358" s="858"/>
      <c r="Y358" s="807"/>
      <c r="Z358" s="807"/>
      <c r="AA358" s="797"/>
      <c r="AB358" s="797"/>
      <c r="AC358" s="797"/>
      <c r="AD358" s="797"/>
      <c r="AE358" s="797"/>
      <c r="AF358" s="797"/>
      <c r="AG358" s="797"/>
      <c r="AH358" s="797"/>
      <c r="AI358" s="797"/>
      <c r="AJ358" s="797"/>
      <c r="AK358" s="859"/>
      <c r="AL358" s="860"/>
      <c r="AM358" s="861"/>
      <c r="AN358" s="1094"/>
      <c r="AO358" s="1094"/>
      <c r="AP358" s="1094"/>
      <c r="AQ358" s="1094"/>
      <c r="AR358" s="1094"/>
      <c r="AS358" s="1094"/>
      <c r="AT358" s="1094"/>
      <c r="AU358" s="812"/>
      <c r="AV358" s="812"/>
      <c r="AW358" s="812"/>
      <c r="AX358" s="812"/>
    </row>
    <row r="359" spans="1:50" ht="12.75" thickTop="1">
      <c r="A359" s="1524">
        <v>350</v>
      </c>
      <c r="B359" s="1150"/>
      <c r="C359" s="1132"/>
      <c r="D359" s="1133"/>
      <c r="E359" s="1132"/>
      <c r="F359" s="1129"/>
      <c r="G359" s="1124"/>
      <c r="H359" s="1124"/>
      <c r="I359" s="1679"/>
      <c r="J359" s="1130"/>
      <c r="K359" s="1125"/>
      <c r="L359" s="1124"/>
      <c r="M359" s="1125"/>
      <c r="N359" s="1124"/>
      <c r="O359" s="1127"/>
      <c r="P359" s="1126"/>
      <c r="Q359" s="1127"/>
      <c r="R359" s="1124"/>
      <c r="S359" s="1128"/>
      <c r="T359" s="1130"/>
      <c r="U359" s="1093"/>
      <c r="V359" s="2031"/>
      <c r="W359" s="1130"/>
      <c r="X359" s="858"/>
      <c r="Y359" s="807"/>
      <c r="Z359" s="807"/>
      <c r="AA359" s="797"/>
      <c r="AB359" s="797"/>
      <c r="AC359" s="797"/>
      <c r="AD359" s="797"/>
      <c r="AE359" s="797"/>
      <c r="AF359" s="797"/>
      <c r="AG359" s="797"/>
      <c r="AH359" s="797"/>
      <c r="AI359" s="797"/>
      <c r="AJ359" s="797"/>
      <c r="AK359" s="859"/>
      <c r="AL359" s="860"/>
      <c r="AM359" s="861"/>
      <c r="AN359" s="1094"/>
      <c r="AO359" s="1094"/>
      <c r="AP359" s="1094"/>
      <c r="AQ359" s="1094"/>
      <c r="AR359" s="1094"/>
      <c r="AS359" s="1094"/>
      <c r="AT359" s="1094"/>
      <c r="AU359" s="812"/>
      <c r="AV359" s="812"/>
      <c r="AW359" s="812"/>
      <c r="AX359" s="812"/>
    </row>
    <row r="360" spans="1:50" ht="12.75" thickBot="1">
      <c r="A360" s="1524">
        <v>351</v>
      </c>
      <c r="B360" s="1151" t="s">
        <v>1359</v>
      </c>
      <c r="C360" s="1132"/>
      <c r="D360" s="1133"/>
      <c r="E360" s="1132"/>
      <c r="F360" s="1129"/>
      <c r="G360" s="1124"/>
      <c r="H360" s="1124"/>
      <c r="I360" s="1679"/>
      <c r="J360" s="1130"/>
      <c r="K360" s="1125"/>
      <c r="L360" s="1124"/>
      <c r="M360" s="1138">
        <f>+M358/$E358</f>
        <v>738.34071499999993</v>
      </c>
      <c r="N360" s="1124"/>
      <c r="O360" s="1127"/>
      <c r="P360" s="1126"/>
      <c r="Q360" s="1127"/>
      <c r="R360" s="1124"/>
      <c r="S360" s="1128"/>
      <c r="T360" s="1130"/>
      <c r="U360" s="1138">
        <f ca="1">+U358/$E358</f>
        <v>574.81103474999998</v>
      </c>
      <c r="V360" s="2032"/>
      <c r="W360" s="1130">
        <f ca="1">+U360-M360</f>
        <v>-163.52968024999996</v>
      </c>
      <c r="X360" s="858"/>
      <c r="Y360" s="807"/>
      <c r="Z360" s="807"/>
      <c r="AA360" s="797"/>
      <c r="AB360" s="797"/>
      <c r="AC360" s="797"/>
      <c r="AD360" s="797"/>
      <c r="AE360" s="797"/>
      <c r="AF360" s="797"/>
      <c r="AG360" s="797"/>
      <c r="AH360" s="797"/>
      <c r="AI360" s="797"/>
      <c r="AJ360" s="797"/>
      <c r="AK360" s="859"/>
      <c r="AL360" s="860"/>
      <c r="AM360" s="861"/>
      <c r="AN360" s="1094"/>
      <c r="AO360" s="1094"/>
      <c r="AP360" s="1094"/>
      <c r="AQ360" s="1094"/>
      <c r="AR360" s="1094"/>
      <c r="AS360" s="1094"/>
      <c r="AT360" s="1094"/>
      <c r="AU360" s="812"/>
      <c r="AV360" s="812"/>
      <c r="AW360" s="812"/>
      <c r="AX360" s="812"/>
    </row>
    <row r="361" spans="1:50" ht="12.75" thickTop="1">
      <c r="A361" s="1524">
        <v>352</v>
      </c>
      <c r="B361" s="1106" t="s">
        <v>1358</v>
      </c>
      <c r="C361" s="1124">
        <v>1200.4000000000001</v>
      </c>
      <c r="D361" s="1129"/>
      <c r="E361" s="1124"/>
      <c r="F361" s="1129"/>
      <c r="G361" s="1124"/>
      <c r="H361" s="1124"/>
      <c r="I361" s="1679"/>
      <c r="J361" s="1129"/>
      <c r="K361" s="1125"/>
      <c r="L361" s="1124"/>
      <c r="M361" s="1125"/>
      <c r="N361" s="1124"/>
      <c r="O361" s="1127"/>
      <c r="P361" s="1126"/>
      <c r="Q361" s="1127"/>
      <c r="R361" s="1124"/>
      <c r="S361" s="1128"/>
      <c r="T361" s="1153"/>
      <c r="U361" s="1143"/>
      <c r="V361" s="2029"/>
      <c r="W361" s="858"/>
      <c r="X361" s="858"/>
      <c r="Y361" s="807"/>
      <c r="Z361" s="807"/>
      <c r="AA361" s="797"/>
      <c r="AB361" s="797"/>
      <c r="AC361" s="797"/>
      <c r="AD361" s="797"/>
      <c r="AE361" s="797"/>
      <c r="AF361" s="797"/>
      <c r="AG361" s="797"/>
      <c r="AH361" s="797"/>
      <c r="AI361" s="797"/>
      <c r="AJ361" s="797"/>
      <c r="AK361" s="859"/>
      <c r="AL361" s="860"/>
      <c r="AM361" s="861"/>
      <c r="AN361" s="1094"/>
      <c r="AO361" s="1094"/>
      <c r="AP361" s="1094"/>
      <c r="AQ361" s="1094"/>
      <c r="AR361" s="1094"/>
      <c r="AS361" s="1094"/>
      <c r="AT361" s="1094"/>
      <c r="AU361" s="812"/>
      <c r="AV361" s="812"/>
      <c r="AW361" s="812"/>
      <c r="AX361" s="812"/>
    </row>
    <row r="362" spans="1:50">
      <c r="A362" s="1524">
        <v>353</v>
      </c>
      <c r="B362" s="1141" t="s">
        <v>797</v>
      </c>
      <c r="C362" s="1124"/>
      <c r="D362" s="1129"/>
      <c r="E362" s="1124">
        <v>36</v>
      </c>
      <c r="F362" s="1129"/>
      <c r="G362" s="1124"/>
      <c r="H362" s="1124"/>
      <c r="I362" s="1682">
        <v>125.3</v>
      </c>
      <c r="J362" s="1129"/>
      <c r="K362" s="1125">
        <f>+E362*I362</f>
        <v>4510.8</v>
      </c>
      <c r="L362" s="1124"/>
      <c r="M362" s="1125">
        <f>+K362</f>
        <v>4510.8</v>
      </c>
      <c r="N362" s="1124"/>
      <c r="O362" s="1127">
        <f>+E362</f>
        <v>36</v>
      </c>
      <c r="P362" s="1126"/>
      <c r="Q362" s="1127"/>
      <c r="R362" s="1124"/>
      <c r="S362" s="1142">
        <f ca="1">'wp - t-1 COSS'!$F$17</f>
        <v>130.83000000000001</v>
      </c>
      <c r="T362" s="1153"/>
      <c r="U362" s="1143">
        <f ca="1">+O362*S362</f>
        <v>4709.88</v>
      </c>
      <c r="V362" s="2029"/>
      <c r="W362" s="858"/>
      <c r="X362" s="858"/>
      <c r="Y362" s="807"/>
      <c r="Z362" s="807"/>
      <c r="AA362" s="797"/>
      <c r="AB362" s="797"/>
      <c r="AC362" s="797"/>
      <c r="AD362" s="797"/>
      <c r="AE362" s="797"/>
      <c r="AF362" s="797"/>
      <c r="AG362" s="797"/>
      <c r="AH362" s="797"/>
      <c r="AI362" s="797"/>
      <c r="AJ362" s="797"/>
      <c r="AK362" s="859"/>
      <c r="AL362" s="860"/>
      <c r="AM362" s="861"/>
      <c r="AN362" s="1094"/>
      <c r="AO362" s="1094"/>
      <c r="AP362" s="1094"/>
      <c r="AQ362" s="1094"/>
      <c r="AR362" s="1094"/>
      <c r="AS362" s="1094"/>
      <c r="AT362" s="1094"/>
      <c r="AU362" s="812"/>
      <c r="AV362" s="812"/>
      <c r="AW362" s="812"/>
      <c r="AX362" s="812"/>
    </row>
    <row r="363" spans="1:50">
      <c r="A363" s="1524">
        <v>354</v>
      </c>
      <c r="B363" s="1141" t="s">
        <v>798</v>
      </c>
      <c r="C363" s="1132"/>
      <c r="D363" s="1133"/>
      <c r="E363" s="1132"/>
      <c r="F363" s="1129"/>
      <c r="G363" s="1124">
        <v>88.8</v>
      </c>
      <c r="H363" s="1124"/>
      <c r="I363" s="1680">
        <v>6.48</v>
      </c>
      <c r="J363" s="1129"/>
      <c r="K363" s="1127">
        <f>+G363*I363</f>
        <v>575.42399999999998</v>
      </c>
      <c r="L363" s="1124"/>
      <c r="M363" s="1125">
        <f t="shared" ref="M363:M366" si="139">+K363</f>
        <v>575.42399999999998</v>
      </c>
      <c r="N363" s="1124"/>
      <c r="O363" s="1127"/>
      <c r="P363" s="1126"/>
      <c r="Q363" s="1127">
        <f>+G363</f>
        <v>88.8</v>
      </c>
      <c r="R363" s="1124"/>
      <c r="S363" s="2114">
        <f ca="1">'wp - t-1 COSS'!$F$35</f>
        <v>3.8170000000000002</v>
      </c>
      <c r="T363" s="1153"/>
      <c r="U363" s="1143">
        <f ca="1">+Q363*S363</f>
        <v>338.94960000000003</v>
      </c>
      <c r="V363" s="2029"/>
      <c r="W363" s="858"/>
      <c r="X363" s="858"/>
      <c r="Y363" s="807"/>
      <c r="Z363" s="807"/>
      <c r="AA363" s="797"/>
      <c r="AB363" s="797"/>
      <c r="AC363" s="797"/>
      <c r="AD363" s="797"/>
      <c r="AE363" s="797"/>
      <c r="AF363" s="797"/>
      <c r="AG363" s="797"/>
      <c r="AH363" s="797"/>
      <c r="AI363" s="797"/>
      <c r="AJ363" s="797"/>
      <c r="AK363" s="859"/>
      <c r="AL363" s="860"/>
      <c r="AM363" s="861"/>
      <c r="AN363" s="1094"/>
      <c r="AO363" s="1094"/>
      <c r="AP363" s="1094"/>
      <c r="AQ363" s="1094"/>
      <c r="AR363" s="1094"/>
      <c r="AS363" s="1094"/>
      <c r="AT363" s="1094"/>
      <c r="AU363" s="812"/>
      <c r="AV363" s="812"/>
      <c r="AW363" s="812"/>
      <c r="AX363" s="812"/>
    </row>
    <row r="364" spans="1:50">
      <c r="A364" s="1524">
        <v>355</v>
      </c>
      <c r="B364" s="1141" t="s">
        <v>707</v>
      </c>
      <c r="C364" s="1132"/>
      <c r="D364" s="1133"/>
      <c r="E364" s="1132"/>
      <c r="F364" s="1129"/>
      <c r="G364" s="1124">
        <v>293.10000000000002</v>
      </c>
      <c r="H364" s="1124"/>
      <c r="I364" s="1680">
        <v>5.91</v>
      </c>
      <c r="J364" s="1129"/>
      <c r="K364" s="1127">
        <f t="shared" ref="K364:K366" si="140">+G364*I364</f>
        <v>1732.2210000000002</v>
      </c>
      <c r="L364" s="1124"/>
      <c r="M364" s="1125">
        <f t="shared" si="139"/>
        <v>1732.2210000000002</v>
      </c>
      <c r="N364" s="1124"/>
      <c r="O364" s="1127"/>
      <c r="P364" s="1126"/>
      <c r="Q364" s="1127">
        <f t="shared" ref="Q364:Q366" si="141">+G364</f>
        <v>293.10000000000002</v>
      </c>
      <c r="R364" s="1124"/>
      <c r="S364" s="2114">
        <f ca="1">'wp - t-1 COSS'!$F$35</f>
        <v>3.8170000000000002</v>
      </c>
      <c r="T364" s="1153"/>
      <c r="U364" s="1143">
        <f t="shared" ref="U364:U366" ca="1" si="142">+Q364*S364</f>
        <v>1118.7627000000002</v>
      </c>
      <c r="V364" s="2029"/>
      <c r="W364" s="858"/>
      <c r="X364" s="858"/>
      <c r="Y364" s="807"/>
      <c r="Z364" s="807"/>
      <c r="AA364" s="797"/>
      <c r="AB364" s="797"/>
      <c r="AC364" s="797"/>
      <c r="AD364" s="797"/>
      <c r="AE364" s="797"/>
      <c r="AF364" s="797"/>
      <c r="AG364" s="797"/>
      <c r="AH364" s="797"/>
      <c r="AI364" s="797"/>
      <c r="AJ364" s="797"/>
      <c r="AK364" s="859"/>
      <c r="AL364" s="860"/>
      <c r="AM364" s="861"/>
      <c r="AN364" s="1094"/>
      <c r="AO364" s="1094"/>
      <c r="AP364" s="1094"/>
      <c r="AQ364" s="1094"/>
      <c r="AR364" s="1094"/>
      <c r="AS364" s="1094"/>
      <c r="AT364" s="1094"/>
      <c r="AU364" s="812"/>
      <c r="AV364" s="812"/>
      <c r="AW364" s="812"/>
      <c r="AX364" s="812"/>
    </row>
    <row r="365" spans="1:50">
      <c r="A365" s="1524">
        <v>356</v>
      </c>
      <c r="B365" s="1141" t="s">
        <v>708</v>
      </c>
      <c r="C365" s="1132"/>
      <c r="D365" s="1133"/>
      <c r="E365" s="1132"/>
      <c r="F365" s="1129"/>
      <c r="G365" s="1124">
        <v>426.1</v>
      </c>
      <c r="H365" s="1124"/>
      <c r="I365" s="1680">
        <v>5.24</v>
      </c>
      <c r="J365" s="1129"/>
      <c r="K365" s="1127">
        <f t="shared" si="140"/>
        <v>2232.7640000000001</v>
      </c>
      <c r="L365" s="1124"/>
      <c r="M365" s="1125">
        <f t="shared" si="139"/>
        <v>2232.7640000000001</v>
      </c>
      <c r="N365" s="1124"/>
      <c r="O365" s="1127"/>
      <c r="P365" s="1126"/>
      <c r="Q365" s="1127">
        <f t="shared" si="141"/>
        <v>426.1</v>
      </c>
      <c r="R365" s="1124"/>
      <c r="S365" s="2114">
        <f ca="1">'wp - t-1 COSS'!$F$35</f>
        <v>3.8170000000000002</v>
      </c>
      <c r="T365" s="1153"/>
      <c r="U365" s="1143">
        <f t="shared" ca="1" si="142"/>
        <v>1626.4237000000001</v>
      </c>
      <c r="V365" s="2029"/>
      <c r="W365" s="858"/>
      <c r="X365" s="858"/>
      <c r="Y365" s="807"/>
      <c r="Z365" s="807"/>
      <c r="AA365" s="797"/>
      <c r="AB365" s="797"/>
      <c r="AC365" s="797"/>
      <c r="AD365" s="797"/>
      <c r="AE365" s="797"/>
      <c r="AF365" s="797"/>
      <c r="AG365" s="797"/>
      <c r="AH365" s="797"/>
      <c r="AI365" s="797"/>
      <c r="AJ365" s="797"/>
      <c r="AK365" s="859"/>
      <c r="AL365" s="860"/>
      <c r="AM365" s="861"/>
      <c r="AN365" s="1094"/>
      <c r="AO365" s="1094"/>
      <c r="AP365" s="1094"/>
      <c r="AQ365" s="1094"/>
      <c r="AR365" s="1094"/>
      <c r="AS365" s="1094"/>
      <c r="AT365" s="1094"/>
      <c r="AU365" s="812"/>
      <c r="AV365" s="812"/>
      <c r="AW365" s="812"/>
      <c r="AX365" s="812"/>
    </row>
    <row r="366" spans="1:50">
      <c r="A366" s="1524">
        <v>357</v>
      </c>
      <c r="B366" s="1141" t="s">
        <v>711</v>
      </c>
      <c r="C366" s="1132"/>
      <c r="D366" s="1133"/>
      <c r="E366" s="1132"/>
      <c r="F366" s="1129"/>
      <c r="G366" s="1124">
        <v>127</v>
      </c>
      <c r="H366" s="1124"/>
      <c r="I366" s="1680">
        <v>4.58</v>
      </c>
      <c r="J366" s="1129"/>
      <c r="K366" s="1127">
        <f t="shared" si="140"/>
        <v>581.66</v>
      </c>
      <c r="L366" s="1124"/>
      <c r="M366" s="1125">
        <f t="shared" si="139"/>
        <v>581.66</v>
      </c>
      <c r="N366" s="1124"/>
      <c r="O366" s="1127"/>
      <c r="P366" s="1126"/>
      <c r="Q366" s="1127">
        <f t="shared" si="141"/>
        <v>127</v>
      </c>
      <c r="R366" s="1124"/>
      <c r="S366" s="2114">
        <f ca="1">'wp - t-1 COSS'!$F$35</f>
        <v>3.8170000000000002</v>
      </c>
      <c r="T366" s="1153"/>
      <c r="U366" s="1143">
        <f t="shared" ca="1" si="142"/>
        <v>484.75900000000001</v>
      </c>
      <c r="V366" s="2029"/>
      <c r="W366" s="858"/>
      <c r="X366" s="858"/>
      <c r="Y366" s="807"/>
      <c r="Z366" s="807"/>
      <c r="AA366" s="797"/>
      <c r="AB366" s="797"/>
      <c r="AC366" s="797"/>
      <c r="AD366" s="797"/>
      <c r="AE366" s="797"/>
      <c r="AF366" s="797"/>
      <c r="AG366" s="797"/>
      <c r="AH366" s="797"/>
      <c r="AI366" s="797"/>
      <c r="AJ366" s="797"/>
      <c r="AK366" s="859"/>
      <c r="AL366" s="860"/>
      <c r="AM366" s="861"/>
      <c r="AN366" s="1094"/>
      <c r="AO366" s="1094"/>
      <c r="AP366" s="1094"/>
      <c r="AQ366" s="1094"/>
      <c r="AR366" s="1094"/>
      <c r="AS366" s="1094"/>
      <c r="AT366" s="1094"/>
      <c r="AU366" s="812"/>
      <c r="AV366" s="812"/>
      <c r="AW366" s="812"/>
      <c r="AX366" s="812"/>
    </row>
    <row r="367" spans="1:50" ht="12.75" thickBot="1">
      <c r="A367" s="1524">
        <v>358</v>
      </c>
      <c r="B367" s="1150" t="s">
        <v>1357</v>
      </c>
      <c r="C367" s="1134">
        <f>SUM(C361:C366)</f>
        <v>1200.4000000000001</v>
      </c>
      <c r="D367" s="1135"/>
      <c r="E367" s="1134">
        <f>SUM(E361:E366)</f>
        <v>36</v>
      </c>
      <c r="F367" s="1135"/>
      <c r="G367" s="1134">
        <f>SUM(G361:G366)</f>
        <v>935</v>
      </c>
      <c r="H367" s="1096"/>
      <c r="I367" s="1678"/>
      <c r="J367" s="1097"/>
      <c r="K367" s="1146">
        <f>SUM(K362:K366)</f>
        <v>9632.8690000000006</v>
      </c>
      <c r="L367" s="1096"/>
      <c r="M367" s="1146">
        <f>SUM(M362:M366)</f>
        <v>9632.8690000000006</v>
      </c>
      <c r="N367" s="1096"/>
      <c r="O367" s="1134">
        <f>SUM(O361:O366)</f>
        <v>36</v>
      </c>
      <c r="P367" s="1099"/>
      <c r="Q367" s="1134">
        <f>SUM(Q361:R366)</f>
        <v>935</v>
      </c>
      <c r="R367" s="1096"/>
      <c r="S367" s="1142"/>
      <c r="T367" s="1135"/>
      <c r="U367" s="1146">
        <f ca="1">SUM(U362:U366)</f>
        <v>8278.7750000000015</v>
      </c>
      <c r="V367" s="2030"/>
      <c r="W367" s="1135"/>
      <c r="X367" s="858"/>
      <c r="Y367" s="807"/>
      <c r="Z367" s="807"/>
      <c r="AA367" s="797"/>
      <c r="AB367" s="797"/>
      <c r="AC367" s="797"/>
      <c r="AD367" s="797"/>
      <c r="AE367" s="797"/>
      <c r="AF367" s="797"/>
      <c r="AG367" s="797"/>
      <c r="AH367" s="797"/>
      <c r="AI367" s="797"/>
      <c r="AJ367" s="797"/>
      <c r="AK367" s="859"/>
      <c r="AL367" s="860"/>
      <c r="AM367" s="861"/>
      <c r="AN367" s="1094"/>
      <c r="AO367" s="1094"/>
      <c r="AP367" s="1094"/>
      <c r="AQ367" s="1094"/>
      <c r="AR367" s="1094"/>
      <c r="AS367" s="1094"/>
      <c r="AT367" s="1094"/>
      <c r="AU367" s="812"/>
      <c r="AV367" s="812"/>
      <c r="AW367" s="812"/>
      <c r="AX367" s="812"/>
    </row>
    <row r="368" spans="1:50" ht="12.75" thickTop="1">
      <c r="A368" s="1524">
        <v>359</v>
      </c>
      <c r="B368" s="1150"/>
      <c r="C368" s="1132"/>
      <c r="D368" s="1133"/>
      <c r="E368" s="1132"/>
      <c r="F368" s="1129"/>
      <c r="G368" s="1124"/>
      <c r="H368" s="1124"/>
      <c r="I368" s="1679"/>
      <c r="J368" s="1130"/>
      <c r="K368" s="1125"/>
      <c r="L368" s="1124"/>
      <c r="M368" s="1125"/>
      <c r="N368" s="1124"/>
      <c r="O368" s="1127"/>
      <c r="P368" s="1126"/>
      <c r="Q368" s="1127"/>
      <c r="R368" s="1124"/>
      <c r="S368" s="1128"/>
      <c r="T368" s="1130"/>
      <c r="U368" s="1093"/>
      <c r="V368" s="2031"/>
      <c r="W368" s="1130"/>
      <c r="X368" s="858"/>
      <c r="Y368" s="801"/>
      <c r="Z368" s="801"/>
      <c r="AB368" s="797"/>
      <c r="AC368" s="797"/>
      <c r="AD368" s="797"/>
      <c r="AE368" s="797"/>
      <c r="AF368" s="797"/>
      <c r="AG368" s="797"/>
      <c r="AH368" s="797"/>
      <c r="AI368" s="797"/>
      <c r="AJ368" s="797"/>
      <c r="AK368" s="859"/>
      <c r="AL368" s="860"/>
      <c r="AM368" s="861"/>
      <c r="AN368" s="1094"/>
      <c r="AO368" s="1094"/>
      <c r="AP368" s="1094"/>
      <c r="AQ368" s="1094"/>
      <c r="AR368" s="1094"/>
      <c r="AS368" s="1094"/>
      <c r="AT368" s="1094"/>
      <c r="AU368" s="812"/>
      <c r="AV368" s="812"/>
      <c r="AW368" s="812"/>
      <c r="AX368" s="812"/>
    </row>
    <row r="369" spans="1:50" ht="11.25" customHeight="1" thickBot="1">
      <c r="A369" s="1524">
        <v>360</v>
      </c>
      <c r="B369" s="1119" t="s">
        <v>1356</v>
      </c>
      <c r="C369" s="1132"/>
      <c r="D369" s="1133"/>
      <c r="E369" s="1132"/>
      <c r="F369" s="1129"/>
      <c r="G369" s="1124"/>
      <c r="H369" s="1124"/>
      <c r="I369" s="1679"/>
      <c r="J369" s="1130"/>
      <c r="K369" s="1125"/>
      <c r="L369" s="1124"/>
      <c r="M369" s="1138">
        <f>+M367/$E367</f>
        <v>267.57969444444444</v>
      </c>
      <c r="N369" s="1124"/>
      <c r="O369" s="1127"/>
      <c r="P369" s="1126"/>
      <c r="Q369" s="1127"/>
      <c r="R369" s="1124"/>
      <c r="S369" s="1128"/>
      <c r="T369" s="1130"/>
      <c r="U369" s="1138">
        <f ca="1">+U367/$E367</f>
        <v>229.96597222222226</v>
      </c>
      <c r="V369" s="2032"/>
      <c r="W369" s="1130">
        <f ca="1">+U369-M369</f>
        <v>-37.613722222222179</v>
      </c>
      <c r="X369" s="812"/>
      <c r="Y369" s="801"/>
      <c r="Z369" s="801"/>
      <c r="AB369" s="797"/>
      <c r="AC369" s="797"/>
      <c r="AD369" s="797"/>
      <c r="AE369" s="797"/>
      <c r="AF369" s="797"/>
      <c r="AG369" s="797"/>
      <c r="AH369" s="797"/>
      <c r="AI369" s="797"/>
      <c r="AJ369" s="797"/>
      <c r="AK369" s="859"/>
      <c r="AL369" s="860"/>
      <c r="AM369" s="861"/>
      <c r="AN369" s="1094"/>
      <c r="AO369" s="1094"/>
      <c r="AP369" s="1094"/>
      <c r="AQ369" s="1094"/>
      <c r="AR369" s="1094"/>
      <c r="AS369" s="1094"/>
      <c r="AT369" s="1094"/>
      <c r="AU369" s="812"/>
      <c r="AV369" s="812"/>
      <c r="AW369" s="812"/>
      <c r="AX369" s="812"/>
    </row>
    <row r="370" spans="1:50" ht="12.75" thickTop="1">
      <c r="A370" s="1524">
        <v>361</v>
      </c>
      <c r="B370" s="1106" t="s">
        <v>3588</v>
      </c>
      <c r="C370" s="1124">
        <v>294.00099999999998</v>
      </c>
      <c r="D370" s="1129"/>
      <c r="E370" s="1124"/>
      <c r="F370" s="1129"/>
      <c r="G370" s="1124"/>
      <c r="H370" s="1124"/>
      <c r="I370" s="1679"/>
      <c r="J370" s="1129"/>
      <c r="K370" s="1125"/>
      <c r="L370" s="1124"/>
      <c r="M370" s="1125"/>
      <c r="N370" s="1124"/>
      <c r="O370" s="1127"/>
      <c r="P370" s="1126"/>
      <c r="Q370" s="1127"/>
      <c r="R370" s="1124"/>
      <c r="S370" s="1128"/>
      <c r="T370" s="1153"/>
      <c r="U370" s="1143"/>
      <c r="V370" s="2029"/>
      <c r="W370" s="858"/>
      <c r="X370" s="858"/>
      <c r="Y370" s="801"/>
      <c r="Z370" s="801"/>
      <c r="AB370" s="797"/>
      <c r="AC370" s="797"/>
      <c r="AD370" s="797"/>
      <c r="AE370" s="797"/>
      <c r="AF370" s="797"/>
      <c r="AG370" s="797"/>
      <c r="AH370" s="797"/>
      <c r="AI370" s="797"/>
      <c r="AJ370" s="797"/>
      <c r="AK370" s="859"/>
      <c r="AL370" s="860"/>
      <c r="AM370" s="861"/>
      <c r="AN370" s="1094"/>
      <c r="AO370" s="1094"/>
      <c r="AP370" s="1094"/>
      <c r="AQ370" s="1094"/>
      <c r="AR370" s="1094"/>
      <c r="AS370" s="1094"/>
      <c r="AT370" s="1094"/>
      <c r="AU370" s="812"/>
      <c r="AV370" s="812"/>
      <c r="AW370" s="812"/>
      <c r="AX370" s="812"/>
    </row>
    <row r="371" spans="1:50">
      <c r="A371" s="1524">
        <v>362</v>
      </c>
      <c r="B371" s="1141" t="s">
        <v>797</v>
      </c>
      <c r="C371" s="1124"/>
      <c r="D371" s="1129"/>
      <c r="E371" s="1124">
        <v>12</v>
      </c>
      <c r="F371" s="1129"/>
      <c r="G371" s="1124"/>
      <c r="H371" s="1124"/>
      <c r="I371" s="1682">
        <v>125.3</v>
      </c>
      <c r="J371" s="1129"/>
      <c r="K371" s="1125">
        <f>+E371*I371</f>
        <v>1503.6</v>
      </c>
      <c r="L371" s="1124"/>
      <c r="M371" s="1125">
        <f>+K371</f>
        <v>1503.6</v>
      </c>
      <c r="N371" s="1124"/>
      <c r="O371" s="1127">
        <f>+E371</f>
        <v>12</v>
      </c>
      <c r="P371" s="1126"/>
      <c r="Q371" s="1127"/>
      <c r="R371" s="1124"/>
      <c r="S371" s="1142">
        <f ca="1">'wp - t-1 COSS'!$F$17</f>
        <v>130.83000000000001</v>
      </c>
      <c r="T371" s="1153"/>
      <c r="U371" s="1143">
        <f ca="1">+O371*S371</f>
        <v>1569.96</v>
      </c>
      <c r="V371" s="2029"/>
      <c r="W371" s="858"/>
      <c r="X371" s="858"/>
      <c r="Y371" s="865"/>
      <c r="Z371" s="866"/>
      <c r="AA371" s="867"/>
      <c r="AB371" s="797"/>
      <c r="AC371" s="797"/>
      <c r="AD371" s="797"/>
      <c r="AE371" s="797"/>
      <c r="AF371" s="797"/>
      <c r="AG371" s="797"/>
      <c r="AH371" s="797"/>
      <c r="AI371" s="797"/>
      <c r="AJ371" s="797"/>
      <c r="AK371" s="859"/>
      <c r="AL371" s="860"/>
      <c r="AM371" s="861"/>
      <c r="AN371" s="1094"/>
      <c r="AO371" s="1094"/>
      <c r="AP371" s="1094"/>
      <c r="AQ371" s="1094"/>
      <c r="AR371" s="1094"/>
      <c r="AS371" s="1094"/>
      <c r="AT371" s="1094"/>
      <c r="AU371" s="812"/>
      <c r="AV371" s="812"/>
      <c r="AW371" s="812"/>
      <c r="AX371" s="812"/>
    </row>
    <row r="372" spans="1:50" s="1118" customFormat="1">
      <c r="A372" s="1524">
        <v>363</v>
      </c>
      <c r="B372" s="1141" t="s">
        <v>798</v>
      </c>
      <c r="C372" s="1132"/>
      <c r="D372" s="1133"/>
      <c r="E372" s="1132"/>
      <c r="F372" s="1129"/>
      <c r="G372" s="1124">
        <v>64.8</v>
      </c>
      <c r="H372" s="1124"/>
      <c r="I372" s="1680">
        <v>6.48</v>
      </c>
      <c r="J372" s="1129"/>
      <c r="K372" s="1127">
        <f>+G372*I372</f>
        <v>419.904</v>
      </c>
      <c r="L372" s="1124"/>
      <c r="M372" s="1125">
        <f t="shared" ref="M372:M375" si="143">+K372</f>
        <v>419.904</v>
      </c>
      <c r="N372" s="1124"/>
      <c r="O372" s="1127"/>
      <c r="P372" s="1126"/>
      <c r="Q372" s="1127">
        <f>+G372</f>
        <v>64.8</v>
      </c>
      <c r="R372" s="1124"/>
      <c r="S372" s="2114">
        <f ca="1">'wp - t-1 COSS'!$F$35</f>
        <v>3.8170000000000002</v>
      </c>
      <c r="T372" s="1153"/>
      <c r="U372" s="1143">
        <f ca="1">+Q372*S372</f>
        <v>247.3416</v>
      </c>
      <c r="V372" s="2029"/>
      <c r="W372" s="858"/>
      <c r="X372" s="858"/>
      <c r="Y372" s="868"/>
      <c r="Z372" s="869"/>
      <c r="AA372" s="870"/>
      <c r="AB372" s="821"/>
      <c r="AC372" s="821"/>
      <c r="AD372" s="821"/>
      <c r="AE372" s="821"/>
      <c r="AF372" s="821"/>
      <c r="AG372" s="821"/>
      <c r="AH372" s="821"/>
      <c r="AI372" s="821"/>
      <c r="AJ372" s="821"/>
      <c r="AK372" s="859"/>
      <c r="AL372" s="860"/>
      <c r="AM372" s="861"/>
      <c r="AN372" s="1094"/>
      <c r="AO372" s="1094"/>
      <c r="AP372" s="1094"/>
      <c r="AQ372" s="1094"/>
      <c r="AR372" s="1094"/>
      <c r="AS372" s="1094"/>
      <c r="AT372" s="1094"/>
      <c r="AU372" s="812"/>
      <c r="AV372" s="812"/>
      <c r="AW372" s="812"/>
      <c r="AX372" s="812"/>
    </row>
    <row r="373" spans="1:50" s="1118" customFormat="1">
      <c r="A373" s="1524">
        <v>364</v>
      </c>
      <c r="B373" s="1141" t="s">
        <v>707</v>
      </c>
      <c r="C373" s="1132"/>
      <c r="D373" s="1133"/>
      <c r="E373" s="1132"/>
      <c r="F373" s="1129"/>
      <c r="G373" s="1124">
        <v>18.001000000000001</v>
      </c>
      <c r="H373" s="1124"/>
      <c r="I373" s="1680">
        <v>5.91</v>
      </c>
      <c r="J373" s="1129"/>
      <c r="K373" s="1127">
        <f t="shared" ref="K373:K375" si="144">+G373*I373</f>
        <v>106.38591000000001</v>
      </c>
      <c r="L373" s="1124"/>
      <c r="M373" s="1125">
        <f t="shared" si="143"/>
        <v>106.38591000000001</v>
      </c>
      <c r="N373" s="1124"/>
      <c r="O373" s="1127"/>
      <c r="P373" s="1126"/>
      <c r="Q373" s="1127">
        <f t="shared" ref="Q373:Q375" si="145">+G373</f>
        <v>18.001000000000001</v>
      </c>
      <c r="R373" s="1124"/>
      <c r="S373" s="2114">
        <f ca="1">'wp - t-1 COSS'!$F$35</f>
        <v>3.8170000000000002</v>
      </c>
      <c r="T373" s="1153"/>
      <c r="U373" s="1143">
        <f t="shared" ref="U373:U375" ca="1" si="146">+Q373*S373</f>
        <v>68.709817000000001</v>
      </c>
      <c r="V373" s="2029"/>
      <c r="W373" s="858"/>
      <c r="X373" s="858"/>
      <c r="Y373" s="868"/>
      <c r="Z373" s="869"/>
      <c r="AA373" s="870"/>
      <c r="AB373" s="821"/>
      <c r="AC373" s="821"/>
      <c r="AD373" s="821"/>
      <c r="AE373" s="821"/>
      <c r="AF373" s="821"/>
      <c r="AG373" s="821"/>
      <c r="AH373" s="821"/>
      <c r="AI373" s="821"/>
      <c r="AJ373" s="821"/>
      <c r="AK373" s="859"/>
      <c r="AL373" s="860"/>
      <c r="AM373" s="861"/>
      <c r="AN373" s="1094"/>
      <c r="AO373" s="1094"/>
      <c r="AP373" s="1094"/>
      <c r="AQ373" s="1094"/>
      <c r="AR373" s="1094"/>
      <c r="AS373" s="1094"/>
      <c r="AT373" s="1094"/>
      <c r="AU373" s="812"/>
      <c r="AV373" s="812"/>
      <c r="AW373" s="812"/>
      <c r="AX373" s="812"/>
    </row>
    <row r="374" spans="1:50">
      <c r="A374" s="1524">
        <v>365</v>
      </c>
      <c r="B374" s="1141" t="s">
        <v>708</v>
      </c>
      <c r="C374" s="1132"/>
      <c r="D374" s="1133"/>
      <c r="E374" s="1132"/>
      <c r="F374" s="1129"/>
      <c r="G374" s="1124">
        <v>0</v>
      </c>
      <c r="H374" s="1124"/>
      <c r="I374" s="1680">
        <v>5.24</v>
      </c>
      <c r="J374" s="1129"/>
      <c r="K374" s="1127">
        <f t="shared" si="144"/>
        <v>0</v>
      </c>
      <c r="L374" s="1124"/>
      <c r="M374" s="1125">
        <f t="shared" si="143"/>
        <v>0</v>
      </c>
      <c r="N374" s="1124"/>
      <c r="O374" s="1127"/>
      <c r="P374" s="1126"/>
      <c r="Q374" s="1127">
        <f t="shared" si="145"/>
        <v>0</v>
      </c>
      <c r="R374" s="1124"/>
      <c r="S374" s="2114">
        <f ca="1">'wp - t-1 COSS'!$F$35</f>
        <v>3.8170000000000002</v>
      </c>
      <c r="T374" s="1153"/>
      <c r="U374" s="1143">
        <f t="shared" ca="1" si="146"/>
        <v>0</v>
      </c>
      <c r="V374" s="2029"/>
      <c r="W374" s="858"/>
      <c r="X374" s="858"/>
      <c r="Y374" s="819"/>
      <c r="Z374" s="820"/>
      <c r="AA374" s="821"/>
      <c r="AB374" s="821"/>
      <c r="AC374" s="821"/>
      <c r="AD374" s="821"/>
      <c r="AE374" s="821"/>
      <c r="AF374" s="835"/>
      <c r="AG374" s="836"/>
      <c r="AH374" s="1092"/>
      <c r="AI374" s="1113"/>
      <c r="AJ374" s="1094"/>
      <c r="AK374" s="1094"/>
      <c r="AL374" s="1092"/>
      <c r="AM374" s="812"/>
      <c r="AN374" s="1094"/>
      <c r="AO374" s="812"/>
      <c r="AP374" s="1094"/>
      <c r="AQ374" s="812"/>
      <c r="AR374" s="812"/>
      <c r="AS374" s="812"/>
      <c r="AT374" s="812"/>
      <c r="AU374" s="812"/>
      <c r="AV374" s="812"/>
      <c r="AW374" s="812"/>
      <c r="AX374" s="812"/>
    </row>
    <row r="375" spans="1:50">
      <c r="A375" s="1524">
        <v>366</v>
      </c>
      <c r="B375" s="1141" t="s">
        <v>711</v>
      </c>
      <c r="C375" s="1132"/>
      <c r="D375" s="1133"/>
      <c r="E375" s="1132"/>
      <c r="F375" s="1129"/>
      <c r="G375" s="1124">
        <v>0</v>
      </c>
      <c r="H375" s="1124"/>
      <c r="I375" s="1680">
        <v>4.58</v>
      </c>
      <c r="J375" s="1129"/>
      <c r="K375" s="1127">
        <f t="shared" si="144"/>
        <v>0</v>
      </c>
      <c r="L375" s="1124"/>
      <c r="M375" s="1125">
        <f t="shared" si="143"/>
        <v>0</v>
      </c>
      <c r="N375" s="1124"/>
      <c r="O375" s="1127"/>
      <c r="P375" s="1126"/>
      <c r="Q375" s="1127">
        <f t="shared" si="145"/>
        <v>0</v>
      </c>
      <c r="R375" s="1124"/>
      <c r="S375" s="2114">
        <f ca="1">'wp - t-1 COSS'!$F$35</f>
        <v>3.8170000000000002</v>
      </c>
      <c r="T375" s="1153"/>
      <c r="U375" s="1143">
        <f t="shared" ca="1" si="146"/>
        <v>0</v>
      </c>
      <c r="V375" s="2029"/>
      <c r="W375" s="858"/>
      <c r="X375" s="858"/>
      <c r="Y375" s="819"/>
      <c r="Z375" s="820"/>
      <c r="AA375" s="821"/>
      <c r="AB375" s="821"/>
      <c r="AC375" s="821"/>
      <c r="AD375" s="821"/>
      <c r="AE375" s="821"/>
      <c r="AF375" s="835"/>
      <c r="AG375" s="836"/>
      <c r="AH375" s="1092"/>
      <c r="AI375" s="1113"/>
      <c r="AJ375" s="1094"/>
      <c r="AK375" s="1094"/>
      <c r="AL375" s="1092"/>
      <c r="AM375" s="812"/>
      <c r="AN375" s="1094"/>
      <c r="AO375" s="812"/>
      <c r="AP375" s="1094"/>
      <c r="AQ375" s="812"/>
      <c r="AR375" s="812"/>
      <c r="AS375" s="812"/>
      <c r="AT375" s="812"/>
      <c r="AU375" s="812"/>
      <c r="AV375" s="812"/>
      <c r="AW375" s="812"/>
      <c r="AX375" s="812"/>
    </row>
    <row r="376" spans="1:50" ht="12.75" thickBot="1">
      <c r="A376" s="1524">
        <v>367</v>
      </c>
      <c r="B376" s="1150" t="s">
        <v>3589</v>
      </c>
      <c r="C376" s="1134">
        <f>SUM(C370:C375)</f>
        <v>294.00099999999998</v>
      </c>
      <c r="D376" s="1135"/>
      <c r="E376" s="1134">
        <f>SUM(E370:E375)</f>
        <v>12</v>
      </c>
      <c r="F376" s="1135"/>
      <c r="G376" s="1134">
        <f>SUM(G370:G375)</f>
        <v>82.801000000000002</v>
      </c>
      <c r="H376" s="1096"/>
      <c r="I376" s="1678"/>
      <c r="J376" s="1097"/>
      <c r="K376" s="1146">
        <f>SUM(K371:K375)</f>
        <v>2029.8899099999999</v>
      </c>
      <c r="L376" s="1096"/>
      <c r="M376" s="1146">
        <f>SUM(M371:M375)</f>
        <v>2029.8899099999999</v>
      </c>
      <c r="N376" s="1096"/>
      <c r="O376" s="1134">
        <f>SUM(O370:O375)</f>
        <v>12</v>
      </c>
      <c r="P376" s="1099"/>
      <c r="Q376" s="1134">
        <f>SUM(Q370:R375)</f>
        <v>82.801000000000002</v>
      </c>
      <c r="R376" s="1096"/>
      <c r="S376" s="1142"/>
      <c r="T376" s="1135"/>
      <c r="U376" s="1146">
        <f ca="1">SUM(U371:U375)</f>
        <v>1886.0114169999999</v>
      </c>
      <c r="V376" s="2030"/>
      <c r="W376" s="1135"/>
      <c r="X376" s="858"/>
      <c r="Y376" s="819"/>
      <c r="Z376" s="820"/>
      <c r="AA376" s="821"/>
      <c r="AB376" s="821"/>
      <c r="AC376" s="821"/>
      <c r="AD376" s="821"/>
      <c r="AE376" s="821"/>
      <c r="AF376" s="835"/>
      <c r="AG376" s="836"/>
      <c r="AH376" s="1092"/>
      <c r="AI376" s="1113"/>
      <c r="AJ376" s="1094"/>
      <c r="AK376" s="1094"/>
      <c r="AL376" s="1092"/>
      <c r="AM376" s="812"/>
      <c r="AN376" s="1094"/>
      <c r="AO376" s="812"/>
      <c r="AP376" s="1094"/>
      <c r="AQ376" s="812"/>
      <c r="AR376" s="812"/>
      <c r="AS376" s="812"/>
      <c r="AT376" s="812"/>
      <c r="AU376" s="812"/>
      <c r="AV376" s="812"/>
      <c r="AW376" s="812"/>
      <c r="AX376" s="812"/>
    </row>
    <row r="377" spans="1:50" ht="12.75" thickTop="1">
      <c r="A377" s="1524">
        <v>368</v>
      </c>
      <c r="B377" s="1150"/>
      <c r="C377" s="1132"/>
      <c r="D377" s="1133"/>
      <c r="E377" s="1132"/>
      <c r="F377" s="1129"/>
      <c r="G377" s="1124"/>
      <c r="H377" s="1124"/>
      <c r="I377" s="1679"/>
      <c r="J377" s="1130"/>
      <c r="K377" s="1125"/>
      <c r="L377" s="1124"/>
      <c r="M377" s="1125"/>
      <c r="N377" s="1124"/>
      <c r="O377" s="1127"/>
      <c r="P377" s="1126"/>
      <c r="Q377" s="1127"/>
      <c r="R377" s="1124"/>
      <c r="S377" s="1128"/>
      <c r="T377" s="1130"/>
      <c r="U377" s="1093"/>
      <c r="V377" s="2031"/>
      <c r="W377" s="1130"/>
      <c r="X377" s="858"/>
      <c r="Y377" s="819"/>
      <c r="Z377" s="820"/>
      <c r="AA377" s="821"/>
      <c r="AB377" s="821"/>
      <c r="AC377" s="821"/>
      <c r="AD377" s="821"/>
      <c r="AE377" s="821"/>
      <c r="AF377" s="835"/>
      <c r="AG377" s="836"/>
      <c r="AH377" s="1092"/>
      <c r="AI377" s="1113"/>
      <c r="AJ377" s="1094"/>
      <c r="AK377" s="1094"/>
      <c r="AL377" s="1092"/>
      <c r="AM377" s="812"/>
      <c r="AN377" s="1094"/>
      <c r="AO377" s="812"/>
      <c r="AP377" s="1094"/>
      <c r="AQ377" s="812"/>
      <c r="AR377" s="812"/>
      <c r="AS377" s="812"/>
      <c r="AT377" s="812"/>
      <c r="AU377" s="812"/>
      <c r="AV377" s="812"/>
      <c r="AW377" s="812"/>
      <c r="AX377" s="812"/>
    </row>
    <row r="378" spans="1:50" ht="12.75" thickBot="1">
      <c r="A378" s="1524">
        <v>369</v>
      </c>
      <c r="B378" s="1119" t="s">
        <v>3590</v>
      </c>
      <c r="C378" s="1132"/>
      <c r="D378" s="1133"/>
      <c r="E378" s="1132"/>
      <c r="F378" s="1129"/>
      <c r="G378" s="1124"/>
      <c r="H378" s="1124"/>
      <c r="I378" s="1679"/>
      <c r="J378" s="1130"/>
      <c r="K378" s="1125"/>
      <c r="L378" s="1124"/>
      <c r="M378" s="1138">
        <f>+M376/$E376</f>
        <v>169.15749249999999</v>
      </c>
      <c r="N378" s="1124"/>
      <c r="O378" s="1127"/>
      <c r="P378" s="1126"/>
      <c r="Q378" s="1127"/>
      <c r="R378" s="1124"/>
      <c r="S378" s="1128"/>
      <c r="T378" s="1130"/>
      <c r="U378" s="1138">
        <f ca="1">+U376/$E376</f>
        <v>157.16761808333334</v>
      </c>
      <c r="V378" s="2032"/>
      <c r="W378" s="1130">
        <f ca="1">+U378-M378</f>
        <v>-11.989874416666652</v>
      </c>
      <c r="X378" s="812"/>
      <c r="Y378" s="819"/>
      <c r="Z378" s="820"/>
      <c r="AA378" s="821"/>
      <c r="AB378" s="821"/>
      <c r="AC378" s="821"/>
      <c r="AD378" s="821"/>
      <c r="AE378" s="821"/>
      <c r="AF378" s="835"/>
      <c r="AG378" s="836"/>
      <c r="AH378" s="1092"/>
      <c r="AI378" s="1113"/>
      <c r="AJ378" s="1094"/>
      <c r="AK378" s="1094"/>
      <c r="AL378" s="1092"/>
      <c r="AM378" s="812"/>
      <c r="AN378" s="1094"/>
      <c r="AO378" s="812"/>
      <c r="AP378" s="1094"/>
      <c r="AQ378" s="812"/>
      <c r="AR378" s="812"/>
      <c r="AS378" s="812"/>
      <c r="AT378" s="812"/>
      <c r="AU378" s="812"/>
      <c r="AV378" s="812"/>
      <c r="AW378" s="812"/>
      <c r="AX378" s="812"/>
    </row>
    <row r="379" spans="1:50" ht="12.75" thickTop="1">
      <c r="A379" s="1524">
        <v>370</v>
      </c>
      <c r="B379" s="1106" t="s">
        <v>3591</v>
      </c>
      <c r="C379" s="1124">
        <v>0</v>
      </c>
      <c r="D379" s="1129"/>
      <c r="E379" s="1124"/>
      <c r="F379" s="1129"/>
      <c r="G379" s="1124"/>
      <c r="H379" s="1124"/>
      <c r="I379" s="1679"/>
      <c r="J379" s="1129"/>
      <c r="K379" s="1125"/>
      <c r="L379" s="1124"/>
      <c r="M379" s="1125"/>
      <c r="N379" s="1124"/>
      <c r="O379" s="1127"/>
      <c r="P379" s="1126"/>
      <c r="Q379" s="1127"/>
      <c r="R379" s="1124"/>
      <c r="S379" s="1128"/>
      <c r="T379" s="1153"/>
      <c r="U379" s="1143"/>
      <c r="V379" s="2029"/>
      <c r="W379" s="858"/>
      <c r="X379" s="858"/>
      <c r="Y379" s="819"/>
      <c r="Z379" s="820"/>
      <c r="AA379" s="821"/>
      <c r="AB379" s="821"/>
      <c r="AC379" s="821"/>
      <c r="AD379" s="821"/>
      <c r="AE379" s="821"/>
      <c r="AF379" s="835"/>
      <c r="AG379" s="836"/>
      <c r="AH379" s="1092"/>
      <c r="AI379" s="1113"/>
      <c r="AJ379" s="1094"/>
      <c r="AK379" s="1094"/>
      <c r="AL379" s="1092"/>
      <c r="AM379" s="812"/>
      <c r="AN379" s="1094"/>
      <c r="AO379" s="812"/>
      <c r="AP379" s="1094"/>
      <c r="AQ379" s="812"/>
      <c r="AR379" s="812"/>
      <c r="AS379" s="812"/>
      <c r="AT379" s="812"/>
      <c r="AU379" s="812"/>
      <c r="AV379" s="812"/>
      <c r="AW379" s="812"/>
      <c r="AX379" s="812"/>
    </row>
    <row r="380" spans="1:50">
      <c r="A380" s="1524">
        <v>371</v>
      </c>
      <c r="B380" s="1141" t="s">
        <v>3592</v>
      </c>
      <c r="C380" s="1124"/>
      <c r="D380" s="1129"/>
      <c r="E380" s="1124">
        <v>0</v>
      </c>
      <c r="F380" s="1129"/>
      <c r="G380" s="1124"/>
      <c r="H380" s="1124"/>
      <c r="I380" s="1680">
        <v>0</v>
      </c>
      <c r="J380" s="1129"/>
      <c r="K380" s="1125">
        <f>+E380*I380</f>
        <v>0</v>
      </c>
      <c r="L380" s="1124"/>
      <c r="M380" s="1125">
        <f>+K380</f>
        <v>0</v>
      </c>
      <c r="N380" s="1124"/>
      <c r="O380" s="1127">
        <f>+E380</f>
        <v>0</v>
      </c>
      <c r="P380" s="1126"/>
      <c r="Q380" s="1127"/>
      <c r="R380" s="1124"/>
      <c r="S380" s="1142">
        <f ca="1">'wp - t-1 COSS'!$F$20</f>
        <v>822.66</v>
      </c>
      <c r="T380" s="1153"/>
      <c r="U380" s="1143">
        <f ca="1">+O380*S380</f>
        <v>0</v>
      </c>
      <c r="V380" s="2029"/>
      <c r="W380" s="858"/>
      <c r="X380" s="858"/>
      <c r="Y380" s="819"/>
      <c r="Z380" s="820"/>
      <c r="AA380" s="821"/>
      <c r="AB380" s="821"/>
      <c r="AC380" s="821"/>
      <c r="AD380" s="821"/>
      <c r="AE380" s="821"/>
      <c r="AF380" s="835"/>
      <c r="AG380" s="836"/>
      <c r="AH380" s="1092"/>
      <c r="AI380" s="1113"/>
      <c r="AJ380" s="1094"/>
      <c r="AK380" s="1094"/>
      <c r="AL380" s="1092"/>
      <c r="AM380" s="812"/>
      <c r="AN380" s="1094"/>
      <c r="AO380" s="812"/>
      <c r="AP380" s="1094"/>
      <c r="AQ380" s="812"/>
      <c r="AR380" s="812"/>
      <c r="AS380" s="812"/>
      <c r="AT380" s="812"/>
      <c r="AU380" s="812"/>
      <c r="AV380" s="812"/>
      <c r="AW380" s="812"/>
      <c r="AX380" s="812"/>
    </row>
    <row r="381" spans="1:50">
      <c r="A381" s="1524">
        <v>372</v>
      </c>
      <c r="B381" s="1141" t="s">
        <v>3593</v>
      </c>
      <c r="C381" s="1132"/>
      <c r="D381" s="1133"/>
      <c r="E381" s="1132"/>
      <c r="F381" s="1129"/>
      <c r="G381" s="1124">
        <v>0</v>
      </c>
      <c r="H381" s="1124"/>
      <c r="I381" s="1680">
        <v>0</v>
      </c>
      <c r="J381" s="1129"/>
      <c r="K381" s="1127">
        <f>+G381*I381</f>
        <v>0</v>
      </c>
      <c r="L381" s="1124"/>
      <c r="M381" s="1125">
        <f t="shared" ref="M381" si="147">+K381</f>
        <v>0</v>
      </c>
      <c r="N381" s="1124"/>
      <c r="O381" s="1127"/>
      <c r="P381" s="1126"/>
      <c r="Q381" s="1127">
        <f>+G381</f>
        <v>0</v>
      </c>
      <c r="R381" s="1124"/>
      <c r="S381" s="2114">
        <f ca="1">'wp - t-1 COSS'!$F$38</f>
        <v>3.8170000000000002</v>
      </c>
      <c r="T381" s="1153"/>
      <c r="U381" s="1143">
        <f ca="1">+Q381*S381</f>
        <v>0</v>
      </c>
      <c r="V381" s="2029"/>
      <c r="W381" s="858"/>
      <c r="X381" s="858"/>
      <c r="Y381" s="819"/>
      <c r="Z381" s="820"/>
      <c r="AA381" s="821"/>
      <c r="AB381" s="821"/>
      <c r="AC381" s="821"/>
      <c r="AD381" s="821"/>
      <c r="AE381" s="821"/>
      <c r="AF381" s="835"/>
      <c r="AG381" s="836"/>
      <c r="AH381" s="1092"/>
      <c r="AI381" s="1113"/>
      <c r="AJ381" s="1094"/>
      <c r="AK381" s="1094"/>
      <c r="AL381" s="1092"/>
      <c r="AM381" s="812"/>
      <c r="AN381" s="1094"/>
      <c r="AO381" s="812"/>
      <c r="AP381" s="1094"/>
      <c r="AQ381" s="812"/>
      <c r="AR381" s="812"/>
      <c r="AS381" s="812"/>
      <c r="AT381" s="812"/>
      <c r="AU381" s="812"/>
      <c r="AV381" s="812"/>
      <c r="AW381" s="812"/>
      <c r="AX381" s="812"/>
    </row>
    <row r="382" spans="1:50" ht="12.75" thickBot="1">
      <c r="A382" s="1524">
        <v>373</v>
      </c>
      <c r="B382" s="1150" t="s">
        <v>3594</v>
      </c>
      <c r="C382" s="1134">
        <f>SUM(C379:C381)</f>
        <v>0</v>
      </c>
      <c r="D382" s="1135"/>
      <c r="E382" s="1134">
        <f>SUM(E379:E381)</f>
        <v>0</v>
      </c>
      <c r="F382" s="1135"/>
      <c r="G382" s="1134">
        <f>SUM(G379:G381)</f>
        <v>0</v>
      </c>
      <c r="H382" s="1096"/>
      <c r="I382" s="1678"/>
      <c r="J382" s="1097"/>
      <c r="K382" s="1146">
        <f>SUM(K380:K381)</f>
        <v>0</v>
      </c>
      <c r="L382" s="1096"/>
      <c r="M382" s="1146">
        <f>SUM(M380:M381)</f>
        <v>0</v>
      </c>
      <c r="N382" s="1096"/>
      <c r="O382" s="1134">
        <f>SUM(O379:O381)</f>
        <v>0</v>
      </c>
      <c r="P382" s="1099"/>
      <c r="Q382" s="1134">
        <f>SUM(Q379:R381)</f>
        <v>0</v>
      </c>
      <c r="R382" s="1096"/>
      <c r="S382" s="1142"/>
      <c r="T382" s="1135"/>
      <c r="U382" s="1146">
        <f ca="1">SUM(U380:U381)</f>
        <v>0</v>
      </c>
      <c r="V382" s="2030"/>
      <c r="W382" s="1135"/>
      <c r="X382" s="858"/>
      <c r="Y382" s="819"/>
      <c r="Z382" s="820"/>
      <c r="AA382" s="821"/>
      <c r="AB382" s="821"/>
      <c r="AC382" s="821"/>
      <c r="AD382" s="821"/>
      <c r="AE382" s="821"/>
      <c r="AF382" s="835"/>
      <c r="AG382" s="836"/>
      <c r="AH382" s="1092"/>
      <c r="AI382" s="1113"/>
      <c r="AJ382" s="1094"/>
      <c r="AK382" s="1094"/>
      <c r="AL382" s="1092"/>
      <c r="AM382" s="812"/>
      <c r="AN382" s="1094"/>
      <c r="AO382" s="812"/>
      <c r="AP382" s="1094"/>
      <c r="AQ382" s="812"/>
      <c r="AR382" s="812"/>
      <c r="AS382" s="812"/>
      <c r="AT382" s="812"/>
      <c r="AU382" s="812"/>
      <c r="AV382" s="812"/>
      <c r="AW382" s="812"/>
      <c r="AX382" s="812"/>
    </row>
    <row r="383" spans="1:50" ht="12.75" thickTop="1">
      <c r="A383" s="1524">
        <v>374</v>
      </c>
      <c r="B383" s="1150"/>
      <c r="C383" s="1132"/>
      <c r="D383" s="1133"/>
      <c r="E383" s="1132"/>
      <c r="F383" s="1129"/>
      <c r="G383" s="1124"/>
      <c r="H383" s="1124"/>
      <c r="I383" s="1679"/>
      <c r="J383" s="1130"/>
      <c r="K383" s="1125"/>
      <c r="L383" s="1124"/>
      <c r="M383" s="1125"/>
      <c r="N383" s="1124"/>
      <c r="O383" s="1127"/>
      <c r="P383" s="1126"/>
      <c r="Q383" s="1127"/>
      <c r="R383" s="1124"/>
      <c r="S383" s="1128"/>
      <c r="T383" s="1130"/>
      <c r="U383" s="1093"/>
      <c r="V383" s="2031"/>
      <c r="W383" s="1130"/>
      <c r="X383" s="858"/>
      <c r="Y383" s="819"/>
      <c r="Z383" s="820"/>
      <c r="AA383" s="821"/>
      <c r="AB383" s="821"/>
      <c r="AC383" s="821"/>
      <c r="AD383" s="821"/>
      <c r="AE383" s="821"/>
      <c r="AF383" s="835"/>
      <c r="AG383" s="836"/>
      <c r="AH383" s="1092"/>
      <c r="AI383" s="1113"/>
      <c r="AJ383" s="1094"/>
      <c r="AK383" s="1094"/>
      <c r="AL383" s="1092"/>
      <c r="AM383" s="812"/>
      <c r="AN383" s="1094"/>
      <c r="AO383" s="812"/>
      <c r="AP383" s="1094"/>
      <c r="AQ383" s="812"/>
      <c r="AR383" s="812"/>
      <c r="AS383" s="812"/>
      <c r="AT383" s="812"/>
      <c r="AU383" s="812"/>
      <c r="AV383" s="812"/>
      <c r="AW383" s="812"/>
      <c r="AX383" s="812"/>
    </row>
    <row r="384" spans="1:50" ht="12.75" thickBot="1">
      <c r="A384" s="1524">
        <v>375</v>
      </c>
      <c r="B384" s="1119" t="s">
        <v>1401</v>
      </c>
      <c r="C384" s="1132"/>
      <c r="D384" s="1133"/>
      <c r="E384" s="1132"/>
      <c r="F384" s="1129"/>
      <c r="G384" s="1124"/>
      <c r="H384" s="1124"/>
      <c r="I384" s="1679"/>
      <c r="J384" s="1130"/>
      <c r="K384" s="1125"/>
      <c r="L384" s="1124"/>
      <c r="M384" s="1138" t="e">
        <f>+M382/$E382</f>
        <v>#DIV/0!</v>
      </c>
      <c r="N384" s="1124"/>
      <c r="O384" s="1127"/>
      <c r="P384" s="1126"/>
      <c r="Q384" s="1127"/>
      <c r="R384" s="1124"/>
      <c r="S384" s="1128"/>
      <c r="T384" s="1130"/>
      <c r="U384" s="1138" t="e">
        <f ca="1">+U382/$E382</f>
        <v>#DIV/0!</v>
      </c>
      <c r="V384" s="2032"/>
      <c r="W384" s="1130" t="e">
        <f ca="1">+U384-M384</f>
        <v>#DIV/0!</v>
      </c>
      <c r="X384" s="812"/>
      <c r="Y384" s="819"/>
      <c r="Z384" s="820"/>
      <c r="AA384" s="821"/>
      <c r="AB384" s="821"/>
      <c r="AC384" s="821"/>
      <c r="AD384" s="821"/>
      <c r="AE384" s="821"/>
      <c r="AF384" s="835"/>
      <c r="AG384" s="836"/>
      <c r="AH384" s="1092"/>
      <c r="AI384" s="1113"/>
      <c r="AJ384" s="1094"/>
      <c r="AK384" s="1094"/>
      <c r="AL384" s="1092"/>
      <c r="AM384" s="812"/>
      <c r="AN384" s="1094"/>
      <c r="AO384" s="812"/>
      <c r="AP384" s="1094"/>
      <c r="AQ384" s="812"/>
      <c r="AR384" s="812"/>
      <c r="AS384" s="812"/>
      <c r="AT384" s="812"/>
      <c r="AU384" s="812"/>
      <c r="AV384" s="812"/>
      <c r="AW384" s="812"/>
      <c r="AX384" s="812"/>
    </row>
    <row r="385" spans="1:50" ht="12.75" thickTop="1">
      <c r="A385" s="1524">
        <v>376</v>
      </c>
      <c r="B385" s="1119"/>
      <c r="C385" s="1132"/>
      <c r="D385" s="1133"/>
      <c r="E385" s="1132"/>
      <c r="F385" s="1129"/>
      <c r="G385" s="1124"/>
      <c r="H385" s="1124"/>
      <c r="I385" s="1679"/>
      <c r="J385" s="1130"/>
      <c r="K385" s="1125"/>
      <c r="L385" s="1124"/>
      <c r="M385" s="1604"/>
      <c r="N385" s="1124"/>
      <c r="O385" s="1127"/>
      <c r="P385" s="1126"/>
      <c r="Q385" s="1127"/>
      <c r="R385" s="1124"/>
      <c r="S385" s="1128"/>
      <c r="T385" s="1130"/>
      <c r="U385" s="1604"/>
      <c r="V385" s="2032"/>
      <c r="W385" s="1130"/>
      <c r="X385" s="812"/>
      <c r="Y385" s="819"/>
      <c r="Z385" s="820"/>
      <c r="AA385" s="821"/>
      <c r="AB385" s="821"/>
      <c r="AC385" s="821"/>
      <c r="AD385" s="821"/>
      <c r="AE385" s="821"/>
      <c r="AF385" s="835"/>
      <c r="AG385" s="836"/>
      <c r="AH385" s="1092"/>
      <c r="AI385" s="1113"/>
      <c r="AJ385" s="1094"/>
      <c r="AK385" s="1094"/>
      <c r="AL385" s="1092"/>
      <c r="AM385" s="812"/>
      <c r="AN385" s="1094"/>
      <c r="AO385" s="812"/>
      <c r="AP385" s="1094"/>
      <c r="AQ385" s="812"/>
      <c r="AR385" s="812"/>
      <c r="AS385" s="812"/>
      <c r="AT385" s="812"/>
      <c r="AU385" s="812"/>
      <c r="AV385" s="812"/>
      <c r="AW385" s="812"/>
      <c r="AX385" s="812"/>
    </row>
    <row r="386" spans="1:50">
      <c r="A386" s="1524">
        <v>377</v>
      </c>
      <c r="B386" s="1601" t="s">
        <v>2400</v>
      </c>
      <c r="C386" s="1132"/>
      <c r="D386" s="1133"/>
      <c r="E386" s="1132">
        <v>12</v>
      </c>
      <c r="F386" s="1129"/>
      <c r="G386" s="1124">
        <v>0</v>
      </c>
      <c r="H386" s="1124"/>
      <c r="I386" s="1680">
        <v>20.73</v>
      </c>
      <c r="J386" s="1130"/>
      <c r="K386" s="1125">
        <f>E386*I386*V386</f>
        <v>746.28</v>
      </c>
      <c r="L386" s="1124"/>
      <c r="M386" s="1125">
        <f>+K386</f>
        <v>746.28</v>
      </c>
      <c r="N386" s="1124"/>
      <c r="O386" s="1127">
        <f>+E386</f>
        <v>12</v>
      </c>
      <c r="P386" s="1126"/>
      <c r="Q386" s="1127">
        <f>C386</f>
        <v>0</v>
      </c>
      <c r="R386" s="1124"/>
      <c r="S386" s="1142">
        <f t="shared" ref="S386" si="148">+I386*(1+$X$5)</f>
        <v>20.73</v>
      </c>
      <c r="T386" s="1129"/>
      <c r="U386" s="1143">
        <f>+O386*S386*V386</f>
        <v>746.28</v>
      </c>
      <c r="V386" s="2029">
        <v>3</v>
      </c>
      <c r="W386" s="1129"/>
      <c r="X386" s="1129"/>
      <c r="Y386" s="2133" t="s">
        <v>57</v>
      </c>
      <c r="Z386" s="2133"/>
      <c r="AA386" s="2133"/>
      <c r="AB386" s="821"/>
      <c r="AC386" s="821"/>
      <c r="AD386" s="821"/>
      <c r="AE386" s="821"/>
      <c r="AF386" s="835"/>
      <c r="AG386" s="836"/>
      <c r="AH386" s="1092"/>
      <c r="AI386" s="1113"/>
      <c r="AJ386" s="1094"/>
      <c r="AK386" s="1094"/>
      <c r="AL386" s="1092"/>
      <c r="AM386" s="812"/>
      <c r="AN386" s="1094"/>
      <c r="AO386" s="812"/>
      <c r="AP386" s="1094"/>
      <c r="AQ386" s="812"/>
      <c r="AR386" s="812"/>
      <c r="AS386" s="812"/>
      <c r="AT386" s="812"/>
      <c r="AU386" s="812"/>
      <c r="AV386" s="812"/>
      <c r="AW386" s="812"/>
      <c r="AX386" s="812"/>
    </row>
    <row r="387" spans="1:50" ht="12.75" customHeight="1" thickBot="1">
      <c r="A387" s="1524">
        <v>378</v>
      </c>
      <c r="B387" s="1109" t="s">
        <v>2401</v>
      </c>
      <c r="C387" s="1134">
        <f>SUM(C386)</f>
        <v>0</v>
      </c>
      <c r="D387" s="1133"/>
      <c r="E387" s="1134">
        <f>SUM(E386)</f>
        <v>12</v>
      </c>
      <c r="F387" s="1129"/>
      <c r="G387" s="1134">
        <f>SUM(G386)</f>
        <v>0</v>
      </c>
      <c r="H387" s="1124"/>
      <c r="I387" s="1679"/>
      <c r="J387" s="1130"/>
      <c r="K387" s="1136">
        <f>K386</f>
        <v>746.28</v>
      </c>
      <c r="L387" s="1124"/>
      <c r="M387" s="1136">
        <f>+M386</f>
        <v>746.28</v>
      </c>
      <c r="N387" s="1124"/>
      <c r="O387" s="1137">
        <f>+O386</f>
        <v>12</v>
      </c>
      <c r="P387" s="1126"/>
      <c r="Q387" s="1137">
        <f>+Q386</f>
        <v>0</v>
      </c>
      <c r="R387" s="1124"/>
      <c r="S387" s="1128"/>
      <c r="T387" s="1129"/>
      <c r="U387" s="1136">
        <f>+U386</f>
        <v>746.28</v>
      </c>
      <c r="V387" s="2030"/>
      <c r="W387" s="1129"/>
      <c r="X387" s="1129"/>
      <c r="Y387" s="1603" t="s">
        <v>1355</v>
      </c>
      <c r="Z387" s="1603" t="s">
        <v>2392</v>
      </c>
      <c r="AA387" s="797" t="s">
        <v>531</v>
      </c>
      <c r="AB387" s="821"/>
      <c r="AC387" s="821"/>
      <c r="AD387" s="821"/>
      <c r="AE387" s="821"/>
      <c r="AF387" s="835"/>
      <c r="AG387" s="836"/>
      <c r="AH387" s="1092"/>
      <c r="AI387" s="1113"/>
      <c r="AJ387" s="1094"/>
      <c r="AK387" s="1094"/>
      <c r="AL387" s="1092"/>
      <c r="AM387" s="812"/>
      <c r="AN387" s="1094"/>
      <c r="AO387" s="812"/>
      <c r="AP387" s="1094"/>
      <c r="AQ387" s="812"/>
      <c r="AR387" s="812"/>
      <c r="AS387" s="812"/>
      <c r="AT387" s="812"/>
      <c r="AU387" s="812"/>
      <c r="AV387" s="812"/>
      <c r="AW387" s="812"/>
      <c r="AX387" s="812"/>
    </row>
    <row r="388" spans="1:50" ht="12.75" thickTop="1">
      <c r="A388" s="1524">
        <v>379</v>
      </c>
      <c r="B388" s="1601"/>
      <c r="C388" s="1132"/>
      <c r="D388" s="1133"/>
      <c r="E388" s="1132"/>
      <c r="F388" s="1129"/>
      <c r="G388" s="1124"/>
      <c r="H388" s="1124"/>
      <c r="I388" s="1679"/>
      <c r="J388" s="1130"/>
      <c r="K388" s="1125"/>
      <c r="L388" s="1124"/>
      <c r="M388" s="1125"/>
      <c r="N388" s="1124"/>
      <c r="O388" s="1127"/>
      <c r="P388" s="1126"/>
      <c r="Q388" s="1127"/>
      <c r="R388" s="1124"/>
      <c r="S388" s="1128"/>
      <c r="T388" s="1129"/>
      <c r="U388" s="1131"/>
      <c r="V388" s="2028"/>
      <c r="W388" s="1129"/>
      <c r="X388" s="1129"/>
      <c r="Y388" s="865">
        <f>M370+M361+M352+M343+M334+M325+M315+M305+M295+M285+M275+M265+M255+M245+M375+M385+M380</f>
        <v>0</v>
      </c>
      <c r="Z388" s="866">
        <v>257708.43969</v>
      </c>
      <c r="AA388" s="867">
        <f>Y388-Z388</f>
        <v>-257708.43969</v>
      </c>
    </row>
    <row r="389" spans="1:50" s="1110" customFormat="1" ht="12.75" thickBot="1">
      <c r="A389" s="1524">
        <v>380</v>
      </c>
      <c r="B389" s="1111" t="s">
        <v>3595</v>
      </c>
      <c r="C389" s="1132"/>
      <c r="D389" s="1133"/>
      <c r="E389" s="1132"/>
      <c r="F389" s="1129"/>
      <c r="G389" s="1124"/>
      <c r="H389" s="1124"/>
      <c r="I389" s="1679"/>
      <c r="J389" s="1130"/>
      <c r="K389" s="1125"/>
      <c r="L389" s="1124"/>
      <c r="M389" s="1138">
        <f>+M387/$E387</f>
        <v>62.19</v>
      </c>
      <c r="N389" s="1124"/>
      <c r="O389" s="1127"/>
      <c r="P389" s="1126"/>
      <c r="Q389" s="1127"/>
      <c r="R389" s="1124"/>
      <c r="S389" s="1128"/>
      <c r="T389" s="1130"/>
      <c r="U389" s="1138">
        <f>+U387/$E387</f>
        <v>62.19</v>
      </c>
      <c r="V389" s="2032"/>
      <c r="W389" s="1130">
        <f>+U389-M389</f>
        <v>0</v>
      </c>
      <c r="X389" s="1129"/>
      <c r="Y389" s="872"/>
      <c r="Z389" s="873"/>
      <c r="AA389" s="874"/>
    </row>
    <row r="390" spans="1:50" ht="13.5" thickTop="1" thickBot="1">
      <c r="A390" s="1524">
        <v>381</v>
      </c>
      <c r="B390" s="1601" t="s">
        <v>2402</v>
      </c>
      <c r="C390" s="1132"/>
      <c r="D390" s="1133"/>
      <c r="E390" s="1132">
        <v>12</v>
      </c>
      <c r="F390" s="1129"/>
      <c r="G390" s="1124">
        <v>0</v>
      </c>
      <c r="H390" s="1124"/>
      <c r="I390" s="1680">
        <v>20.73</v>
      </c>
      <c r="J390" s="1130"/>
      <c r="K390" s="1125">
        <f>E390*I390*V390</f>
        <v>1741.32</v>
      </c>
      <c r="L390" s="1124"/>
      <c r="M390" s="1125">
        <f>+K390</f>
        <v>1741.32</v>
      </c>
      <c r="N390" s="1124"/>
      <c r="O390" s="1127">
        <f>+E390</f>
        <v>12</v>
      </c>
      <c r="P390" s="1126"/>
      <c r="Q390" s="1127">
        <f>C390</f>
        <v>0</v>
      </c>
      <c r="R390" s="1124"/>
      <c r="S390" s="1142">
        <f t="shared" ref="S390" si="149">+I390*(1+$X$5)</f>
        <v>20.73</v>
      </c>
      <c r="T390" s="1129"/>
      <c r="U390" s="1143">
        <f>+O390*S390*V390</f>
        <v>1741.32</v>
      </c>
      <c r="V390" s="2029">
        <v>7</v>
      </c>
      <c r="W390" s="1129"/>
      <c r="X390" s="1129"/>
      <c r="Y390" s="2135" t="s">
        <v>57</v>
      </c>
      <c r="Z390" s="2135"/>
      <c r="AA390" s="875"/>
    </row>
    <row r="391" spans="1:50" ht="12.75" thickBot="1">
      <c r="A391" s="1524">
        <v>382</v>
      </c>
      <c r="B391" s="1109" t="s">
        <v>3596</v>
      </c>
      <c r="C391" s="1134">
        <f>SUM(C390)</f>
        <v>0</v>
      </c>
      <c r="D391" s="1133"/>
      <c r="E391" s="1134">
        <f>SUM(E390)</f>
        <v>12</v>
      </c>
      <c r="F391" s="1129"/>
      <c r="G391" s="1134">
        <f>SUM(G390)</f>
        <v>0</v>
      </c>
      <c r="H391" s="1124"/>
      <c r="I391" s="1679"/>
      <c r="J391" s="1130"/>
      <c r="K391" s="1136">
        <f>K390</f>
        <v>1741.32</v>
      </c>
      <c r="L391" s="1124"/>
      <c r="M391" s="1136">
        <f>+M390</f>
        <v>1741.32</v>
      </c>
      <c r="N391" s="1124"/>
      <c r="O391" s="1137">
        <f>+O390</f>
        <v>12</v>
      </c>
      <c r="P391" s="1126"/>
      <c r="Q391" s="1137">
        <f>+Q390</f>
        <v>0</v>
      </c>
      <c r="R391" s="1124"/>
      <c r="S391" s="1128"/>
      <c r="T391" s="1129"/>
      <c r="U391" s="1136">
        <f>+U390</f>
        <v>1741.32</v>
      </c>
      <c r="V391" s="2030"/>
      <c r="W391" s="1130"/>
      <c r="X391" s="1129"/>
      <c r="Y391" s="876">
        <f>Y388-M389</f>
        <v>-62.19</v>
      </c>
      <c r="Z391" s="877" t="s">
        <v>1352</v>
      </c>
      <c r="AA391" s="867"/>
    </row>
    <row r="392" spans="1:50" s="1110" customFormat="1" ht="12.75" thickTop="1">
      <c r="A392" s="1524">
        <v>383</v>
      </c>
      <c r="B392" s="1601"/>
      <c r="C392" s="1132"/>
      <c r="D392" s="1133"/>
      <c r="E392" s="1132"/>
      <c r="F392" s="1129"/>
      <c r="G392" s="1124"/>
      <c r="H392" s="1124"/>
      <c r="I392" s="1679"/>
      <c r="J392" s="1130"/>
      <c r="K392" s="1125"/>
      <c r="L392" s="1124"/>
      <c r="M392" s="1125"/>
      <c r="N392" s="1124"/>
      <c r="O392" s="1127"/>
      <c r="P392" s="1126"/>
      <c r="Q392" s="1127"/>
      <c r="R392" s="1124"/>
      <c r="S392" s="1128"/>
      <c r="T392" s="1129"/>
      <c r="U392" s="1131"/>
      <c r="V392" s="2028"/>
      <c r="W392" s="1129"/>
      <c r="X392" s="1129"/>
    </row>
    <row r="393" spans="1:50" ht="12.75" thickBot="1">
      <c r="A393" s="1524">
        <v>384</v>
      </c>
      <c r="B393" s="1111" t="s">
        <v>3597</v>
      </c>
      <c r="C393" s="1132"/>
      <c r="D393" s="1133"/>
      <c r="E393" s="1132"/>
      <c r="F393" s="1129"/>
      <c r="G393" s="1124"/>
      <c r="H393" s="1124"/>
      <c r="I393" s="1679"/>
      <c r="J393" s="1130"/>
      <c r="K393" s="1125"/>
      <c r="L393" s="1124"/>
      <c r="M393" s="1138">
        <f>+M391/$E391</f>
        <v>145.10999999999999</v>
      </c>
      <c r="N393" s="1124"/>
      <c r="O393" s="1127"/>
      <c r="P393" s="1126"/>
      <c r="Q393" s="1127"/>
      <c r="R393" s="1124"/>
      <c r="S393" s="1128"/>
      <c r="T393" s="1130"/>
      <c r="U393" s="1138">
        <f>+U391/$E391</f>
        <v>145.10999999999999</v>
      </c>
      <c r="V393" s="2032"/>
      <c r="W393" s="1130">
        <f>+U393-M393</f>
        <v>0</v>
      </c>
      <c r="X393" s="1129"/>
    </row>
    <row r="394" spans="1:50" ht="12.75" thickTop="1">
      <c r="A394" s="1524">
        <v>385</v>
      </c>
      <c r="B394" s="1601" t="s">
        <v>3598</v>
      </c>
      <c r="C394" s="1132"/>
      <c r="D394" s="1133"/>
      <c r="E394" s="1132">
        <v>12</v>
      </c>
      <c r="F394" s="1129"/>
      <c r="G394" s="1124">
        <v>0</v>
      </c>
      <c r="H394" s="1124"/>
      <c r="I394" s="1680">
        <v>4.6100000000000003</v>
      </c>
      <c r="J394" s="1130"/>
      <c r="K394" s="1125">
        <f>E394*I394*V394</f>
        <v>2987.28</v>
      </c>
      <c r="L394" s="1124"/>
      <c r="M394" s="1125">
        <f>+K394</f>
        <v>2987.28</v>
      </c>
      <c r="N394" s="1124"/>
      <c r="O394" s="1127">
        <f>+E394</f>
        <v>12</v>
      </c>
      <c r="P394" s="1126"/>
      <c r="Q394" s="1127">
        <f>C394</f>
        <v>0</v>
      </c>
      <c r="R394" s="1124"/>
      <c r="S394" s="1142">
        <f t="shared" ref="S394" si="150">+I394*(1+$X$5)</f>
        <v>4.6100000000000003</v>
      </c>
      <c r="T394" s="1129"/>
      <c r="U394" s="1143">
        <f>+O394*S394*V394</f>
        <v>2987.28</v>
      </c>
      <c r="V394" s="2029">
        <v>54</v>
      </c>
      <c r="W394" s="1129"/>
      <c r="X394" s="1129"/>
    </row>
    <row r="395" spans="1:50" ht="12.75" thickBot="1">
      <c r="A395" s="1524">
        <v>386</v>
      </c>
      <c r="B395" s="1109" t="s">
        <v>3599</v>
      </c>
      <c r="C395" s="1134">
        <f>SUM(C394)</f>
        <v>0</v>
      </c>
      <c r="D395" s="1133"/>
      <c r="E395" s="1134">
        <f>SUM(E394)</f>
        <v>12</v>
      </c>
      <c r="F395" s="1129"/>
      <c r="G395" s="1134">
        <f>SUM(G394)</f>
        <v>0</v>
      </c>
      <c r="H395" s="1124"/>
      <c r="I395" s="1679"/>
      <c r="J395" s="1130"/>
      <c r="K395" s="1136">
        <f>K394</f>
        <v>2987.28</v>
      </c>
      <c r="L395" s="1124"/>
      <c r="M395" s="1136">
        <f>+M394</f>
        <v>2987.28</v>
      </c>
      <c r="N395" s="1124"/>
      <c r="O395" s="1137">
        <f>+O394</f>
        <v>12</v>
      </c>
      <c r="P395" s="1126"/>
      <c r="Q395" s="1137">
        <f>+Q394</f>
        <v>0</v>
      </c>
      <c r="R395" s="1124"/>
      <c r="S395" s="1128"/>
      <c r="T395" s="1129"/>
      <c r="U395" s="1136">
        <f>+U394</f>
        <v>2987.28</v>
      </c>
      <c r="V395" s="2030"/>
      <c r="W395" s="1129"/>
      <c r="X395" s="1129"/>
      <c r="Y395" s="879">
        <f>Y388+Y233</f>
        <v>1830119.7197399996</v>
      </c>
      <c r="Z395" s="879">
        <f>Z388+Z233</f>
        <v>2113998.1194299995</v>
      </c>
      <c r="AA395" s="867">
        <f>Y395-Z395</f>
        <v>-283878.39968999987</v>
      </c>
    </row>
    <row r="396" spans="1:50" ht="12.75" thickTop="1">
      <c r="A396" s="1524">
        <v>387</v>
      </c>
      <c r="B396" s="1601"/>
      <c r="C396" s="1132"/>
      <c r="D396" s="1133"/>
      <c r="E396" s="1132"/>
      <c r="F396" s="1129"/>
      <c r="G396" s="1124"/>
      <c r="H396" s="1124"/>
      <c r="I396" s="1679"/>
      <c r="J396" s="1130"/>
      <c r="K396" s="1125"/>
      <c r="L396" s="1124"/>
      <c r="M396" s="1125"/>
      <c r="N396" s="1124"/>
      <c r="O396" s="1127"/>
      <c r="P396" s="1126"/>
      <c r="Q396" s="1127"/>
      <c r="R396" s="1124"/>
      <c r="S396" s="1128"/>
      <c r="T396" s="1129"/>
      <c r="U396" s="1131"/>
      <c r="V396" s="2028"/>
      <c r="W396" s="1129"/>
      <c r="X396" s="1129"/>
    </row>
    <row r="397" spans="1:50" ht="12.75" thickBot="1">
      <c r="A397" s="1524">
        <v>388</v>
      </c>
      <c r="B397" s="1111" t="s">
        <v>3600</v>
      </c>
      <c r="C397" s="1132"/>
      <c r="D397" s="1133"/>
      <c r="E397" s="1132"/>
      <c r="F397" s="1129"/>
      <c r="G397" s="1124"/>
      <c r="H397" s="1124"/>
      <c r="I397" s="1679"/>
      <c r="J397" s="1130"/>
      <c r="K397" s="1125"/>
      <c r="L397" s="1124"/>
      <c r="M397" s="1138">
        <f>+M395/$E395</f>
        <v>248.94000000000003</v>
      </c>
      <c r="N397" s="1124"/>
      <c r="O397" s="1127"/>
      <c r="P397" s="1126"/>
      <c r="Q397" s="1127"/>
      <c r="R397" s="1124"/>
      <c r="S397" s="1128"/>
      <c r="T397" s="1130"/>
      <c r="U397" s="1138">
        <f>+U395/$E395</f>
        <v>248.94000000000003</v>
      </c>
      <c r="V397" s="2032"/>
      <c r="W397" s="1130">
        <f>+U397-M397</f>
        <v>0</v>
      </c>
      <c r="X397" s="1129"/>
      <c r="Y397" s="2134" t="s">
        <v>314</v>
      </c>
      <c r="Z397" s="2134"/>
    </row>
    <row r="398" spans="1:50" ht="13.5" thickTop="1" thickBot="1">
      <c r="A398" s="1524">
        <v>389</v>
      </c>
      <c r="B398" s="1103" t="s">
        <v>1354</v>
      </c>
      <c r="C398" s="1140">
        <f>+C391+C387+C367+C358+C349+C340+C331+C312+C302+C292+C282+C272+C262+C252+C242+C376+C382+C322</f>
        <v>30600.693999999996</v>
      </c>
      <c r="D398" s="1110"/>
      <c r="E398" s="1140">
        <f>+E391+E387+E367+E358+E349+E340+E331+E312+E302+E292+E282+E272+E262+E252+E242+E376+E382+E322</f>
        <v>6965</v>
      </c>
      <c r="F398" s="1110"/>
      <c r="G398" s="1140">
        <f>+G391+G387+G367+G358+G349+G340+G331+G312+G302+G292+G282+G272+G262+G252+G242+G376+G382+G322</f>
        <v>22818.987000000001</v>
      </c>
      <c r="H398" s="1120"/>
      <c r="I398" s="1691"/>
      <c r="J398" s="1110"/>
      <c r="K398" s="1692">
        <f>+K391+K387+K367+K358+K349+K340+K331+K312+K302+K292+K282+K272+K262+K252+K242+K395+K376+K322+K382</f>
        <v>257708.43969</v>
      </c>
      <c r="L398" s="2022"/>
      <c r="M398" s="1692">
        <f>+M391+M387+M367+M358+M349+M340+M331+M312+M302+M292+M282+M272+M262+M252+M242+M395+M376+M322+M382</f>
        <v>257708.43969</v>
      </c>
      <c r="N398" s="1120"/>
      <c r="O398" s="1140">
        <f>+O391+O387+O367+O358+O349+O340+O331+O312+O302+O292+O282+O272+O262+O252+O242</f>
        <v>6869</v>
      </c>
      <c r="P398" s="1121"/>
      <c r="Q398" s="1140">
        <f>+Q391+Q387+Q367+Q358+Q349+Q340+Q331+Q312+Q302+Q292+Q282+Q272+Q262+Q252+Q242</f>
        <v>21837.086000000003</v>
      </c>
      <c r="R398" s="1120"/>
      <c r="S398" s="1122"/>
      <c r="T398" s="1110"/>
      <c r="U398" s="1692">
        <f ca="1">+U391+U387+U367+U358+U349+U340+U331+U312+U302+U292+U282+U272+U262+U252+U242</f>
        <v>203638.727262</v>
      </c>
      <c r="V398" s="2037"/>
      <c r="W398" s="1110"/>
      <c r="X398" s="1110"/>
      <c r="Y398" s="881">
        <f>Y395-M392</f>
        <v>1830119.7197399996</v>
      </c>
      <c r="Z398" s="877" t="s">
        <v>1352</v>
      </c>
    </row>
    <row r="399" spans="1:50" ht="13.5" thickTop="1">
      <c r="A399" s="1524">
        <v>390</v>
      </c>
      <c r="B399" s="1154"/>
      <c r="C399" s="1154"/>
      <c r="D399" s="1154"/>
      <c r="E399" s="1154"/>
      <c r="F399" s="1154"/>
      <c r="G399" s="1154"/>
      <c r="H399" s="1154"/>
      <c r="I399" s="1693"/>
      <c r="J399" s="1154"/>
      <c r="K399" s="1154"/>
      <c r="L399" s="1154"/>
      <c r="M399" s="1154"/>
      <c r="N399" s="1154"/>
      <c r="O399" s="1154"/>
      <c r="P399" s="1123"/>
      <c r="Q399" s="1154"/>
      <c r="R399" s="1154"/>
      <c r="S399" s="1154"/>
      <c r="T399" s="1154"/>
      <c r="U399" s="1154"/>
      <c r="V399" s="2038"/>
    </row>
    <row r="400" spans="1:50" ht="12.75">
      <c r="A400" s="1524">
        <v>391</v>
      </c>
      <c r="B400" s="1154"/>
      <c r="C400" s="1154"/>
      <c r="D400" s="1154"/>
      <c r="E400" s="1154"/>
      <c r="F400" s="1154"/>
      <c r="G400" s="1154"/>
      <c r="H400" s="1154"/>
      <c r="I400" s="1693"/>
      <c r="J400" s="1154"/>
      <c r="K400" s="1154"/>
      <c r="L400" s="1154"/>
      <c r="M400" s="1154"/>
      <c r="N400" s="1154"/>
      <c r="O400" s="1154"/>
      <c r="P400" s="1123"/>
      <c r="Q400" s="1154"/>
      <c r="R400" s="1154"/>
      <c r="S400" s="1154"/>
      <c r="T400" s="1154"/>
      <c r="U400" s="1154"/>
      <c r="V400" s="2038"/>
    </row>
    <row r="401" spans="1:24" ht="12.75" thickBot="1">
      <c r="A401" s="1524">
        <v>392</v>
      </c>
      <c r="B401" s="1110" t="s">
        <v>1353</v>
      </c>
      <c r="C401" s="1140">
        <f>+C398+C232</f>
        <v>412363.67300000001</v>
      </c>
      <c r="D401" s="1110"/>
      <c r="E401" s="1140">
        <f>+E398+E232</f>
        <v>75168</v>
      </c>
      <c r="F401" s="1110"/>
      <c r="G401" s="1140">
        <f>+G398+G232</f>
        <v>318341.94500000001</v>
      </c>
      <c r="H401" s="1120"/>
      <c r="I401" s="1691"/>
      <c r="J401" s="1110"/>
      <c r="K401" s="1140">
        <f>+K398+K232</f>
        <v>2113998.1194299995</v>
      </c>
      <c r="L401" s="1120"/>
      <c r="M401" s="1140">
        <f>+M398+M232</f>
        <v>2113998.1194299995</v>
      </c>
      <c r="N401" s="1120"/>
      <c r="O401" s="1140">
        <f>+O398+O232</f>
        <v>75036</v>
      </c>
      <c r="P401" s="1121"/>
      <c r="Q401" s="1140">
        <f>+Q398+Q232</f>
        <v>317360.04399999999</v>
      </c>
      <c r="R401" s="1120"/>
      <c r="S401" s="1122"/>
      <c r="T401" s="1110"/>
      <c r="U401" s="1140">
        <f ca="1">+U398+U232</f>
        <v>2577898.2279480002</v>
      </c>
      <c r="V401" s="2037"/>
      <c r="W401" s="1110"/>
      <c r="X401" s="1110"/>
    </row>
    <row r="402" spans="1:24" ht="12.75" thickTop="1"/>
    <row r="403" spans="1:24">
      <c r="M403" s="846">
        <f>+'Sch.B-I.S'!F73</f>
        <v>2107764.9900000007</v>
      </c>
    </row>
    <row r="404" spans="1:24">
      <c r="M404" s="846">
        <f>+M401-M403</f>
        <v>6233.1294299988076</v>
      </c>
    </row>
    <row r="405" spans="1:24">
      <c r="M405" s="880">
        <f>+M404/M403</f>
        <v>2.9572222043591327E-3</v>
      </c>
    </row>
  </sheetData>
  <mergeCells count="3">
    <mergeCell ref="Y386:AA386"/>
    <mergeCell ref="Y397:Z397"/>
    <mergeCell ref="Y390:Z390"/>
  </mergeCells>
  <pageMargins left="0.25" right="0.25" top="0.75" bottom="0.75" header="0.3" footer="0.3"/>
  <pageSetup scale="52" orientation="landscape" r:id="rId1"/>
  <rowBreaks count="4" manualBreakCount="4">
    <brk id="61" max="20" man="1"/>
    <brk id="120" max="20" man="1"/>
    <brk id="235" max="16383" man="1"/>
    <brk id="336" max="2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"/>
  <sheetViews>
    <sheetView showGridLines="0" view="pageBreakPreview" zoomScale="80" zoomScaleNormal="80" zoomScaleSheetLayoutView="80" workbookViewId="0"/>
  </sheetViews>
  <sheetFormatPr defaultRowHeight="13.5"/>
  <cols>
    <col min="1" max="1" width="4.125" style="1578" customWidth="1"/>
    <col min="2" max="2" width="14" style="1578" bestFit="1" customWidth="1"/>
    <col min="3" max="3" width="10.875" style="1578" bestFit="1" customWidth="1"/>
    <col min="4" max="4" width="13.375" style="1578" bestFit="1" customWidth="1"/>
    <col min="5" max="5" width="15.375" style="1578" bestFit="1" customWidth="1"/>
    <col min="6" max="6" width="9" style="1578"/>
    <col min="7" max="7" width="14.375" style="1578" bestFit="1" customWidth="1"/>
    <col min="8" max="8" width="16.75" style="1578" bestFit="1" customWidth="1"/>
    <col min="9" max="9" width="12.75" style="1578" bestFit="1" customWidth="1"/>
    <col min="10" max="10" width="2.875" style="1578" customWidth="1"/>
    <col min="11" max="11" width="12.25" style="1578" bestFit="1" customWidth="1"/>
    <col min="12" max="12" width="13.375" style="1578" bestFit="1" customWidth="1"/>
    <col min="13" max="13" width="12.75" style="1578" bestFit="1" customWidth="1"/>
    <col min="14" max="14" width="2.875" style="1578" customWidth="1"/>
    <col min="15" max="15" width="2.25" style="1578" customWidth="1"/>
    <col min="16" max="16" width="11.875" style="1578" bestFit="1" customWidth="1"/>
    <col min="17" max="17" width="12.125" style="1578" bestFit="1" customWidth="1"/>
    <col min="18" max="18" width="14.25" style="1578" bestFit="1" customWidth="1"/>
    <col min="19" max="19" width="8.375" style="1578" bestFit="1" customWidth="1"/>
    <col min="20" max="20" width="5.625" style="1578" bestFit="1" customWidth="1"/>
    <col min="21" max="21" width="13.125" style="1578" bestFit="1" customWidth="1"/>
    <col min="22" max="22" width="14.75" style="1578" customWidth="1"/>
    <col min="23" max="23" width="13.625" style="1578" bestFit="1" customWidth="1"/>
    <col min="24" max="24" width="2.875" style="1578" customWidth="1"/>
    <col min="25" max="25" width="13.125" style="1578" bestFit="1" customWidth="1"/>
    <col min="26" max="26" width="14.875" style="1578" customWidth="1"/>
    <col min="27" max="27" width="13.625" style="1578" bestFit="1" customWidth="1"/>
    <col min="28" max="16384" width="9" style="1578"/>
  </cols>
  <sheetData>
    <row r="1" spans="1:28" ht="15">
      <c r="A1" s="1577" t="str">
        <f>Company_Name</f>
        <v>WATER SERVICE CORPORATION OF KENTUCKY</v>
      </c>
      <c r="N1" s="805" t="s">
        <v>4010</v>
      </c>
      <c r="O1" s="1577" t="str">
        <f>Company_Name</f>
        <v>WATER SERVICE CORPORATION OF KENTUCKY</v>
      </c>
      <c r="AB1" s="805" t="s">
        <v>4010</v>
      </c>
    </row>
    <row r="2" spans="1:28" ht="15">
      <c r="A2" s="1577" t="str">
        <f>Docket</f>
        <v>Case No. 2015 - 00382</v>
      </c>
      <c r="O2" s="1577" t="str">
        <f>Docket</f>
        <v>Case No. 2015 - 00382</v>
      </c>
    </row>
    <row r="3" spans="1:28" ht="15">
      <c r="A3" s="1577" t="s">
        <v>4004</v>
      </c>
      <c r="O3" s="1577" t="s">
        <v>4004</v>
      </c>
    </row>
    <row r="4" spans="1:28" ht="15">
      <c r="A4" s="1577" t="str">
        <f>TestYearEnded</f>
        <v>Test Year Ended 6/30/2015</v>
      </c>
      <c r="O4" s="1577" t="str">
        <f>TestYearEnded</f>
        <v>Test Year Ended 6/30/2015</v>
      </c>
    </row>
    <row r="6" spans="1:28" ht="16.5">
      <c r="A6" s="2069" t="s">
        <v>3994</v>
      </c>
      <c r="K6" s="2101"/>
      <c r="O6" s="2069" t="s">
        <v>3995</v>
      </c>
    </row>
    <row r="8" spans="1:28" ht="15.75">
      <c r="A8" s="1631" t="str">
        <f>Company_Name</f>
        <v>WATER SERVICE CORPORATION OF KENTUCKY</v>
      </c>
      <c r="G8" s="2070"/>
      <c r="H8" s="2064" t="s">
        <v>3941</v>
      </c>
      <c r="I8" s="2070"/>
      <c r="K8" s="2064"/>
      <c r="L8" s="2064" t="s">
        <v>3942</v>
      </c>
      <c r="M8" s="2064"/>
      <c r="O8" s="1631" t="str">
        <f>Company_Name</f>
        <v>WATER SERVICE CORPORATION OF KENTUCKY</v>
      </c>
      <c r="U8" s="2070"/>
      <c r="V8" s="2064" t="s">
        <v>3941</v>
      </c>
      <c r="W8" s="2070"/>
      <c r="Y8" s="2064"/>
      <c r="Z8" s="2064" t="s">
        <v>3942</v>
      </c>
      <c r="AA8" s="2064"/>
    </row>
    <row r="9" spans="1:28" ht="15">
      <c r="A9" s="2016"/>
      <c r="B9" s="2016" t="s">
        <v>3927</v>
      </c>
      <c r="C9" s="2016" t="s">
        <v>3928</v>
      </c>
      <c r="D9" s="2016" t="s">
        <v>3948</v>
      </c>
      <c r="E9" s="2016" t="s">
        <v>3949</v>
      </c>
      <c r="F9" s="2016" t="s">
        <v>1489</v>
      </c>
      <c r="G9" s="2016" t="s">
        <v>3938</v>
      </c>
      <c r="H9" s="2016" t="s">
        <v>3939</v>
      </c>
      <c r="I9" s="2016" t="s">
        <v>3940</v>
      </c>
      <c r="K9" s="2016" t="s">
        <v>3938</v>
      </c>
      <c r="L9" s="2016" t="s">
        <v>3939</v>
      </c>
      <c r="M9" s="2016" t="s">
        <v>3940</v>
      </c>
      <c r="P9" s="2016" t="s">
        <v>3927</v>
      </c>
      <c r="Q9" s="2016" t="s">
        <v>290</v>
      </c>
      <c r="R9" s="2016" t="s">
        <v>3948</v>
      </c>
      <c r="S9" s="2016" t="s">
        <v>1489</v>
      </c>
      <c r="T9" s="2016" t="s">
        <v>3929</v>
      </c>
      <c r="U9" s="2016" t="s">
        <v>3938</v>
      </c>
      <c r="V9" s="2016" t="s">
        <v>3939</v>
      </c>
      <c r="W9" s="2016" t="s">
        <v>3940</v>
      </c>
      <c r="Y9" s="2016" t="s">
        <v>3938</v>
      </c>
      <c r="Z9" s="2016" t="s">
        <v>3939</v>
      </c>
      <c r="AA9" s="2016" t="s">
        <v>3940</v>
      </c>
    </row>
    <row r="10" spans="1:28">
      <c r="B10" s="1578" t="s">
        <v>3935</v>
      </c>
      <c r="C10" s="1984" t="s">
        <v>3624</v>
      </c>
      <c r="D10" s="2017">
        <f t="shared" ref="D10:D17" si="0">SUMIFS($D$22:$D$62,$C$22:$C$62,C10)</f>
        <v>255018810.74299565</v>
      </c>
      <c r="E10" s="2017">
        <f t="shared" ref="E10:E17" si="1">SUMIFS($E$22:$E$62,$C$22:$C$62,C10)</f>
        <v>196140026.63936737</v>
      </c>
      <c r="F10" s="2017">
        <f t="shared" ref="F10:F17" si="2">SUMIFS($F$22:$F$62,$C$22:$C$62,C10)</f>
        <v>66239</v>
      </c>
      <c r="G10" s="1621">
        <f t="shared" ref="G10:G17" si="3">SUMIFS($G$22:$G$62,$C$22:$C$62,C10)</f>
        <v>624871.13</v>
      </c>
      <c r="H10" s="1621">
        <f t="shared" ref="H10:H17" si="4">SUMIFS($H$22:$H$62,$C$22:$C$62,C10)</f>
        <v>744139.72981586156</v>
      </c>
      <c r="I10" s="1621">
        <f t="shared" ref="I10:I17" si="5">SUMIFS($I$22:$I$62,$C$22:$C$62,C10)</f>
        <v>1369010.8598158616</v>
      </c>
      <c r="K10" s="1621">
        <f ca="1">SUMIFS($K$22:$K$62,$C$22:$C$62,C10)</f>
        <v>1028691.67</v>
      </c>
      <c r="L10" s="1621">
        <f t="shared" ref="L10:L17" ca="1" si="6">SUMIFS($L$22:$L$62,$C$22:$C$62,C10)</f>
        <v>748666.4816824653</v>
      </c>
      <c r="M10" s="1621">
        <f ca="1">SUMIFS($M$22:$M$62,$C$22:$C$62,C10)</f>
        <v>1777358.1516824656</v>
      </c>
      <c r="P10" s="1578" t="s">
        <v>3935</v>
      </c>
      <c r="Q10" s="1578" t="s">
        <v>3999</v>
      </c>
      <c r="R10" s="2017">
        <f t="shared" ref="R10:W13" si="7">SUMIFS(R$18:R$30,$Q$18:$Q$30,$Q10)</f>
        <v>0</v>
      </c>
      <c r="S10" s="2017">
        <f t="shared" si="7"/>
        <v>48</v>
      </c>
      <c r="T10" s="2017">
        <f t="shared" si="7"/>
        <v>98</v>
      </c>
      <c r="U10" s="1621">
        <f t="shared" si="7"/>
        <v>13932.720000000001</v>
      </c>
      <c r="V10" s="1626">
        <f t="shared" si="7"/>
        <v>0</v>
      </c>
      <c r="W10" s="1626">
        <f t="shared" si="7"/>
        <v>13932.720000000001</v>
      </c>
      <c r="Y10" s="1621">
        <f t="shared" ref="Y10:AA13" ca="1" si="8">SUMIFS(Y$18:Y$30,$Q$18:$Q$30,$Q10)</f>
        <v>17362.324030555654</v>
      </c>
      <c r="Z10" s="1626">
        <f t="shared" si="8"/>
        <v>0</v>
      </c>
      <c r="AA10" s="1626">
        <f t="shared" ca="1" si="8"/>
        <v>17362.324030555654</v>
      </c>
    </row>
    <row r="11" spans="1:28">
      <c r="B11" s="1578" t="s">
        <v>3935</v>
      </c>
      <c r="C11" s="1984" t="s">
        <v>3626</v>
      </c>
      <c r="D11" s="2017">
        <f t="shared" si="0"/>
        <v>20581402.852391213</v>
      </c>
      <c r="E11" s="2017">
        <f t="shared" si="1"/>
        <v>14970702.06246857</v>
      </c>
      <c r="F11" s="2017">
        <f t="shared" si="2"/>
        <v>6383</v>
      </c>
      <c r="G11" s="1621">
        <f t="shared" si="3"/>
        <v>79522.81</v>
      </c>
      <c r="H11" s="1621">
        <f t="shared" si="4"/>
        <v>103863.94825328483</v>
      </c>
      <c r="I11" s="1621">
        <f t="shared" si="5"/>
        <v>183386.75825328482</v>
      </c>
      <c r="K11" s="1621">
        <f ca="1">SUMIFS($K$22:$K$62,$C$22:$C$62,C11)</f>
        <v>99127.99</v>
      </c>
      <c r="L11" s="1621">
        <f t="shared" ca="1" si="6"/>
        <v>57143.169772442539</v>
      </c>
      <c r="M11" s="1621">
        <f t="shared" ref="M11:M17" ca="1" si="9">SUMIFS($M$22:$M$62,$C$22:$C$62,C11)</f>
        <v>156271.15977244254</v>
      </c>
      <c r="P11" s="1578" t="s">
        <v>3935</v>
      </c>
      <c r="Q11" s="1578" t="s">
        <v>4000</v>
      </c>
      <c r="R11" s="2017">
        <f t="shared" si="7"/>
        <v>0</v>
      </c>
      <c r="S11" s="2017">
        <f t="shared" si="7"/>
        <v>24</v>
      </c>
      <c r="T11" s="2017">
        <f t="shared" si="7"/>
        <v>39</v>
      </c>
      <c r="U11" s="1621">
        <f t="shared" si="7"/>
        <v>9701.64</v>
      </c>
      <c r="V11" s="1626">
        <f t="shared" si="7"/>
        <v>0</v>
      </c>
      <c r="W11" s="1626">
        <f t="shared" si="7"/>
        <v>9701.64</v>
      </c>
      <c r="Y11" s="1621">
        <f t="shared" ca="1" si="8"/>
        <v>12089.743948618789</v>
      </c>
      <c r="Z11" s="1626">
        <f t="shared" si="8"/>
        <v>0</v>
      </c>
      <c r="AA11" s="1626">
        <f t="shared" ca="1" si="8"/>
        <v>12089.743948618789</v>
      </c>
    </row>
    <row r="12" spans="1:28">
      <c r="B12" s="1578" t="s">
        <v>3935</v>
      </c>
      <c r="C12" s="1984" t="s">
        <v>3628</v>
      </c>
      <c r="D12" s="2017">
        <f t="shared" si="0"/>
        <v>16428094.420670735</v>
      </c>
      <c r="E12" s="2017">
        <f t="shared" si="1"/>
        <v>10538291.595237823</v>
      </c>
      <c r="F12" s="2017">
        <f t="shared" si="2"/>
        <v>1304</v>
      </c>
      <c r="G12" s="1621">
        <f t="shared" si="3"/>
        <v>39766.239999999998</v>
      </c>
      <c r="H12" s="1621">
        <f t="shared" si="4"/>
        <v>39963.964978310847</v>
      </c>
      <c r="I12" s="1621">
        <f t="shared" si="5"/>
        <v>79730.204978310838</v>
      </c>
      <c r="K12" s="1621">
        <f t="shared" ref="K12:K17" ca="1" si="10">SUMIFS($K$22:$K$62,$C$22:$C$62,C12)</f>
        <v>52459.92</v>
      </c>
      <c r="L12" s="1621">
        <f t="shared" ca="1" si="6"/>
        <v>40224.659019022773</v>
      </c>
      <c r="M12" s="1621">
        <f t="shared" ca="1" si="9"/>
        <v>92684.579019022771</v>
      </c>
      <c r="P12" s="1578" t="s">
        <v>3935</v>
      </c>
      <c r="Q12" s="1578" t="s">
        <v>4001</v>
      </c>
      <c r="R12" s="2017">
        <f t="shared" si="7"/>
        <v>0</v>
      </c>
      <c r="S12" s="2017">
        <f t="shared" si="7"/>
        <v>12</v>
      </c>
      <c r="T12" s="2017">
        <f t="shared" si="7"/>
        <v>1</v>
      </c>
      <c r="U12" s="1621">
        <f t="shared" si="7"/>
        <v>1835.7599999999998</v>
      </c>
      <c r="V12" s="1626">
        <f t="shared" si="7"/>
        <v>0</v>
      </c>
      <c r="W12" s="1626">
        <f t="shared" si="7"/>
        <v>1835.7599999999998</v>
      </c>
      <c r="Y12" s="1621">
        <f t="shared" ca="1" si="8"/>
        <v>2287.6408886658778</v>
      </c>
      <c r="Z12" s="1626">
        <f t="shared" si="8"/>
        <v>0</v>
      </c>
      <c r="AA12" s="1626">
        <f t="shared" ca="1" si="8"/>
        <v>2287.6408886658778</v>
      </c>
    </row>
    <row r="13" spans="1:28">
      <c r="B13" s="1578" t="s">
        <v>3935</v>
      </c>
      <c r="C13" s="1984" t="s">
        <v>3630</v>
      </c>
      <c r="D13" s="2017">
        <f t="shared" si="0"/>
        <v>16072322.862508249</v>
      </c>
      <c r="E13" s="2017">
        <f t="shared" si="1"/>
        <v>13018486.383248918</v>
      </c>
      <c r="F13" s="2017">
        <f t="shared" si="2"/>
        <v>345</v>
      </c>
      <c r="G13" s="1621">
        <f t="shared" si="3"/>
        <v>20566.109999999997</v>
      </c>
      <c r="H13" s="1621">
        <f t="shared" si="4"/>
        <v>47528.136723433418</v>
      </c>
      <c r="I13" s="1621">
        <f t="shared" si="5"/>
        <v>68094.246723433418</v>
      </c>
      <c r="K13" s="1621">
        <f t="shared" ca="1" si="10"/>
        <v>28086.449999999997</v>
      </c>
      <c r="L13" s="1621">
        <f t="shared" ca="1" si="6"/>
        <v>49691.56252486111</v>
      </c>
      <c r="M13" s="1621">
        <f t="shared" ca="1" si="9"/>
        <v>77778.0125248611</v>
      </c>
      <c r="P13" s="1578" t="s">
        <v>3935</v>
      </c>
      <c r="Q13" s="1578" t="s">
        <v>4003</v>
      </c>
      <c r="R13" s="2017">
        <f t="shared" si="7"/>
        <v>0</v>
      </c>
      <c r="S13" s="2017">
        <f t="shared" si="7"/>
        <v>12</v>
      </c>
      <c r="T13" s="2017">
        <f t="shared" si="7"/>
        <v>275</v>
      </c>
      <c r="U13" s="1621">
        <f t="shared" si="7"/>
        <v>15213.000000000002</v>
      </c>
      <c r="V13" s="1626">
        <f t="shared" si="7"/>
        <v>0</v>
      </c>
      <c r="W13" s="1626">
        <f t="shared" si="7"/>
        <v>15213.000000000002</v>
      </c>
      <c r="Y13" s="1621">
        <f t="shared" ca="1" si="8"/>
        <v>18957.750925651504</v>
      </c>
      <c r="Z13" s="1626">
        <f t="shared" si="8"/>
        <v>0</v>
      </c>
      <c r="AA13" s="1626">
        <f t="shared" ca="1" si="8"/>
        <v>18957.750925651504</v>
      </c>
    </row>
    <row r="14" spans="1:28" ht="14.25" thickBot="1">
      <c r="B14" s="1578" t="s">
        <v>3935</v>
      </c>
      <c r="C14" s="1984" t="s">
        <v>3631</v>
      </c>
      <c r="D14" s="2017">
        <f t="shared" si="0"/>
        <v>35333112.42185919</v>
      </c>
      <c r="E14" s="2017">
        <f t="shared" si="1"/>
        <v>26543050.185130689</v>
      </c>
      <c r="F14" s="2017">
        <f t="shared" si="2"/>
        <v>645</v>
      </c>
      <c r="G14" s="1621">
        <f t="shared" si="3"/>
        <v>56763.3</v>
      </c>
      <c r="H14" s="1621">
        <f t="shared" si="4"/>
        <v>84133.592916187816</v>
      </c>
      <c r="I14" s="1621">
        <f t="shared" si="5"/>
        <v>140896.89291618779</v>
      </c>
      <c r="K14" s="1621">
        <f t="shared" ca="1" si="10"/>
        <v>84385.35000000002</v>
      </c>
      <c r="L14" s="1621">
        <f t="shared" ca="1" si="6"/>
        <v>101314.82255664385</v>
      </c>
      <c r="M14" s="1621">
        <f t="shared" ca="1" si="9"/>
        <v>185700.17255664387</v>
      </c>
      <c r="R14" s="2018">
        <f t="shared" ref="R14:W14" si="11">SUM(R10:R13)</f>
        <v>0</v>
      </c>
      <c r="S14" s="2018">
        <f t="shared" si="11"/>
        <v>96</v>
      </c>
      <c r="T14" s="2018">
        <f t="shared" si="11"/>
        <v>413</v>
      </c>
      <c r="U14" s="1622">
        <f t="shared" si="11"/>
        <v>40683.120000000003</v>
      </c>
      <c r="V14" s="1622">
        <f t="shared" si="11"/>
        <v>0</v>
      </c>
      <c r="W14" s="1622">
        <f t="shared" si="11"/>
        <v>40683.120000000003</v>
      </c>
      <c r="Y14" s="1622">
        <f ca="1">SUM(Y10:Y13)</f>
        <v>50697.459793491827</v>
      </c>
      <c r="Z14" s="1622">
        <f>SUM(Z10:Z13)</f>
        <v>0</v>
      </c>
      <c r="AA14" s="1622">
        <f ca="1">SUM(AA10:AA13)</f>
        <v>50697.459793491827</v>
      </c>
    </row>
    <row r="15" spans="1:28" ht="14.25" thickTop="1">
      <c r="B15" s="1578" t="s">
        <v>3935</v>
      </c>
      <c r="C15" s="1984" t="s">
        <v>3632</v>
      </c>
      <c r="D15" s="2017">
        <f t="shared" si="0"/>
        <v>18602728.121130295</v>
      </c>
      <c r="E15" s="2017">
        <f t="shared" si="1"/>
        <v>14906603.727331843</v>
      </c>
      <c r="F15" s="2017">
        <f t="shared" si="2"/>
        <v>96</v>
      </c>
      <c r="G15" s="1621">
        <f t="shared" si="3"/>
        <v>22652.16</v>
      </c>
      <c r="H15" s="1621">
        <f t="shared" si="4"/>
        <v>41490.890242766764</v>
      </c>
      <c r="I15" s="1621">
        <f t="shared" si="5"/>
        <v>64143.05024276676</v>
      </c>
      <c r="K15" s="1621">
        <f t="shared" ca="1" si="10"/>
        <v>23629.439999999999</v>
      </c>
      <c r="L15" s="1621">
        <f t="shared" ca="1" si="6"/>
        <v>56898.506427225642</v>
      </c>
      <c r="M15" s="1621">
        <f t="shared" ca="1" si="9"/>
        <v>80527.946427225659</v>
      </c>
    </row>
    <row r="16" spans="1:28" ht="15.75">
      <c r="B16" s="1578" t="s">
        <v>3935</v>
      </c>
      <c r="C16" s="1984" t="s">
        <v>3633</v>
      </c>
      <c r="D16" s="2017">
        <f t="shared" si="0"/>
        <v>3817572.099813533</v>
      </c>
      <c r="E16" s="2017">
        <f t="shared" si="1"/>
        <v>600872.44755547796</v>
      </c>
      <c r="F16" s="2017">
        <f t="shared" si="2"/>
        <v>36</v>
      </c>
      <c r="G16" s="1621">
        <f t="shared" si="3"/>
        <v>14645.52</v>
      </c>
      <c r="H16" s="1621">
        <f t="shared" si="4"/>
        <v>1658.4079552531193</v>
      </c>
      <c r="I16" s="1621">
        <f t="shared" si="5"/>
        <v>16303.927955253119</v>
      </c>
      <c r="K16" s="1621">
        <f t="shared" ca="1" si="10"/>
        <v>14790.96</v>
      </c>
      <c r="L16" s="1621">
        <f t="shared" ca="1" si="6"/>
        <v>2293.5301323192593</v>
      </c>
      <c r="M16" s="1621">
        <f t="shared" ca="1" si="9"/>
        <v>17084.490132319261</v>
      </c>
      <c r="O16" s="1631" t="s">
        <v>56</v>
      </c>
      <c r="U16" s="2070"/>
      <c r="V16" s="2064" t="s">
        <v>3941</v>
      </c>
      <c r="W16" s="2070"/>
      <c r="Y16" s="2064"/>
      <c r="Z16" s="2064" t="s">
        <v>3942</v>
      </c>
      <c r="AA16" s="2064"/>
    </row>
    <row r="17" spans="1:27" ht="15">
      <c r="B17" s="1578" t="s">
        <v>3935</v>
      </c>
      <c r="C17" s="1984" t="s">
        <v>3634</v>
      </c>
      <c r="D17" s="2017">
        <f t="shared" si="0"/>
        <v>44206949.066436134</v>
      </c>
      <c r="E17" s="2017">
        <f t="shared" si="1"/>
        <v>39158620.797858395</v>
      </c>
      <c r="F17" s="2017">
        <f t="shared" si="2"/>
        <v>36</v>
      </c>
      <c r="G17" s="1621">
        <f t="shared" si="3"/>
        <v>29934.720000000001</v>
      </c>
      <c r="H17" s="1621">
        <f t="shared" si="4"/>
        <v>108077.79340208916</v>
      </c>
      <c r="I17" s="1621">
        <f t="shared" si="5"/>
        <v>138012.51340208916</v>
      </c>
      <c r="K17" s="1621">
        <f t="shared" ca="1" si="10"/>
        <v>29615.760000000002</v>
      </c>
      <c r="L17" s="1621">
        <f t="shared" ca="1" si="6"/>
        <v>149468.45558542549</v>
      </c>
      <c r="M17" s="1621">
        <f t="shared" ca="1" si="9"/>
        <v>179084.2155854255</v>
      </c>
      <c r="O17" s="2016"/>
      <c r="P17" s="2016" t="s">
        <v>3927</v>
      </c>
      <c r="Q17" s="2016" t="s">
        <v>290</v>
      </c>
      <c r="R17" s="2016" t="s">
        <v>3948</v>
      </c>
      <c r="S17" s="2016" t="s">
        <v>1489</v>
      </c>
      <c r="T17" s="2016" t="s">
        <v>3929</v>
      </c>
      <c r="U17" s="2016" t="s">
        <v>3938</v>
      </c>
      <c r="V17" s="2016" t="s">
        <v>3939</v>
      </c>
      <c r="W17" s="2016" t="s">
        <v>3940</v>
      </c>
      <c r="X17" s="2016"/>
      <c r="Y17" s="2016" t="s">
        <v>3938</v>
      </c>
      <c r="Z17" s="2016" t="s">
        <v>3939</v>
      </c>
      <c r="AA17" s="2016" t="s">
        <v>3940</v>
      </c>
    </row>
    <row r="18" spans="1:27" ht="14.25" thickBot="1">
      <c r="C18" s="1984"/>
      <c r="D18" s="2018">
        <f t="shared" ref="D18:I18" si="12">SUM(D10:D17)</f>
        <v>410060992.58780497</v>
      </c>
      <c r="E18" s="2018">
        <f t="shared" si="12"/>
        <v>315876653.83819908</v>
      </c>
      <c r="F18" s="2018">
        <f t="shared" si="12"/>
        <v>75084</v>
      </c>
      <c r="G18" s="1622">
        <f t="shared" si="12"/>
        <v>888721.99</v>
      </c>
      <c r="H18" s="1622">
        <f t="shared" si="12"/>
        <v>1170856.4642871874</v>
      </c>
      <c r="I18" s="1622">
        <f t="shared" si="12"/>
        <v>2059578.4542871874</v>
      </c>
      <c r="K18" s="1622">
        <f ca="1">SUM(K10:K17)</f>
        <v>1360787.54</v>
      </c>
      <c r="L18" s="1622">
        <f ca="1">SUM(L10:L17)</f>
        <v>1205701.1877004059</v>
      </c>
      <c r="M18" s="1622">
        <f ca="1">SUM(M10:M17)</f>
        <v>2566488.7277004062</v>
      </c>
      <c r="P18" s="1578" t="s">
        <v>3998</v>
      </c>
      <c r="Q18" s="1578" t="s">
        <v>3999</v>
      </c>
      <c r="R18" s="2017">
        <v>0</v>
      </c>
      <c r="S18" s="2017">
        <f>'Sch.D-Revenue'!E210</f>
        <v>12</v>
      </c>
      <c r="T18" s="2017">
        <f>'Sch.D-Revenue'!V210</f>
        <v>1</v>
      </c>
      <c r="U18" s="1621">
        <f>'Sch.D-Revenue'!M210</f>
        <v>248.76</v>
      </c>
      <c r="V18" s="1626">
        <v>0</v>
      </c>
      <c r="W18" s="1626">
        <f>U18+V18</f>
        <v>248.76</v>
      </c>
      <c r="Y18" s="1621">
        <f ca="1">'Sch.D-Revenue'!U210</f>
        <v>309.99343457996895</v>
      </c>
      <c r="Z18" s="1626">
        <v>0</v>
      </c>
      <c r="AA18" s="1626">
        <f ca="1">Y18+Z18</f>
        <v>309.99343457996895</v>
      </c>
    </row>
    <row r="19" spans="1:27" ht="14.25" thickTop="1">
      <c r="P19" s="1578" t="s">
        <v>3998</v>
      </c>
      <c r="Q19" s="1578" t="s">
        <v>4000</v>
      </c>
      <c r="R19" s="2017">
        <v>0</v>
      </c>
      <c r="S19" s="2017">
        <f>'Sch.D-Revenue'!E215</f>
        <v>12</v>
      </c>
      <c r="T19" s="2017">
        <f>'Sch.D-Revenue'!V215</f>
        <v>32</v>
      </c>
      <c r="U19" s="1621">
        <f>'Sch.D-Revenue'!M215</f>
        <v>7960.32</v>
      </c>
      <c r="V19" s="1626">
        <v>0</v>
      </c>
      <c r="W19" s="1626">
        <f t="shared" ref="W19:W22" si="13">U19+V19</f>
        <v>7960.32</v>
      </c>
      <c r="Y19" s="1621">
        <f ca="1">'Sch.D-Revenue'!U215</f>
        <v>9919.7899065590063</v>
      </c>
      <c r="Z19" s="1626">
        <v>0</v>
      </c>
      <c r="AA19" s="1626">
        <f t="shared" ref="AA19:AA22" ca="1" si="14">Y19+Z19</f>
        <v>9919.7899065590063</v>
      </c>
    </row>
    <row r="20" spans="1:27" ht="15.75">
      <c r="A20" s="1631" t="s">
        <v>56</v>
      </c>
      <c r="G20" s="2070"/>
      <c r="H20" s="2064" t="s">
        <v>3941</v>
      </c>
      <c r="I20" s="2070"/>
      <c r="K20" s="2064"/>
      <c r="L20" s="2064" t="s">
        <v>3942</v>
      </c>
      <c r="M20" s="2064"/>
      <c r="P20" s="1578" t="s">
        <v>3998</v>
      </c>
      <c r="Q20" s="1578" t="s">
        <v>4001</v>
      </c>
      <c r="R20" s="2017">
        <v>0</v>
      </c>
      <c r="S20" s="2017">
        <f>'Sch.D-Revenue'!E219</f>
        <v>12</v>
      </c>
      <c r="T20" s="2017">
        <f>'Sch.D-Revenue'!V219</f>
        <v>1</v>
      </c>
      <c r="U20" s="1621">
        <f>'Sch.D-Revenue'!M219</f>
        <v>1835.7599999999998</v>
      </c>
      <c r="V20" s="1626">
        <v>0</v>
      </c>
      <c r="W20" s="1626">
        <f t="shared" si="13"/>
        <v>1835.7599999999998</v>
      </c>
      <c r="Y20" s="1621">
        <f ca="1">'Sch.D-Revenue'!U219</f>
        <v>2287.6408886658778</v>
      </c>
      <c r="Z20" s="1626">
        <v>0</v>
      </c>
      <c r="AA20" s="1626">
        <f t="shared" ca="1" si="14"/>
        <v>2287.6408886658778</v>
      </c>
    </row>
    <row r="21" spans="1:27" s="2016" customFormat="1" ht="15">
      <c r="B21" s="2016" t="s">
        <v>3927</v>
      </c>
      <c r="C21" s="2016" t="s">
        <v>3928</v>
      </c>
      <c r="D21" s="2016" t="s">
        <v>3948</v>
      </c>
      <c r="E21" s="2016" t="s">
        <v>3949</v>
      </c>
      <c r="F21" s="2016" t="s">
        <v>1489</v>
      </c>
      <c r="G21" s="2016" t="s">
        <v>3938</v>
      </c>
      <c r="H21" s="2016" t="s">
        <v>3939</v>
      </c>
      <c r="I21" s="2016" t="s">
        <v>3940</v>
      </c>
      <c r="K21" s="2016" t="s">
        <v>3938</v>
      </c>
      <c r="L21" s="2016" t="s">
        <v>3939</v>
      </c>
      <c r="M21" s="2016" t="s">
        <v>3940</v>
      </c>
      <c r="O21" s="1578"/>
      <c r="P21" s="1578" t="s">
        <v>4002</v>
      </c>
      <c r="Q21" s="1578" t="s">
        <v>3999</v>
      </c>
      <c r="R21" s="2017">
        <v>0</v>
      </c>
      <c r="S21" s="2017">
        <f>'Sch.D-Revenue'!E223</f>
        <v>12</v>
      </c>
      <c r="T21" s="2017">
        <f>'Sch.D-Revenue'!V223</f>
        <v>40</v>
      </c>
      <c r="U21" s="1621">
        <f>'Sch.D-Revenue'!M223</f>
        <v>9950.4</v>
      </c>
      <c r="V21" s="1626">
        <v>0</v>
      </c>
      <c r="W21" s="1626">
        <f t="shared" si="13"/>
        <v>9950.4</v>
      </c>
      <c r="X21" s="1578"/>
      <c r="Y21" s="1621">
        <f ca="1">'Sch.D-Revenue'!U223</f>
        <v>12399.737383198757</v>
      </c>
      <c r="Z21" s="1626">
        <v>0</v>
      </c>
      <c r="AA21" s="1626">
        <f t="shared" ca="1" si="14"/>
        <v>12399.737383198757</v>
      </c>
    </row>
    <row r="22" spans="1:27">
      <c r="B22" s="1578" t="s">
        <v>3930</v>
      </c>
      <c r="C22" s="1984" t="s">
        <v>3624</v>
      </c>
      <c r="D22" s="2017">
        <f>'Sch.D-Revenue'!C19*1000</f>
        <v>224676366.99020994</v>
      </c>
      <c r="E22" s="2017">
        <f>'Sch.D-Revenue'!G19*1000</f>
        <v>170829405.59112522</v>
      </c>
      <c r="F22" s="2017">
        <f>'Sch.D-Revenue'!E13</f>
        <v>59288</v>
      </c>
      <c r="G22" s="1621">
        <f>'Sch.D-Revenue'!M13</f>
        <v>558492.96</v>
      </c>
      <c r="H22" s="1626">
        <f>I22-G22</f>
        <v>650848.70775706158</v>
      </c>
      <c r="I22" s="1626">
        <f>'Sch.D-Revenue'!M19</f>
        <v>1209341.6677570615</v>
      </c>
      <c r="K22" s="1621">
        <f ca="1">F22*'wp - t-1 COSS'!F13</f>
        <v>920742.64</v>
      </c>
      <c r="L22" s="1626">
        <f ca="1">(E22/1000)*'wp - t-1 COSS'!$S$39</f>
        <v>652055.84114132496</v>
      </c>
      <c r="M22" s="1626">
        <f ca="1">K22+L22</f>
        <v>1572798.4811413251</v>
      </c>
      <c r="P22" s="1578" t="s">
        <v>3932</v>
      </c>
      <c r="Q22" s="1578" t="s">
        <v>4003</v>
      </c>
      <c r="R22" s="2017">
        <v>0</v>
      </c>
      <c r="S22" s="2017">
        <f>'Sch.D-Revenue'!E227</f>
        <v>12</v>
      </c>
      <c r="T22" s="2017">
        <f>'Sch.D-Revenue'!V227</f>
        <v>275</v>
      </c>
      <c r="U22" s="1621">
        <f>'Sch.D-Revenue'!M227</f>
        <v>15213.000000000002</v>
      </c>
      <c r="V22" s="1626">
        <v>0</v>
      </c>
      <c r="W22" s="1626">
        <f t="shared" si="13"/>
        <v>15213.000000000002</v>
      </c>
      <c r="Y22" s="1621">
        <f ca="1">'Sch.D-Revenue'!U227</f>
        <v>18957.750925651504</v>
      </c>
      <c r="Z22" s="1626">
        <v>0</v>
      </c>
      <c r="AA22" s="1626">
        <f t="shared" ca="1" si="14"/>
        <v>18957.750925651504</v>
      </c>
    </row>
    <row r="23" spans="1:27" ht="14.25" thickBot="1">
      <c r="B23" s="1578" t="s">
        <v>3931</v>
      </c>
      <c r="C23" s="1984" t="s">
        <v>3624</v>
      </c>
      <c r="D23" s="2017">
        <f>'Sch.D-Revenue'!C29*1000</f>
        <v>26729581.974321745</v>
      </c>
      <c r="E23" s="2017">
        <f>'Sch.D-Revenue'!G29*1000</f>
        <v>22161517.252268314</v>
      </c>
      <c r="F23" s="2017">
        <f>'Sch.D-Revenue'!E23</f>
        <v>6405</v>
      </c>
      <c r="G23" s="1621">
        <f>'Sch.D-Revenue'!M23</f>
        <v>60335.1</v>
      </c>
      <c r="H23" s="1626">
        <f t="shared" ref="H23:H44" si="15">I23-G23</f>
        <v>80249.440388652525</v>
      </c>
      <c r="I23" s="1626">
        <f>'Sch.D-Revenue'!M29</f>
        <v>140584.54038865253</v>
      </c>
      <c r="K23" s="1621">
        <f ca="1">F23*'wp - t-1 COSS'!F13</f>
        <v>99469.65</v>
      </c>
      <c r="L23" s="1626">
        <f ca="1">(E23/1000)*'wp - t-1 COSS'!$S$39</f>
        <v>84590.51135190815</v>
      </c>
      <c r="M23" s="1626">
        <f t="shared" ref="M23:M44" ca="1" si="16">K23+L23</f>
        <v>184060.16135190814</v>
      </c>
      <c r="R23" s="2018">
        <f t="shared" ref="R23:W23" si="17">SUM(R18:R22)</f>
        <v>0</v>
      </c>
      <c r="S23" s="2018">
        <f t="shared" si="17"/>
        <v>60</v>
      </c>
      <c r="T23" s="2018">
        <f t="shared" si="17"/>
        <v>349</v>
      </c>
      <c r="U23" s="1622">
        <f t="shared" si="17"/>
        <v>35208.239999999998</v>
      </c>
      <c r="V23" s="1622">
        <f t="shared" si="17"/>
        <v>0</v>
      </c>
      <c r="W23" s="1622">
        <f t="shared" si="17"/>
        <v>35208.239999999998</v>
      </c>
      <c r="Y23" s="1622">
        <f ca="1">SUM(Y18:Y22)</f>
        <v>43874.912538655117</v>
      </c>
      <c r="Z23" s="1622">
        <f>SUM(Z18:Z22)</f>
        <v>0</v>
      </c>
      <c r="AA23" s="1622">
        <f ca="1">SUM(AA18:AA22)</f>
        <v>43874.912538655117</v>
      </c>
    </row>
    <row r="24" spans="1:27" ht="14.25" thickTop="1">
      <c r="B24" s="1578" t="s">
        <v>3932</v>
      </c>
      <c r="C24" s="1984" t="s">
        <v>3624</v>
      </c>
      <c r="D24" s="2017">
        <f>'Sch.D-Revenue'!C39*1000</f>
        <v>1987598.511953732</v>
      </c>
      <c r="E24" s="2017">
        <f>'Sch.D-Revenue'!G39*1000</f>
        <v>1880026.988901386</v>
      </c>
      <c r="F24" s="2017">
        <f>'Sch.D-Revenue'!E33</f>
        <v>156</v>
      </c>
      <c r="G24" s="1621">
        <f>'Sch.D-Revenue'!M33</f>
        <v>1469.52</v>
      </c>
      <c r="H24" s="1626">
        <f t="shared" si="15"/>
        <v>6192.1051355133131</v>
      </c>
      <c r="I24" s="1626">
        <f>'Sch.D-Revenue'!M39</f>
        <v>7661.6251355133136</v>
      </c>
      <c r="K24" s="1621">
        <f ca="1">F24*'wp - t-1 COSS'!F13</f>
        <v>2422.6799999999998</v>
      </c>
      <c r="L24" s="1626">
        <f ca="1">(E24/1000)*'wp - t-1 COSS'!$S$39</f>
        <v>7176.0630166365909</v>
      </c>
      <c r="M24" s="1626">
        <f t="shared" ca="1" si="16"/>
        <v>9598.7430166365903</v>
      </c>
    </row>
    <row r="25" spans="1:27" ht="15.75">
      <c r="B25" s="1578" t="s">
        <v>3933</v>
      </c>
      <c r="C25" s="1984" t="s">
        <v>3624</v>
      </c>
      <c r="D25" s="2017">
        <f>'Sch.D-Revenue'!C49*1000</f>
        <v>691549.78422987775</v>
      </c>
      <c r="E25" s="2017">
        <f>'Sch.D-Revenue'!G49*1000</f>
        <v>610188.79804928298</v>
      </c>
      <c r="F25" s="2017">
        <f>'Sch.D-Revenue'!E43</f>
        <v>95</v>
      </c>
      <c r="G25" s="1621">
        <f>'Sch.D-Revenue'!M43</f>
        <v>894.9</v>
      </c>
      <c r="H25" s="1626">
        <f t="shared" si="15"/>
        <v>2239.4809203719578</v>
      </c>
      <c r="I25" s="1626">
        <f>'Sch.D-Revenue'!M49</f>
        <v>3134.3809203719579</v>
      </c>
      <c r="K25" s="1621">
        <f ca="1">F25*'wp - t-1 COSS'!F13</f>
        <v>1475.35</v>
      </c>
      <c r="L25" s="1626">
        <f ca="1">(E25/1000)*'wp - t-1 COSS'!$S$39</f>
        <v>2329.0906421541135</v>
      </c>
      <c r="M25" s="1626">
        <f t="shared" ca="1" si="16"/>
        <v>3804.4406421541134</v>
      </c>
      <c r="O25" s="1631" t="s">
        <v>57</v>
      </c>
      <c r="U25" s="2070"/>
      <c r="V25" s="2064" t="s">
        <v>3941</v>
      </c>
      <c r="W25" s="2070"/>
      <c r="Y25" s="2064"/>
      <c r="Z25" s="2064" t="s">
        <v>3942</v>
      </c>
      <c r="AA25" s="2064"/>
    </row>
    <row r="26" spans="1:27" ht="15">
      <c r="B26" s="1578" t="s">
        <v>3931</v>
      </c>
      <c r="C26" s="1984" t="s">
        <v>3626</v>
      </c>
      <c r="D26" s="2017">
        <f>'Sch.D-Revenue'!C59*1000</f>
        <v>11835.10818548233</v>
      </c>
      <c r="E26" s="2017">
        <f>'Sch.D-Revenue'!G59*1000</f>
        <v>0</v>
      </c>
      <c r="F26" s="2017">
        <f>'Sch.D-Revenue'!E53</f>
        <v>24</v>
      </c>
      <c r="G26" s="1621">
        <f>'Sch.D-Revenue'!M53</f>
        <v>226.07999999999998</v>
      </c>
      <c r="H26" s="1626">
        <f t="shared" si="15"/>
        <v>0</v>
      </c>
      <c r="I26" s="1626">
        <f>'Sch.D-Revenue'!M59</f>
        <v>226.07999999999998</v>
      </c>
      <c r="K26" s="1621">
        <f ca="1">F26*'wp - t-1 COSS'!F14</f>
        <v>372.71999999999997</v>
      </c>
      <c r="L26" s="1626">
        <f ca="1">(E26/1000)*'wp - t-1 COSS'!$S$39</f>
        <v>0</v>
      </c>
      <c r="M26" s="1626">
        <f t="shared" ca="1" si="16"/>
        <v>372.71999999999997</v>
      </c>
      <c r="P26" s="2016" t="s">
        <v>3927</v>
      </c>
      <c r="Q26" s="2016" t="s">
        <v>290</v>
      </c>
      <c r="R26" s="2016" t="s">
        <v>3948</v>
      </c>
      <c r="S26" s="2016" t="s">
        <v>1489</v>
      </c>
      <c r="T26" s="2016" t="s">
        <v>3929</v>
      </c>
      <c r="U26" s="2016" t="s">
        <v>3938</v>
      </c>
      <c r="V26" s="2016" t="s">
        <v>3939</v>
      </c>
      <c r="W26" s="2016" t="s">
        <v>3940</v>
      </c>
      <c r="Y26" s="2016" t="s">
        <v>3938</v>
      </c>
      <c r="Z26" s="2016" t="s">
        <v>3939</v>
      </c>
      <c r="AA26" s="2016" t="s">
        <v>3940</v>
      </c>
    </row>
    <row r="27" spans="1:27">
      <c r="B27" s="1578" t="s">
        <v>3930</v>
      </c>
      <c r="C27" s="1984" t="s">
        <v>3628</v>
      </c>
      <c r="D27" s="2017">
        <f>'Sch.D-Revenue'!C79*1000</f>
        <v>1766884.641617748</v>
      </c>
      <c r="E27" s="2017">
        <f>'Sch.D-Revenue'!G79*1000</f>
        <v>489414.57849042967</v>
      </c>
      <c r="F27" s="2017">
        <f>'Sch.D-Revenue'!E73</f>
        <v>288</v>
      </c>
      <c r="G27" s="1621">
        <f>'Sch.D-Revenue'!M73</f>
        <v>8256.9600000000009</v>
      </c>
      <c r="H27" s="1626">
        <f t="shared" si="15"/>
        <v>1813.5852058113942</v>
      </c>
      <c r="I27" s="1626">
        <f>'Sch.D-Revenue'!M79</f>
        <v>10070.545205811395</v>
      </c>
      <c r="K27" s="1621">
        <f ca="1">F27*'wp - t-1 COSS'!F15</f>
        <v>11586.24</v>
      </c>
      <c r="L27" s="1626">
        <f ca="1">(E27/1000)*'wp - t-1 COSS'!$S$39</f>
        <v>1868.0954460979701</v>
      </c>
      <c r="M27" s="1626">
        <f t="shared" ca="1" si="16"/>
        <v>13454.33544609797</v>
      </c>
      <c r="P27" s="1578" t="s">
        <v>3997</v>
      </c>
      <c r="Q27" s="1578" t="s">
        <v>3999</v>
      </c>
      <c r="R27" s="2017">
        <v>0</v>
      </c>
      <c r="S27" s="2017">
        <f>'Sch.D-Revenue'!E386</f>
        <v>12</v>
      </c>
      <c r="T27" s="2017">
        <f>'Sch.D-Revenue'!V386</f>
        <v>3</v>
      </c>
      <c r="U27" s="1621">
        <f>'Sch.D-Revenue'!M386</f>
        <v>746.28</v>
      </c>
      <c r="V27" s="1626">
        <v>0</v>
      </c>
      <c r="W27" s="1626">
        <f>U27+V27</f>
        <v>746.28</v>
      </c>
      <c r="Y27" s="1621">
        <f ca="1">'Sch.D-Revenue'!U386</f>
        <v>929.98030373990684</v>
      </c>
      <c r="Z27" s="1626">
        <v>0</v>
      </c>
      <c r="AA27" s="1626">
        <f ca="1">Y27+Z27</f>
        <v>929.98030373990684</v>
      </c>
    </row>
    <row r="28" spans="1:27">
      <c r="B28" s="1578" t="s">
        <v>3931</v>
      </c>
      <c r="C28" s="1984" t="s">
        <v>3628</v>
      </c>
      <c r="D28" s="2017">
        <f>'Sch.D-Revenue'!C69*1000</f>
        <v>12177586.628599722</v>
      </c>
      <c r="E28" s="2017">
        <f>'Sch.D-Revenue'!G69*1000</f>
        <v>8557501.7811385617</v>
      </c>
      <c r="F28" s="2017">
        <f>'Sch.D-Revenue'!E63</f>
        <v>800</v>
      </c>
      <c r="G28" s="1621">
        <f>'Sch.D-Revenue'!M63</f>
        <v>22936</v>
      </c>
      <c r="H28" s="1626">
        <f t="shared" si="15"/>
        <v>29613.575852452988</v>
      </c>
      <c r="I28" s="1626">
        <f>'Sch.D-Revenue'!M69</f>
        <v>52549.575852452988</v>
      </c>
      <c r="K28" s="1621">
        <f ca="1">F28*'wp - t-1 COSS'!F15</f>
        <v>32183.999999999996</v>
      </c>
      <c r="L28" s="1626">
        <f ca="1">(E28/1000)*'wp - t-1 COSS'!$S$39</f>
        <v>32663.984298605894</v>
      </c>
      <c r="M28" s="1626">
        <f t="shared" ca="1" si="16"/>
        <v>64847.984298605894</v>
      </c>
      <c r="P28" s="1578" t="s">
        <v>3997</v>
      </c>
      <c r="Q28" s="1578" t="s">
        <v>4000</v>
      </c>
      <c r="R28" s="2017">
        <v>0</v>
      </c>
      <c r="S28" s="2017">
        <f>'Sch.D-Revenue'!E390</f>
        <v>12</v>
      </c>
      <c r="T28" s="2072">
        <f>'Sch.D-Revenue'!V390</f>
        <v>7</v>
      </c>
      <c r="U28" s="1621">
        <f>'Sch.D-Revenue'!M390</f>
        <v>1741.32</v>
      </c>
      <c r="V28" s="1626">
        <v>0</v>
      </c>
      <c r="W28" s="1626">
        <f>U28+V28</f>
        <v>1741.32</v>
      </c>
      <c r="Y28" s="1621">
        <f ca="1">'Sch.D-Revenue'!U390</f>
        <v>2169.9540420597828</v>
      </c>
      <c r="Z28" s="1626">
        <v>0</v>
      </c>
      <c r="AA28" s="1626">
        <f ca="1">Y28+Z28</f>
        <v>2169.9540420597828</v>
      </c>
    </row>
    <row r="29" spans="1:27" ht="15">
      <c r="B29" s="1578" t="s">
        <v>3932</v>
      </c>
      <c r="C29" s="1984" t="s">
        <v>3628</v>
      </c>
      <c r="D29" s="2017">
        <f>'Sch.D-Revenue'!C89*1000</f>
        <v>562890.01241535845</v>
      </c>
      <c r="E29" s="2017">
        <f>'Sch.D-Revenue'!G89*1000</f>
        <v>372973.52238373226</v>
      </c>
      <c r="F29" s="2017">
        <f>'Sch.D-Revenue'!E83</f>
        <v>36</v>
      </c>
      <c r="G29" s="1621">
        <f>'Sch.D-Revenue'!M83</f>
        <v>1032.1200000000001</v>
      </c>
      <c r="H29" s="1626">
        <f t="shared" si="15"/>
        <v>1326.2420168316428</v>
      </c>
      <c r="I29" s="1626">
        <f>'Sch.D-Revenue'!M89</f>
        <v>2358.3620168316429</v>
      </c>
      <c r="K29" s="1621">
        <f ca="1">F29*'wp - t-1 COSS'!F15</f>
        <v>1448.28</v>
      </c>
      <c r="L29" s="1626">
        <f ca="1">(E29/1000)*'wp - t-1 COSS'!$S$39</f>
        <v>1423.6399349387061</v>
      </c>
      <c r="M29" s="1626">
        <f t="shared" ca="1" si="16"/>
        <v>2871.9199349387063</v>
      </c>
      <c r="O29" s="1631"/>
      <c r="P29" s="1578" t="s">
        <v>3998</v>
      </c>
      <c r="Q29" s="1578" t="s">
        <v>3999</v>
      </c>
      <c r="R29" s="2017">
        <v>0</v>
      </c>
      <c r="S29" s="2017">
        <f>'Sch.D-Revenue'!E394</f>
        <v>12</v>
      </c>
      <c r="T29" s="2017">
        <f>'Sch.D-Revenue'!V394</f>
        <v>54</v>
      </c>
      <c r="U29" s="1621">
        <f>'Sch.D-Revenue'!M394</f>
        <v>2987.28</v>
      </c>
      <c r="V29" s="1626">
        <v>0</v>
      </c>
      <c r="W29" s="1626">
        <f>U29+V29</f>
        <v>2987.28</v>
      </c>
      <c r="Y29" s="1621">
        <f ca="1">'Sch.D-Revenue'!U394</f>
        <v>3722.6129090370227</v>
      </c>
      <c r="Z29" s="1626">
        <v>0</v>
      </c>
      <c r="AA29" s="1626">
        <f ca="1">Y29+Z29</f>
        <v>3722.6129090370227</v>
      </c>
    </row>
    <row r="30" spans="1:27" ht="15.75" thickBot="1">
      <c r="B30" s="1578" t="s">
        <v>3933</v>
      </c>
      <c r="C30" s="1984" t="s">
        <v>3628</v>
      </c>
      <c r="D30" s="2017">
        <f>'Sch.D-Revenue'!C99*1000</f>
        <v>152768.06120169393</v>
      </c>
      <c r="E30" s="2017">
        <f>'Sch.D-Revenue'!G99*1000</f>
        <v>80768.061201693941</v>
      </c>
      <c r="F30" s="2017">
        <f>'Sch.D-Revenue'!E93</f>
        <v>12</v>
      </c>
      <c r="G30" s="1621">
        <f>'Sch.D-Revenue'!M93</f>
        <v>344.04</v>
      </c>
      <c r="H30" s="1626">
        <f t="shared" si="15"/>
        <v>300.95125604197966</v>
      </c>
      <c r="I30" s="1626">
        <f>'Sch.D-Revenue'!M99</f>
        <v>644.99125604197968</v>
      </c>
      <c r="K30" s="1621">
        <f ca="1">F30*'wp - t-1 COSS'!F15</f>
        <v>482.76</v>
      </c>
      <c r="L30" s="1626">
        <f ca="1">(E30/1000)*'wp - t-1 COSS'!$S$39</f>
        <v>308.29168960686576</v>
      </c>
      <c r="M30" s="1626">
        <f t="shared" ca="1" si="16"/>
        <v>791.05168960686569</v>
      </c>
      <c r="O30" s="2016"/>
      <c r="R30" s="2018">
        <f t="shared" ref="R30:W30" si="18">SUM(R27:R29)</f>
        <v>0</v>
      </c>
      <c r="S30" s="2018">
        <f t="shared" si="18"/>
        <v>36</v>
      </c>
      <c r="T30" s="2018">
        <f t="shared" si="18"/>
        <v>64</v>
      </c>
      <c r="U30" s="1622">
        <f t="shared" si="18"/>
        <v>5474.88</v>
      </c>
      <c r="V30" s="1622">
        <f t="shared" si="18"/>
        <v>0</v>
      </c>
      <c r="W30" s="1622">
        <f t="shared" si="18"/>
        <v>5474.88</v>
      </c>
      <c r="Y30" s="1622">
        <f ca="1">SUM(Y27:Y29)</f>
        <v>6822.5472548367125</v>
      </c>
      <c r="Z30" s="1622">
        <f>SUM(Z27:Z29)</f>
        <v>0</v>
      </c>
      <c r="AA30" s="1622">
        <f ca="1">SUM(AA27:AA29)</f>
        <v>6822.5472548367125</v>
      </c>
    </row>
    <row r="31" spans="1:27" ht="14.25" thickTop="1">
      <c r="B31" s="1578" t="s">
        <v>3931</v>
      </c>
      <c r="C31" s="1984" t="s">
        <v>3630</v>
      </c>
      <c r="D31" s="2017">
        <f>'Sch.D-Revenue'!C109*1000</f>
        <v>7118246.5295976736</v>
      </c>
      <c r="E31" s="2017">
        <f>'Sch.D-Revenue'!G109*1000</f>
        <v>5216163.9360972652</v>
      </c>
      <c r="F31" s="2017">
        <f>'Sch.D-Revenue'!E104</f>
        <v>202</v>
      </c>
      <c r="G31" s="1621">
        <f>'Sch.D-Revenue'!M104</f>
        <v>11033.24</v>
      </c>
      <c r="H31" s="1626">
        <f t="shared" si="15"/>
        <v>16645.804362874595</v>
      </c>
      <c r="I31" s="1626">
        <f>'Sch.D-Revenue'!M109</f>
        <v>27679.044362874596</v>
      </c>
      <c r="K31" s="1621">
        <f ca="1">F31*'wp - t-1 COSS'!F16</f>
        <v>16444.82</v>
      </c>
      <c r="L31" s="1626">
        <f ca="1">(E31/1000)*'wp - t-1 COSS'!$S$39</f>
        <v>19910.097744083261</v>
      </c>
      <c r="M31" s="1626">
        <f t="shared" ca="1" si="16"/>
        <v>36354.917744083257</v>
      </c>
    </row>
    <row r="32" spans="1:27">
      <c r="B32" s="1578" t="s">
        <v>3932</v>
      </c>
      <c r="C32" s="1984" t="s">
        <v>3630</v>
      </c>
      <c r="D32" s="2017">
        <f>'Sch.D-Revenue'!C118*1000</f>
        <v>3580745.36637539</v>
      </c>
      <c r="E32" s="2017">
        <f>'Sch.D-Revenue'!G118*1000</f>
        <v>3311864.0144438986</v>
      </c>
      <c r="F32" s="2017">
        <f>'Sch.D-Revenue'!E113</f>
        <v>60</v>
      </c>
      <c r="G32" s="1621">
        <f>'Sch.D-Revenue'!M113</f>
        <v>3277.2</v>
      </c>
      <c r="H32" s="1626">
        <f t="shared" si="15"/>
        <v>9559.960912210292</v>
      </c>
      <c r="I32" s="1626">
        <f>'Sch.D-Revenue'!M118</f>
        <v>12837.160912210293</v>
      </c>
      <c r="K32" s="1621">
        <f ca="1">F32*'wp - t-1 COSS'!F16</f>
        <v>4884.5999999999995</v>
      </c>
      <c r="L32" s="1626">
        <f ca="1">(E32/1000)*'wp - t-1 COSS'!$S$39</f>
        <v>12641.384943132362</v>
      </c>
      <c r="M32" s="1626">
        <f t="shared" ca="1" si="16"/>
        <v>17525.98494313236</v>
      </c>
    </row>
    <row r="33" spans="1:13">
      <c r="B33" s="1578" t="s">
        <v>3933</v>
      </c>
      <c r="C33" s="1984" t="s">
        <v>3630</v>
      </c>
      <c r="D33" s="2017">
        <f>'Sch.D-Revenue'!C127*1000</f>
        <v>1626105.2335470994</v>
      </c>
      <c r="E33" s="2017">
        <f>'Sch.D-Revenue'!G127*1000</f>
        <v>1375564.4482318554</v>
      </c>
      <c r="F33" s="2017">
        <f>'Sch.D-Revenue'!E122</f>
        <v>24</v>
      </c>
      <c r="G33" s="1621">
        <f>'Sch.D-Revenue'!M122</f>
        <v>1310.8799999999999</v>
      </c>
      <c r="H33" s="1626">
        <f t="shared" si="15"/>
        <v>4280.9929704530914</v>
      </c>
      <c r="I33" s="1626">
        <f>'Sch.D-Revenue'!M127</f>
        <v>5591.8729704530915</v>
      </c>
      <c r="K33" s="1621">
        <f ca="1">F33*'wp - t-1 COSS'!F16</f>
        <v>1953.84</v>
      </c>
      <c r="L33" s="1626">
        <f ca="1">(E33/1000)*'wp - t-1 COSS'!$S$39</f>
        <v>5250.5294989009917</v>
      </c>
      <c r="M33" s="1626">
        <f t="shared" ca="1" si="16"/>
        <v>7204.3694989009919</v>
      </c>
    </row>
    <row r="34" spans="1:13">
      <c r="B34" s="1578" t="s">
        <v>3931</v>
      </c>
      <c r="C34" s="1984" t="s">
        <v>3631</v>
      </c>
      <c r="D34" s="2017">
        <f>'Sch.D-Revenue'!C136*1000</f>
        <v>25695463.753880784</v>
      </c>
      <c r="E34" s="2017">
        <f>'Sch.D-Revenue'!G136*1000</f>
        <v>20227368.199810203</v>
      </c>
      <c r="F34" s="2017">
        <f>'Sch.D-Revenue'!E131</f>
        <v>358</v>
      </c>
      <c r="G34" s="1621">
        <f>'Sch.D-Revenue'!M131</f>
        <v>30136.440000000002</v>
      </c>
      <c r="H34" s="1626">
        <f t="shared" si="15"/>
        <v>59520.048581460593</v>
      </c>
      <c r="I34" s="1626">
        <f>'Sch.D-Revenue'!M136</f>
        <v>89656.488581460595</v>
      </c>
      <c r="K34" s="1621">
        <f ca="1">F34*'wp - t-1 COSS'!F17</f>
        <v>46837.140000000007</v>
      </c>
      <c r="L34" s="1626">
        <f ca="1">(E34/1000)*'wp - t-1 COSS'!$S$39</f>
        <v>77207.864418675555</v>
      </c>
      <c r="M34" s="1626">
        <f t="shared" ca="1" si="16"/>
        <v>124045.00441867555</v>
      </c>
    </row>
    <row r="35" spans="1:13">
      <c r="B35" s="1578" t="s">
        <v>3932</v>
      </c>
      <c r="C35" s="1984" t="s">
        <v>3631</v>
      </c>
      <c r="D35" s="2017">
        <f>'Sch.D-Revenue'!C154*1000</f>
        <v>5902876.4303242452</v>
      </c>
      <c r="E35" s="2017">
        <f>'Sch.D-Revenue'!G154*1000</f>
        <v>3722880.6791413333</v>
      </c>
      <c r="F35" s="2017">
        <f>'Sch.D-Revenue'!E149</f>
        <v>192</v>
      </c>
      <c r="G35" s="1621">
        <f>'Sch.D-Revenue'!M149</f>
        <v>16162.560000000001</v>
      </c>
      <c r="H35" s="1626">
        <f t="shared" si="15"/>
        <v>11450.85804065019</v>
      </c>
      <c r="I35" s="1626">
        <f>'Sch.D-Revenue'!M154</f>
        <v>27613.418040650191</v>
      </c>
      <c r="K35" s="1621">
        <f ca="1">F35*'wp - t-1 COSS'!F17</f>
        <v>25119.360000000001</v>
      </c>
      <c r="L35" s="1626">
        <f ca="1">(E35/1000)*'wp - t-1 COSS'!$S$39</f>
        <v>14210.235552282471</v>
      </c>
      <c r="M35" s="1626">
        <f t="shared" ca="1" si="16"/>
        <v>39329.595552282473</v>
      </c>
    </row>
    <row r="36" spans="1:13">
      <c r="B36" s="1578" t="s">
        <v>3933</v>
      </c>
      <c r="C36" s="1984" t="s">
        <v>3631</v>
      </c>
      <c r="D36" s="2017">
        <f>'Sch.D-Revenue'!C145*1000</f>
        <v>651901.83022463182</v>
      </c>
      <c r="E36" s="2017">
        <f>'Sch.D-Revenue'!G145*1000</f>
        <v>326525.00717138522</v>
      </c>
      <c r="F36" s="2017">
        <f>'Sch.D-Revenue'!E140</f>
        <v>35</v>
      </c>
      <c r="G36" s="1621">
        <f>'Sch.D-Revenue'!M140</f>
        <v>2946.3</v>
      </c>
      <c r="H36" s="1626">
        <f t="shared" si="15"/>
        <v>1086.9135230242505</v>
      </c>
      <c r="I36" s="1626">
        <f>'Sch.D-Revenue'!M145</f>
        <v>4033.2135230242507</v>
      </c>
      <c r="K36" s="1621">
        <f ca="1">F36*'wp - t-1 COSS'!F17</f>
        <v>4579.05</v>
      </c>
      <c r="L36" s="1626">
        <f ca="1">(E36/1000)*'wp - t-1 COSS'!$S$39</f>
        <v>1246.3459523731774</v>
      </c>
      <c r="M36" s="1626">
        <f t="shared" ca="1" si="16"/>
        <v>5825.3959523731774</v>
      </c>
    </row>
    <row r="37" spans="1:13">
      <c r="B37" s="1578" t="s">
        <v>3931</v>
      </c>
      <c r="C37" s="1984" t="s">
        <v>3632</v>
      </c>
      <c r="D37" s="2017">
        <f>'Sch.D-Revenue'!C162*1000</f>
        <v>3118166.3658585665</v>
      </c>
      <c r="E37" s="2017">
        <f>'Sch.D-Revenue'!G162*1000</f>
        <v>1288585.3975124883</v>
      </c>
      <c r="F37" s="2017">
        <f>'Sch.D-Revenue'!E159</f>
        <v>36</v>
      </c>
      <c r="G37" s="1621">
        <f>'Sch.D-Revenue'!M159</f>
        <v>8494.56</v>
      </c>
      <c r="H37" s="1626">
        <f t="shared" si="15"/>
        <v>3715.5596524653429</v>
      </c>
      <c r="I37" s="1626">
        <f>'Sch.D-Revenue'!M162</f>
        <v>12210.119652465342</v>
      </c>
      <c r="K37" s="1621">
        <f ca="1">F37*'wp - t-1 COSS'!F18</f>
        <v>8861.0399999999991</v>
      </c>
      <c r="L37" s="1626">
        <f ca="1">(E37/1000)*'wp - t-1 COSS'!$S$39</f>
        <v>4918.5304623051679</v>
      </c>
      <c r="M37" s="1626">
        <f t="shared" ca="1" si="16"/>
        <v>13779.570462305168</v>
      </c>
    </row>
    <row r="38" spans="1:13">
      <c r="B38" s="1578" t="s">
        <v>3932</v>
      </c>
      <c r="C38" s="1984" t="s">
        <v>3632</v>
      </c>
      <c r="D38" s="2017">
        <f>'Sch.D-Revenue'!C169*1000</f>
        <v>5698965.6139875334</v>
      </c>
      <c r="E38" s="2017">
        <f>'Sch.D-Revenue'!G169*1000</f>
        <v>4653222.1885351576</v>
      </c>
      <c r="F38" s="2017">
        <f>'Sch.D-Revenue'!E166</f>
        <v>48</v>
      </c>
      <c r="G38" s="1621">
        <f>'Sch.D-Revenue'!M166</f>
        <v>11326.08</v>
      </c>
      <c r="H38" s="1626">
        <f t="shared" si="15"/>
        <v>12937.693240357034</v>
      </c>
      <c r="I38" s="1626">
        <f>'Sch.D-Revenue'!M169</f>
        <v>24263.773240357034</v>
      </c>
      <c r="K38" s="1621">
        <f ca="1">F38*'wp - t-1 COSS'!F18</f>
        <v>11814.72</v>
      </c>
      <c r="L38" s="1626">
        <f ca="1">(E38/1000)*'wp - t-1 COSS'!$S$39</f>
        <v>17761.349093638695</v>
      </c>
      <c r="M38" s="1626">
        <f t="shared" ca="1" si="16"/>
        <v>29576.069093638696</v>
      </c>
    </row>
    <row r="39" spans="1:13">
      <c r="B39" s="1578" t="s">
        <v>3933</v>
      </c>
      <c r="C39" s="1984" t="s">
        <v>3632</v>
      </c>
      <c r="D39" s="2017">
        <f>'Sch.D-Revenue'!C176*1000</f>
        <v>9785596.1412841938</v>
      </c>
      <c r="E39" s="2017">
        <f>'Sch.D-Revenue'!G176*1000</f>
        <v>8964796.1412841976</v>
      </c>
      <c r="F39" s="2017">
        <f>'Sch.D-Revenue'!E173</f>
        <v>12</v>
      </c>
      <c r="G39" s="1621">
        <f>'Sch.D-Revenue'!M173</f>
        <v>2831.52</v>
      </c>
      <c r="H39" s="1626">
        <f t="shared" si="15"/>
        <v>24837.637349944383</v>
      </c>
      <c r="I39" s="1626">
        <f>'Sch.D-Revenue'!M176</f>
        <v>27669.157349944384</v>
      </c>
      <c r="K39" s="1621">
        <f ca="1">F39*'wp - t-1 COSS'!F18</f>
        <v>2953.68</v>
      </c>
      <c r="L39" s="1626">
        <f ca="1">(E39/1000)*'wp - t-1 COSS'!$S$39</f>
        <v>34218.626871281784</v>
      </c>
      <c r="M39" s="1626">
        <f t="shared" ca="1" si="16"/>
        <v>37172.306871281784</v>
      </c>
    </row>
    <row r="40" spans="1:13">
      <c r="B40" s="1578" t="s">
        <v>3931</v>
      </c>
      <c r="C40" s="1984" t="s">
        <v>3633</v>
      </c>
      <c r="D40" s="2017">
        <f>'Sch.D-Revenue'!C182*1000</f>
        <v>1924191.3391563355</v>
      </c>
      <c r="E40" s="2017">
        <f>'Sch.D-Revenue'!G182*1000</f>
        <v>442059.57276591554</v>
      </c>
      <c r="F40" s="2017">
        <f>'Sch.D-Revenue'!E180</f>
        <v>12</v>
      </c>
      <c r="G40" s="1621">
        <f>'Sch.D-Revenue'!M180</f>
        <v>4881.84</v>
      </c>
      <c r="H40" s="1626">
        <f t="shared" si="15"/>
        <v>1220.0844208339267</v>
      </c>
      <c r="I40" s="1626">
        <f>'Sch.D-Revenue'!M182</f>
        <v>6101.9244208339269</v>
      </c>
      <c r="K40" s="1621">
        <f ca="1">F40*'wp - t-1 COSS'!F19</f>
        <v>4930.32</v>
      </c>
      <c r="L40" s="1626">
        <f ca="1">(E40/1000)*'wp - t-1 COSS'!$S$39</f>
        <v>1687.3413892474998</v>
      </c>
      <c r="M40" s="1626">
        <f t="shared" ca="1" si="16"/>
        <v>6617.6613892474998</v>
      </c>
    </row>
    <row r="41" spans="1:13">
      <c r="B41" s="1578" t="s">
        <v>3932</v>
      </c>
      <c r="C41" s="1984" t="s">
        <v>3633</v>
      </c>
      <c r="D41" s="2017">
        <f>'Sch.D-Revenue'!C188*1000</f>
        <v>369920.26082814997</v>
      </c>
      <c r="E41" s="2017">
        <f>'Sch.D-Revenue'!G188*1000</f>
        <v>0</v>
      </c>
      <c r="F41" s="2017">
        <f>'Sch.D-Revenue'!E186</f>
        <v>12</v>
      </c>
      <c r="G41" s="1621">
        <f>'Sch.D-Revenue'!M186</f>
        <v>4881.84</v>
      </c>
      <c r="H41" s="1626">
        <f t="shared" si="15"/>
        <v>0</v>
      </c>
      <c r="I41" s="1626">
        <f>'Sch.D-Revenue'!M188</f>
        <v>4881.84</v>
      </c>
      <c r="K41" s="1621">
        <f ca="1">F41*'wp - t-1 COSS'!F19</f>
        <v>4930.32</v>
      </c>
      <c r="L41" s="1626">
        <f ca="1">(E41/1000)*'wp - t-1 COSS'!$S$39</f>
        <v>0</v>
      </c>
      <c r="M41" s="1626">
        <f t="shared" ca="1" si="16"/>
        <v>4930.32</v>
      </c>
    </row>
    <row r="42" spans="1:13">
      <c r="B42" s="1578" t="s">
        <v>3933</v>
      </c>
      <c r="C42" s="1984" t="s">
        <v>3633</v>
      </c>
      <c r="D42" s="2017">
        <f>'Sch.D-Revenue'!C194*1000</f>
        <v>1523460.4998290474</v>
      </c>
      <c r="E42" s="2017">
        <f>'Sch.D-Revenue'!G194*1000</f>
        <v>158812.8747895624</v>
      </c>
      <c r="F42" s="2017">
        <f>'Sch.D-Revenue'!E192</f>
        <v>12</v>
      </c>
      <c r="G42" s="1621">
        <f>'Sch.D-Revenue'!M192</f>
        <v>4881.84</v>
      </c>
      <c r="H42" s="1626">
        <f t="shared" si="15"/>
        <v>438.32353441919258</v>
      </c>
      <c r="I42" s="1626">
        <f>'Sch.D-Revenue'!M194</f>
        <v>5320.1635344191927</v>
      </c>
      <c r="K42" s="1621">
        <f ca="1">F42*'wp - t-1 COSS'!F19</f>
        <v>4930.32</v>
      </c>
      <c r="L42" s="1626">
        <f ca="1">(E42/1000)*'wp - t-1 COSS'!$S$39</f>
        <v>606.18874307175963</v>
      </c>
      <c r="M42" s="1626">
        <f t="shared" ca="1" si="16"/>
        <v>5536.5087430717595</v>
      </c>
    </row>
    <row r="43" spans="1:13">
      <c r="B43" s="1578" t="s">
        <v>3931</v>
      </c>
      <c r="C43" s="1984" t="s">
        <v>3634</v>
      </c>
      <c r="D43" s="2017">
        <f>'Sch.D-Revenue'!C200*1000</f>
        <v>1670328.2685777396</v>
      </c>
      <c r="E43" s="2017">
        <f>'Sch.D-Revenue'!G200*1000</f>
        <v>0</v>
      </c>
      <c r="F43" s="2017">
        <f>'Sch.D-Revenue'!E198</f>
        <v>24</v>
      </c>
      <c r="G43" s="1621">
        <f>'Sch.D-Revenue'!M198</f>
        <v>19956.48</v>
      </c>
      <c r="H43" s="1626">
        <f t="shared" si="15"/>
        <v>0</v>
      </c>
      <c r="I43" s="1626">
        <f>'Sch.D-Revenue'!M200</f>
        <v>19956.48</v>
      </c>
      <c r="K43" s="1621">
        <f ca="1">F43*'wp - t-1 COSS'!F20</f>
        <v>19743.84</v>
      </c>
      <c r="L43" s="1626">
        <f ca="1">(E43/1000)*'wp - t-1 COSS'!$S$39</f>
        <v>0</v>
      </c>
      <c r="M43" s="1626">
        <f t="shared" ca="1" si="16"/>
        <v>19743.84</v>
      </c>
    </row>
    <row r="44" spans="1:13">
      <c r="B44" s="1578" t="s">
        <v>3933</v>
      </c>
      <c r="C44" s="1984" t="s">
        <v>3634</v>
      </c>
      <c r="D44" s="2017">
        <f>'Sch.D-Revenue'!C206*1000</f>
        <v>42536620.797858395</v>
      </c>
      <c r="E44" s="2017">
        <f>'Sch.D-Revenue'!G206*1000</f>
        <v>39158620.797858395</v>
      </c>
      <c r="F44" s="2017">
        <f>'Sch.D-Revenue'!E204</f>
        <v>12</v>
      </c>
      <c r="G44" s="1621">
        <f>'Sch.D-Revenue'!M204</f>
        <v>9978.24</v>
      </c>
      <c r="H44" s="1626">
        <f t="shared" si="15"/>
        <v>108077.79340208916</v>
      </c>
      <c r="I44" s="1626">
        <f>'Sch.D-Revenue'!M206</f>
        <v>118056.03340208916</v>
      </c>
      <c r="K44" s="1621">
        <f ca="1">F44*'wp - t-1 COSS'!F20</f>
        <v>9871.92</v>
      </c>
      <c r="L44" s="1626">
        <f ca="1">(E44/1000)*'wp - t-1 COSS'!$S$39</f>
        <v>149468.45558542549</v>
      </c>
      <c r="M44" s="1626">
        <f t="shared" ca="1" si="16"/>
        <v>159340.3755854255</v>
      </c>
    </row>
    <row r="45" spans="1:13" ht="14.25" thickBot="1">
      <c r="C45" s="1984"/>
      <c r="D45" s="2018">
        <f t="shared" ref="D45:I45" si="19">SUM(D22:D44)</f>
        <v>379959650.14406508</v>
      </c>
      <c r="E45" s="2018">
        <f t="shared" si="19"/>
        <v>293828259.8312003</v>
      </c>
      <c r="F45" s="2018">
        <f t="shared" si="19"/>
        <v>68143</v>
      </c>
      <c r="G45" s="1622">
        <f t="shared" si="19"/>
        <v>786086.7</v>
      </c>
      <c r="H45" s="1622">
        <f t="shared" si="19"/>
        <v>1026355.7585235195</v>
      </c>
      <c r="I45" s="1622">
        <f t="shared" si="19"/>
        <v>1812442.4585235198</v>
      </c>
      <c r="K45" s="1622">
        <f ca="1">SUM(K22:K44)</f>
        <v>1238039.2900000005</v>
      </c>
      <c r="L45" s="1622">
        <f ca="1">SUM(L22:L44)</f>
        <v>1121542.4677756915</v>
      </c>
      <c r="M45" s="1622">
        <f ca="1">SUM(M22:M44)</f>
        <v>2359581.7577756918</v>
      </c>
    </row>
    <row r="46" spans="1:13" ht="14.25" thickTop="1">
      <c r="C46" s="1984"/>
    </row>
    <row r="47" spans="1:13" ht="15.75">
      <c r="A47" s="1631" t="s">
        <v>57</v>
      </c>
      <c r="G47" s="2070"/>
      <c r="H47" s="2064" t="s">
        <v>3941</v>
      </c>
      <c r="I47" s="2070"/>
      <c r="K47" s="2064"/>
      <c r="L47" s="2064" t="s">
        <v>3942</v>
      </c>
      <c r="M47" s="2064"/>
    </row>
    <row r="48" spans="1:13" ht="15">
      <c r="A48" s="2016"/>
      <c r="B48" s="2016" t="s">
        <v>3927</v>
      </c>
      <c r="C48" s="2016" t="s">
        <v>3928</v>
      </c>
      <c r="D48" s="2016" t="s">
        <v>3948</v>
      </c>
      <c r="E48" s="2016" t="s">
        <v>3949</v>
      </c>
      <c r="F48" s="2016" t="s">
        <v>1489</v>
      </c>
      <c r="G48" s="2016" t="s">
        <v>3938</v>
      </c>
      <c r="H48" s="2016" t="s">
        <v>3939</v>
      </c>
      <c r="I48" s="2016" t="s">
        <v>3940</v>
      </c>
      <c r="K48" s="2016" t="s">
        <v>3938</v>
      </c>
      <c r="L48" s="2016" t="s">
        <v>3939</v>
      </c>
      <c r="M48" s="2016" t="s">
        <v>3940</v>
      </c>
    </row>
    <row r="49" spans="2:13">
      <c r="B49" s="1578" t="s">
        <v>3930</v>
      </c>
      <c r="C49" s="1984" t="s">
        <v>3624</v>
      </c>
      <c r="D49" s="2017">
        <f>'Sch.D-Revenue'!C242*1000</f>
        <v>757131.68970521365</v>
      </c>
      <c r="E49" s="2017">
        <f>'Sch.D-Revenue'!G242*1000</f>
        <v>539392.54052884842</v>
      </c>
      <c r="F49" s="2017">
        <f>'Sch.D-Revenue'!E236</f>
        <v>225</v>
      </c>
      <c r="G49" s="1621">
        <f>'Sch.D-Revenue'!M236</f>
        <v>2805.75</v>
      </c>
      <c r="H49" s="1626">
        <f t="shared" ref="H49:H62" si="20">I49-G49</f>
        <v>3771.5628265642563</v>
      </c>
      <c r="I49" s="1626">
        <f>'Sch.D-Revenue'!M242</f>
        <v>6577.3128265642563</v>
      </c>
      <c r="K49" s="1621">
        <f ca="1">F49*'wp - t-1 COSS'!F13</f>
        <v>3494.25</v>
      </c>
      <c r="L49" s="1626">
        <f ca="1">(E49/1000)*'wp - t-1 COSS'!$S$39</f>
        <v>2058.8613271986142</v>
      </c>
      <c r="M49" s="1626">
        <f ca="1">K49+L49</f>
        <v>5553.1113271986142</v>
      </c>
    </row>
    <row r="50" spans="2:13">
      <c r="B50" s="1578" t="s">
        <v>3931</v>
      </c>
      <c r="C50" s="1984" t="s">
        <v>3624</v>
      </c>
      <c r="D50" s="2017">
        <f>'Sch.D-Revenue'!C252*1000</f>
        <v>114287.96036636985</v>
      </c>
      <c r="E50" s="2017">
        <f>'Sch.D-Revenue'!G252*1000</f>
        <v>78253.657352916824</v>
      </c>
      <c r="F50" s="2017">
        <f>'Sch.D-Revenue'!E246</f>
        <v>46</v>
      </c>
      <c r="G50" s="1621">
        <f>'Sch.D-Revenue'!M246</f>
        <v>573.62</v>
      </c>
      <c r="H50" s="1626">
        <f t="shared" si="20"/>
        <v>551.80521556151632</v>
      </c>
      <c r="I50" s="1626">
        <f>'Sch.D-Revenue'!M252</f>
        <v>1125.4252155615163</v>
      </c>
      <c r="K50" s="1621">
        <f ca="1">F50*'wp - t-1 COSS'!F13</f>
        <v>714.38</v>
      </c>
      <c r="L50" s="1626">
        <f ca="1">(E50/1000)*'wp - t-1 COSS'!$S$39</f>
        <v>298.69421011608353</v>
      </c>
      <c r="M50" s="1626">
        <f t="shared" ref="M50:M62" ca="1" si="21">K50+L50</f>
        <v>1013.0742101160836</v>
      </c>
    </row>
    <row r="51" spans="2:13">
      <c r="B51" s="1578" t="s">
        <v>3932</v>
      </c>
      <c r="C51" s="1984" t="s">
        <v>3624</v>
      </c>
      <c r="D51" s="2017">
        <f>'Sch.D-Revenue'!C262*1000</f>
        <v>62293.832208752785</v>
      </c>
      <c r="E51" s="2017">
        <f>'Sch.D-Revenue'!G262*1000</f>
        <v>41241.811141426471</v>
      </c>
      <c r="F51" s="2017">
        <f>'Sch.D-Revenue'!E256</f>
        <v>24</v>
      </c>
      <c r="G51" s="1621">
        <f>'Sch.D-Revenue'!M256</f>
        <v>299.28000000000003</v>
      </c>
      <c r="H51" s="1626">
        <f t="shared" si="20"/>
        <v>286.62757213639935</v>
      </c>
      <c r="I51" s="1626">
        <f>'Sch.D-Revenue'!M262</f>
        <v>585.90757213639938</v>
      </c>
      <c r="K51" s="1621">
        <f ca="1">F51*'wp - t-1 COSS'!F13</f>
        <v>372.71999999999997</v>
      </c>
      <c r="L51" s="1626">
        <f ca="1">(E51/1000)*'wp - t-1 COSS'!$S$39</f>
        <v>157.41999312682486</v>
      </c>
      <c r="M51" s="1626">
        <f t="shared" ca="1" si="21"/>
        <v>530.13999312682483</v>
      </c>
    </row>
    <row r="52" spans="2:13">
      <c r="B52" s="1578" t="s">
        <v>3930</v>
      </c>
      <c r="C52" s="1984" t="s">
        <v>3626</v>
      </c>
      <c r="D52" s="2017">
        <f>'Sch.D-Revenue'!C272*1000</f>
        <v>17399962.598518681</v>
      </c>
      <c r="E52" s="2017">
        <f>'Sch.D-Revenue'!G272*1000</f>
        <v>12302274.758398427</v>
      </c>
      <c r="F52" s="2017">
        <f>'Sch.D-Revenue'!E266</f>
        <v>5588</v>
      </c>
      <c r="G52" s="1621">
        <f>'Sch.D-Revenue'!M266</f>
        <v>69682.36</v>
      </c>
      <c r="H52" s="1626">
        <f t="shared" si="20"/>
        <v>86356.982768516158</v>
      </c>
      <c r="I52" s="1626">
        <f>'Sch.D-Revenue'!M272</f>
        <v>156039.34276851616</v>
      </c>
      <c r="K52" s="1621">
        <f ca="1">F52*'wp - t-1 COSS'!F14</f>
        <v>86781.64</v>
      </c>
      <c r="L52" s="1626">
        <f ca="1">(E52/1000)*'wp - t-1 COSS'!$S$39</f>
        <v>46957.782752806801</v>
      </c>
      <c r="M52" s="1626">
        <f t="shared" ca="1" si="21"/>
        <v>133739.4227528068</v>
      </c>
    </row>
    <row r="53" spans="2:13">
      <c r="B53" s="1578" t="s">
        <v>3931</v>
      </c>
      <c r="C53" s="1984" t="s">
        <v>3626</v>
      </c>
      <c r="D53" s="2017">
        <f>'Sch.D-Revenue'!C282*1000</f>
        <v>2554216.4039310454</v>
      </c>
      <c r="E53" s="2017">
        <f>'Sch.D-Revenue'!G282*1000</f>
        <v>2134519.6286254516</v>
      </c>
      <c r="F53" s="2017">
        <f>'Sch.D-Revenue'!E276</f>
        <v>663</v>
      </c>
      <c r="G53" s="1621">
        <f>'Sch.D-Revenue'!M276</f>
        <v>8267.61</v>
      </c>
      <c r="H53" s="1626">
        <f t="shared" si="20"/>
        <v>13985.017620642106</v>
      </c>
      <c r="I53" s="1626">
        <f>'Sch.D-Revenue'!M282</f>
        <v>22252.627620642106</v>
      </c>
      <c r="K53" s="1621">
        <f ca="1">F53*'wp - t-1 COSS'!F14</f>
        <v>10296.39</v>
      </c>
      <c r="L53" s="1626">
        <f ca="1">(E53/1000)*'wp - t-1 COSS'!$S$39</f>
        <v>8147.4614224633497</v>
      </c>
      <c r="M53" s="1626">
        <f t="shared" ca="1" si="21"/>
        <v>18443.851422463347</v>
      </c>
    </row>
    <row r="54" spans="2:13">
      <c r="B54" s="1578" t="s">
        <v>3932</v>
      </c>
      <c r="C54" s="1984" t="s">
        <v>3626</v>
      </c>
      <c r="D54" s="2017">
        <f>'Sch.D-Revenue'!C292*1000</f>
        <v>615388.74175600684</v>
      </c>
      <c r="E54" s="2017">
        <f>'Sch.D-Revenue'!G292*1000</f>
        <v>533907.67544469319</v>
      </c>
      <c r="F54" s="2017">
        <f>'Sch.D-Revenue'!E286</f>
        <v>108</v>
      </c>
      <c r="G54" s="1621">
        <f>'Sch.D-Revenue'!M286</f>
        <v>1346.76</v>
      </c>
      <c r="H54" s="1626">
        <f t="shared" si="20"/>
        <v>3521.9478641265769</v>
      </c>
      <c r="I54" s="1626">
        <f>'Sch.D-Revenue'!M292</f>
        <v>4868.7078641265771</v>
      </c>
      <c r="K54" s="1621">
        <f ca="1">F54*'wp - t-1 COSS'!F14</f>
        <v>1677.24</v>
      </c>
      <c r="L54" s="1626">
        <f ca="1">(E54/1000)*'wp - t-1 COSS'!$S$39</f>
        <v>2037.925597172394</v>
      </c>
      <c r="M54" s="1626">
        <f t="shared" ca="1" si="21"/>
        <v>3715.165597172394</v>
      </c>
    </row>
    <row r="55" spans="2:13">
      <c r="B55" s="1578" t="s">
        <v>3931</v>
      </c>
      <c r="C55" s="1984" t="s">
        <v>3628</v>
      </c>
      <c r="D55" s="2017">
        <f>'Sch.D-Revenue'!C302*1000</f>
        <v>267544.29892374045</v>
      </c>
      <c r="E55" s="2017">
        <f>'Sch.D-Revenue'!G302*1000</f>
        <v>151150.28594596792</v>
      </c>
      <c r="F55" s="2017">
        <f>'Sch.D-Revenue'!E296</f>
        <v>36</v>
      </c>
      <c r="G55" s="1621">
        <f>'Sch.D-Revenue'!M296</f>
        <v>1542.2400000000002</v>
      </c>
      <c r="H55" s="1626">
        <f t="shared" si="20"/>
        <v>981.9127426740929</v>
      </c>
      <c r="I55" s="1626">
        <f>'Sch.D-Revenue'!M302</f>
        <v>2524.1527426740931</v>
      </c>
      <c r="K55" s="1621">
        <f ca="1">F55*'wp - t-1 COSS'!F15</f>
        <v>1448.28</v>
      </c>
      <c r="L55" s="1626">
        <f ca="1">(E55/1000)*'wp - t-1 COSS'!$S$39</f>
        <v>576.94064145575953</v>
      </c>
      <c r="M55" s="1626">
        <f t="shared" ca="1" si="21"/>
        <v>2025.2206414557595</v>
      </c>
    </row>
    <row r="56" spans="2:13">
      <c r="B56" s="1578" t="s">
        <v>3932</v>
      </c>
      <c r="C56" s="1984" t="s">
        <v>3628</v>
      </c>
      <c r="D56" s="2017">
        <f>'Sch.D-Revenue'!C312*1000</f>
        <v>159553.93554299846</v>
      </c>
      <c r="E56" s="2017">
        <f>'Sch.D-Revenue'!G312*1000</f>
        <v>49401.71130429297</v>
      </c>
      <c r="F56" s="2017">
        <f>'Sch.D-Revenue'!E306</f>
        <v>48</v>
      </c>
      <c r="G56" s="1621">
        <f>'Sch.D-Revenue'!M306</f>
        <v>2056.3200000000002</v>
      </c>
      <c r="H56" s="1626">
        <f t="shared" si="20"/>
        <v>345.62221545130751</v>
      </c>
      <c r="I56" s="1626">
        <f>'Sch.D-Revenue'!M312</f>
        <v>2401.9422154513077</v>
      </c>
      <c r="K56" s="1621">
        <f ca="1">F56*'wp - t-1 COSS'!F15</f>
        <v>1931.04</v>
      </c>
      <c r="L56" s="1626">
        <f ca="1">(E56/1000)*'wp - t-1 COSS'!$S$39</f>
        <v>188.56633204848629</v>
      </c>
      <c r="M56" s="1626">
        <f t="shared" ca="1" si="21"/>
        <v>2119.6063320484864</v>
      </c>
    </row>
    <row r="57" spans="2:13">
      <c r="B57" s="1578" t="s">
        <v>3934</v>
      </c>
      <c r="C57" s="1984" t="s">
        <v>3628</v>
      </c>
      <c r="D57" s="2017">
        <f>'Sch.D-Revenue'!C322*1000</f>
        <v>1340866.8423694721</v>
      </c>
      <c r="E57" s="2017">
        <f>'Sch.D-Revenue'!G322*1000</f>
        <v>837081.65477314463</v>
      </c>
      <c r="F57" s="2017">
        <f>'Sch.D-Revenue'!E316</f>
        <v>84</v>
      </c>
      <c r="G57" s="1621">
        <f>'Sch.D-Revenue'!M316</f>
        <v>3598.5600000000004</v>
      </c>
      <c r="H57" s="1626">
        <f t="shared" si="20"/>
        <v>5582.0756890474395</v>
      </c>
      <c r="I57" s="1626">
        <f>'Sch.D-Revenue'!M322</f>
        <v>9180.6356890474399</v>
      </c>
      <c r="K57" s="1621">
        <f ca="1">F57*'wp - t-1 COSS'!F15</f>
        <v>3379.3199999999997</v>
      </c>
      <c r="L57" s="1626">
        <f ca="1">(E57/1000)*'wp - t-1 COSS'!$S$39</f>
        <v>3195.1406762690931</v>
      </c>
      <c r="M57" s="1626">
        <f t="shared" ca="1" si="21"/>
        <v>6574.4606762690928</v>
      </c>
    </row>
    <row r="58" spans="2:13">
      <c r="B58" s="1578" t="s">
        <v>3931</v>
      </c>
      <c r="C58" s="1984" t="s">
        <v>3630</v>
      </c>
      <c r="D58" s="2017">
        <f>'Sch.D-Revenue'!C331*1000</f>
        <v>1570206.1037674875</v>
      </c>
      <c r="E58" s="2017">
        <f>'Sch.D-Revenue'!G331*1000</f>
        <v>1268974.5584266791</v>
      </c>
      <c r="F58" s="2017">
        <f>'Sch.D-Revenue'!E326</f>
        <v>24</v>
      </c>
      <c r="G58" s="1621">
        <f>'Sch.D-Revenue'!M326</f>
        <v>2011.44</v>
      </c>
      <c r="H58" s="1626">
        <f t="shared" si="20"/>
        <v>6885.4689028574394</v>
      </c>
      <c r="I58" s="1626">
        <f>'Sch.D-Revenue'!M331</f>
        <v>8896.9089028574399</v>
      </c>
      <c r="K58" s="1621">
        <f ca="1">F58*'wp - t-1 COSS'!F16</f>
        <v>1953.84</v>
      </c>
      <c r="L58" s="1626">
        <f ca="1">(E58/1000)*'wp - t-1 COSS'!$S$39</f>
        <v>4843.675889514634</v>
      </c>
      <c r="M58" s="1626">
        <f t="shared" ca="1" si="21"/>
        <v>6797.5158895146342</v>
      </c>
    </row>
    <row r="59" spans="2:13">
      <c r="B59" s="1578" t="s">
        <v>3932</v>
      </c>
      <c r="C59" s="1984" t="s">
        <v>3630</v>
      </c>
      <c r="D59" s="2017">
        <f>'Sch.D-Revenue'!C340*1000</f>
        <v>2177019.6292205974</v>
      </c>
      <c r="E59" s="2017">
        <f>'Sch.D-Revenue'!G340*1000</f>
        <v>1845919.426049218</v>
      </c>
      <c r="F59" s="2017">
        <f>'Sch.D-Revenue'!E335</f>
        <v>35</v>
      </c>
      <c r="G59" s="1621">
        <f>'Sch.D-Revenue'!M335</f>
        <v>2933.35</v>
      </c>
      <c r="H59" s="1626">
        <f t="shared" si="20"/>
        <v>10155.909575038004</v>
      </c>
      <c r="I59" s="1626">
        <f>'Sch.D-Revenue'!M340</f>
        <v>13089.259575038004</v>
      </c>
      <c r="K59" s="1621">
        <f ca="1">F59*'wp - t-1 COSS'!F16</f>
        <v>2849.35</v>
      </c>
      <c r="L59" s="1626">
        <f ca="1">(E59/1000)*'wp - t-1 COSS'!$S$39</f>
        <v>7045.8744492298656</v>
      </c>
      <c r="M59" s="1626">
        <f t="shared" ca="1" si="21"/>
        <v>9895.2244492298651</v>
      </c>
    </row>
    <row r="60" spans="2:13">
      <c r="B60" s="1578" t="s">
        <v>3931</v>
      </c>
      <c r="C60" s="1984" t="s">
        <v>3631</v>
      </c>
      <c r="D60" s="2017">
        <f>'Sch.D-Revenue'!C358*1000</f>
        <v>1613891.6221152614</v>
      </c>
      <c r="E60" s="2017">
        <f>'Sch.D-Revenue'!G358*1000</f>
        <v>1357091.6221152616</v>
      </c>
      <c r="F60" s="2017">
        <f>'Sch.D-Revenue'!E353</f>
        <v>12</v>
      </c>
      <c r="G60" s="1621">
        <f>'Sch.D-Revenue'!M353</f>
        <v>1503.6</v>
      </c>
      <c r="H60" s="1626">
        <f t="shared" si="20"/>
        <v>7092.5596292878981</v>
      </c>
      <c r="I60" s="1626">
        <f>'Sch.D-Revenue'!M358</f>
        <v>8596.1596292878985</v>
      </c>
      <c r="K60" s="1621">
        <f ca="1">F60*'wp - t-1 COSS'!F17</f>
        <v>1569.96</v>
      </c>
      <c r="L60" s="1626">
        <f ca="1">(E60/1000)*'wp - t-1 COSS'!$S$39</f>
        <v>5180.0187216139539</v>
      </c>
      <c r="M60" s="1626">
        <f t="shared" ca="1" si="21"/>
        <v>6749.9787216139539</v>
      </c>
    </row>
    <row r="61" spans="2:13">
      <c r="B61" s="1578" t="s">
        <v>3932</v>
      </c>
      <c r="C61" s="1984" t="s">
        <v>3631</v>
      </c>
      <c r="D61" s="2017">
        <f>'Sch.D-Revenue'!C367*1000</f>
        <v>1175728.6235025681</v>
      </c>
      <c r="E61" s="2017">
        <f>'Sch.D-Revenue'!G367*1000</f>
        <v>865842.57602352847</v>
      </c>
      <c r="F61" s="2017">
        <f>'Sch.D-Revenue'!E362</f>
        <v>36</v>
      </c>
      <c r="G61" s="1621">
        <f>'Sch.D-Revenue'!M362</f>
        <v>4510.8</v>
      </c>
      <c r="H61" s="1626">
        <f t="shared" si="20"/>
        <v>4712.4081627850492</v>
      </c>
      <c r="I61" s="1626">
        <f>'Sch.D-Revenue'!M367</f>
        <v>9223.2081627850494</v>
      </c>
      <c r="K61" s="1621">
        <f ca="1">F61*'wp - t-1 COSS'!F17</f>
        <v>4709.88</v>
      </c>
      <c r="L61" s="1626">
        <f ca="1">(E61/1000)*'wp - t-1 COSS'!$S$39</f>
        <v>3304.9211126818086</v>
      </c>
      <c r="M61" s="1626">
        <f t="shared" ca="1" si="21"/>
        <v>8014.8011126818092</v>
      </c>
    </row>
    <row r="62" spans="2:13">
      <c r="B62" s="1578" t="s">
        <v>3934</v>
      </c>
      <c r="C62" s="1984" t="s">
        <v>3631</v>
      </c>
      <c r="D62" s="2017">
        <f>'Sch.D-Revenue'!C376*1000</f>
        <v>293250.16181169916</v>
      </c>
      <c r="E62" s="2017">
        <f>'Sch.D-Revenue'!G376*1000</f>
        <v>43342.100868977315</v>
      </c>
      <c r="F62" s="2017">
        <f>'Sch.D-Revenue'!E371</f>
        <v>12</v>
      </c>
      <c r="G62" s="1621">
        <f>'Sch.D-Revenue'!M371</f>
        <v>1503.6</v>
      </c>
      <c r="H62" s="1626">
        <f t="shared" si="20"/>
        <v>270.80497897982696</v>
      </c>
      <c r="I62" s="1626">
        <f>'Sch.D-Revenue'!M376</f>
        <v>1774.4049789798269</v>
      </c>
      <c r="K62" s="1621">
        <f ca="1">F62*'wp - t-1 COSS'!F17</f>
        <v>1569.96</v>
      </c>
      <c r="L62" s="1626">
        <f ca="1">(E62/1000)*'wp - t-1 COSS'!$S$39</f>
        <v>165.4367990168864</v>
      </c>
      <c r="M62" s="1626">
        <f t="shared" ca="1" si="21"/>
        <v>1735.3967990168865</v>
      </c>
    </row>
    <row r="63" spans="2:13" ht="14.25" thickBot="1">
      <c r="C63" s="1984"/>
      <c r="D63" s="2018">
        <f t="shared" ref="D63:I63" si="22">SUM(D49:D62)</f>
        <v>30101342.443739891</v>
      </c>
      <c r="E63" s="2018">
        <f t="shared" si="22"/>
        <v>22048394.006998833</v>
      </c>
      <c r="F63" s="2018">
        <f t="shared" si="22"/>
        <v>6941</v>
      </c>
      <c r="G63" s="1622">
        <f t="shared" si="22"/>
        <v>102635.29000000002</v>
      </c>
      <c r="H63" s="1622">
        <f t="shared" si="22"/>
        <v>144500.70576366805</v>
      </c>
      <c r="I63" s="1622">
        <f t="shared" si="22"/>
        <v>247135.99576366803</v>
      </c>
      <c r="K63" s="1622">
        <f ca="1">SUM(K49:K62)</f>
        <v>122748.25000000003</v>
      </c>
      <c r="L63" s="1622">
        <f ca="1">SUM(L49:L62)</f>
        <v>84158.719924714562</v>
      </c>
      <c r="M63" s="1622">
        <f ca="1">SUM(M49:M62)</f>
        <v>206906.96992471456</v>
      </c>
    </row>
    <row r="64" spans="2:13" ht="14.25" thickTop="1"/>
    <row r="66" spans="1:8" ht="16.5">
      <c r="A66" s="2069"/>
    </row>
    <row r="68" spans="1:8" ht="15">
      <c r="A68" s="1631"/>
    </row>
    <row r="69" spans="1:8" ht="15">
      <c r="B69" s="2016"/>
    </row>
    <row r="70" spans="1:8">
      <c r="B70" s="1984"/>
      <c r="C70" s="1760"/>
    </row>
    <row r="71" spans="1:8" ht="15">
      <c r="A71" s="1631"/>
      <c r="B71" s="1984"/>
      <c r="C71" s="1760"/>
    </row>
    <row r="72" spans="1:8" ht="15">
      <c r="B72" s="1577"/>
      <c r="C72" s="1615"/>
      <c r="D72" s="1615"/>
      <c r="E72" s="1615"/>
      <c r="F72" s="1615"/>
      <c r="G72" s="1615"/>
      <c r="H72" s="1615"/>
    </row>
    <row r="73" spans="1:8">
      <c r="B73" s="2020"/>
      <c r="C73" s="1984"/>
    </row>
    <row r="74" spans="1:8">
      <c r="B74" s="2020"/>
      <c r="C74" s="1984"/>
    </row>
    <row r="75" spans="1:8">
      <c r="B75" s="2020"/>
      <c r="C75" s="1984"/>
    </row>
    <row r="76" spans="1:8">
      <c r="B76" s="2020"/>
      <c r="C76" s="1984"/>
    </row>
    <row r="77" spans="1:8">
      <c r="B77" s="1625"/>
      <c r="C77" s="1984"/>
    </row>
    <row r="78" spans="1:8">
      <c r="C78" s="1984"/>
    </row>
    <row r="79" spans="1:8">
      <c r="C79" s="1984"/>
    </row>
    <row r="80" spans="1:8">
      <c r="C80" s="1984"/>
    </row>
    <row r="81" spans="3:3">
      <c r="C81" s="1984"/>
    </row>
    <row r="82" spans="3:3">
      <c r="C82" s="1984"/>
    </row>
    <row r="83" spans="3:3">
      <c r="C83" s="1984"/>
    </row>
    <row r="84" spans="3:3">
      <c r="C84" s="1984"/>
    </row>
    <row r="85" spans="3:3">
      <c r="C85" s="1984"/>
    </row>
    <row r="86" spans="3:3">
      <c r="C86" s="1984"/>
    </row>
    <row r="87" spans="3:3">
      <c r="C87" s="1984"/>
    </row>
    <row r="88" spans="3:3">
      <c r="C88" s="1984"/>
    </row>
    <row r="89" spans="3:3">
      <c r="C89" s="1984"/>
    </row>
    <row r="90" spans="3:3">
      <c r="C90" s="1984"/>
    </row>
    <row r="91" spans="3:3">
      <c r="C91" s="1984"/>
    </row>
    <row r="92" spans="3:3">
      <c r="C92" s="1984"/>
    </row>
    <row r="93" spans="3:3">
      <c r="C93" s="1984"/>
    </row>
    <row r="94" spans="3:3">
      <c r="C94" s="1984"/>
    </row>
    <row r="95" spans="3:3">
      <c r="C95" s="1984"/>
    </row>
    <row r="96" spans="3:3">
      <c r="C96" s="1984"/>
    </row>
    <row r="97" spans="3:3">
      <c r="C97" s="1984"/>
    </row>
  </sheetData>
  <pageMargins left="0.7" right="0.7" top="0.75" bottom="0.75" header="0.3" footer="0.3"/>
  <pageSetup scale="54" orientation="portrait" r:id="rId1"/>
  <colBreaks count="1" manualBreakCount="1">
    <brk id="14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view="pageBreakPreview" zoomScaleNormal="100" zoomScaleSheetLayoutView="100" workbookViewId="0"/>
  </sheetViews>
  <sheetFormatPr defaultRowHeight="12.75"/>
  <cols>
    <col min="1" max="1" width="9" style="636"/>
    <col min="2" max="2" width="2.375" style="636" customWidth="1"/>
    <col min="3" max="3" width="32" style="636" customWidth="1"/>
    <col min="4" max="4" width="3.25" style="636" customWidth="1"/>
    <col min="5" max="5" width="12" style="636" bestFit="1" customWidth="1"/>
    <col min="6" max="6" width="2.5" style="636" customWidth="1"/>
    <col min="7" max="7" width="12.25" style="636" bestFit="1" customWidth="1"/>
    <col min="8" max="8" width="19.875" style="636" bestFit="1" customWidth="1"/>
    <col min="9" max="9" width="11.875" style="636" bestFit="1" customWidth="1"/>
    <col min="10" max="10" width="20.75" style="636" bestFit="1" customWidth="1"/>
    <col min="11" max="11" width="9" style="636"/>
    <col min="12" max="12" width="15.125" style="636" bestFit="1" customWidth="1"/>
    <col min="13" max="16384" width="9" style="636"/>
  </cols>
  <sheetData>
    <row r="1" spans="1:8">
      <c r="A1" s="1415" t="str">
        <f>Company_Name</f>
        <v>WATER SERVICE CORPORATION OF KENTUCKY</v>
      </c>
      <c r="B1" s="1415"/>
      <c r="D1" s="1415"/>
      <c r="F1" s="2104" t="s">
        <v>83</v>
      </c>
    </row>
    <row r="2" spans="1:8">
      <c r="A2" s="1415" t="str">
        <f>Docket</f>
        <v>Case No. 2015 - 00382</v>
      </c>
      <c r="B2" s="1415"/>
      <c r="D2" s="1415"/>
    </row>
    <row r="3" spans="1:8">
      <c r="A3" s="1016" t="s">
        <v>1764</v>
      </c>
      <c r="B3" s="1016"/>
      <c r="D3" s="1016"/>
    </row>
    <row r="4" spans="1:8">
      <c r="A4" s="1416" t="str">
        <f>TestYearEnded</f>
        <v>Test Year Ended 6/30/2015</v>
      </c>
      <c r="B4" s="1416"/>
      <c r="D4" s="1416"/>
      <c r="E4" s="1411"/>
      <c r="F4" s="1411"/>
      <c r="G4" s="1411"/>
      <c r="H4" s="1411"/>
    </row>
    <row r="5" spans="1:8">
      <c r="C5" s="1416"/>
      <c r="D5" s="1416"/>
      <c r="E5" s="1411"/>
      <c r="F5" s="1411"/>
      <c r="G5" s="1411"/>
      <c r="H5" s="1411"/>
    </row>
    <row r="6" spans="1:8" s="884" customFormat="1">
      <c r="C6" s="1488" t="s">
        <v>235</v>
      </c>
      <c r="D6" s="1488"/>
      <c r="E6" s="1488" t="s">
        <v>236</v>
      </c>
      <c r="F6" s="1488"/>
      <c r="G6" s="1488"/>
      <c r="H6" s="1488"/>
    </row>
    <row r="7" spans="1:8">
      <c r="C7" s="1416"/>
      <c r="D7" s="1416"/>
      <c r="E7" s="1411"/>
      <c r="F7" s="1411"/>
      <c r="G7" s="1411"/>
      <c r="H7" s="1411"/>
    </row>
    <row r="8" spans="1:8">
      <c r="C8" s="1411"/>
      <c r="D8" s="1411"/>
      <c r="E8" s="1412" t="s">
        <v>1454</v>
      </c>
      <c r="F8" s="1411"/>
      <c r="G8" s="1411"/>
    </row>
    <row r="9" spans="1:8">
      <c r="C9" s="1411"/>
      <c r="D9" s="1411"/>
      <c r="E9" s="1412" t="s">
        <v>667</v>
      </c>
      <c r="F9" s="1411"/>
      <c r="G9" s="1411"/>
    </row>
    <row r="10" spans="1:8">
      <c r="A10" s="1496" t="s">
        <v>1786</v>
      </c>
      <c r="C10" s="1496" t="s">
        <v>1455</v>
      </c>
      <c r="D10" s="1497"/>
      <c r="E10" s="1412" t="s">
        <v>81</v>
      </c>
      <c r="F10" s="1411"/>
      <c r="G10" s="1411"/>
    </row>
    <row r="11" spans="1:8">
      <c r="C11" s="1411"/>
      <c r="D11" s="1411"/>
      <c r="E11" s="1413" t="s">
        <v>1456</v>
      </c>
      <c r="F11" s="1411"/>
      <c r="G11" s="1411"/>
    </row>
    <row r="12" spans="1:8">
      <c r="A12" s="884">
        <v>1</v>
      </c>
      <c r="C12" s="636" t="s">
        <v>455</v>
      </c>
      <c r="E12" s="1568">
        <f ca="1">'Sch.B-I.S'!J54</f>
        <v>2017180.3253006199</v>
      </c>
    </row>
    <row r="13" spans="1:8">
      <c r="A13" s="884">
        <v>2</v>
      </c>
      <c r="C13" s="636" t="s">
        <v>2322</v>
      </c>
      <c r="E13" s="1572">
        <f ca="1">-'Sch.B-I.S'!J48-'Sch.B-I.S'!J49</f>
        <v>23495.455283008021</v>
      </c>
    </row>
    <row r="14" spans="1:8">
      <c r="A14" s="884">
        <v>3</v>
      </c>
    </row>
    <row r="15" spans="1:8">
      <c r="A15" s="884">
        <v>4</v>
      </c>
      <c r="C15" s="636" t="s">
        <v>2326</v>
      </c>
      <c r="E15" s="1570">
        <f ca="1">E12+E13</f>
        <v>2040675.780583628</v>
      </c>
    </row>
    <row r="16" spans="1:8">
      <c r="A16" s="884">
        <v>5</v>
      </c>
      <c r="C16" s="636" t="s">
        <v>2323</v>
      </c>
      <c r="E16" s="1571">
        <v>0.88</v>
      </c>
    </row>
    <row r="17" spans="1:5">
      <c r="A17" s="884">
        <v>6</v>
      </c>
    </row>
    <row r="18" spans="1:5">
      <c r="A18" s="884">
        <v>7</v>
      </c>
      <c r="C18" s="636" t="s">
        <v>2324</v>
      </c>
      <c r="E18" s="1570">
        <f ca="1">E15/E16</f>
        <v>2318949.7506632134</v>
      </c>
    </row>
    <row r="19" spans="1:5">
      <c r="A19" s="884">
        <v>8</v>
      </c>
      <c r="C19" s="636" t="s">
        <v>2325</v>
      </c>
      <c r="E19" s="1573">
        <f ca="1">-E15</f>
        <v>-2040675.780583628</v>
      </c>
    </row>
    <row r="20" spans="1:5">
      <c r="A20" s="884">
        <v>9</v>
      </c>
    </row>
    <row r="21" spans="1:5">
      <c r="A21" s="884">
        <v>10</v>
      </c>
      <c r="C21" s="636" t="s">
        <v>2327</v>
      </c>
      <c r="E21" s="1570">
        <f ca="1">E18+E19</f>
        <v>278273.97007958544</v>
      </c>
    </row>
    <row r="22" spans="1:5">
      <c r="A22" s="884">
        <v>11</v>
      </c>
      <c r="C22" s="636" t="s">
        <v>2332</v>
      </c>
      <c r="E22" s="1572">
        <f ca="1">-'Sch.B-I.S'!J62</f>
        <v>35603.375598564133</v>
      </c>
    </row>
    <row r="23" spans="1:5">
      <c r="A23" s="884">
        <v>12</v>
      </c>
    </row>
    <row r="24" spans="1:5">
      <c r="A24" s="884">
        <v>13</v>
      </c>
      <c r="C24" s="636" t="s">
        <v>2328</v>
      </c>
      <c r="E24" s="1570">
        <f ca="1">E21+E22</f>
        <v>313877.34567814961</v>
      </c>
    </row>
    <row r="25" spans="1:5">
      <c r="A25" s="884">
        <v>14</v>
      </c>
      <c r="C25" s="636" t="s">
        <v>2329</v>
      </c>
      <c r="E25" s="1569">
        <f>'Input Schedule'!C31</f>
        <v>1.6471057638178637</v>
      </c>
    </row>
    <row r="26" spans="1:5">
      <c r="A26" s="884">
        <v>15</v>
      </c>
    </row>
    <row r="27" spans="1:5" ht="13.5" thickBot="1">
      <c r="A27" s="884">
        <v>16</v>
      </c>
      <c r="C27" s="636" t="s">
        <v>2330</v>
      </c>
      <c r="E27" s="1574">
        <f ca="1">E24*E25</f>
        <v>516989.18519833224</v>
      </c>
    </row>
    <row r="28" spans="1:5" ht="13.5" thickTop="1">
      <c r="A28" s="884">
        <v>17</v>
      </c>
    </row>
    <row r="29" spans="1:5" ht="13.5" thickBot="1">
      <c r="A29" s="884">
        <v>18</v>
      </c>
      <c r="C29" s="636" t="s">
        <v>2331</v>
      </c>
      <c r="E29" s="1575">
        <f ca="1">E27/'Sch.B-I.S'!J11</f>
        <v>0.24615466546056028</v>
      </c>
    </row>
    <row r="30" spans="1:5" ht="13.5" thickTop="1"/>
  </sheetData>
  <pageMargins left="0.7" right="0.7" top="0.75" bottom="0.75" header="0.3" footer="0.3"/>
  <pageSetup scale="7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view="pageBreakPreview" zoomScaleNormal="100" zoomScaleSheetLayoutView="100" workbookViewId="0"/>
  </sheetViews>
  <sheetFormatPr defaultRowHeight="12.75"/>
  <cols>
    <col min="1" max="1" width="7.625" style="636" customWidth="1"/>
    <col min="2" max="2" width="25" style="636" bestFit="1" customWidth="1"/>
    <col min="3" max="3" width="10" style="887" bestFit="1" customWidth="1"/>
    <col min="4" max="4" width="6.125" style="636" bestFit="1" customWidth="1"/>
    <col min="5" max="5" width="12" style="636" bestFit="1" customWidth="1"/>
    <col min="6" max="16384" width="9" style="636"/>
  </cols>
  <sheetData>
    <row r="1" spans="1:5">
      <c r="A1" s="1428" t="str">
        <f>Company_Name</f>
        <v>WATER SERVICE CORPORATION OF KENTUCKY</v>
      </c>
    </row>
    <row r="2" spans="1:5">
      <c r="A2" s="1428" t="str">
        <f>Docket</f>
        <v>Case No. 2015 - 00382</v>
      </c>
    </row>
    <row r="3" spans="1:5">
      <c r="A3" s="1428" t="s">
        <v>1973</v>
      </c>
    </row>
    <row r="4" spans="1:5">
      <c r="A4" s="1428" t="str">
        <f>TestYearEnded</f>
        <v>Test Year Ended 6/30/2015</v>
      </c>
    </row>
    <row r="6" spans="1:5" s="884" customFormat="1">
      <c r="B6" s="884" t="s">
        <v>235</v>
      </c>
      <c r="C6" s="1528" t="s">
        <v>236</v>
      </c>
      <c r="D6" s="884" t="s">
        <v>237</v>
      </c>
      <c r="E6" s="884" t="s">
        <v>238</v>
      </c>
    </row>
    <row r="8" spans="1:5">
      <c r="A8" s="1526" t="s">
        <v>1786</v>
      </c>
      <c r="B8" s="1430" t="s">
        <v>2303</v>
      </c>
      <c r="C8" s="1526" t="s">
        <v>240</v>
      </c>
      <c r="D8" s="1527" t="s">
        <v>241</v>
      </c>
      <c r="E8" s="1431" t="s">
        <v>1973</v>
      </c>
    </row>
    <row r="9" spans="1:5">
      <c r="A9" s="884">
        <v>1</v>
      </c>
      <c r="B9" s="1608" t="s">
        <v>56</v>
      </c>
      <c r="C9" s="1605"/>
      <c r="D9" s="1606"/>
      <c r="E9" s="1607"/>
    </row>
    <row r="10" spans="1:5">
      <c r="A10" s="884">
        <v>2</v>
      </c>
      <c r="B10" s="1609" t="s">
        <v>2403</v>
      </c>
      <c r="C10" s="887">
        <f>SUM('Sch.D-2-Revenue'!C19,'Sch.D-2-Revenue'!C29,'Sch.D-2-Revenue'!C39,'Sch.D-2-Revenue'!C49,'Sch.D-2-Revenue'!C59)*1000</f>
        <v>258039807</v>
      </c>
      <c r="D10" s="887">
        <f>SUM('Sch.D-2-Revenue'!E19,'Sch.D-2-Revenue'!E29,'Sch.D-2-Revenue'!E39,'Sch.D-2-Revenue'!E49,'Sch.D-2-Revenue'!E59)</f>
        <v>65968</v>
      </c>
      <c r="E10" s="1427">
        <f t="shared" ref="E10:E16" si="0">C10/D10</f>
        <v>3911.5905742178024</v>
      </c>
    </row>
    <row r="11" spans="1:5">
      <c r="A11" s="884">
        <v>3</v>
      </c>
      <c r="B11" s="883" t="s">
        <v>1487</v>
      </c>
      <c r="C11" s="887">
        <f>SUM('Sch.D-2-Revenue'!C69,'Sch.D-2-Revenue'!C79,'Sch.D-2-Revenue'!C89,'Sch.D-2-Revenue'!C99)*1000</f>
        <v>14851783</v>
      </c>
      <c r="D11" s="887">
        <f>SUM('Sch.D-2-Revenue'!E69,'Sch.D-2-Revenue'!E79,'Sch.D-2-Revenue'!E89,'Sch.D-2-Revenue'!E99)</f>
        <v>1136</v>
      </c>
      <c r="E11" s="1427">
        <f t="shared" si="0"/>
        <v>13073.75264084507</v>
      </c>
    </row>
    <row r="12" spans="1:5">
      <c r="A12" s="884">
        <v>4</v>
      </c>
      <c r="B12" s="883" t="s">
        <v>1495</v>
      </c>
      <c r="C12" s="887">
        <f>SUM('Sch.D-2-Revenue'!C109,'Sch.D-2-Revenue'!C118,'Sch.D-2-Revenue'!C127)*1000</f>
        <v>12349909</v>
      </c>
      <c r="D12" s="887">
        <f>SUM('Sch.D-2-Revenue'!E109,'Sch.D-2-Revenue'!E118,'Sch.D-2-Revenue'!E127)</f>
        <v>286</v>
      </c>
      <c r="E12" s="1427">
        <f t="shared" si="0"/>
        <v>43181.5</v>
      </c>
    </row>
    <row r="13" spans="1:5">
      <c r="A13" s="884">
        <v>5</v>
      </c>
      <c r="B13" s="883" t="s">
        <v>1496</v>
      </c>
      <c r="C13" s="887">
        <f>SUM('Sch.D-2-Revenue'!C136,'Sch.D-2-Revenue'!C145,'Sch.D-2-Revenue'!C154)*1000</f>
        <v>32591470</v>
      </c>
      <c r="D13" s="887">
        <f>SUM('Sch.D-2-Revenue'!E136,'Sch.D-2-Revenue'!E145,'Sch.D-2-Revenue'!E154)</f>
        <v>585</v>
      </c>
      <c r="E13" s="1427">
        <f t="shared" si="0"/>
        <v>55711.914529914531</v>
      </c>
    </row>
    <row r="14" spans="1:5">
      <c r="A14" s="884">
        <v>6</v>
      </c>
      <c r="B14" s="883" t="s">
        <v>1497</v>
      </c>
      <c r="C14" s="887">
        <f>SUM('Sch.D-2-Revenue'!C162,'Sch.D-2-Revenue'!C169,'Sch.D-2-Revenue'!C176)*1000</f>
        <v>18152410.000000004</v>
      </c>
      <c r="D14" s="887">
        <f>SUM('Sch.D-2-Revenue'!E162,'Sch.D-2-Revenue'!E169,'Sch.D-2-Revenue'!E176)</f>
        <v>96</v>
      </c>
      <c r="E14" s="1427">
        <f t="shared" si="0"/>
        <v>189087.60416666672</v>
      </c>
    </row>
    <row r="15" spans="1:5">
      <c r="A15" s="884">
        <v>7</v>
      </c>
      <c r="B15" s="883" t="s">
        <v>1498</v>
      </c>
      <c r="C15" s="887">
        <f>SUM('Sch.D-2-Revenue'!C182,'Sch.D-2-Revenue'!C188,'Sch.D-2-Revenue'!C194)*1000</f>
        <v>3766000</v>
      </c>
      <c r="D15" s="887">
        <f>SUM('Sch.D-2-Revenue'!E182,'Sch.D-2-Revenue'!E188,'Sch.D-2-Revenue'!E194)</f>
        <v>36</v>
      </c>
      <c r="E15" s="1427">
        <f t="shared" si="0"/>
        <v>104611.11111111111</v>
      </c>
    </row>
    <row r="16" spans="1:5">
      <c r="A16" s="884">
        <v>8</v>
      </c>
      <c r="B16" s="1429" t="s">
        <v>1499</v>
      </c>
      <c r="C16" s="887">
        <f>SUM('Sch.D-2-Revenue'!C200,'Sch.D-2-Revenue'!C206)*1000</f>
        <v>42011600</v>
      </c>
      <c r="D16" s="887">
        <f>SUM('Sch.D-2-Revenue'!E200,'Sch.D-2-Revenue'!E206)</f>
        <v>36</v>
      </c>
      <c r="E16" s="1427">
        <f t="shared" si="0"/>
        <v>1166988.888888889</v>
      </c>
    </row>
    <row r="17" spans="1:5">
      <c r="A17" s="884">
        <v>9</v>
      </c>
    </row>
    <row r="18" spans="1:5">
      <c r="A18" s="884">
        <v>10</v>
      </c>
      <c r="B18" s="1016" t="s">
        <v>57</v>
      </c>
    </row>
    <row r="19" spans="1:5">
      <c r="A19" s="884">
        <v>11</v>
      </c>
      <c r="B19" s="1609" t="s">
        <v>2403</v>
      </c>
      <c r="C19" s="887">
        <f>SUM('Sch.D-2-Revenue'!C245,'Sch.D-2-Revenue'!C255,'Sch.D-2-Revenue'!C265,'Sch.D-2-Revenue'!C275,'Sch.D-2-Revenue'!C285,'Sch.D-2-Revenue'!C295)*1000</f>
        <v>21430683</v>
      </c>
      <c r="D19" s="887">
        <f>SUM('Sch.D-2-Revenue'!E245,'Sch.D-2-Revenue'!E255,'Sch.D-2-Revenue'!E265,'Sch.D-2-Revenue'!E275,'Sch.D-2-Revenue'!E285,'Sch.D-2-Revenue'!E295)</f>
        <v>0</v>
      </c>
      <c r="E19" s="1427" t="e">
        <f t="shared" ref="E19:E22" si="1">C19/D19</f>
        <v>#DIV/0!</v>
      </c>
    </row>
    <row r="20" spans="1:5">
      <c r="A20" s="884">
        <v>12</v>
      </c>
      <c r="B20" s="883" t="s">
        <v>1487</v>
      </c>
      <c r="C20" s="887">
        <f>SUM('Sch.D-2-Revenue'!C305,'Sch.D-2-Revenue'!C315,'Sch.D-2-Revenue'!C325)*1000</f>
        <v>3070703.9999999995</v>
      </c>
      <c r="D20" s="887">
        <f>SUM('Sch.D-2-Revenue'!E305,'Sch.D-2-Revenue'!E315,'Sch.D-2-Revenue'!E325)</f>
        <v>0</v>
      </c>
      <c r="E20" s="1427" t="e">
        <f t="shared" si="1"/>
        <v>#DIV/0!</v>
      </c>
    </row>
    <row r="21" spans="1:5">
      <c r="A21" s="884">
        <v>13</v>
      </c>
      <c r="B21" s="883" t="s">
        <v>1495</v>
      </c>
      <c r="C21" s="887">
        <f>SUM('Sch.D-2-Revenue'!C334,'Sch.D-2-Revenue'!C343)*1000</f>
        <v>2222702</v>
      </c>
      <c r="D21" s="887">
        <f>SUM('Sch.D-2-Revenue'!E334,'Sch.D-2-Revenue'!E343)</f>
        <v>0</v>
      </c>
      <c r="E21" s="1427" t="e">
        <f t="shared" si="1"/>
        <v>#DIV/0!</v>
      </c>
    </row>
    <row r="22" spans="1:5">
      <c r="A22" s="884">
        <v>14</v>
      </c>
      <c r="B22" s="883" t="s">
        <v>1496</v>
      </c>
      <c r="C22" s="887">
        <f>SUM('Sch.D-2-Revenue'!C352,'Sch.D-2-Revenue'!C361,'Sch.D-2-Revenue'!C370)*1000</f>
        <v>3101402</v>
      </c>
      <c r="D22" s="887">
        <f>SUM('Sch.D-2-Revenue'!E352,'Sch.D-2-Revenue'!E361,'Sch.D-2-Revenue'!E370)</f>
        <v>0</v>
      </c>
      <c r="E22" s="1427" t="e">
        <f t="shared" si="1"/>
        <v>#DIV/0!</v>
      </c>
    </row>
    <row r="23" spans="1:5">
      <c r="A23" s="884">
        <v>15</v>
      </c>
    </row>
    <row r="24" spans="1:5">
      <c r="A24" s="884">
        <v>16</v>
      </c>
      <c r="B24" s="1016" t="s">
        <v>2405</v>
      </c>
    </row>
    <row r="25" spans="1:5">
      <c r="A25" s="884">
        <v>17</v>
      </c>
      <c r="B25" s="1609" t="s">
        <v>2403</v>
      </c>
      <c r="C25" s="887">
        <f>C10+C19</f>
        <v>279470490</v>
      </c>
      <c r="D25" s="887">
        <f>D10+D19</f>
        <v>65968</v>
      </c>
      <c r="E25" s="1427">
        <f t="shared" ref="E25:E31" si="2">C25/D25</f>
        <v>4236.4554026194519</v>
      </c>
    </row>
    <row r="26" spans="1:5">
      <c r="A26" s="884">
        <v>18</v>
      </c>
      <c r="B26" s="883" t="s">
        <v>1487</v>
      </c>
      <c r="C26" s="887">
        <f t="shared" ref="C26:D28" si="3">C11+C20</f>
        <v>17922487</v>
      </c>
      <c r="D26" s="887">
        <f t="shared" si="3"/>
        <v>1136</v>
      </c>
      <c r="E26" s="1427">
        <f t="shared" si="2"/>
        <v>15776.837147887323</v>
      </c>
    </row>
    <row r="27" spans="1:5">
      <c r="A27" s="884">
        <v>19</v>
      </c>
      <c r="B27" s="883" t="s">
        <v>1495</v>
      </c>
      <c r="C27" s="887">
        <f t="shared" si="3"/>
        <v>14572611</v>
      </c>
      <c r="D27" s="887">
        <f t="shared" si="3"/>
        <v>286</v>
      </c>
      <c r="E27" s="1427">
        <f t="shared" si="2"/>
        <v>50953.185314685317</v>
      </c>
    </row>
    <row r="28" spans="1:5">
      <c r="A28" s="884">
        <v>20</v>
      </c>
      <c r="B28" s="883" t="s">
        <v>1496</v>
      </c>
      <c r="C28" s="887">
        <f t="shared" si="3"/>
        <v>35692872</v>
      </c>
      <c r="D28" s="887">
        <f t="shared" si="3"/>
        <v>585</v>
      </c>
      <c r="E28" s="1427">
        <f t="shared" si="2"/>
        <v>61013.456410256411</v>
      </c>
    </row>
    <row r="29" spans="1:5">
      <c r="A29" s="884">
        <v>21</v>
      </c>
      <c r="B29" s="883" t="s">
        <v>1497</v>
      </c>
      <c r="C29" s="887">
        <f t="shared" ref="C29:D31" si="4">C14</f>
        <v>18152410.000000004</v>
      </c>
      <c r="D29" s="887">
        <f t="shared" si="4"/>
        <v>96</v>
      </c>
      <c r="E29" s="1427">
        <f t="shared" si="2"/>
        <v>189087.60416666672</v>
      </c>
    </row>
    <row r="30" spans="1:5">
      <c r="A30" s="884">
        <v>22</v>
      </c>
      <c r="B30" s="883" t="s">
        <v>1498</v>
      </c>
      <c r="C30" s="887">
        <f t="shared" si="4"/>
        <v>3766000</v>
      </c>
      <c r="D30" s="887">
        <f t="shared" si="4"/>
        <v>36</v>
      </c>
      <c r="E30" s="1427">
        <f t="shared" si="2"/>
        <v>104611.11111111111</v>
      </c>
    </row>
    <row r="31" spans="1:5">
      <c r="A31" s="884">
        <v>23</v>
      </c>
      <c r="B31" s="1429" t="s">
        <v>1499</v>
      </c>
      <c r="C31" s="887">
        <f t="shared" si="4"/>
        <v>42011600</v>
      </c>
      <c r="D31" s="887">
        <f t="shared" si="4"/>
        <v>36</v>
      </c>
      <c r="E31" s="1427">
        <f t="shared" si="2"/>
        <v>1166988.888888889</v>
      </c>
    </row>
    <row r="32" spans="1:5" ht="13.5" thickBot="1">
      <c r="A32" s="884">
        <v>24</v>
      </c>
      <c r="B32" s="1610" t="s">
        <v>2404</v>
      </c>
      <c r="C32" s="1611">
        <f>SUM(C25:C31)</f>
        <v>411588470</v>
      </c>
      <c r="D32" s="1611">
        <f>SUM(D25:D31)</f>
        <v>68143</v>
      </c>
      <c r="E32" s="1612">
        <f>C32/D32</f>
        <v>6040.0697063528169</v>
      </c>
    </row>
    <row r="33" ht="13.5" thickTop="1"/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C000"/>
    <pageSetUpPr fitToPage="1"/>
  </sheetPr>
  <dimension ref="A1:S129"/>
  <sheetViews>
    <sheetView view="pageBreakPreview" zoomScaleNormal="100" zoomScaleSheetLayoutView="100" workbookViewId="0">
      <selection activeCell="J12" sqref="J12"/>
    </sheetView>
  </sheetViews>
  <sheetFormatPr defaultColWidth="11" defaultRowHeight="12.75"/>
  <cols>
    <col min="1" max="1" width="11" style="439"/>
    <col min="2" max="2" width="22.75" style="439" bestFit="1" customWidth="1"/>
    <col min="3" max="3" width="3.375" style="439" customWidth="1"/>
    <col min="4" max="4" width="7.75" style="439" bestFit="1" customWidth="1"/>
    <col min="5" max="5" width="1.875" style="439" customWidth="1"/>
    <col min="6" max="6" width="9.375" style="439" bestFit="1" customWidth="1"/>
    <col min="7" max="7" width="0.875" style="439" customWidth="1"/>
    <col min="8" max="8" width="7.875" style="439" bestFit="1" customWidth="1"/>
    <col min="9" max="9" width="2.5" style="439" customWidth="1"/>
    <col min="10" max="10" width="8.625" style="1432" bestFit="1" customWidth="1"/>
    <col min="11" max="11" width="2.5" style="439" customWidth="1"/>
    <col min="12" max="12" width="7.875" style="931" bestFit="1" customWidth="1"/>
    <col min="13" max="13" width="3" style="439" customWidth="1"/>
    <col min="14" max="14" width="6.75" style="439" bestFit="1" customWidth="1"/>
    <col min="15" max="15" width="2.5" style="439" customWidth="1"/>
    <col min="16" max="16" width="6.5" style="439" bestFit="1" customWidth="1"/>
    <col min="17" max="17" width="3.375" style="439" customWidth="1"/>
    <col min="18" max="18" width="13.75" style="439" bestFit="1" customWidth="1"/>
    <col min="19" max="16384" width="11" style="439"/>
  </cols>
  <sheetData>
    <row r="1" spans="1:18">
      <c r="A1" s="718" t="str">
        <f>Company_Name</f>
        <v>WATER SERVICE CORPORATION OF KENTUCKY</v>
      </c>
    </row>
    <row r="2" spans="1:18">
      <c r="A2" s="718" t="str">
        <f>Docket</f>
        <v>Case No. 2015 - 00382</v>
      </c>
    </row>
    <row r="3" spans="1:18">
      <c r="A3" s="1036" t="s">
        <v>1486</v>
      </c>
    </row>
    <row r="4" spans="1:18">
      <c r="A4" s="1036" t="str">
        <f>TestYearEnded</f>
        <v>Test Year Ended 6/30/2015</v>
      </c>
    </row>
    <row r="5" spans="1:18" ht="12.95" customHeight="1">
      <c r="D5" s="1433"/>
      <c r="E5" s="1433"/>
      <c r="F5" s="1433"/>
      <c r="G5" s="1433"/>
      <c r="H5" s="1433"/>
      <c r="I5" s="1433"/>
      <c r="J5" s="1434"/>
      <c r="K5" s="1433"/>
      <c r="L5" s="1435"/>
      <c r="M5" s="1433"/>
      <c r="N5" s="1433"/>
      <c r="O5" s="1433"/>
      <c r="P5" s="1433"/>
      <c r="Q5" s="1433"/>
    </row>
    <row r="6" spans="1:18" s="1068" customFormat="1" ht="12.95" customHeight="1">
      <c r="B6" s="1068" t="s">
        <v>235</v>
      </c>
      <c r="D6" s="1068" t="s">
        <v>236</v>
      </c>
      <c r="F6" s="1068" t="s">
        <v>237</v>
      </c>
      <c r="H6" s="1068" t="s">
        <v>238</v>
      </c>
      <c r="J6" s="1536" t="s">
        <v>239</v>
      </c>
      <c r="L6" s="1537" t="s">
        <v>869</v>
      </c>
      <c r="N6" s="1068" t="s">
        <v>870</v>
      </c>
      <c r="P6" s="1068" t="s">
        <v>871</v>
      </c>
      <c r="R6" s="1068" t="s">
        <v>872</v>
      </c>
    </row>
    <row r="7" spans="1:18" ht="12.95" customHeight="1">
      <c r="D7" s="1433"/>
      <c r="E7" s="1433"/>
      <c r="F7" s="1433"/>
      <c r="G7" s="1433"/>
      <c r="H7" s="1433"/>
      <c r="I7" s="1433"/>
      <c r="J7" s="1434"/>
      <c r="K7" s="1433"/>
      <c r="L7" s="1435"/>
      <c r="M7" s="1433"/>
      <c r="N7" s="1433"/>
      <c r="O7" s="1433"/>
      <c r="P7" s="1433"/>
      <c r="Q7" s="1433"/>
    </row>
    <row r="8" spans="1:18" s="883" customFormat="1">
      <c r="D8" s="1436"/>
      <c r="E8" s="1437"/>
      <c r="F8" s="1438" t="s">
        <v>1490</v>
      </c>
      <c r="G8" s="1438"/>
      <c r="H8" s="1437" t="s">
        <v>1492</v>
      </c>
      <c r="I8" s="1437"/>
      <c r="J8" s="1439" t="s">
        <v>1491</v>
      </c>
      <c r="K8" s="1437"/>
      <c r="L8" s="1440" t="s">
        <v>1491</v>
      </c>
      <c r="M8" s="1441"/>
      <c r="N8" s="1441" t="s">
        <v>1494</v>
      </c>
      <c r="O8" s="1441"/>
      <c r="P8" s="1441" t="s">
        <v>308</v>
      </c>
      <c r="Q8" s="1441"/>
    </row>
    <row r="9" spans="1:18" s="883" customFormat="1">
      <c r="A9" s="1534" t="s">
        <v>1786</v>
      </c>
      <c r="B9" s="1529"/>
      <c r="C9" s="1529"/>
      <c r="D9" s="1530" t="s">
        <v>1489</v>
      </c>
      <c r="E9" s="1414"/>
      <c r="F9" s="1531" t="s">
        <v>761</v>
      </c>
      <c r="G9" s="1531"/>
      <c r="H9" s="1414" t="s">
        <v>1493</v>
      </c>
      <c r="I9" s="1414"/>
      <c r="J9" s="1532" t="s">
        <v>761</v>
      </c>
      <c r="K9" s="1414"/>
      <c r="L9" s="1533" t="s">
        <v>1493</v>
      </c>
      <c r="M9" s="1534"/>
      <c r="N9" s="1534" t="s">
        <v>453</v>
      </c>
      <c r="O9" s="1534"/>
      <c r="P9" s="1534" t="s">
        <v>453</v>
      </c>
      <c r="Q9" s="1534"/>
      <c r="R9" s="1529" t="s">
        <v>1501</v>
      </c>
    </row>
    <row r="10" spans="1:18" s="883" customFormat="1">
      <c r="A10" s="1535">
        <v>1</v>
      </c>
      <c r="B10" s="1429" t="s">
        <v>56</v>
      </c>
      <c r="D10" s="1436"/>
      <c r="E10" s="1437"/>
      <c r="F10" s="1438"/>
      <c r="G10" s="1438"/>
      <c r="H10" s="1437"/>
      <c r="I10" s="1437"/>
      <c r="J10" s="1439"/>
      <c r="K10" s="1437"/>
      <c r="L10" s="1440"/>
      <c r="M10" s="1441"/>
      <c r="N10" s="1441"/>
      <c r="O10" s="1441"/>
      <c r="P10" s="1441"/>
      <c r="Q10" s="1441"/>
    </row>
    <row r="11" spans="1:18" s="883" customFormat="1">
      <c r="A11" s="1535">
        <v>2</v>
      </c>
      <c r="B11" s="1429"/>
      <c r="D11" s="1436"/>
      <c r="E11" s="1437"/>
      <c r="F11" s="1438"/>
      <c r="G11" s="1438"/>
      <c r="H11" s="1437"/>
      <c r="I11" s="1437"/>
      <c r="J11" s="1439"/>
      <c r="K11" s="1437"/>
      <c r="L11" s="1440"/>
      <c r="M11" s="1441"/>
      <c r="N11" s="1441"/>
      <c r="O11" s="1441"/>
      <c r="P11" s="1441"/>
      <c r="Q11" s="1441"/>
    </row>
    <row r="12" spans="1:18" s="883" customFormat="1">
      <c r="A12" s="1535">
        <v>3</v>
      </c>
      <c r="B12" s="1429" t="s">
        <v>1488</v>
      </c>
      <c r="D12" s="734">
        <f>SUM('Sch.D-2-Revenue'!O19,'Sch.D-2-Revenue'!O29,'Sch.D-2-Revenue'!O39,'Sch.D-2-Revenue'!O49,'Sch.D-2-Revenue'!O59)</f>
        <v>65968</v>
      </c>
      <c r="E12" s="1442"/>
      <c r="F12" s="1443">
        <f>SUM('Sch.D-2-Revenue'!M19,'Sch.D-2-Revenue'!M29,'Sch.D-2-Revenue'!M39,'Sch.D-2-Revenue'!M49,'Sch.D-2-Revenue'!M59)</f>
        <v>1375451.9948699998</v>
      </c>
      <c r="G12" s="734"/>
      <c r="H12" s="1444">
        <f t="shared" ref="H12:H18" si="0">F12/$D12</f>
        <v>20.850290972441179</v>
      </c>
      <c r="I12" s="1442"/>
      <c r="J12" s="1443">
        <f ca="1">SUM('Sch.D-2-Revenue'!U19,'Sch.D-2-Revenue'!U29,'Sch.D-2-Revenue'!U39,'Sch.D-2-Revenue'!U49,'Sch.D-2-Revenue'!U59)</f>
        <v>1785407.284179</v>
      </c>
      <c r="K12" s="1442"/>
      <c r="L12" s="1444">
        <f t="shared" ref="L12:L18" ca="1" si="1">J12/$D12</f>
        <v>27.064747819836889</v>
      </c>
      <c r="N12" s="1445">
        <f t="shared" ref="N12:N18" ca="1" si="2">L12-H12</f>
        <v>6.2144568473957094</v>
      </c>
      <c r="P12" s="732">
        <f t="shared" ref="P12:P18" ca="1" si="3">N12/H12</f>
        <v>0.29805132482849533</v>
      </c>
      <c r="Q12" s="732"/>
      <c r="R12" s="734">
        <f>'Average Gallons'!E10</f>
        <v>3911.5905742178024</v>
      </c>
    </row>
    <row r="13" spans="1:18" s="883" customFormat="1">
      <c r="A13" s="1535">
        <v>4</v>
      </c>
      <c r="B13" s="883" t="s">
        <v>1487</v>
      </c>
      <c r="D13" s="734">
        <f>SUM('Sch.D-2-Revenue'!O79,'Sch.D-2-Revenue'!O89,'Sch.D-2-Revenue'!O99,'Sch.D-2-Revenue'!O69)</f>
        <v>1136</v>
      </c>
      <c r="E13" s="1442"/>
      <c r="F13" s="734">
        <f>SUM('Sch.D-2-Revenue'!M69,'Sch.D-2-Revenue'!M79,'Sch.D-2-Revenue'!M89,'Sch.D-2-Revenue'!M99)</f>
        <v>66186.935389999999</v>
      </c>
      <c r="G13" s="734"/>
      <c r="H13" s="1444">
        <f t="shared" si="0"/>
        <v>58.263147350352114</v>
      </c>
      <c r="I13" s="1442"/>
      <c r="J13" s="734">
        <f ca="1">SUM('Sch.D-2-Revenue'!U69,'Sch.D-2-Revenue'!U79,'Sch.D-2-Revenue'!U89,'Sch.D-2-Revenue'!U99)</f>
        <v>82609.162230999995</v>
      </c>
      <c r="K13" s="1442"/>
      <c r="L13" s="1444">
        <f t="shared" ca="1" si="1"/>
        <v>72.719332949823936</v>
      </c>
      <c r="N13" s="1445">
        <f t="shared" ca="1" si="2"/>
        <v>14.456185599471823</v>
      </c>
      <c r="P13" s="732">
        <f t="shared" ca="1" si="3"/>
        <v>0.24811885826460517</v>
      </c>
      <c r="Q13" s="732"/>
      <c r="R13" s="734">
        <f>'Average Gallons'!E11</f>
        <v>13073.75264084507</v>
      </c>
    </row>
    <row r="14" spans="1:18" s="883" customFormat="1">
      <c r="A14" s="1535">
        <v>5</v>
      </c>
      <c r="B14" s="883" t="s">
        <v>1495</v>
      </c>
      <c r="D14" s="734">
        <f>SUM('Sch.D-2-Revenue'!O109,'Sch.D-2-Revenue'!O118,'Sch.D-2-Revenue'!O127)</f>
        <v>286</v>
      </c>
      <c r="E14" s="1442"/>
      <c r="F14" s="734">
        <f>SUM('Sch.D-2-Revenue'!M109,'Sch.D-2-Revenue'!M118,'Sch.D-2-Revenue'!M127)</f>
        <v>46184.618859999995</v>
      </c>
      <c r="G14" s="734"/>
      <c r="H14" s="1444">
        <f t="shared" si="0"/>
        <v>161.48468132867131</v>
      </c>
      <c r="I14" s="1442"/>
      <c r="J14" s="734">
        <f ca="1">SUM('Sch.D-2-Revenue'!U109,'Sch.D-2-Revenue'!U118,'Sch.D-2-Revenue'!U127)</f>
        <v>61164.771139999997</v>
      </c>
      <c r="K14" s="1442"/>
      <c r="L14" s="1444">
        <f t="shared" ca="1" si="1"/>
        <v>213.86283615384613</v>
      </c>
      <c r="N14" s="1445">
        <f t="shared" ca="1" si="2"/>
        <v>52.378154825174818</v>
      </c>
      <c r="P14" s="732">
        <f t="shared" ca="1" si="3"/>
        <v>0.32435370583893997</v>
      </c>
      <c r="Q14" s="732"/>
      <c r="R14" s="734">
        <f>'Average Gallons'!E12</f>
        <v>43181.5</v>
      </c>
    </row>
    <row r="15" spans="1:18" s="883" customFormat="1">
      <c r="A15" s="1535">
        <v>6</v>
      </c>
      <c r="B15" s="883" t="s">
        <v>1496</v>
      </c>
      <c r="D15" s="734">
        <f>SUM('Sch.D-2-Revenue'!O136,'Sch.D-2-Revenue'!O145,'Sch.D-2-Revenue'!O154)</f>
        <v>585</v>
      </c>
      <c r="E15" s="1442"/>
      <c r="F15" s="734">
        <f>SUM('Sch.D-2-Revenue'!M136,'Sch.D-2-Revenue'!M145,'Sch.D-2-Revenue'!M154)</f>
        <v>122206.75541999999</v>
      </c>
      <c r="G15" s="734"/>
      <c r="H15" s="1444">
        <f t="shared" si="0"/>
        <v>208.90043661538459</v>
      </c>
      <c r="I15" s="1442"/>
      <c r="J15" s="734">
        <f ca="1">SUM('Sch.D-2-Revenue'!U136,'Sch.D-2-Revenue'!U145,'Sch.D-2-Revenue'!U154)</f>
        <v>170421.012671</v>
      </c>
      <c r="K15" s="1442"/>
      <c r="L15" s="1444">
        <f t="shared" ca="1" si="1"/>
        <v>291.31797037777778</v>
      </c>
      <c r="N15" s="1445">
        <f t="shared" ca="1" si="2"/>
        <v>82.417533762393191</v>
      </c>
      <c r="P15" s="732">
        <f ca="1">N15/H15</f>
        <v>0.39453021304180225</v>
      </c>
      <c r="Q15" s="732"/>
      <c r="R15" s="734">
        <f>'Average Gallons'!E13</f>
        <v>55711.914529914531</v>
      </c>
    </row>
    <row r="16" spans="1:18" s="883" customFormat="1">
      <c r="A16" s="1535">
        <v>7</v>
      </c>
      <c r="B16" s="883" t="s">
        <v>1497</v>
      </c>
      <c r="D16" s="734">
        <f>SUM('Sch.D-2-Revenue'!O162,'Sch.D-2-Revenue'!O169,'Sch.D-2-Revenue'!O176)</f>
        <v>96</v>
      </c>
      <c r="E16" s="1442"/>
      <c r="F16" s="734">
        <f>SUM('Sch.D-2-Revenue'!M162,'Sch.D-2-Revenue'!M169,'Sch.D-2-Revenue'!M176)</f>
        <v>62893.242599999998</v>
      </c>
      <c r="G16" s="734"/>
      <c r="H16" s="1444">
        <f t="shared" si="0"/>
        <v>655.13794374999998</v>
      </c>
      <c r="I16" s="1442"/>
      <c r="J16" s="734">
        <f ca="1">SUM('Sch.D-2-Revenue'!U162,'Sch.D-2-Revenue'!U169,'Sch.D-2-Revenue'!U176)</f>
        <v>78796.579170000012</v>
      </c>
      <c r="K16" s="1442"/>
      <c r="L16" s="1444">
        <f t="shared" ca="1" si="1"/>
        <v>820.79769968750009</v>
      </c>
      <c r="N16" s="1445">
        <f t="shared" ca="1" si="2"/>
        <v>165.65975593750011</v>
      </c>
      <c r="P16" s="732">
        <f ca="1">N16/H16</f>
        <v>0.25286240480785788</v>
      </c>
      <c r="Q16" s="732"/>
      <c r="R16" s="734">
        <f>'Average Gallons'!E14</f>
        <v>189087.60416666672</v>
      </c>
    </row>
    <row r="17" spans="1:19" s="883" customFormat="1">
      <c r="A17" s="1535">
        <v>8</v>
      </c>
      <c r="B17" s="883" t="s">
        <v>1498</v>
      </c>
      <c r="D17" s="734">
        <f>SUM('Sch.D-2-Revenue'!O182,'Sch.D-2-Revenue'!O188,'Sch.D-2-Revenue'!O194)</f>
        <v>36</v>
      </c>
      <c r="E17" s="1442"/>
      <c r="F17" s="734">
        <f>SUM('Sch.D-2-Revenue'!M182,'Sch.D-2-Revenue'!M188,'Sch.D-2-Revenue'!M194)</f>
        <v>16268.7726</v>
      </c>
      <c r="G17" s="734"/>
      <c r="H17" s="1444">
        <f t="shared" si="0"/>
        <v>451.91034999999999</v>
      </c>
      <c r="I17" s="1442"/>
      <c r="J17" s="734">
        <f ca="1">SUM('Sch.D-2-Revenue'!U182,'Sch.D-2-Revenue'!U188,'Sch.D-2-Revenue'!U194)</f>
        <v>17035.871294999997</v>
      </c>
      <c r="K17" s="1442"/>
      <c r="L17" s="1444">
        <f t="shared" ca="1" si="1"/>
        <v>473.21864708333328</v>
      </c>
      <c r="N17" s="1445">
        <f t="shared" ca="1" si="2"/>
        <v>21.308297083333287</v>
      </c>
      <c r="P17" s="732">
        <f t="shared" ca="1" si="3"/>
        <v>4.7151602266540887E-2</v>
      </c>
      <c r="Q17" s="732"/>
      <c r="R17" s="734">
        <f>'Average Gallons'!E15</f>
        <v>104611.11111111111</v>
      </c>
    </row>
    <row r="18" spans="1:19" s="883" customFormat="1">
      <c r="A18" s="1535">
        <v>9</v>
      </c>
      <c r="B18" s="1429" t="s">
        <v>1499</v>
      </c>
      <c r="D18" s="734">
        <f>SUM('Sch.D-2-Revenue'!O200,'Sch.D-2-Revenue'!O206)</f>
        <v>36</v>
      </c>
      <c r="E18" s="1442"/>
      <c r="F18" s="734">
        <f>SUM('Sch.D-2-Revenue'!M200,'Sch.D-2-Revenue'!M206)</f>
        <v>131889.12</v>
      </c>
      <c r="G18" s="734"/>
      <c r="H18" s="1444">
        <f t="shared" si="0"/>
        <v>3663.5866666666666</v>
      </c>
      <c r="I18" s="1442"/>
      <c r="J18" s="734">
        <f ca="1">SUM('Sch.D-2-Revenue'!U200,'Sch.D-2-Revenue'!U206)</f>
        <v>170615.74000000002</v>
      </c>
      <c r="K18" s="1442"/>
      <c r="L18" s="1444">
        <f t="shared" ca="1" si="1"/>
        <v>4739.3261111111115</v>
      </c>
      <c r="N18" s="1445">
        <f t="shared" ca="1" si="2"/>
        <v>1075.7394444444449</v>
      </c>
      <c r="P18" s="732">
        <f t="shared" ca="1" si="3"/>
        <v>0.29363013416118039</v>
      </c>
      <c r="Q18" s="732"/>
      <c r="R18" s="734">
        <f>'Average Gallons'!E16</f>
        <v>1166988.888888889</v>
      </c>
    </row>
    <row r="19" spans="1:19" s="883" customFormat="1">
      <c r="A19" s="1535">
        <v>10</v>
      </c>
      <c r="D19" s="1446"/>
      <c r="E19" s="1442"/>
      <c r="F19" s="734"/>
      <c r="G19" s="734"/>
      <c r="H19" s="1442"/>
      <c r="I19" s="1442"/>
      <c r="J19" s="1445"/>
      <c r="K19" s="1442"/>
      <c r="L19" s="732"/>
    </row>
    <row r="20" spans="1:19" s="883" customFormat="1">
      <c r="A20" s="1535">
        <v>11</v>
      </c>
      <c r="B20" s="883" t="s">
        <v>1500</v>
      </c>
      <c r="D20" s="1444"/>
      <c r="E20" s="1442"/>
      <c r="F20" s="734"/>
      <c r="G20" s="734"/>
      <c r="H20" s="1444">
        <f>+'Sch.D-2-Revenue'!I230</f>
        <v>0</v>
      </c>
      <c r="I20" s="1446"/>
      <c r="J20" s="1446"/>
      <c r="K20" s="1446"/>
      <c r="L20" s="1444">
        <f>'Sch.D-2-Revenue'!S230</f>
        <v>0</v>
      </c>
      <c r="N20" s="1445">
        <f>L20-H20</f>
        <v>0</v>
      </c>
    </row>
    <row r="21" spans="1:19" s="883" customFormat="1">
      <c r="A21" s="1535">
        <v>12</v>
      </c>
      <c r="B21" s="1429" t="s">
        <v>1502</v>
      </c>
      <c r="D21" s="1446"/>
      <c r="E21" s="1446"/>
      <c r="F21" s="1446"/>
      <c r="G21" s="1446"/>
      <c r="H21" s="1444">
        <f>+'Sch.D-2-Revenue'!I210</f>
        <v>20.73</v>
      </c>
      <c r="I21" s="1446"/>
      <c r="J21" s="1446"/>
      <c r="K21" s="1446"/>
      <c r="L21" s="1444">
        <f>'Sch.D-2-Revenue'!S210</f>
        <v>20.73</v>
      </c>
      <c r="M21" s="1446"/>
      <c r="N21" s="1445">
        <f>L21-H21</f>
        <v>0</v>
      </c>
      <c r="O21" s="1446"/>
      <c r="P21" s="1446"/>
      <c r="Q21" s="1446"/>
      <c r="R21" s="1446"/>
      <c r="S21" s="1446"/>
    </row>
    <row r="22" spans="1:19" s="883" customFormat="1">
      <c r="A22" s="1535">
        <v>13</v>
      </c>
      <c r="D22" s="1446"/>
      <c r="E22" s="1446"/>
      <c r="F22" s="1446"/>
      <c r="G22" s="1446"/>
      <c r="H22" s="1446"/>
      <c r="I22" s="1446"/>
      <c r="J22" s="1446"/>
      <c r="K22" s="1446"/>
      <c r="L22" s="1446"/>
      <c r="M22" s="1446"/>
      <c r="N22" s="1446"/>
      <c r="O22" s="1446"/>
      <c r="P22" s="1446"/>
      <c r="Q22" s="1446"/>
      <c r="R22" s="1446"/>
      <c r="S22" s="1446"/>
    </row>
    <row r="23" spans="1:19" s="883" customFormat="1">
      <c r="A23" s="1535">
        <v>14</v>
      </c>
      <c r="B23" s="883" t="s">
        <v>57</v>
      </c>
      <c r="D23" s="1446"/>
      <c r="E23" s="1446"/>
      <c r="F23" s="1446"/>
      <c r="G23" s="1446"/>
      <c r="H23" s="1446"/>
      <c r="I23" s="1446"/>
      <c r="J23" s="1446"/>
      <c r="K23" s="1446"/>
      <c r="L23" s="1446"/>
      <c r="M23" s="1446"/>
      <c r="N23" s="1446"/>
      <c r="O23" s="1446"/>
      <c r="P23" s="1446"/>
      <c r="Q23" s="1446"/>
      <c r="R23" s="1446"/>
      <c r="S23" s="1446"/>
    </row>
    <row r="24" spans="1:19" s="883" customFormat="1">
      <c r="A24" s="1535">
        <v>15</v>
      </c>
      <c r="B24" s="1447"/>
      <c r="D24" s="1446"/>
      <c r="E24" s="1446"/>
      <c r="F24" s="1446"/>
      <c r="G24" s="1446"/>
      <c r="H24" s="1446"/>
      <c r="I24" s="1446"/>
      <c r="J24" s="1446"/>
      <c r="K24" s="1446"/>
      <c r="L24" s="1446"/>
      <c r="M24" s="1446"/>
      <c r="N24" s="1446"/>
      <c r="O24" s="1446"/>
      <c r="P24" s="1446"/>
      <c r="Q24" s="1446"/>
      <c r="R24" s="1446"/>
      <c r="S24" s="1446"/>
    </row>
    <row r="25" spans="1:19" s="883" customFormat="1">
      <c r="A25" s="1535">
        <v>16</v>
      </c>
      <c r="B25" s="1429" t="s">
        <v>1488</v>
      </c>
      <c r="D25" s="734">
        <f>SUM('Sch.D-2-Revenue'!O245,'Sch.D-2-Revenue'!O255,'Sch.D-2-Revenue'!O265,'Sch.D-2-Revenue'!O275,'Sch.D-2-Revenue'!O285,'Sch.D-2-Revenue'!O295)</f>
        <v>0</v>
      </c>
      <c r="E25" s="1446"/>
      <c r="F25" s="1443">
        <f>SUM('Sch.D-2-Revenue'!M245,'Sch.D-2-Revenue'!M255,'Sch.D-2-Revenue'!M265,'Sch.D-2-Revenue'!M275,'Sch.D-2-Revenue'!M285,'Sch.D-2-Revenue'!M295)</f>
        <v>0</v>
      </c>
      <c r="G25" s="1446"/>
      <c r="H25" s="1444" t="e">
        <f>F25/$D25</f>
        <v>#DIV/0!</v>
      </c>
      <c r="I25" s="1446"/>
      <c r="J25" s="1443">
        <f>SUM('Sch.D-2-Revenue'!U245,'Sch.D-2-Revenue'!U255,'Sch.D-2-Revenue'!U265,'Sch.D-2-Revenue'!U275,'Sch.D-2-Revenue'!U285,'Sch.D-2-Revenue'!U295)</f>
        <v>0</v>
      </c>
      <c r="K25" s="1446"/>
      <c r="L25" s="1444" t="e">
        <f>J25/$D25</f>
        <v>#DIV/0!</v>
      </c>
      <c r="M25" s="1446"/>
      <c r="N25" s="1445" t="e">
        <f>L25-H25</f>
        <v>#DIV/0!</v>
      </c>
      <c r="O25" s="1446"/>
      <c r="P25" s="732" t="e">
        <f>N25/H25</f>
        <v>#DIV/0!</v>
      </c>
      <c r="Q25" s="1446"/>
      <c r="R25" s="734" t="e">
        <f>'Average Gallons'!E19</f>
        <v>#DIV/0!</v>
      </c>
      <c r="S25" s="1446"/>
    </row>
    <row r="26" spans="1:19" s="883" customFormat="1">
      <c r="A26" s="1535">
        <v>17</v>
      </c>
      <c r="B26" s="883" t="s">
        <v>1487</v>
      </c>
      <c r="D26" s="734">
        <f>SUM('Sch.D-2-Revenue'!O305,'Sch.D-2-Revenue'!O315,'Sch.D-2-Revenue'!O325)</f>
        <v>0</v>
      </c>
      <c r="E26" s="1446"/>
      <c r="F26" s="1448">
        <f>SUM('Sch.D-2-Revenue'!M305,'Sch.D-2-Revenue'!M315,'Sch.D-2-Revenue'!M325)</f>
        <v>0</v>
      </c>
      <c r="G26" s="1446"/>
      <c r="H26" s="1444" t="e">
        <f>F26/$D26</f>
        <v>#DIV/0!</v>
      </c>
      <c r="I26" s="1446"/>
      <c r="J26" s="1448">
        <f>SUM('Sch.D-2-Revenue'!U305,'Sch.D-2-Revenue'!U325,'Sch.D-2-Revenue'!U315)</f>
        <v>0</v>
      </c>
      <c r="K26" s="1446"/>
      <c r="L26" s="1444" t="e">
        <f>J26/$D26</f>
        <v>#DIV/0!</v>
      </c>
      <c r="M26" s="1446"/>
      <c r="N26" s="1445" t="e">
        <f>L26-H26</f>
        <v>#DIV/0!</v>
      </c>
      <c r="O26" s="1446"/>
      <c r="P26" s="732" t="e">
        <f>N26/H26</f>
        <v>#DIV/0!</v>
      </c>
      <c r="Q26" s="1446"/>
      <c r="R26" s="734" t="e">
        <f>'Average Gallons'!E20</f>
        <v>#DIV/0!</v>
      </c>
      <c r="S26" s="1446"/>
    </row>
    <row r="27" spans="1:19" s="883" customFormat="1">
      <c r="A27" s="1535">
        <v>18</v>
      </c>
      <c r="B27" s="883" t="s">
        <v>1495</v>
      </c>
      <c r="D27" s="734">
        <f>SUM('Sch.D-2-Revenue'!O334,'Sch.D-2-Revenue'!O343)</f>
        <v>0</v>
      </c>
      <c r="E27" s="1446"/>
      <c r="F27" s="1448">
        <f>SUM('Sch.D-2-Revenue'!M334,'Sch.D-2-Revenue'!M343)</f>
        <v>0</v>
      </c>
      <c r="G27" s="1446"/>
      <c r="H27" s="1444" t="e">
        <f>F27/$D27</f>
        <v>#DIV/0!</v>
      </c>
      <c r="I27" s="1446"/>
      <c r="J27" s="1448">
        <f>SUM('Sch.D-2-Revenue'!U334,'Sch.D-2-Revenue'!U343)</f>
        <v>0</v>
      </c>
      <c r="K27" s="1446"/>
      <c r="L27" s="1444" t="e">
        <f>J27/$D27</f>
        <v>#DIV/0!</v>
      </c>
      <c r="M27" s="1446"/>
      <c r="N27" s="1445" t="e">
        <f>L27-H27</f>
        <v>#DIV/0!</v>
      </c>
      <c r="O27" s="1446"/>
      <c r="P27" s="732" t="e">
        <f>N27/H27</f>
        <v>#DIV/0!</v>
      </c>
      <c r="Q27" s="1449"/>
      <c r="R27" s="734" t="e">
        <f>'Average Gallons'!E21</f>
        <v>#DIV/0!</v>
      </c>
      <c r="S27" s="1446"/>
    </row>
    <row r="28" spans="1:19" s="883" customFormat="1">
      <c r="A28" s="1535">
        <v>19</v>
      </c>
      <c r="B28" s="883" t="s">
        <v>1496</v>
      </c>
      <c r="D28" s="734">
        <f>SUM('Sch.D-2-Revenue'!O352,'Sch.D-2-Revenue'!O361,'Sch.D-2-Revenue'!O370)</f>
        <v>0</v>
      </c>
      <c r="E28" s="1446"/>
      <c r="F28" s="1448">
        <f>SUM('Sch.D-2-Revenue'!M352,'Sch.D-2-Revenue'!M361,'Sch.D-2-Revenue'!M370)</f>
        <v>0</v>
      </c>
      <c r="G28" s="1446"/>
      <c r="H28" s="1444" t="e">
        <f>F28/$D28</f>
        <v>#DIV/0!</v>
      </c>
      <c r="I28" s="1446"/>
      <c r="J28" s="1448">
        <f>SUM('Sch.D-2-Revenue'!U370,'Sch.D-2-Revenue'!U361,'Sch.D-2-Revenue'!U352)</f>
        <v>0</v>
      </c>
      <c r="K28" s="1446"/>
      <c r="L28" s="1444" t="e">
        <f>J28/$D28</f>
        <v>#DIV/0!</v>
      </c>
      <c r="M28" s="1446"/>
      <c r="N28" s="1445" t="e">
        <f>L28-H28</f>
        <v>#DIV/0!</v>
      </c>
      <c r="O28" s="1446"/>
      <c r="P28" s="732" t="e">
        <f>N28/H28</f>
        <v>#DIV/0!</v>
      </c>
      <c r="Q28" s="1450"/>
      <c r="R28" s="734" t="e">
        <f>'Average Gallons'!E22</f>
        <v>#DIV/0!</v>
      </c>
      <c r="S28" s="1446"/>
    </row>
    <row r="29" spans="1:19" s="883" customFormat="1">
      <c r="A29" s="1535">
        <v>20</v>
      </c>
      <c r="B29" s="1429" t="s">
        <v>1499</v>
      </c>
      <c r="D29" s="1451">
        <v>0</v>
      </c>
      <c r="E29" s="1451"/>
      <c r="F29" s="1451">
        <v>0</v>
      </c>
      <c r="G29" s="1451"/>
      <c r="H29" s="1451">
        <v>0</v>
      </c>
      <c r="I29" s="1451"/>
      <c r="J29" s="1451">
        <v>0</v>
      </c>
      <c r="K29" s="1451"/>
      <c r="L29" s="1451">
        <v>0</v>
      </c>
      <c r="M29" s="1446"/>
      <c r="N29" s="1446">
        <v>0</v>
      </c>
      <c r="O29" s="1446"/>
      <c r="P29" s="1446">
        <v>0</v>
      </c>
      <c r="Q29" s="1446"/>
      <c r="R29" s="1450"/>
      <c r="S29" s="1446"/>
    </row>
    <row r="30" spans="1:19" s="883" customFormat="1">
      <c r="B30" s="1452"/>
      <c r="D30" s="1446"/>
      <c r="E30" s="1446"/>
      <c r="F30" s="1446"/>
      <c r="G30" s="1446"/>
      <c r="H30" s="1446"/>
      <c r="I30" s="1446"/>
      <c r="J30" s="1446"/>
      <c r="K30" s="1446"/>
      <c r="L30" s="1446"/>
      <c r="M30" s="1446"/>
      <c r="N30" s="1446"/>
      <c r="O30" s="1446"/>
      <c r="P30" s="1446"/>
      <c r="Q30" s="1446"/>
      <c r="R30" s="1446"/>
      <c r="S30" s="1446"/>
    </row>
    <row r="31" spans="1:19" s="883" customFormat="1">
      <c r="D31" s="1446"/>
      <c r="E31" s="1446"/>
      <c r="F31" s="1446"/>
      <c r="G31" s="1446"/>
      <c r="H31" s="1446"/>
      <c r="I31" s="1446"/>
      <c r="J31" s="1446"/>
      <c r="K31" s="1446"/>
      <c r="L31" s="1446"/>
      <c r="M31" s="1446"/>
      <c r="N31" s="1446"/>
      <c r="O31" s="1446"/>
      <c r="P31" s="1446"/>
      <c r="Q31" s="1446"/>
      <c r="R31" s="1446"/>
      <c r="S31" s="1446"/>
    </row>
    <row r="32" spans="1:19" s="883" customFormat="1">
      <c r="B32" s="1447"/>
      <c r="D32" s="1446"/>
      <c r="E32" s="1446"/>
      <c r="F32" s="1446"/>
      <c r="G32" s="1446"/>
      <c r="H32" s="1446"/>
      <c r="I32" s="1446"/>
      <c r="J32" s="1446"/>
      <c r="K32" s="1446"/>
      <c r="L32" s="1446"/>
      <c r="M32" s="1446"/>
      <c r="N32" s="1446"/>
      <c r="O32" s="1446"/>
      <c r="P32" s="1446"/>
      <c r="Q32" s="1446"/>
      <c r="R32" s="1446"/>
      <c r="S32" s="1446"/>
    </row>
    <row r="33" spans="2:19" s="883" customFormat="1">
      <c r="D33" s="1446"/>
      <c r="E33" s="1446"/>
      <c r="F33" s="1446"/>
      <c r="G33" s="1446"/>
      <c r="H33" s="1446"/>
      <c r="I33" s="1446"/>
      <c r="J33" s="1446"/>
      <c r="K33" s="1446"/>
      <c r="L33" s="1446"/>
      <c r="M33" s="1446"/>
      <c r="N33" s="1446"/>
      <c r="O33" s="1446"/>
      <c r="P33" s="1446"/>
      <c r="Q33" s="1446"/>
      <c r="R33" s="1446"/>
      <c r="S33" s="1446"/>
    </row>
    <row r="34" spans="2:19" s="883" customFormat="1">
      <c r="B34" s="1447"/>
      <c r="D34" s="1446"/>
      <c r="E34" s="1446"/>
      <c r="F34" s="1446"/>
      <c r="G34" s="1446"/>
      <c r="H34" s="1446"/>
      <c r="I34" s="1446"/>
      <c r="J34" s="1446"/>
      <c r="K34" s="1446"/>
      <c r="L34" s="1446"/>
      <c r="M34" s="1446"/>
      <c r="N34" s="1446"/>
      <c r="O34" s="1446"/>
      <c r="P34" s="1446"/>
      <c r="Q34" s="1446"/>
      <c r="R34" s="1446"/>
      <c r="S34" s="1446"/>
    </row>
    <row r="35" spans="2:19" s="883" customFormat="1">
      <c r="D35" s="1446"/>
      <c r="E35" s="1446"/>
      <c r="F35" s="1446"/>
      <c r="G35" s="1446"/>
      <c r="H35" s="1446"/>
      <c r="I35" s="1446"/>
      <c r="J35" s="1446"/>
      <c r="K35" s="1446"/>
      <c r="L35" s="1446"/>
      <c r="M35" s="1446"/>
      <c r="O35" s="1446"/>
      <c r="P35" s="1446"/>
      <c r="Q35" s="1446"/>
      <c r="R35" s="1446"/>
      <c r="S35" s="1446"/>
    </row>
    <row r="36" spans="2:19" s="883" customFormat="1">
      <c r="D36" s="1446"/>
      <c r="E36" s="1446"/>
      <c r="F36" s="1446"/>
      <c r="G36" s="1446"/>
      <c r="H36" s="1446"/>
      <c r="I36" s="1446"/>
      <c r="J36" s="1446"/>
      <c r="K36" s="1446"/>
      <c r="L36" s="1446"/>
      <c r="M36" s="1446"/>
      <c r="N36" s="1446"/>
      <c r="O36" s="1446"/>
      <c r="P36" s="1446"/>
      <c r="Q36" s="1446"/>
      <c r="R36" s="1446"/>
      <c r="S36" s="1446"/>
    </row>
    <row r="37" spans="2:19" s="883" customFormat="1">
      <c r="D37" s="1446"/>
      <c r="E37" s="1446"/>
      <c r="F37" s="1446"/>
      <c r="G37" s="1446"/>
      <c r="H37" s="1446"/>
      <c r="I37" s="1446"/>
      <c r="J37" s="1446"/>
      <c r="K37" s="1446"/>
      <c r="L37" s="1446"/>
      <c r="M37" s="1446"/>
      <c r="N37" s="1446"/>
      <c r="O37" s="1446"/>
      <c r="P37" s="1446"/>
      <c r="Q37" s="1446"/>
      <c r="R37" s="1446"/>
      <c r="S37" s="1446"/>
    </row>
    <row r="38" spans="2:19" s="883" customFormat="1">
      <c r="B38" s="1447"/>
      <c r="D38" s="1446"/>
      <c r="E38" s="1446"/>
      <c r="F38" s="1446"/>
      <c r="G38" s="1446"/>
      <c r="H38" s="1446"/>
      <c r="I38" s="1446"/>
      <c r="J38" s="1446"/>
      <c r="K38" s="1446"/>
      <c r="L38" s="1446"/>
      <c r="M38" s="1446"/>
      <c r="N38" s="1446"/>
      <c r="O38" s="1446"/>
      <c r="P38" s="1446"/>
      <c r="Q38" s="1446"/>
      <c r="R38" s="1446"/>
      <c r="S38" s="1446"/>
    </row>
    <row r="39" spans="2:19" s="883" customFormat="1">
      <c r="D39" s="1446"/>
      <c r="E39" s="1446"/>
      <c r="F39" s="1446"/>
      <c r="G39" s="1446"/>
      <c r="H39" s="1446"/>
      <c r="I39" s="1446"/>
      <c r="J39" s="1445"/>
      <c r="K39" s="1446"/>
      <c r="L39" s="1453"/>
      <c r="M39" s="1446"/>
      <c r="N39" s="1449"/>
      <c r="O39" s="1446"/>
      <c r="P39" s="1446"/>
      <c r="Q39" s="1446"/>
      <c r="R39" s="1446"/>
      <c r="S39" s="1446"/>
    </row>
    <row r="40" spans="2:19" s="883" customFormat="1">
      <c r="B40" s="1447"/>
      <c r="D40" s="1446"/>
      <c r="E40" s="1446"/>
      <c r="F40" s="1453"/>
      <c r="G40" s="1449"/>
      <c r="H40" s="1446"/>
      <c r="I40" s="1446"/>
      <c r="J40" s="1446"/>
      <c r="K40" s="1446"/>
      <c r="L40" s="1453"/>
      <c r="M40" s="1446"/>
      <c r="N40" s="1449"/>
      <c r="O40" s="1446"/>
      <c r="P40" s="1454"/>
      <c r="Q40" s="1446"/>
      <c r="R40" s="1446"/>
      <c r="S40" s="1446"/>
    </row>
    <row r="41" spans="2:19" s="883" customFormat="1">
      <c r="D41" s="1446"/>
      <c r="E41" s="1446"/>
      <c r="F41" s="1453"/>
      <c r="G41" s="1450"/>
      <c r="H41" s="1446"/>
      <c r="I41" s="1446"/>
      <c r="J41" s="1446"/>
      <c r="K41" s="1446"/>
      <c r="L41" s="1453"/>
      <c r="M41" s="1446"/>
      <c r="N41" s="1450"/>
      <c r="O41" s="1446"/>
      <c r="P41" s="1455"/>
      <c r="Q41" s="1446"/>
      <c r="R41" s="1446"/>
      <c r="S41" s="1446"/>
    </row>
    <row r="42" spans="2:19" s="883" customFormat="1">
      <c r="D42" s="1446"/>
      <c r="E42" s="1446"/>
      <c r="F42" s="1453"/>
      <c r="G42" s="1450"/>
      <c r="H42" s="1446"/>
      <c r="I42" s="1446"/>
      <c r="J42" s="1446"/>
      <c r="K42" s="1446"/>
      <c r="L42" s="1453"/>
      <c r="M42" s="1446"/>
      <c r="N42" s="1450"/>
      <c r="O42" s="1446"/>
      <c r="P42" s="1450"/>
      <c r="Q42" s="1446"/>
      <c r="R42" s="1446"/>
      <c r="S42" s="1446"/>
    </row>
    <row r="43" spans="2:19" s="883" customFormat="1">
      <c r="D43" s="1446"/>
      <c r="E43" s="1446"/>
      <c r="F43" s="1453"/>
      <c r="G43" s="1450"/>
      <c r="H43" s="1446"/>
      <c r="I43" s="1446"/>
      <c r="J43" s="1446"/>
      <c r="K43" s="1446"/>
      <c r="L43" s="1453"/>
      <c r="M43" s="1446"/>
      <c r="N43" s="1450"/>
      <c r="O43" s="1446"/>
      <c r="P43" s="1450"/>
      <c r="Q43" s="1446"/>
      <c r="R43" s="1446"/>
      <c r="S43" s="1446"/>
    </row>
    <row r="44" spans="2:19" s="883" customFormat="1">
      <c r="D44" s="1446"/>
      <c r="E44" s="1446"/>
      <c r="F44" s="1453"/>
      <c r="G44" s="1450"/>
      <c r="H44" s="1446"/>
      <c r="I44" s="1446"/>
      <c r="J44" s="1446"/>
      <c r="K44" s="1446"/>
      <c r="L44" s="1453"/>
      <c r="M44" s="1446"/>
      <c r="N44" s="1450"/>
      <c r="O44" s="1446"/>
      <c r="P44" s="1450"/>
      <c r="Q44" s="1446"/>
      <c r="R44" s="1446"/>
      <c r="S44" s="1446"/>
    </row>
    <row r="45" spans="2:19" s="883" customFormat="1">
      <c r="D45" s="1446"/>
      <c r="E45" s="1446"/>
      <c r="F45" s="1446"/>
      <c r="G45" s="1446"/>
      <c r="H45" s="1446"/>
      <c r="I45" s="1446"/>
      <c r="J45" s="1446"/>
      <c r="K45" s="1446"/>
      <c r="L45" s="1446"/>
      <c r="M45" s="1446"/>
      <c r="N45" s="1446"/>
      <c r="O45" s="1446"/>
      <c r="P45" s="1446"/>
      <c r="Q45" s="1446"/>
      <c r="R45" s="1446"/>
      <c r="S45" s="1446"/>
    </row>
    <row r="46" spans="2:19" s="883" customFormat="1">
      <c r="D46" s="1446"/>
      <c r="E46" s="1446"/>
      <c r="F46" s="1446"/>
      <c r="G46" s="1446"/>
      <c r="H46" s="1446"/>
      <c r="I46" s="1446"/>
      <c r="J46" s="1446"/>
      <c r="K46" s="1446"/>
      <c r="L46" s="1446"/>
      <c r="M46" s="1446"/>
      <c r="N46" s="1446"/>
      <c r="O46" s="1446"/>
      <c r="P46" s="1446"/>
      <c r="Q46" s="1446"/>
      <c r="R46" s="1446"/>
      <c r="S46" s="1446"/>
    </row>
    <row r="47" spans="2:19" s="883" customFormat="1">
      <c r="D47" s="1446"/>
      <c r="E47" s="1446"/>
      <c r="F47" s="1446"/>
      <c r="G47" s="1446"/>
      <c r="H47" s="1446"/>
      <c r="I47" s="1446"/>
      <c r="J47" s="1446"/>
      <c r="K47" s="1446"/>
      <c r="L47" s="1446"/>
      <c r="M47" s="1446"/>
      <c r="N47" s="1446"/>
      <c r="O47" s="1446"/>
      <c r="P47" s="1446"/>
      <c r="Q47" s="1446"/>
      <c r="R47" s="1446"/>
      <c r="S47" s="1446"/>
    </row>
    <row r="48" spans="2:19" s="883" customFormat="1">
      <c r="D48" s="1446"/>
      <c r="E48" s="1446"/>
      <c r="F48" s="1446"/>
      <c r="G48" s="1446"/>
      <c r="H48" s="1446"/>
      <c r="I48" s="1446"/>
      <c r="J48" s="1446"/>
      <c r="K48" s="1446"/>
      <c r="L48" s="1446"/>
      <c r="M48" s="1446"/>
      <c r="N48" s="1446"/>
      <c r="O48" s="1446"/>
      <c r="P48" s="1446"/>
      <c r="Q48" s="1446"/>
      <c r="R48" s="1446"/>
      <c r="S48" s="1446"/>
    </row>
    <row r="49" spans="4:19" s="883" customFormat="1">
      <c r="D49" s="1446"/>
      <c r="E49" s="1446"/>
      <c r="F49" s="1446"/>
      <c r="G49" s="1446"/>
      <c r="H49" s="1446"/>
      <c r="I49" s="1446"/>
      <c r="J49" s="1446"/>
      <c r="K49" s="1446"/>
      <c r="L49" s="1446"/>
      <c r="M49" s="1446"/>
      <c r="N49" s="1446"/>
      <c r="O49" s="1446"/>
      <c r="P49" s="1446"/>
      <c r="Q49" s="1446"/>
      <c r="R49" s="1446"/>
      <c r="S49" s="1446"/>
    </row>
    <row r="50" spans="4:19" s="883" customFormat="1">
      <c r="D50" s="1446"/>
      <c r="E50" s="1446"/>
      <c r="F50" s="1446"/>
      <c r="G50" s="1446"/>
      <c r="H50" s="1446"/>
      <c r="I50" s="1446"/>
      <c r="J50" s="1446"/>
      <c r="K50" s="1446"/>
      <c r="L50" s="1446"/>
      <c r="M50" s="1446"/>
      <c r="N50" s="1446"/>
      <c r="O50" s="1446"/>
      <c r="P50" s="1446"/>
      <c r="Q50" s="1446"/>
      <c r="R50" s="1446"/>
      <c r="S50" s="1446"/>
    </row>
    <row r="51" spans="4:19" s="883" customFormat="1">
      <c r="D51" s="1446"/>
      <c r="E51" s="1446"/>
      <c r="F51" s="1446"/>
      <c r="G51" s="1446"/>
      <c r="H51" s="1446"/>
      <c r="I51" s="1446"/>
      <c r="J51" s="1446"/>
      <c r="K51" s="1446"/>
      <c r="L51" s="1446"/>
      <c r="M51" s="1446"/>
      <c r="N51" s="1446"/>
      <c r="O51" s="1446"/>
      <c r="P51" s="1446"/>
      <c r="Q51" s="1446"/>
      <c r="R51" s="1446"/>
      <c r="S51" s="1446"/>
    </row>
    <row r="52" spans="4:19" s="883" customFormat="1">
      <c r="D52" s="1445"/>
      <c r="E52" s="1442"/>
      <c r="F52" s="1442"/>
      <c r="G52" s="1442"/>
      <c r="H52" s="1442"/>
      <c r="I52" s="1442"/>
      <c r="J52" s="1445"/>
      <c r="K52" s="1442"/>
      <c r="L52" s="732"/>
    </row>
    <row r="53" spans="4:19" s="883" customFormat="1">
      <c r="D53" s="1445"/>
      <c r="E53" s="1442"/>
      <c r="F53" s="1442"/>
      <c r="G53" s="1442"/>
      <c r="H53" s="1442"/>
      <c r="I53" s="1442"/>
      <c r="J53" s="1445"/>
      <c r="K53" s="1442"/>
      <c r="L53" s="732"/>
    </row>
    <row r="54" spans="4:19" s="883" customFormat="1">
      <c r="D54" s="1444"/>
      <c r="E54" s="1442"/>
      <c r="F54" s="1442"/>
      <c r="G54" s="1442"/>
      <c r="H54" s="1442"/>
      <c r="I54" s="1442"/>
      <c r="J54" s="1445"/>
      <c r="K54" s="1442"/>
      <c r="L54" s="732"/>
    </row>
    <row r="55" spans="4:19" s="883" customFormat="1">
      <c r="D55" s="1445"/>
      <c r="E55" s="1442"/>
      <c r="F55" s="1442"/>
      <c r="G55" s="1442"/>
      <c r="H55" s="1442"/>
      <c r="I55" s="1442"/>
      <c r="J55" s="1445"/>
      <c r="K55" s="1442"/>
      <c r="L55" s="732"/>
    </row>
    <row r="56" spans="4:19" s="883" customFormat="1">
      <c r="E56" s="1442"/>
      <c r="F56" s="1442"/>
      <c r="G56" s="1442"/>
      <c r="H56" s="1442"/>
      <c r="I56" s="1442"/>
      <c r="J56" s="1445"/>
      <c r="K56" s="1442"/>
      <c r="L56" s="732"/>
    </row>
    <row r="57" spans="4:19" s="883" customFormat="1">
      <c r="E57" s="1442"/>
      <c r="F57" s="1442"/>
      <c r="G57" s="1442"/>
      <c r="H57" s="1442"/>
      <c r="I57" s="1442"/>
      <c r="J57" s="1445"/>
      <c r="K57" s="1442"/>
      <c r="L57" s="732"/>
    </row>
    <row r="58" spans="4:19" s="883" customFormat="1">
      <c r="D58" s="1445"/>
      <c r="E58" s="1442"/>
      <c r="F58" s="1442"/>
      <c r="G58" s="1442"/>
      <c r="H58" s="1442"/>
      <c r="I58" s="1442"/>
      <c r="J58" s="1445"/>
      <c r="K58" s="1442"/>
      <c r="L58" s="732"/>
    </row>
    <row r="59" spans="4:19" s="883" customFormat="1">
      <c r="D59" s="1445"/>
      <c r="E59" s="1442"/>
      <c r="F59" s="1442"/>
      <c r="G59" s="1442"/>
      <c r="H59" s="1442"/>
      <c r="I59" s="1442"/>
      <c r="J59" s="1445"/>
      <c r="K59" s="1442"/>
      <c r="L59" s="732"/>
    </row>
    <row r="60" spans="4:19" s="883" customFormat="1">
      <c r="D60" s="1444"/>
      <c r="E60" s="1442"/>
      <c r="F60" s="1442"/>
      <c r="G60" s="1442"/>
      <c r="H60" s="1442"/>
      <c r="I60" s="1442"/>
      <c r="J60" s="1445"/>
      <c r="K60" s="1442"/>
      <c r="L60" s="732"/>
    </row>
    <row r="61" spans="4:19" s="883" customFormat="1">
      <c r="D61" s="1445"/>
      <c r="E61" s="1442"/>
      <c r="F61" s="1442"/>
      <c r="G61" s="1442"/>
      <c r="H61" s="1442"/>
      <c r="I61" s="1442"/>
      <c r="J61" s="1445"/>
      <c r="K61" s="1442"/>
      <c r="L61" s="732"/>
    </row>
    <row r="62" spans="4:19" s="883" customFormat="1">
      <c r="E62" s="1442"/>
      <c r="F62" s="1442"/>
      <c r="G62" s="1442"/>
      <c r="H62" s="1442"/>
      <c r="I62" s="1442"/>
      <c r="J62" s="1445"/>
      <c r="K62" s="1442"/>
      <c r="L62" s="732"/>
    </row>
    <row r="63" spans="4:19" s="883" customFormat="1">
      <c r="E63" s="1442"/>
      <c r="F63" s="1442"/>
      <c r="G63" s="1442"/>
      <c r="H63" s="1442"/>
      <c r="I63" s="1442"/>
      <c r="J63" s="1445"/>
      <c r="K63" s="1442"/>
      <c r="L63" s="732"/>
    </row>
    <row r="64" spans="4:19" s="883" customFormat="1">
      <c r="D64" s="1445"/>
      <c r="E64" s="1442"/>
      <c r="F64" s="1442"/>
      <c r="G64" s="1442"/>
      <c r="H64" s="1442"/>
      <c r="I64" s="1442"/>
      <c r="J64" s="1445"/>
      <c r="K64" s="1442"/>
      <c r="L64" s="732"/>
    </row>
    <row r="65" spans="4:12" s="883" customFormat="1">
      <c r="D65" s="1445"/>
      <c r="E65" s="1442"/>
      <c r="F65" s="1442"/>
      <c r="G65" s="1442"/>
      <c r="H65" s="1442"/>
      <c r="I65" s="1442"/>
      <c r="J65" s="1445"/>
      <c r="K65" s="1442"/>
      <c r="L65" s="732"/>
    </row>
    <row r="66" spans="4:12" s="883" customFormat="1">
      <c r="D66" s="1445"/>
      <c r="E66" s="1442"/>
      <c r="F66" s="1442"/>
      <c r="G66" s="1442"/>
      <c r="H66" s="1442"/>
      <c r="I66" s="1442"/>
      <c r="J66" s="1445"/>
      <c r="K66" s="1442"/>
      <c r="L66" s="732"/>
    </row>
    <row r="67" spans="4:12" s="883" customFormat="1">
      <c r="D67" s="1445"/>
      <c r="E67" s="1442"/>
      <c r="F67" s="1442"/>
      <c r="G67" s="1442"/>
      <c r="H67" s="1442"/>
      <c r="I67" s="1442"/>
      <c r="J67" s="1445"/>
      <c r="K67" s="1442"/>
      <c r="L67" s="732"/>
    </row>
    <row r="68" spans="4:12" s="883" customFormat="1">
      <c r="E68" s="1442"/>
      <c r="F68" s="1442"/>
      <c r="G68" s="1442"/>
      <c r="H68" s="1442"/>
      <c r="I68" s="1442"/>
      <c r="J68" s="1445"/>
      <c r="K68" s="1442"/>
      <c r="L68" s="732"/>
    </row>
    <row r="69" spans="4:12" s="883" customFormat="1">
      <c r="E69" s="1442"/>
      <c r="F69" s="1442"/>
      <c r="G69" s="1442"/>
      <c r="H69" s="1442"/>
      <c r="I69" s="1442"/>
      <c r="J69" s="1445"/>
      <c r="K69" s="1442"/>
      <c r="L69" s="732"/>
    </row>
    <row r="70" spans="4:12" s="883" customFormat="1">
      <c r="D70" s="1445"/>
      <c r="E70" s="1442"/>
      <c r="F70" s="1442"/>
      <c r="G70" s="1442"/>
      <c r="H70" s="1442"/>
      <c r="I70" s="1442"/>
      <c r="J70" s="1445"/>
      <c r="K70" s="1442"/>
      <c r="L70" s="732"/>
    </row>
    <row r="71" spans="4:12" s="883" customFormat="1">
      <c r="D71" s="1445"/>
      <c r="E71" s="1442"/>
      <c r="F71" s="1442"/>
      <c r="G71" s="1442"/>
      <c r="H71" s="1442"/>
      <c r="I71" s="1442"/>
      <c r="J71" s="1445"/>
      <c r="K71" s="1442"/>
      <c r="L71" s="732"/>
    </row>
    <row r="72" spans="4:12" s="883" customFormat="1">
      <c r="D72" s="1445"/>
      <c r="E72" s="1442"/>
      <c r="F72" s="1442"/>
      <c r="G72" s="1442"/>
      <c r="H72" s="1442"/>
      <c r="I72" s="1442"/>
      <c r="J72" s="1445"/>
      <c r="K72" s="1442"/>
      <c r="L72" s="732"/>
    </row>
    <row r="73" spans="4:12" s="883" customFormat="1">
      <c r="D73" s="1445"/>
      <c r="E73" s="1442"/>
      <c r="F73" s="1442"/>
      <c r="G73" s="1442"/>
      <c r="H73" s="1442"/>
      <c r="I73" s="1442"/>
      <c r="J73" s="1445"/>
      <c r="K73" s="1442"/>
      <c r="L73" s="732"/>
    </row>
    <row r="74" spans="4:12" s="883" customFormat="1">
      <c r="E74" s="1442"/>
      <c r="F74" s="1442"/>
      <c r="G74" s="1442"/>
      <c r="H74" s="1442"/>
      <c r="I74" s="1442"/>
      <c r="J74" s="1445"/>
      <c r="K74" s="1442"/>
      <c r="L74" s="732"/>
    </row>
    <row r="75" spans="4:12" s="883" customFormat="1">
      <c r="E75" s="1442"/>
      <c r="F75" s="1442"/>
      <c r="G75" s="1442"/>
      <c r="H75" s="1442"/>
      <c r="I75" s="1442"/>
      <c r="J75" s="1445"/>
      <c r="K75" s="1442"/>
      <c r="L75" s="732"/>
    </row>
    <row r="76" spans="4:12" s="883" customFormat="1">
      <c r="D76" s="1445"/>
      <c r="E76" s="1442"/>
      <c r="F76" s="1442"/>
      <c r="G76" s="1442"/>
      <c r="H76" s="1442"/>
      <c r="I76" s="1442"/>
      <c r="J76" s="1445"/>
      <c r="K76" s="1442"/>
      <c r="L76" s="732"/>
    </row>
    <row r="77" spans="4:12" s="883" customFormat="1">
      <c r="D77" s="1445"/>
      <c r="E77" s="1442"/>
      <c r="F77" s="1442"/>
      <c r="G77" s="1442"/>
      <c r="H77" s="1442"/>
      <c r="I77" s="1442"/>
      <c r="J77" s="1445"/>
      <c r="K77" s="1442"/>
      <c r="L77" s="732"/>
    </row>
    <row r="78" spans="4:12" s="883" customFormat="1">
      <c r="D78" s="1444"/>
      <c r="E78" s="1442"/>
      <c r="F78" s="1442"/>
      <c r="G78" s="1442"/>
      <c r="H78" s="1442"/>
      <c r="I78" s="1442"/>
      <c r="J78" s="1445"/>
      <c r="K78" s="1442"/>
      <c r="L78" s="732"/>
    </row>
    <row r="79" spans="4:12" s="883" customFormat="1">
      <c r="D79" s="1445"/>
      <c r="E79" s="1442"/>
      <c r="F79" s="1442"/>
      <c r="G79" s="1442"/>
      <c r="H79" s="1442"/>
      <c r="I79" s="1442"/>
      <c r="J79" s="1445"/>
      <c r="K79" s="1442"/>
      <c r="L79" s="732"/>
    </row>
    <row r="80" spans="4:12" s="883" customFormat="1">
      <c r="D80" s="1445"/>
      <c r="E80" s="1442"/>
      <c r="F80" s="1442"/>
      <c r="G80" s="1442"/>
      <c r="H80" s="1442"/>
      <c r="I80" s="1442"/>
      <c r="J80" s="1445"/>
      <c r="K80" s="1442"/>
      <c r="L80" s="732"/>
    </row>
    <row r="81" spans="4:12" s="883" customFormat="1">
      <c r="E81" s="1442"/>
      <c r="F81" s="1442"/>
      <c r="G81" s="1442"/>
      <c r="H81" s="1442"/>
      <c r="I81" s="1442"/>
      <c r="J81" s="1445"/>
      <c r="K81" s="1442"/>
      <c r="L81" s="732"/>
    </row>
    <row r="82" spans="4:12" s="883" customFormat="1">
      <c r="D82" s="1445"/>
      <c r="J82" s="1445"/>
      <c r="L82" s="732"/>
    </row>
    <row r="83" spans="4:12" s="883" customFormat="1">
      <c r="D83" s="1456"/>
      <c r="J83" s="1445"/>
      <c r="L83" s="732"/>
    </row>
    <row r="84" spans="4:12" s="883" customFormat="1">
      <c r="J84" s="1445"/>
      <c r="L84" s="732"/>
    </row>
    <row r="85" spans="4:12" s="883" customFormat="1">
      <c r="J85" s="1445"/>
      <c r="L85" s="732"/>
    </row>
    <row r="86" spans="4:12" s="883" customFormat="1">
      <c r="D86" s="1445"/>
      <c r="J86" s="1445"/>
      <c r="L86" s="732"/>
    </row>
    <row r="87" spans="4:12" s="883" customFormat="1">
      <c r="D87" s="1444"/>
      <c r="J87" s="1445"/>
      <c r="L87" s="732"/>
    </row>
    <row r="88" spans="4:12" s="883" customFormat="1">
      <c r="J88" s="1445"/>
      <c r="L88" s="732"/>
    </row>
    <row r="89" spans="4:12" s="883" customFormat="1">
      <c r="J89" s="1445"/>
      <c r="L89" s="732"/>
    </row>
    <row r="90" spans="4:12" s="883" customFormat="1">
      <c r="D90" s="1444"/>
      <c r="J90" s="1445"/>
      <c r="L90" s="732"/>
    </row>
    <row r="91" spans="4:12" s="883" customFormat="1">
      <c r="D91" s="1444"/>
      <c r="J91" s="1445"/>
      <c r="L91" s="732"/>
    </row>
    <row r="92" spans="4:12" s="883" customFormat="1">
      <c r="J92" s="1445"/>
      <c r="L92" s="732"/>
    </row>
    <row r="93" spans="4:12" s="883" customFormat="1">
      <c r="J93" s="1445"/>
      <c r="L93" s="732"/>
    </row>
    <row r="94" spans="4:12" s="883" customFormat="1">
      <c r="D94" s="1444"/>
      <c r="J94" s="1445"/>
      <c r="L94" s="732"/>
    </row>
    <row r="95" spans="4:12" s="883" customFormat="1">
      <c r="D95" s="1444"/>
      <c r="J95" s="1445"/>
      <c r="L95" s="732"/>
    </row>
    <row r="96" spans="4:12" s="883" customFormat="1">
      <c r="J96" s="1445"/>
      <c r="L96" s="732"/>
    </row>
    <row r="97" spans="4:12" s="883" customFormat="1">
      <c r="J97" s="1445"/>
      <c r="L97" s="732"/>
    </row>
    <row r="98" spans="4:12" s="883" customFormat="1">
      <c r="D98" s="1444"/>
      <c r="J98" s="1445"/>
      <c r="L98" s="732"/>
    </row>
    <row r="99" spans="4:12" s="883" customFormat="1">
      <c r="D99" s="1444"/>
      <c r="J99" s="1445"/>
      <c r="L99" s="732"/>
    </row>
    <row r="100" spans="4:12" s="883" customFormat="1">
      <c r="J100" s="1445"/>
      <c r="L100" s="732"/>
    </row>
    <row r="101" spans="4:12" s="883" customFormat="1">
      <c r="J101" s="1445"/>
      <c r="L101" s="732"/>
    </row>
    <row r="102" spans="4:12" s="883" customFormat="1">
      <c r="J102" s="1445"/>
      <c r="L102" s="732"/>
    </row>
    <row r="103" spans="4:12" s="883" customFormat="1">
      <c r="J103" s="1445"/>
      <c r="L103" s="732"/>
    </row>
    <row r="104" spans="4:12" s="883" customFormat="1">
      <c r="J104" s="1445"/>
      <c r="L104" s="732"/>
    </row>
    <row r="105" spans="4:12" s="883" customFormat="1">
      <c r="J105" s="1445"/>
      <c r="L105" s="732"/>
    </row>
    <row r="106" spans="4:12" s="883" customFormat="1">
      <c r="J106" s="1445"/>
      <c r="L106" s="732"/>
    </row>
    <row r="107" spans="4:12" s="883" customFormat="1">
      <c r="J107" s="1445"/>
      <c r="L107" s="732"/>
    </row>
    <row r="108" spans="4:12" s="883" customFormat="1">
      <c r="J108" s="1445"/>
      <c r="L108" s="732"/>
    </row>
    <row r="109" spans="4:12" s="883" customFormat="1">
      <c r="J109" s="1445"/>
      <c r="L109" s="732"/>
    </row>
    <row r="110" spans="4:12" s="883" customFormat="1">
      <c r="J110" s="1445"/>
      <c r="L110" s="732"/>
    </row>
    <row r="111" spans="4:12" s="883" customFormat="1">
      <c r="J111" s="1445"/>
      <c r="L111" s="732"/>
    </row>
    <row r="112" spans="4:12" s="883" customFormat="1">
      <c r="J112" s="1445"/>
      <c r="L112" s="732"/>
    </row>
    <row r="113" spans="10:12" s="883" customFormat="1">
      <c r="J113" s="1445"/>
      <c r="L113" s="732"/>
    </row>
    <row r="114" spans="10:12" s="883" customFormat="1">
      <c r="J114" s="1445"/>
      <c r="L114" s="732"/>
    </row>
    <row r="115" spans="10:12" s="883" customFormat="1">
      <c r="J115" s="1445"/>
      <c r="L115" s="732"/>
    </row>
    <row r="116" spans="10:12" s="883" customFormat="1">
      <c r="J116" s="1445"/>
      <c r="L116" s="732"/>
    </row>
    <row r="117" spans="10:12" s="883" customFormat="1">
      <c r="J117" s="1445"/>
      <c r="L117" s="732"/>
    </row>
    <row r="118" spans="10:12" s="883" customFormat="1">
      <c r="J118" s="1445"/>
      <c r="L118" s="732"/>
    </row>
    <row r="119" spans="10:12" s="883" customFormat="1">
      <c r="J119" s="1445"/>
      <c r="L119" s="732"/>
    </row>
    <row r="120" spans="10:12" s="883" customFormat="1">
      <c r="J120" s="1445"/>
      <c r="L120" s="732"/>
    </row>
    <row r="121" spans="10:12" s="883" customFormat="1">
      <c r="J121" s="1445"/>
      <c r="L121" s="732"/>
    </row>
    <row r="122" spans="10:12" s="883" customFormat="1">
      <c r="J122" s="1445"/>
      <c r="L122" s="732"/>
    </row>
    <row r="123" spans="10:12" s="883" customFormat="1">
      <c r="J123" s="1445"/>
      <c r="L123" s="732"/>
    </row>
    <row r="124" spans="10:12" s="883" customFormat="1">
      <c r="J124" s="1445"/>
      <c r="L124" s="732"/>
    </row>
    <row r="125" spans="10:12" s="883" customFormat="1">
      <c r="J125" s="1445"/>
      <c r="L125" s="732"/>
    </row>
    <row r="126" spans="10:12" s="883" customFormat="1">
      <c r="J126" s="1445"/>
      <c r="L126" s="732"/>
    </row>
    <row r="127" spans="10:12" s="883" customFormat="1">
      <c r="J127" s="1445"/>
      <c r="L127" s="732"/>
    </row>
    <row r="128" spans="10:12" s="883" customFormat="1">
      <c r="J128" s="1445"/>
      <c r="L128" s="732"/>
    </row>
    <row r="129" spans="10:12" s="883" customFormat="1">
      <c r="J129" s="1445"/>
      <c r="L129" s="732"/>
    </row>
  </sheetData>
  <phoneticPr fontId="28" type="noConversion"/>
  <pageMargins left="0.5" right="0" top="0.25" bottom="0" header="0.5" footer="0.5"/>
  <pageSetup orientation="landscape" horizontalDpi="4294967292" verticalDpi="4294967292" r:id="rId1"/>
  <headerFooter alignWithMargins="0">
    <oddFooter>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38"/>
  <sheetViews>
    <sheetView showGridLines="0" view="pageBreakPreview" zoomScale="90" zoomScaleNormal="100" zoomScaleSheetLayoutView="90" workbookViewId="0"/>
  </sheetViews>
  <sheetFormatPr defaultColWidth="10.875" defaultRowHeight="15"/>
  <cols>
    <col min="1" max="1" width="10.875" style="19"/>
    <col min="2" max="2" width="28.625" style="13" bestFit="1" customWidth="1"/>
    <col min="3" max="3" width="22" style="13" customWidth="1"/>
    <col min="4" max="4" width="13" style="13" customWidth="1"/>
    <col min="5" max="5" width="2.625" style="13" hidden="1" customWidth="1"/>
    <col min="6" max="6" width="10.625" style="65" hidden="1" customWidth="1"/>
    <col min="7" max="7" width="2.625" style="65" hidden="1" customWidth="1"/>
    <col min="8" max="8" width="10.625" style="65" hidden="1" customWidth="1"/>
    <col min="9" max="10" width="12.5" style="65" customWidth="1"/>
    <col min="11" max="12" width="10.875" style="19" customWidth="1"/>
    <col min="13" max="13" width="0" style="19" hidden="1" customWidth="1"/>
    <col min="14" max="14" width="26.625" style="19" customWidth="1"/>
    <col min="15" max="17" width="0" style="19" hidden="1" customWidth="1"/>
    <col min="18" max="16384" width="10.875" style="19"/>
  </cols>
  <sheetData>
    <row r="1" spans="1:10">
      <c r="A1" s="34" t="str">
        <f>Company_Name</f>
        <v>WATER SERVICE CORPORATION OF KENTUCKY</v>
      </c>
      <c r="D1" s="1022" t="s">
        <v>807</v>
      </c>
      <c r="F1" s="63"/>
      <c r="G1" s="19"/>
      <c r="H1" s="63" t="s">
        <v>807</v>
      </c>
    </row>
    <row r="2" spans="1:10">
      <c r="A2" s="34" t="str">
        <f>Docket</f>
        <v>Case No. 2015 - 00382</v>
      </c>
      <c r="D2" s="940"/>
      <c r="F2" s="63"/>
      <c r="G2" s="19"/>
      <c r="H2" s="63"/>
    </row>
    <row r="3" spans="1:10">
      <c r="A3" s="34" t="s">
        <v>63</v>
      </c>
    </row>
    <row r="4" spans="1:10">
      <c r="A4" s="34" t="str">
        <f>TestYearEnded</f>
        <v>Test Year Ended 6/30/2015</v>
      </c>
      <c r="F4" s="13"/>
    </row>
    <row r="5" spans="1:10">
      <c r="F5" s="13"/>
    </row>
    <row r="6" spans="1:10" s="1473" customFormat="1" ht="14.25">
      <c r="B6" s="1543" t="s">
        <v>235</v>
      </c>
      <c r="C6" s="1543"/>
      <c r="D6" s="1543" t="s">
        <v>236</v>
      </c>
      <c r="E6" s="1543"/>
      <c r="F6" s="1543"/>
      <c r="G6" s="1544"/>
      <c r="H6" s="1544"/>
      <c r="I6" s="1544"/>
      <c r="J6" s="1544"/>
    </row>
    <row r="8" spans="1:10">
      <c r="A8" s="1472" t="s">
        <v>1786</v>
      </c>
      <c r="D8" s="1697" t="s">
        <v>671</v>
      </c>
      <c r="F8" s="65" t="s">
        <v>92</v>
      </c>
      <c r="H8" s="65" t="s">
        <v>314</v>
      </c>
    </row>
    <row r="10" spans="1:10" ht="15.75" thickBot="1">
      <c r="A10" s="1473">
        <v>1</v>
      </c>
      <c r="B10" s="13" t="s">
        <v>500</v>
      </c>
      <c r="D10" s="44">
        <f>'Sch.B-I.S'!F11</f>
        <v>2107764.9900000007</v>
      </c>
      <c r="F10" s="44">
        <f>+'Sch.B-I.S'!J136</f>
        <v>0</v>
      </c>
      <c r="H10" s="65">
        <f>D10+F10</f>
        <v>2107764.9900000007</v>
      </c>
    </row>
    <row r="11" spans="1:10" ht="15.75" thickTop="1">
      <c r="A11" s="1473">
        <v>2</v>
      </c>
    </row>
    <row r="12" spans="1:10">
      <c r="A12" s="1473">
        <v>3</v>
      </c>
      <c r="B12" s="13" t="s">
        <v>63</v>
      </c>
      <c r="D12" s="1013">
        <f>'Sch.B-I.S'!F39</f>
        <v>41828.609999999986</v>
      </c>
      <c r="F12" s="65">
        <f>+'Sch.B-I.S'!J163</f>
        <v>0</v>
      </c>
      <c r="H12" s="65">
        <f>D12+F12</f>
        <v>41828.609999999986</v>
      </c>
      <c r="J12" s="19"/>
    </row>
    <row r="13" spans="1:10">
      <c r="A13" s="1473">
        <v>4</v>
      </c>
      <c r="D13" s="1013"/>
      <c r="J13" s="19"/>
    </row>
    <row r="14" spans="1:10">
      <c r="A14" s="1473">
        <v>5</v>
      </c>
      <c r="D14" s="243"/>
      <c r="I14" s="19"/>
      <c r="J14" s="19"/>
    </row>
    <row r="15" spans="1:10">
      <c r="A15" s="1473">
        <v>6</v>
      </c>
      <c r="D15" s="1014"/>
      <c r="I15" s="19"/>
      <c r="J15" s="19"/>
    </row>
    <row r="16" spans="1:10" ht="15.75" thickBot="1">
      <c r="A16" s="1473">
        <v>7</v>
      </c>
      <c r="B16" s="13" t="s">
        <v>1474</v>
      </c>
      <c r="D16" s="1015">
        <f>D12-D14</f>
        <v>41828.609999999986</v>
      </c>
      <c r="J16" s="19"/>
    </row>
    <row r="17" spans="1:10">
      <c r="A17" s="1473">
        <v>8</v>
      </c>
    </row>
    <row r="18" spans="1:10" ht="15.75" thickBot="1">
      <c r="A18" s="1473">
        <v>9</v>
      </c>
      <c r="B18" s="13" t="s">
        <v>449</v>
      </c>
      <c r="D18" s="51">
        <f>'Input Schedule'!C30</f>
        <v>1.9845006534623184E-2</v>
      </c>
      <c r="F18" s="51" t="e">
        <f>F12/F10</f>
        <v>#DIV/0!</v>
      </c>
      <c r="H18" s="51">
        <f>H12/H10</f>
        <v>1.9845006534623184E-2</v>
      </c>
      <c r="J18" s="19"/>
    </row>
    <row r="19" spans="1:10" ht="15.75" thickTop="1">
      <c r="A19" s="1473">
        <v>10</v>
      </c>
      <c r="I19" s="19"/>
      <c r="J19" s="19"/>
    </row>
    <row r="20" spans="1:10">
      <c r="A20" s="1473">
        <v>11</v>
      </c>
    </row>
    <row r="21" spans="1:10">
      <c r="A21" s="1473">
        <v>12</v>
      </c>
    </row>
    <row r="22" spans="1:10" ht="15.75" thickBot="1">
      <c r="A22" s="1473">
        <v>13</v>
      </c>
      <c r="B22" s="13" t="s">
        <v>1466</v>
      </c>
      <c r="D22" s="44">
        <f>'Sch.B-I.S'!J11</f>
        <v>2100261.5742871873</v>
      </c>
      <c r="I22" s="19"/>
      <c r="J22" s="19"/>
    </row>
    <row r="23" spans="1:10" ht="15.75" thickTop="1">
      <c r="A23" s="1473">
        <v>14</v>
      </c>
      <c r="I23" s="19"/>
      <c r="J23" s="19"/>
    </row>
    <row r="24" spans="1:10">
      <c r="A24" s="1473">
        <v>15</v>
      </c>
      <c r="B24" s="13" t="s">
        <v>449</v>
      </c>
      <c r="D24" s="50">
        <f>D18</f>
        <v>1.9845006534623184E-2</v>
      </c>
      <c r="I24" s="19"/>
      <c r="J24" s="19"/>
    </row>
    <row r="25" spans="1:10">
      <c r="A25" s="1473">
        <v>16</v>
      </c>
    </row>
    <row r="26" spans="1:10">
      <c r="A26" s="1473">
        <v>17</v>
      </c>
    </row>
    <row r="27" spans="1:10">
      <c r="A27" s="1473">
        <v>18</v>
      </c>
      <c r="B27" s="13" t="s">
        <v>1467</v>
      </c>
      <c r="D27" s="13">
        <f>D22*D24</f>
        <v>41679.704666147212</v>
      </c>
      <c r="I27" s="19"/>
      <c r="J27" s="19"/>
    </row>
    <row r="28" spans="1:10">
      <c r="A28" s="1473">
        <v>19</v>
      </c>
    </row>
    <row r="29" spans="1:10">
      <c r="A29" s="1473">
        <v>20</v>
      </c>
    </row>
    <row r="30" spans="1:10">
      <c r="A30" s="1473">
        <v>21</v>
      </c>
    </row>
    <row r="31" spans="1:10" ht="15.75" thickBot="1">
      <c r="A31" s="1473">
        <v>22</v>
      </c>
      <c r="B31" s="13" t="s">
        <v>888</v>
      </c>
      <c r="D31" s="44">
        <f ca="1">+'Sch.B-I.S'!N11</f>
        <v>2617250.7594855195</v>
      </c>
      <c r="F31" s="65">
        <f>+'Sch.B-I.S'!N136</f>
        <v>0</v>
      </c>
      <c r="H31" s="65">
        <f ca="1">D31+F31</f>
        <v>2617250.7594855195</v>
      </c>
      <c r="I31" s="19"/>
      <c r="J31" s="1035"/>
    </row>
    <row r="32" spans="1:10" ht="15.75" thickTop="1">
      <c r="A32" s="1473">
        <v>23</v>
      </c>
      <c r="I32" s="19"/>
      <c r="J32" s="19"/>
    </row>
    <row r="33" spans="1:10">
      <c r="A33" s="1473">
        <v>24</v>
      </c>
      <c r="B33" s="13" t="s">
        <v>449</v>
      </c>
      <c r="D33" s="50">
        <f>D18</f>
        <v>1.9845006534623184E-2</v>
      </c>
      <c r="F33" s="50" t="e">
        <f>F18</f>
        <v>#DIV/0!</v>
      </c>
      <c r="H33" s="65" t="e">
        <f>D33+F33</f>
        <v>#DIV/0!</v>
      </c>
      <c r="I33" s="19"/>
      <c r="J33" s="19"/>
    </row>
    <row r="34" spans="1:10">
      <c r="A34" s="1473">
        <v>25</v>
      </c>
    </row>
    <row r="35" spans="1:10">
      <c r="A35" s="1473">
        <v>26</v>
      </c>
    </row>
    <row r="36" spans="1:10" ht="15.75" thickBot="1">
      <c r="A36" s="1473">
        <v>27</v>
      </c>
      <c r="B36" s="13" t="s">
        <v>63</v>
      </c>
      <c r="D36" s="44">
        <f ca="1">D33*D31</f>
        <v>51939.358424737628</v>
      </c>
      <c r="F36" s="44" t="e">
        <f>F33*F31</f>
        <v>#DIV/0!</v>
      </c>
      <c r="H36" s="44" t="e">
        <f ca="1">H33*H31</f>
        <v>#DIV/0!</v>
      </c>
      <c r="I36" s="19"/>
      <c r="J36" s="19"/>
    </row>
    <row r="37" spans="1:10" ht="15.75" thickTop="1">
      <c r="I37" s="19"/>
      <c r="J37" s="19"/>
    </row>
    <row r="38" spans="1:10">
      <c r="B38" s="19"/>
      <c r="C38" s="19"/>
      <c r="D38" s="19"/>
      <c r="I38" s="19"/>
      <c r="J38" s="19"/>
    </row>
  </sheetData>
  <phoneticPr fontId="28" type="noConversion"/>
  <pageMargins left="0.25" right="0.25" top="0.5" bottom="1" header="0.5" footer="0.5"/>
  <pageSetup orientation="portrait" horizontalDpi="4294967292" verticalDpi="4294967292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view="pageBreakPreview" zoomScale="90" zoomScaleNormal="90" zoomScaleSheetLayoutView="90" workbookViewId="0"/>
  </sheetViews>
  <sheetFormatPr defaultRowHeight="13.5"/>
  <cols>
    <col min="1" max="1" width="8" style="1578" customWidth="1"/>
    <col min="2" max="2" width="23.125" style="1578" bestFit="1" customWidth="1"/>
    <col min="3" max="3" width="11.125" style="1578" bestFit="1" customWidth="1"/>
    <col min="4" max="4" width="6.375" style="1578" bestFit="1" customWidth="1"/>
    <col min="5" max="16384" width="9" style="1578"/>
  </cols>
  <sheetData>
    <row r="1" spans="1:4" ht="15">
      <c r="A1" s="1631" t="str">
        <f>Company_Name</f>
        <v>WATER SERVICE CORPORATION OF KENTUCKY</v>
      </c>
    </row>
    <row r="2" spans="1:4" ht="15">
      <c r="A2" s="1631" t="str">
        <f>Docket</f>
        <v>Case No. 2015 - 00382</v>
      </c>
    </row>
    <row r="3" spans="1:4" ht="15">
      <c r="A3" s="1631" t="s">
        <v>3606</v>
      </c>
    </row>
    <row r="4" spans="1:4" ht="15">
      <c r="A4" s="1631" t="str">
        <f>TestYearEnded</f>
        <v>Test Year Ended 6/30/2015</v>
      </c>
    </row>
    <row r="8" spans="1:4" ht="15">
      <c r="A8" s="1751"/>
      <c r="B8" s="1751" t="s">
        <v>235</v>
      </c>
      <c r="C8" s="1751" t="s">
        <v>236</v>
      </c>
      <c r="D8" s="1751" t="s">
        <v>237</v>
      </c>
    </row>
    <row r="9" spans="1:4" ht="15">
      <c r="A9" s="1631"/>
      <c r="B9" s="1631"/>
      <c r="C9" s="2136" t="s">
        <v>721</v>
      </c>
      <c r="D9" s="2136"/>
    </row>
    <row r="10" spans="1:4" ht="15">
      <c r="A10" s="1631" t="s">
        <v>1786</v>
      </c>
      <c r="B10" s="1631" t="s">
        <v>679</v>
      </c>
      <c r="C10" s="1751" t="s">
        <v>671</v>
      </c>
      <c r="D10" s="1751" t="s">
        <v>92</v>
      </c>
    </row>
    <row r="11" spans="1:4" ht="16.5">
      <c r="A11" s="1752">
        <v>1</v>
      </c>
      <c r="B11" s="1753" t="s">
        <v>3607</v>
      </c>
      <c r="C11" s="1754">
        <v>27338.587799999514</v>
      </c>
      <c r="D11" s="1754">
        <v>0</v>
      </c>
    </row>
    <row r="12" spans="1:4" ht="16.5">
      <c r="A12" s="1755">
        <v>2</v>
      </c>
      <c r="B12" s="1750" t="s">
        <v>3608</v>
      </c>
      <c r="C12" s="1756">
        <v>39330.329061744589</v>
      </c>
      <c r="D12" s="1756">
        <v>0</v>
      </c>
    </row>
    <row r="13" spans="1:4" ht="16.5">
      <c r="A13" s="1755">
        <v>3</v>
      </c>
      <c r="B13" s="1750" t="s">
        <v>508</v>
      </c>
      <c r="C13" s="1756">
        <v>5348.1309820792812</v>
      </c>
      <c r="D13" s="1756">
        <v>0</v>
      </c>
    </row>
    <row r="14" spans="1:4" ht="16.5">
      <c r="A14" s="1755">
        <v>4</v>
      </c>
      <c r="B14" s="1750" t="s">
        <v>64</v>
      </c>
      <c r="C14" s="1756">
        <v>45873.647731381498</v>
      </c>
      <c r="D14" s="1756">
        <v>0</v>
      </c>
    </row>
    <row r="15" spans="1:4" ht="16.5">
      <c r="A15" s="1755">
        <v>5</v>
      </c>
      <c r="B15" s="1750" t="s">
        <v>3609</v>
      </c>
      <c r="C15" s="1756">
        <v>4448.7135143444757</v>
      </c>
      <c r="D15" s="1756">
        <v>0</v>
      </c>
    </row>
    <row r="16" spans="1:4" ht="17.25" thickBot="1">
      <c r="A16" s="1755">
        <v>6</v>
      </c>
      <c r="B16" s="1750" t="s">
        <v>3610</v>
      </c>
      <c r="C16" s="1757">
        <f>SUM(C11:C15)</f>
        <v>122339.40908954936</v>
      </c>
      <c r="D16" s="1757">
        <f>SUM(D11:D15)</f>
        <v>0</v>
      </c>
    </row>
    <row r="17" ht="14.25" thickTop="1"/>
  </sheetData>
  <mergeCells count="1">
    <mergeCell ref="C9:D9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view="pageBreakPreview" zoomScale="90" zoomScaleNormal="90" zoomScaleSheetLayoutView="90" workbookViewId="0"/>
  </sheetViews>
  <sheetFormatPr defaultRowHeight="13.5"/>
  <cols>
    <col min="1" max="1" width="9" style="1578"/>
    <col min="2" max="2" width="21.125" style="1578" bestFit="1" customWidth="1"/>
    <col min="3" max="3" width="11.375" style="1578" bestFit="1" customWidth="1"/>
    <col min="4" max="4" width="1.875" style="1578" customWidth="1"/>
    <col min="5" max="5" width="12.75" style="1578" bestFit="1" customWidth="1"/>
    <col min="6" max="6" width="1.875" style="1578" customWidth="1"/>
    <col min="7" max="7" width="12.375" style="1578" bestFit="1" customWidth="1"/>
    <col min="8" max="8" width="1.875" style="1578" customWidth="1"/>
    <col min="9" max="9" width="9.25" style="1578" bestFit="1" customWidth="1"/>
    <col min="10" max="10" width="1.875" style="1578" customWidth="1"/>
    <col min="11" max="11" width="9.625" style="1578" bestFit="1" customWidth="1"/>
    <col min="12" max="12" width="1.875" style="1578" customWidth="1"/>
    <col min="13" max="13" width="11.375" style="1578" bestFit="1" customWidth="1"/>
    <col min="14" max="16384" width="9" style="1578"/>
  </cols>
  <sheetData>
    <row r="1" spans="1:13" ht="15">
      <c r="A1" s="1618" t="str">
        <f>Company_Name</f>
        <v>WATER SERVICE CORPORATION OF KENTUCKY</v>
      </c>
      <c r="M1" s="209" t="s">
        <v>2348</v>
      </c>
    </row>
    <row r="2" spans="1:13" ht="15">
      <c r="A2" s="1619" t="str">
        <f>Docket</f>
        <v>Case No. 2015 - 00382</v>
      </c>
    </row>
    <row r="3" spans="1:13" ht="15">
      <c r="A3" s="1620" t="s">
        <v>2412</v>
      </c>
    </row>
    <row r="4" spans="1:13" ht="15">
      <c r="A4" s="1620" t="str">
        <f>TestYearEnded</f>
        <v>Test Year Ended 6/30/2015</v>
      </c>
    </row>
    <row r="6" spans="1:13" s="1615" customFormat="1" ht="16.5" customHeight="1">
      <c r="B6" s="1615" t="s">
        <v>235</v>
      </c>
      <c r="C6" s="1615" t="s">
        <v>236</v>
      </c>
      <c r="E6" s="1615" t="s">
        <v>237</v>
      </c>
      <c r="G6" s="1615" t="s">
        <v>238</v>
      </c>
      <c r="I6" s="1615" t="s">
        <v>239</v>
      </c>
      <c r="K6" s="1615" t="s">
        <v>869</v>
      </c>
      <c r="M6" s="1615" t="s">
        <v>870</v>
      </c>
    </row>
    <row r="7" spans="1:13" s="1643" customFormat="1" ht="30">
      <c r="A7" s="1696" t="s">
        <v>1786</v>
      </c>
      <c r="B7" s="1695"/>
      <c r="C7" s="1696" t="s">
        <v>230</v>
      </c>
      <c r="D7" s="1695"/>
      <c r="E7" s="1696" t="s">
        <v>2413</v>
      </c>
      <c r="F7" s="1695"/>
      <c r="G7" s="1696" t="s">
        <v>88</v>
      </c>
      <c r="H7" s="1695"/>
      <c r="I7" s="1696" t="s">
        <v>2414</v>
      </c>
      <c r="J7" s="1695"/>
      <c r="K7" s="1696" t="s">
        <v>3601</v>
      </c>
      <c r="L7" s="1695"/>
      <c r="M7" s="1696" t="s">
        <v>2417</v>
      </c>
    </row>
    <row r="8" spans="1:13">
      <c r="E8" s="1621"/>
    </row>
    <row r="9" spans="1:13" ht="15">
      <c r="A9" s="1615">
        <v>1</v>
      </c>
      <c r="B9" s="1578" t="s">
        <v>2415</v>
      </c>
      <c r="C9" s="1621">
        <f>'Sch.C-R.B'!E14</f>
        <v>11829534.330000002</v>
      </c>
      <c r="E9" s="1621">
        <v>-614547.27579568885</v>
      </c>
      <c r="G9" s="1621">
        <v>50989.027940682601</v>
      </c>
      <c r="I9" s="1621">
        <v>172623.82472222255</v>
      </c>
      <c r="K9" s="1621">
        <f>SUM(E9:I9)</f>
        <v>-390934.42313278373</v>
      </c>
      <c r="M9" s="1621">
        <f>C9+K9</f>
        <v>11438599.906867217</v>
      </c>
    </row>
    <row r="10" spans="1:13" ht="15">
      <c r="A10" s="1615">
        <v>2</v>
      </c>
      <c r="B10" s="1578" t="s">
        <v>2416</v>
      </c>
      <c r="C10" s="1613">
        <f>'Sch.C-R.B'!E15</f>
        <v>-5181177.0200000005</v>
      </c>
      <c r="D10" s="1613"/>
      <c r="E10" s="1613">
        <v>556452.87771881558</v>
      </c>
      <c r="F10" s="1613"/>
      <c r="G10" s="1613">
        <v>37608.768305538455</v>
      </c>
      <c r="H10" s="1613"/>
      <c r="I10" s="1613">
        <v>-4599.3010338943532</v>
      </c>
      <c r="J10" s="1613"/>
      <c r="K10" s="1613">
        <f>SUM(E10:I10)</f>
        <v>589462.34499045974</v>
      </c>
      <c r="L10" s="1613"/>
      <c r="M10" s="1613">
        <f>C10+K10</f>
        <v>-4591714.6750095412</v>
      </c>
    </row>
    <row r="11" spans="1:13" ht="15">
      <c r="A11" s="1615">
        <v>3</v>
      </c>
      <c r="C11" s="1621"/>
      <c r="E11" s="1621"/>
      <c r="G11" s="1621"/>
      <c r="I11" s="1621"/>
      <c r="K11" s="1621"/>
      <c r="M11" s="1621"/>
    </row>
    <row r="12" spans="1:13" ht="15.75" thickBot="1">
      <c r="A12" s="1615">
        <v>4</v>
      </c>
      <c r="C12" s="1622">
        <f>SUM(C9:C11)</f>
        <v>6648357.3100000015</v>
      </c>
      <c r="E12" s="1622">
        <f>SUM(E9:E11)</f>
        <v>-58094.398076873273</v>
      </c>
      <c r="G12" s="1622">
        <f>SUM(G9:G11)</f>
        <v>88597.796246221056</v>
      </c>
      <c r="I12" s="1622">
        <f>SUM(I9:I11)</f>
        <v>168024.52368832819</v>
      </c>
      <c r="K12" s="1622">
        <f>SUM(K9:K11)</f>
        <v>198527.921857676</v>
      </c>
      <c r="M12" s="1622">
        <f>SUM(M9:M11)</f>
        <v>6846885.2318576761</v>
      </c>
    </row>
    <row r="13" spans="1:13" ht="15.75" thickTop="1">
      <c r="A13" s="1615">
        <v>5</v>
      </c>
    </row>
  </sheetData>
  <pageMargins left="0.7" right="0.7" top="0.75" bottom="0.75" header="0.3" footer="0.3"/>
  <pageSetup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"/>
  <sheetViews>
    <sheetView showGridLines="0" workbookViewId="0">
      <selection activeCell="K15" sqref="K15"/>
    </sheetView>
  </sheetViews>
  <sheetFormatPr defaultRowHeight="15"/>
  <cols>
    <col min="1" max="16384" width="9" style="1758"/>
  </cols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O67"/>
  <sheetViews>
    <sheetView showGridLines="0" view="pageBreakPreview" zoomScale="85" zoomScaleNormal="100" zoomScaleSheetLayoutView="85" workbookViewId="0"/>
  </sheetViews>
  <sheetFormatPr defaultColWidth="10.875" defaultRowHeight="15"/>
  <cols>
    <col min="1" max="1" width="10.875" style="19"/>
    <col min="2" max="2" width="3.875" style="13" customWidth="1"/>
    <col min="3" max="3" width="19" style="13" bestFit="1" customWidth="1"/>
    <col min="4" max="4" width="5.25" style="13" bestFit="1" customWidth="1"/>
    <col min="5" max="6" width="10.125" style="13" bestFit="1" customWidth="1"/>
    <col min="7" max="7" width="9.5" style="13" bestFit="1" customWidth="1"/>
    <col min="8" max="8" width="2" style="13" customWidth="1"/>
    <col min="9" max="9" width="10" style="13" bestFit="1" customWidth="1"/>
    <col min="10" max="10" width="2.625" style="13" customWidth="1"/>
    <col min="11" max="11" width="9.875" style="65" customWidth="1"/>
    <col min="12" max="12" width="2.625" style="65" customWidth="1"/>
    <col min="13" max="13" width="7.25" style="65" bestFit="1" customWidth="1"/>
    <col min="14" max="14" width="12.5" style="65" customWidth="1"/>
    <col min="15" max="15" width="26.625" style="65" customWidth="1"/>
    <col min="16" max="17" width="10.875" style="19" customWidth="1"/>
    <col min="18" max="22" width="0" style="19" hidden="1" customWidth="1"/>
    <col min="23" max="16384" width="10.875" style="19"/>
  </cols>
  <sheetData>
    <row r="1" spans="1:15">
      <c r="A1" s="34" t="str">
        <f>Company_Name</f>
        <v>WATER SERVICE CORPORATION OF KENTUCKY</v>
      </c>
      <c r="B1" s="34"/>
      <c r="M1" s="69" t="s">
        <v>1934</v>
      </c>
    </row>
    <row r="2" spans="1:15">
      <c r="A2" s="34" t="str">
        <f>Docket</f>
        <v>Case No. 2015 - 00382</v>
      </c>
      <c r="B2" s="34"/>
      <c r="M2" s="69"/>
    </row>
    <row r="3" spans="1:15">
      <c r="A3" s="34" t="s">
        <v>324</v>
      </c>
      <c r="B3" s="34"/>
    </row>
    <row r="4" spans="1:15">
      <c r="A4" s="34" t="str">
        <f>TestYearEnded</f>
        <v>Test Year Ended 6/30/2015</v>
      </c>
      <c r="B4" s="34"/>
    </row>
    <row r="5" spans="1:15">
      <c r="B5" s="34"/>
      <c r="K5" s="13"/>
    </row>
    <row r="6" spans="1:15" s="1473" customFormat="1" ht="14.25">
      <c r="B6" s="1543" t="s">
        <v>235</v>
      </c>
      <c r="C6" s="1543" t="s">
        <v>236</v>
      </c>
      <c r="D6" s="1543" t="s">
        <v>237</v>
      </c>
      <c r="E6" s="1543" t="s">
        <v>238</v>
      </c>
      <c r="F6" s="1543" t="s">
        <v>239</v>
      </c>
      <c r="G6" s="1543" t="s">
        <v>869</v>
      </c>
      <c r="H6" s="1543"/>
      <c r="I6" s="1543" t="s">
        <v>870</v>
      </c>
      <c r="J6" s="1543"/>
      <c r="K6" s="1543"/>
      <c r="L6" s="1544"/>
      <c r="M6" s="1544"/>
      <c r="N6" s="1544"/>
      <c r="O6" s="1544"/>
    </row>
    <row r="7" spans="1:15" s="1473" customFormat="1" ht="14.25">
      <c r="B7" s="1543"/>
      <c r="C7" s="1543"/>
      <c r="D7" s="1543"/>
      <c r="E7" s="1543"/>
      <c r="F7" s="1543"/>
      <c r="G7" s="1543"/>
      <c r="H7" s="1543"/>
      <c r="I7" s="1543"/>
      <c r="J7" s="1543"/>
      <c r="K7" s="1543"/>
      <c r="L7" s="1544"/>
      <c r="M7" s="1544"/>
      <c r="N7" s="1544"/>
      <c r="O7" s="1544"/>
    </row>
    <row r="8" spans="1:15" ht="15.75">
      <c r="A8" s="1696" t="s">
        <v>1786</v>
      </c>
      <c r="I8" s="1697" t="s">
        <v>314</v>
      </c>
      <c r="K8" s="13"/>
      <c r="L8" s="131"/>
      <c r="M8" s="131"/>
      <c r="N8" s="131"/>
      <c r="O8" s="131"/>
    </row>
    <row r="9" spans="1:15">
      <c r="A9" s="1578"/>
      <c r="K9" s="13"/>
      <c r="L9" s="131"/>
      <c r="M9" s="131"/>
      <c r="N9" s="131"/>
      <c r="O9" s="131"/>
    </row>
    <row r="10" spans="1:15" ht="15.75">
      <c r="A10" s="1615">
        <v>1</v>
      </c>
      <c r="B10" s="13" t="s">
        <v>717</v>
      </c>
      <c r="I10" s="16">
        <v>80000</v>
      </c>
      <c r="K10" s="13"/>
      <c r="L10" s="131"/>
      <c r="M10" s="131"/>
      <c r="N10" s="131"/>
      <c r="O10" s="131"/>
    </row>
    <row r="11" spans="1:15">
      <c r="A11" s="1473">
        <v>2</v>
      </c>
      <c r="I11" s="16"/>
      <c r="K11" s="13"/>
      <c r="L11" s="131"/>
      <c r="M11" s="131"/>
      <c r="N11" s="131"/>
      <c r="O11" s="131"/>
    </row>
    <row r="12" spans="1:15">
      <c r="A12" s="1473">
        <v>3</v>
      </c>
      <c r="B12" s="13" t="s">
        <v>1351</v>
      </c>
      <c r="I12" s="16">
        <v>0</v>
      </c>
      <c r="K12" s="13"/>
      <c r="L12" s="131"/>
      <c r="M12" s="131"/>
      <c r="N12" s="131"/>
      <c r="O12" s="131"/>
    </row>
    <row r="13" spans="1:15" ht="15.75">
      <c r="A13" s="1615">
        <v>4</v>
      </c>
      <c r="E13" s="16"/>
      <c r="K13" s="13"/>
    </row>
    <row r="14" spans="1:15">
      <c r="A14" s="1473">
        <v>5</v>
      </c>
      <c r="B14" s="13" t="s">
        <v>1752</v>
      </c>
      <c r="E14" s="16"/>
      <c r="K14" s="13"/>
    </row>
    <row r="15" spans="1:15">
      <c r="A15" s="1473">
        <v>6</v>
      </c>
      <c r="C15" s="13" t="s">
        <v>1751</v>
      </c>
      <c r="E15" s="16"/>
      <c r="I15" s="65">
        <v>7000</v>
      </c>
      <c r="J15" s="2"/>
      <c r="K15" s="13"/>
    </row>
    <row r="16" spans="1:15" ht="15.75">
      <c r="A16" s="1615">
        <v>7</v>
      </c>
      <c r="E16" s="16"/>
      <c r="K16" s="13"/>
    </row>
    <row r="17" spans="1:11">
      <c r="A17" s="1473">
        <v>8</v>
      </c>
      <c r="B17" s="13" t="s">
        <v>329</v>
      </c>
      <c r="I17" s="13">
        <v>5000</v>
      </c>
      <c r="K17" s="13"/>
    </row>
    <row r="18" spans="1:11">
      <c r="A18" s="1473">
        <v>9</v>
      </c>
      <c r="K18" s="13"/>
    </row>
    <row r="19" spans="1:11" ht="15.75">
      <c r="A19" s="1615">
        <v>10</v>
      </c>
      <c r="G19" s="4" t="s">
        <v>281</v>
      </c>
      <c r="K19" s="13"/>
    </row>
    <row r="20" spans="1:11">
      <c r="A20" s="1473">
        <v>11</v>
      </c>
      <c r="E20" s="22" t="s">
        <v>738</v>
      </c>
      <c r="F20" s="33" t="s">
        <v>450</v>
      </c>
      <c r="G20" s="33" t="s">
        <v>501</v>
      </c>
      <c r="K20" s="13"/>
    </row>
    <row r="21" spans="1:11">
      <c r="A21" s="1473">
        <v>12</v>
      </c>
      <c r="B21" s="13" t="s">
        <v>502</v>
      </c>
      <c r="K21" s="13"/>
    </row>
    <row r="22" spans="1:11" ht="15.75">
      <c r="A22" s="1615">
        <v>13</v>
      </c>
      <c r="C22" s="13" t="s">
        <v>946</v>
      </c>
      <c r="E22" s="4">
        <v>3</v>
      </c>
      <c r="F22" s="13">
        <v>500</v>
      </c>
      <c r="G22" s="13">
        <v>2</v>
      </c>
      <c r="I22" s="13">
        <f>E22*F22*G22</f>
        <v>3000</v>
      </c>
      <c r="K22" s="13"/>
    </row>
    <row r="23" spans="1:11">
      <c r="A23" s="1473">
        <v>14</v>
      </c>
      <c r="C23" s="13" t="s">
        <v>947</v>
      </c>
      <c r="E23" s="4">
        <v>3</v>
      </c>
      <c r="F23" s="13">
        <v>200</v>
      </c>
      <c r="G23" s="13">
        <v>2</v>
      </c>
      <c r="I23" s="13">
        <f>E23*F23*G23</f>
        <v>1200</v>
      </c>
      <c r="K23" s="13"/>
    </row>
    <row r="24" spans="1:11">
      <c r="A24" s="1473">
        <v>15</v>
      </c>
      <c r="C24" s="13" t="s">
        <v>306</v>
      </c>
      <c r="F24" s="13">
        <v>200</v>
      </c>
      <c r="I24" s="13">
        <f>+F24</f>
        <v>200</v>
      </c>
    </row>
    <row r="25" spans="1:11" ht="15.75">
      <c r="A25" s="1615">
        <v>16</v>
      </c>
    </row>
    <row r="26" spans="1:11">
      <c r="A26" s="1473">
        <v>17</v>
      </c>
      <c r="B26" s="13" t="s">
        <v>533</v>
      </c>
    </row>
    <row r="27" spans="1:11">
      <c r="A27" s="1473">
        <v>18</v>
      </c>
      <c r="D27" s="33" t="s">
        <v>730</v>
      </c>
      <c r="E27" s="33" t="s">
        <v>731</v>
      </c>
      <c r="F27" s="33" t="s">
        <v>646</v>
      </c>
      <c r="G27" s="4"/>
    </row>
    <row r="28" spans="1:11" ht="15.75">
      <c r="A28" s="1615">
        <v>19</v>
      </c>
      <c r="D28" s="132"/>
      <c r="E28" s="132"/>
      <c r="F28" s="18"/>
      <c r="G28" s="4"/>
    </row>
    <row r="29" spans="1:11">
      <c r="A29" s="1473">
        <v>20</v>
      </c>
      <c r="C29" s="16" t="s">
        <v>1880</v>
      </c>
      <c r="D29" s="39">
        <v>200</v>
      </c>
      <c r="E29" s="413">
        <v>47</v>
      </c>
      <c r="F29" s="20">
        <f>D29*E29</f>
        <v>9400</v>
      </c>
    </row>
    <row r="30" spans="1:11">
      <c r="A30" s="1473">
        <v>21</v>
      </c>
      <c r="C30" s="16" t="s">
        <v>2335</v>
      </c>
      <c r="D30" s="39">
        <v>500</v>
      </c>
      <c r="E30" s="413">
        <v>38</v>
      </c>
      <c r="F30" s="20">
        <f>D30*E30</f>
        <v>19000</v>
      </c>
    </row>
    <row r="31" spans="1:11" ht="15.75">
      <c r="A31" s="1615">
        <v>22</v>
      </c>
      <c r="C31" s="16" t="s">
        <v>2333</v>
      </c>
      <c r="D31" s="39">
        <v>80</v>
      </c>
      <c r="E31" s="413">
        <v>87</v>
      </c>
      <c r="F31" s="20">
        <f t="shared" ref="F31:F32" si="0">D31*E31</f>
        <v>6960</v>
      </c>
    </row>
    <row r="32" spans="1:11">
      <c r="A32" s="1473">
        <v>23</v>
      </c>
      <c r="C32" s="16" t="s">
        <v>2334</v>
      </c>
      <c r="D32" s="39">
        <v>300</v>
      </c>
      <c r="E32" s="413">
        <v>61</v>
      </c>
      <c r="F32" s="20">
        <f t="shared" si="0"/>
        <v>18300</v>
      </c>
    </row>
    <row r="33" spans="1:14">
      <c r="A33" s="1473">
        <v>24</v>
      </c>
      <c r="C33" s="16" t="s">
        <v>1323</v>
      </c>
      <c r="D33" s="39">
        <v>80</v>
      </c>
      <c r="E33" s="413">
        <v>38.1587266851948</v>
      </c>
      <c r="F33" s="20">
        <f>D33*E33</f>
        <v>3052.6981348155841</v>
      </c>
    </row>
    <row r="34" spans="1:14">
      <c r="A34" s="1473">
        <v>25</v>
      </c>
      <c r="C34" s="16" t="s">
        <v>1759</v>
      </c>
      <c r="D34" s="39">
        <v>100</v>
      </c>
      <c r="E34" s="413">
        <v>131</v>
      </c>
      <c r="F34" s="20">
        <f>D34*E34</f>
        <v>13100</v>
      </c>
    </row>
    <row r="35" spans="1:14">
      <c r="A35" s="1473">
        <v>26</v>
      </c>
      <c r="C35" s="16" t="s">
        <v>1703</v>
      </c>
      <c r="D35" s="39">
        <v>51.5</v>
      </c>
      <c r="E35" s="413">
        <v>56</v>
      </c>
      <c r="F35" s="20">
        <f t="shared" ref="F35:F37" si="1">D35*E35</f>
        <v>2884</v>
      </c>
    </row>
    <row r="36" spans="1:14">
      <c r="A36" s="1473">
        <v>27</v>
      </c>
      <c r="C36" s="16" t="s">
        <v>3870</v>
      </c>
      <c r="D36" s="39">
        <v>10</v>
      </c>
      <c r="E36" s="413">
        <v>29</v>
      </c>
      <c r="F36" s="20">
        <f t="shared" si="1"/>
        <v>290</v>
      </c>
    </row>
    <row r="37" spans="1:14">
      <c r="A37" s="1473">
        <v>28</v>
      </c>
      <c r="C37" s="16" t="s">
        <v>2336</v>
      </c>
      <c r="D37" s="39">
        <v>200</v>
      </c>
      <c r="E37" s="413">
        <v>32</v>
      </c>
      <c r="F37" s="20">
        <f t="shared" si="1"/>
        <v>6400</v>
      </c>
    </row>
    <row r="38" spans="1:14">
      <c r="A38" s="1473">
        <v>29</v>
      </c>
      <c r="C38" s="16"/>
      <c r="F38" s="132"/>
    </row>
    <row r="39" spans="1:14">
      <c r="A39" s="1473">
        <v>30</v>
      </c>
      <c r="C39" s="13" t="s">
        <v>314</v>
      </c>
      <c r="I39" s="22">
        <f>SUM(F28:F37)</f>
        <v>79386.698134815582</v>
      </c>
    </row>
    <row r="40" spans="1:14">
      <c r="A40" s="1473">
        <v>31</v>
      </c>
      <c r="I40" s="35"/>
    </row>
    <row r="41" spans="1:14">
      <c r="A41" s="1473">
        <v>32</v>
      </c>
      <c r="I41" s="35"/>
      <c r="N41" s="55"/>
    </row>
    <row r="42" spans="1:14">
      <c r="A42" s="1473">
        <v>33</v>
      </c>
      <c r="N42" s="55"/>
    </row>
    <row r="43" spans="1:14">
      <c r="A43" s="1473">
        <v>34</v>
      </c>
      <c r="B43" s="13" t="s">
        <v>732</v>
      </c>
      <c r="I43" s="132">
        <f>SUM(I10:I40)</f>
        <v>175786.69813481558</v>
      </c>
      <c r="N43" s="55"/>
    </row>
    <row r="44" spans="1:14">
      <c r="A44" s="1473">
        <v>35</v>
      </c>
      <c r="I44" s="132"/>
      <c r="N44" s="55"/>
    </row>
    <row r="45" spans="1:14">
      <c r="A45" s="1473">
        <v>36</v>
      </c>
      <c r="B45" s="13" t="s">
        <v>1349</v>
      </c>
      <c r="I45" s="4">
        <f>E67</f>
        <v>85162.763333333336</v>
      </c>
      <c r="N45" s="55"/>
    </row>
    <row r="46" spans="1:14">
      <c r="A46" s="1473">
        <v>37</v>
      </c>
      <c r="I46" s="35"/>
      <c r="N46" s="55"/>
    </row>
    <row r="47" spans="1:14">
      <c r="A47" s="1473">
        <v>38</v>
      </c>
      <c r="B47" s="13" t="s">
        <v>1350</v>
      </c>
      <c r="I47" s="4">
        <f>SUM(I45,I43)</f>
        <v>260949.46146814892</v>
      </c>
      <c r="N47" s="55"/>
    </row>
    <row r="48" spans="1:14">
      <c r="A48" s="1473">
        <v>39</v>
      </c>
      <c r="I48" s="16"/>
      <c r="J48" s="16"/>
      <c r="K48" s="55"/>
      <c r="L48" s="55"/>
      <c r="M48" s="55"/>
      <c r="N48" s="55"/>
    </row>
    <row r="49" spans="1:14">
      <c r="A49" s="1473">
        <v>40</v>
      </c>
      <c r="B49" s="13" t="s">
        <v>733</v>
      </c>
      <c r="I49" s="22">
        <v>3</v>
      </c>
      <c r="N49" s="55"/>
    </row>
    <row r="50" spans="1:14">
      <c r="A50" s="1473">
        <v>41</v>
      </c>
      <c r="I50" s="18"/>
      <c r="N50" s="55"/>
    </row>
    <row r="51" spans="1:14">
      <c r="A51" s="1473">
        <v>42</v>
      </c>
      <c r="I51" s="35"/>
      <c r="K51" s="19"/>
      <c r="L51" s="19"/>
      <c r="M51" s="19"/>
      <c r="N51" s="55"/>
    </row>
    <row r="52" spans="1:14">
      <c r="A52" s="1473">
        <v>43</v>
      </c>
      <c r="K52" s="19"/>
      <c r="L52" s="19"/>
      <c r="M52" s="19"/>
      <c r="N52" s="55"/>
    </row>
    <row r="53" spans="1:14" ht="15.75" thickBot="1">
      <c r="A53" s="1473">
        <v>44</v>
      </c>
      <c r="B53" s="34" t="s">
        <v>90</v>
      </c>
      <c r="I53" s="44">
        <f>ROUND(I47/I49,0)</f>
        <v>86983</v>
      </c>
      <c r="J53" s="40"/>
      <c r="K53" s="19"/>
      <c r="L53" s="19"/>
      <c r="M53" s="19"/>
      <c r="N53" s="55"/>
    </row>
    <row r="54" spans="1:14" ht="15.75" thickTop="1">
      <c r="A54" s="1473">
        <v>45</v>
      </c>
      <c r="N54" s="55"/>
    </row>
    <row r="55" spans="1:14">
      <c r="A55" s="1473">
        <v>46</v>
      </c>
      <c r="B55" s="34"/>
      <c r="H55" s="18"/>
      <c r="I55" s="18"/>
      <c r="J55" s="18"/>
      <c r="K55" s="133" t="s">
        <v>671</v>
      </c>
      <c r="M55" s="133" t="s">
        <v>92</v>
      </c>
      <c r="N55" s="55"/>
    </row>
    <row r="56" spans="1:14">
      <c r="A56" s="1473">
        <v>47</v>
      </c>
      <c r="B56" s="34"/>
      <c r="H56" s="18"/>
      <c r="I56" s="18"/>
      <c r="J56" s="18"/>
      <c r="K56" s="1013">
        <f>I53*'Input Schedule'!D7</f>
        <v>86983</v>
      </c>
      <c r="L56" s="1013"/>
      <c r="M56" s="1013">
        <f>I53-K56</f>
        <v>0</v>
      </c>
    </row>
    <row r="57" spans="1:14">
      <c r="A57" s="1473">
        <v>48</v>
      </c>
      <c r="H57" s="18"/>
      <c r="I57" s="18"/>
      <c r="J57" s="18"/>
      <c r="K57" s="23"/>
      <c r="L57" s="23"/>
      <c r="M57" s="23"/>
    </row>
    <row r="58" spans="1:14">
      <c r="A58" s="1473">
        <v>49</v>
      </c>
    </row>
    <row r="59" spans="1:14">
      <c r="A59" s="1473">
        <v>50</v>
      </c>
      <c r="C59" s="13" t="s">
        <v>1925</v>
      </c>
      <c r="E59" s="13">
        <v>255488.29</v>
      </c>
    </row>
    <row r="60" spans="1:14">
      <c r="A60" s="1473">
        <v>51</v>
      </c>
      <c r="C60" s="13" t="s">
        <v>1926</v>
      </c>
      <c r="E60" s="13">
        <v>3</v>
      </c>
    </row>
    <row r="61" spans="1:14">
      <c r="A61" s="1473">
        <v>52</v>
      </c>
      <c r="C61" s="13" t="s">
        <v>1927</v>
      </c>
      <c r="E61" s="13">
        <f>E59/E60</f>
        <v>85162.763333333336</v>
      </c>
    </row>
    <row r="62" spans="1:14">
      <c r="A62" s="1473">
        <v>53</v>
      </c>
      <c r="C62" s="13" t="s">
        <v>1928</v>
      </c>
      <c r="E62" s="13">
        <f>E61/12</f>
        <v>7096.8969444444447</v>
      </c>
    </row>
    <row r="63" spans="1:14">
      <c r="A63" s="1473">
        <v>54</v>
      </c>
      <c r="C63" s="13" t="s">
        <v>1929</v>
      </c>
      <c r="E63" s="1379">
        <v>41821</v>
      </c>
    </row>
    <row r="64" spans="1:14">
      <c r="A64" s="1473">
        <v>55</v>
      </c>
      <c r="C64" s="13" t="s">
        <v>1930</v>
      </c>
      <c r="E64" s="1379">
        <v>42916</v>
      </c>
      <c r="G64" s="13" t="s">
        <v>1937</v>
      </c>
      <c r="I64" s="13" t="s">
        <v>1938</v>
      </c>
      <c r="K64" s="65" t="s">
        <v>1939</v>
      </c>
    </row>
    <row r="65" spans="1:11">
      <c r="A65" s="1473">
        <v>56</v>
      </c>
      <c r="C65" s="13" t="s">
        <v>1931</v>
      </c>
      <c r="E65" s="13">
        <f>36-K65</f>
        <v>24</v>
      </c>
      <c r="F65" s="1379"/>
      <c r="G65" s="1379">
        <v>42309</v>
      </c>
      <c r="H65" s="1379"/>
      <c r="I65" s="1379">
        <v>42552</v>
      </c>
      <c r="K65" s="1381">
        <f>ROUND((E64-I65)/30,0)</f>
        <v>12</v>
      </c>
    </row>
    <row r="66" spans="1:11">
      <c r="A66" s="1473">
        <v>57</v>
      </c>
      <c r="C66" s="13" t="s">
        <v>1932</v>
      </c>
      <c r="E66" s="13">
        <f>E65*E62</f>
        <v>170325.52666666667</v>
      </c>
    </row>
    <row r="67" spans="1:11">
      <c r="A67" s="1473">
        <v>58</v>
      </c>
      <c r="C67" s="13" t="s">
        <v>1933</v>
      </c>
      <c r="E67" s="13">
        <f>E59-E66</f>
        <v>85162.763333333336</v>
      </c>
    </row>
  </sheetData>
  <phoneticPr fontId="28" type="noConversion"/>
  <printOptions horizontalCentered="1"/>
  <pageMargins left="0.25" right="0" top="0.25" bottom="0.5" header="0.5" footer="0.5"/>
  <pageSetup scale="89" orientation="portrait" horizontalDpi="4294967292" verticalDpi="4294967292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O126"/>
  <sheetViews>
    <sheetView showGridLines="0" view="pageBreakPreview" topLeftCell="A10" zoomScale="90" zoomScaleNormal="100" zoomScaleSheetLayoutView="90" workbookViewId="0"/>
  </sheetViews>
  <sheetFormatPr defaultColWidth="10.875" defaultRowHeight="15"/>
  <cols>
    <col min="1" max="1" width="7.625" style="135" customWidth="1"/>
    <col min="2" max="2" width="3.125" style="135" customWidth="1"/>
    <col min="3" max="3" width="39.25" style="135" customWidth="1"/>
    <col min="4" max="4" width="9.5" style="135" customWidth="1"/>
    <col min="5" max="5" width="12.875" style="135" customWidth="1"/>
    <col min="6" max="6" width="4.125" style="135" customWidth="1"/>
    <col min="7" max="7" width="3" style="135" customWidth="1"/>
    <col min="8" max="8" width="14.5" style="135" customWidth="1"/>
    <col min="9" max="10" width="10.875" style="135" customWidth="1"/>
    <col min="11" max="11" width="9.625" style="135" customWidth="1"/>
    <col min="12" max="14" width="10.875" style="135" customWidth="1"/>
    <col min="15" max="15" width="26.625" style="135" customWidth="1"/>
    <col min="16" max="19" width="0" style="135" hidden="1" customWidth="1"/>
    <col min="20" max="16384" width="10.875" style="135"/>
  </cols>
  <sheetData>
    <row r="1" spans="1:8">
      <c r="A1" s="134" t="str">
        <f>Company_Name</f>
        <v>WATER SERVICE CORPORATION OF KENTUCKY</v>
      </c>
      <c r="B1" s="134"/>
      <c r="E1" s="136" t="s">
        <v>801</v>
      </c>
      <c r="G1" s="136"/>
      <c r="H1" s="137"/>
    </row>
    <row r="2" spans="1:8">
      <c r="A2" s="134" t="str">
        <f>Docket</f>
        <v>Case No. 2015 - 00382</v>
      </c>
      <c r="B2" s="134"/>
      <c r="E2" s="136"/>
      <c r="G2" s="136"/>
      <c r="H2" s="137"/>
    </row>
    <row r="3" spans="1:8">
      <c r="A3" s="138" t="s">
        <v>681</v>
      </c>
      <c r="B3" s="138"/>
      <c r="H3" s="137"/>
    </row>
    <row r="4" spans="1:8">
      <c r="A4" s="37" t="str">
        <f>TestYearEnded</f>
        <v>Test Year Ended 6/30/2015</v>
      </c>
      <c r="B4" s="37"/>
      <c r="H4" s="138"/>
    </row>
    <row r="5" spans="1:8">
      <c r="B5" s="137" t="s">
        <v>235</v>
      </c>
      <c r="C5" s="137" t="s">
        <v>236</v>
      </c>
      <c r="D5" s="137"/>
      <c r="E5" s="137" t="s">
        <v>237</v>
      </c>
      <c r="H5" s="139"/>
    </row>
    <row r="6" spans="1:8" ht="15.75">
      <c r="A6" s="1696" t="s">
        <v>1786</v>
      </c>
      <c r="E6" s="1700" t="s">
        <v>671</v>
      </c>
      <c r="F6" s="140"/>
      <c r="G6" s="142"/>
    </row>
    <row r="7" spans="1:8" ht="15.75">
      <c r="A7" s="1698"/>
      <c r="E7" s="1699"/>
      <c r="F7" s="140"/>
      <c r="G7" s="142"/>
    </row>
    <row r="8" spans="1:8">
      <c r="A8" s="158">
        <v>1</v>
      </c>
      <c r="B8" s="143" t="s">
        <v>112</v>
      </c>
    </row>
    <row r="9" spans="1:8">
      <c r="A9" s="158">
        <v>2</v>
      </c>
    </row>
    <row r="10" spans="1:8">
      <c r="A10" s="158">
        <v>3</v>
      </c>
      <c r="C10" s="135" t="s">
        <v>682</v>
      </c>
      <c r="E10" s="144">
        <f>+'Linked TB'!E641</f>
        <v>7990.19</v>
      </c>
    </row>
    <row r="11" spans="1:8">
      <c r="A11" s="158">
        <v>4</v>
      </c>
      <c r="C11" s="135" t="s">
        <v>429</v>
      </c>
      <c r="E11" s="135">
        <f>+'Linked TB'!E640</f>
        <v>56189.9</v>
      </c>
    </row>
    <row r="12" spans="1:8">
      <c r="A12" s="158">
        <v>5</v>
      </c>
      <c r="C12" s="135" t="s">
        <v>430</v>
      </c>
      <c r="E12" s="135">
        <f>+'Linked TB'!E638</f>
        <v>15051</v>
      </c>
    </row>
    <row r="13" spans="1:8">
      <c r="A13" s="158">
        <v>6</v>
      </c>
      <c r="C13" s="135" t="s">
        <v>1338</v>
      </c>
      <c r="E13" s="135">
        <f>'Linked TB'!E639</f>
        <v>5504.85</v>
      </c>
    </row>
    <row r="14" spans="1:8">
      <c r="A14" s="158">
        <v>7</v>
      </c>
      <c r="C14" s="135" t="s">
        <v>643</v>
      </c>
      <c r="E14" s="197">
        <f>+'Linked TB'!E637</f>
        <v>0</v>
      </c>
    </row>
    <row r="15" spans="1:8">
      <c r="A15" s="158">
        <v>8</v>
      </c>
      <c r="C15" s="135" t="s">
        <v>431</v>
      </c>
      <c r="E15" s="135">
        <f>+'Linked TB'!E636</f>
        <v>45.6</v>
      </c>
    </row>
    <row r="16" spans="1:8">
      <c r="A16" s="158">
        <v>9</v>
      </c>
      <c r="C16" s="135" t="s">
        <v>508</v>
      </c>
      <c r="E16" s="141">
        <f>+'Linked TB'!E634</f>
        <v>56029.219999999994</v>
      </c>
    </row>
    <row r="17" spans="1:15">
      <c r="A17" s="158">
        <v>10</v>
      </c>
    </row>
    <row r="18" spans="1:15">
      <c r="A18" s="158">
        <v>11</v>
      </c>
      <c r="C18" s="135" t="s">
        <v>314</v>
      </c>
      <c r="E18" s="285">
        <f>SUM(E10:E16)</f>
        <v>140810.76</v>
      </c>
      <c r="F18" s="142"/>
    </row>
    <row r="19" spans="1:15">
      <c r="A19" s="158">
        <v>12</v>
      </c>
      <c r="C19" s="286"/>
    </row>
    <row r="20" spans="1:15">
      <c r="A20" s="158">
        <v>13</v>
      </c>
      <c r="B20" s="143" t="s">
        <v>447</v>
      </c>
      <c r="I20" s="145"/>
      <c r="J20" s="145"/>
      <c r="K20" s="145"/>
      <c r="L20" s="145"/>
      <c r="M20" s="145"/>
      <c r="N20" s="145"/>
      <c r="O20" s="145"/>
    </row>
    <row r="21" spans="1:15">
      <c r="A21" s="158">
        <v>14</v>
      </c>
      <c r="I21" s="145"/>
      <c r="J21" s="145"/>
      <c r="K21" s="145"/>
      <c r="L21" s="145"/>
      <c r="M21" s="145"/>
      <c r="N21" s="145"/>
      <c r="O21" s="145"/>
    </row>
    <row r="22" spans="1:15">
      <c r="A22" s="158">
        <v>15</v>
      </c>
      <c r="C22" s="135" t="s">
        <v>426</v>
      </c>
      <c r="E22" s="16">
        <f>'wp-b-Salary'!C13</f>
        <v>5348.1309820792812</v>
      </c>
      <c r="F22" s="145"/>
      <c r="I22" s="145"/>
      <c r="J22" s="145"/>
      <c r="K22" s="145"/>
      <c r="L22" s="145"/>
      <c r="M22" s="145"/>
      <c r="N22" s="145"/>
      <c r="O22" s="145"/>
    </row>
    <row r="23" spans="1:15">
      <c r="A23" s="158">
        <v>16</v>
      </c>
      <c r="E23" s="16"/>
      <c r="F23" s="145"/>
      <c r="I23" s="145"/>
      <c r="J23" s="145"/>
      <c r="K23" s="145"/>
      <c r="L23" s="145"/>
      <c r="M23" s="145"/>
      <c r="N23" s="145"/>
      <c r="O23" s="145"/>
    </row>
    <row r="24" spans="1:15">
      <c r="A24" s="158">
        <v>17</v>
      </c>
      <c r="C24" s="1624" t="s">
        <v>759</v>
      </c>
      <c r="E24" s="16"/>
      <c r="F24" s="145"/>
      <c r="I24" s="145"/>
      <c r="J24" s="145"/>
      <c r="K24" s="145"/>
      <c r="L24" s="145"/>
      <c r="M24" s="145"/>
      <c r="N24" s="145"/>
      <c r="O24" s="145"/>
    </row>
    <row r="25" spans="1:15">
      <c r="A25" s="158">
        <v>18</v>
      </c>
      <c r="C25" s="149" t="s">
        <v>3947</v>
      </c>
      <c r="D25" s="149">
        <f>'Sch.B-I.S'!J15</f>
        <v>2167760.1542871878</v>
      </c>
      <c r="E25" s="16"/>
      <c r="F25" s="145"/>
      <c r="I25" s="145"/>
      <c r="J25" s="145"/>
      <c r="K25" s="145"/>
      <c r="L25" s="145"/>
      <c r="M25" s="145"/>
      <c r="N25" s="145"/>
      <c r="O25" s="145"/>
    </row>
    <row r="26" spans="1:15">
      <c r="A26" s="158">
        <v>19</v>
      </c>
      <c r="C26" s="149"/>
      <c r="D26" s="150"/>
      <c r="E26" s="16"/>
      <c r="F26" s="145"/>
      <c r="I26" s="145"/>
      <c r="J26" s="145"/>
      <c r="K26" s="145"/>
      <c r="L26" s="145"/>
      <c r="M26" s="145"/>
      <c r="N26" s="145"/>
      <c r="O26" s="145"/>
    </row>
    <row r="27" spans="1:15">
      <c r="A27" s="158">
        <v>20</v>
      </c>
      <c r="C27" s="149" t="s">
        <v>3943</v>
      </c>
      <c r="D27" s="1623">
        <f>1.952/1000</f>
        <v>1.952E-3</v>
      </c>
      <c r="E27" s="16"/>
      <c r="F27" s="145"/>
      <c r="I27" s="145"/>
      <c r="J27" s="145"/>
      <c r="K27" s="145"/>
      <c r="L27" s="145"/>
      <c r="M27" s="145"/>
      <c r="N27" s="145"/>
      <c r="O27" s="145"/>
    </row>
    <row r="28" spans="1:15">
      <c r="A28" s="158">
        <v>21</v>
      </c>
      <c r="E28" s="16"/>
      <c r="F28" s="145"/>
      <c r="I28" s="145"/>
      <c r="J28" s="145"/>
      <c r="K28" s="145"/>
      <c r="L28" s="145"/>
      <c r="M28" s="145"/>
      <c r="N28" s="145"/>
      <c r="O28" s="145"/>
    </row>
    <row r="29" spans="1:15">
      <c r="A29" s="158">
        <v>22</v>
      </c>
      <c r="C29" s="149" t="s">
        <v>3944</v>
      </c>
      <c r="D29" s="148">
        <f>D25*D27</f>
        <v>4231.4678211685905</v>
      </c>
      <c r="E29" s="16"/>
      <c r="F29" s="145"/>
      <c r="I29" s="145"/>
      <c r="J29" s="145"/>
      <c r="K29" s="145"/>
      <c r="L29" s="145"/>
      <c r="M29" s="145"/>
      <c r="N29" s="145"/>
      <c r="O29" s="145"/>
    </row>
    <row r="30" spans="1:15">
      <c r="A30" s="158">
        <v>23</v>
      </c>
      <c r="E30" s="16"/>
      <c r="F30" s="145"/>
      <c r="I30" s="145"/>
      <c r="J30" s="145"/>
      <c r="K30" s="145"/>
      <c r="L30" s="145"/>
      <c r="M30" s="145"/>
      <c r="N30" s="145"/>
      <c r="O30" s="145"/>
    </row>
    <row r="31" spans="1:15">
      <c r="A31" s="158">
        <v>24</v>
      </c>
      <c r="C31" s="149" t="s">
        <v>230</v>
      </c>
      <c r="D31" s="135">
        <f>E10</f>
        <v>7990.19</v>
      </c>
      <c r="E31" s="16"/>
      <c r="F31" s="145"/>
      <c r="I31" s="145"/>
      <c r="J31" s="145"/>
      <c r="K31" s="145"/>
      <c r="L31" s="145"/>
      <c r="M31" s="145"/>
      <c r="N31" s="145"/>
      <c r="O31" s="145"/>
    </row>
    <row r="32" spans="1:15">
      <c r="A32" s="158">
        <v>25</v>
      </c>
      <c r="E32" s="16"/>
      <c r="F32" s="145"/>
      <c r="I32" s="145"/>
      <c r="J32" s="145"/>
      <c r="K32" s="145"/>
      <c r="L32" s="145"/>
      <c r="M32" s="145"/>
      <c r="N32" s="145"/>
      <c r="O32" s="145"/>
    </row>
    <row r="33" spans="1:15">
      <c r="A33" s="158">
        <v>26</v>
      </c>
      <c r="C33" s="135" t="s">
        <v>3945</v>
      </c>
      <c r="E33" s="145">
        <f>D29-D31</f>
        <v>-3758.7221788314091</v>
      </c>
      <c r="F33" s="145"/>
      <c r="I33" s="145"/>
      <c r="J33" s="145"/>
      <c r="K33" s="145"/>
      <c r="L33" s="145"/>
      <c r="M33" s="145"/>
      <c r="N33" s="145"/>
      <c r="O33" s="145"/>
    </row>
    <row r="34" spans="1:15">
      <c r="A34" s="158">
        <v>27</v>
      </c>
      <c r="E34" s="146"/>
      <c r="F34" s="145"/>
      <c r="I34" s="145"/>
      <c r="J34" s="145"/>
      <c r="K34" s="145"/>
      <c r="L34" s="145"/>
      <c r="M34" s="145"/>
      <c r="N34" s="145"/>
      <c r="O34" s="145"/>
    </row>
    <row r="35" spans="1:15" ht="15.75" thickBot="1">
      <c r="A35" s="158">
        <v>28</v>
      </c>
      <c r="C35" s="138" t="s">
        <v>3946</v>
      </c>
      <c r="E35" s="242">
        <f>SUM(E22:E33)</f>
        <v>1589.4088032478721</v>
      </c>
      <c r="F35" s="147"/>
      <c r="I35" s="145"/>
      <c r="J35" s="145"/>
      <c r="K35" s="145"/>
      <c r="L35" s="145"/>
      <c r="M35" s="145"/>
      <c r="N35" s="145"/>
      <c r="O35" s="145"/>
    </row>
    <row r="36" spans="1:15" ht="15.75" thickTop="1">
      <c r="A36" s="158">
        <v>29</v>
      </c>
      <c r="E36" s="145"/>
      <c r="F36" s="145"/>
      <c r="G36" s="142"/>
      <c r="I36" s="145"/>
      <c r="J36" s="145"/>
      <c r="K36" s="145"/>
      <c r="L36" s="145"/>
      <c r="M36" s="145"/>
      <c r="N36" s="145"/>
      <c r="O36" s="145"/>
    </row>
    <row r="37" spans="1:15">
      <c r="A37" s="158">
        <v>30</v>
      </c>
      <c r="B37" s="143" t="s">
        <v>664</v>
      </c>
      <c r="E37" s="145"/>
      <c r="F37" s="145"/>
      <c r="I37" s="149"/>
      <c r="J37" s="149"/>
      <c r="K37" s="149"/>
      <c r="L37" s="145"/>
    </row>
    <row r="38" spans="1:15">
      <c r="A38" s="158">
        <v>31</v>
      </c>
      <c r="C38" s="1624"/>
      <c r="E38" s="145"/>
      <c r="F38" s="145"/>
      <c r="I38" s="149"/>
      <c r="J38" s="149"/>
      <c r="K38" s="149"/>
      <c r="L38" s="145"/>
    </row>
    <row r="39" spans="1:15">
      <c r="A39" s="158">
        <v>32</v>
      </c>
      <c r="C39" s="1624" t="s">
        <v>759</v>
      </c>
      <c r="E39" s="145"/>
      <c r="F39" s="145"/>
      <c r="I39" s="149"/>
      <c r="J39" s="149"/>
      <c r="K39" s="149"/>
      <c r="L39" s="145"/>
    </row>
    <row r="40" spans="1:15">
      <c r="A40" s="158">
        <v>33</v>
      </c>
      <c r="C40" s="149" t="s">
        <v>2420</v>
      </c>
      <c r="D40" s="149"/>
      <c r="E40" s="149">
        <f ca="1">'Sch.B-I.S'!N15</f>
        <v>2684749.33948552</v>
      </c>
      <c r="F40" s="149"/>
    </row>
    <row r="41" spans="1:15" s="149" customFormat="1">
      <c r="A41" s="158">
        <v>34</v>
      </c>
      <c r="E41" s="150"/>
      <c r="F41" s="150"/>
    </row>
    <row r="42" spans="1:15" s="149" customFormat="1">
      <c r="A42" s="158">
        <v>35</v>
      </c>
      <c r="C42" s="149" t="s">
        <v>2419</v>
      </c>
      <c r="E42" s="1623">
        <f>1.901/1000</f>
        <v>1.9010000000000001E-3</v>
      </c>
      <c r="F42" s="150"/>
    </row>
    <row r="43" spans="1:15" s="149" customFormat="1">
      <c r="A43" s="158">
        <v>36</v>
      </c>
    </row>
    <row r="44" spans="1:15" s="149" customFormat="1">
      <c r="A44" s="158">
        <v>37</v>
      </c>
      <c r="C44" s="149" t="s">
        <v>1477</v>
      </c>
      <c r="E44" s="148">
        <f ca="1">E40*E42</f>
        <v>5103.7084943619739</v>
      </c>
    </row>
    <row r="45" spans="1:15" s="149" customFormat="1">
      <c r="A45" s="158">
        <v>38</v>
      </c>
      <c r="B45" s="151"/>
    </row>
    <row r="46" spans="1:15" s="149" customFormat="1">
      <c r="A46" s="158">
        <v>39</v>
      </c>
      <c r="C46" s="149" t="s">
        <v>3944</v>
      </c>
      <c r="E46" s="149">
        <f>D29</f>
        <v>4231.4678211685905</v>
      </c>
    </row>
    <row r="47" spans="1:15" s="149" customFormat="1">
      <c r="A47" s="158">
        <v>40</v>
      </c>
      <c r="E47" s="152"/>
      <c r="F47" s="152"/>
    </row>
    <row r="48" spans="1:15" s="149" customFormat="1" ht="15.75" thickBot="1">
      <c r="A48" s="158">
        <v>41</v>
      </c>
      <c r="C48" s="149" t="s">
        <v>721</v>
      </c>
      <c r="E48" s="1029">
        <f ca="1">E44-E46</f>
        <v>872.24067319338337</v>
      </c>
    </row>
    <row r="49" spans="1:9" s="149" customFormat="1" ht="15.75" thickTop="1">
      <c r="A49" s="158">
        <v>42</v>
      </c>
    </row>
    <row r="50" spans="1:9" s="149" customFormat="1"/>
    <row r="51" spans="1:9" s="149" customFormat="1"/>
    <row r="52" spans="1:9" s="149" customFormat="1"/>
    <row r="53" spans="1:9" s="149" customFormat="1">
      <c r="I53" s="153"/>
    </row>
    <row r="54" spans="1:9" s="149" customFormat="1">
      <c r="I54" s="154"/>
    </row>
    <row r="55" spans="1:9" s="149" customFormat="1"/>
    <row r="56" spans="1:9" s="149" customFormat="1"/>
    <row r="57" spans="1:9" s="149" customFormat="1"/>
    <row r="58" spans="1:9" s="149" customFormat="1"/>
    <row r="59" spans="1:9" s="149" customFormat="1">
      <c r="B59" s="151"/>
    </row>
    <row r="60" spans="1:9" s="149" customFormat="1"/>
    <row r="61" spans="1:9" s="149" customFormat="1">
      <c r="E61" s="152"/>
      <c r="F61" s="152"/>
    </row>
    <row r="62" spans="1:9" s="149" customFormat="1"/>
    <row r="63" spans="1:9" s="149" customFormat="1"/>
    <row r="64" spans="1:9" s="149" customFormat="1"/>
    <row r="65" spans="2:8" s="149" customFormat="1"/>
    <row r="66" spans="2:8" s="149" customFormat="1"/>
    <row r="67" spans="2:8" s="149" customFormat="1"/>
    <row r="68" spans="2:8" s="149" customFormat="1"/>
    <row r="69" spans="2:8" s="149" customFormat="1"/>
    <row r="70" spans="2:8" s="149" customFormat="1"/>
    <row r="71" spans="2:8" s="149" customFormat="1"/>
    <row r="72" spans="2:8" s="149" customFormat="1"/>
    <row r="73" spans="2:8" s="149" customFormat="1">
      <c r="B73" s="148"/>
      <c r="G73" s="155"/>
      <c r="H73" s="156"/>
    </row>
    <row r="74" spans="2:8" s="149" customFormat="1"/>
    <row r="75" spans="2:8" s="149" customFormat="1"/>
    <row r="76" spans="2:8" s="149" customFormat="1">
      <c r="E76" s="157"/>
      <c r="F76" s="157"/>
    </row>
    <row r="77" spans="2:8" s="149" customFormat="1"/>
    <row r="78" spans="2:8" s="149" customFormat="1"/>
    <row r="79" spans="2:8" s="149" customFormat="1"/>
    <row r="80" spans="2:8" s="149" customFormat="1"/>
    <row r="81" spans="2:9" s="149" customFormat="1">
      <c r="B81" s="151"/>
    </row>
    <row r="82" spans="2:9" s="149" customFormat="1"/>
    <row r="83" spans="2:9" s="149" customFormat="1">
      <c r="E83" s="152"/>
      <c r="F83" s="152"/>
    </row>
    <row r="84" spans="2:9" s="149" customFormat="1"/>
    <row r="85" spans="2:9" s="149" customFormat="1"/>
    <row r="86" spans="2:9" s="149" customFormat="1"/>
    <row r="87" spans="2:9" s="149" customFormat="1"/>
    <row r="88" spans="2:9" s="149" customFormat="1"/>
    <row r="89" spans="2:9" s="149" customFormat="1">
      <c r="I89" s="153"/>
    </row>
    <row r="90" spans="2:9" s="149" customFormat="1">
      <c r="I90" s="154"/>
    </row>
    <row r="91" spans="2:9" s="149" customFormat="1"/>
    <row r="92" spans="2:9" s="149" customFormat="1"/>
    <row r="93" spans="2:9" s="149" customFormat="1"/>
    <row r="94" spans="2:9" s="149" customFormat="1"/>
    <row r="95" spans="2:9" s="149" customFormat="1">
      <c r="B95" s="151"/>
    </row>
    <row r="96" spans="2:9" s="149" customFormat="1"/>
    <row r="97" spans="5:6" s="149" customFormat="1">
      <c r="E97" s="152"/>
      <c r="F97" s="152"/>
    </row>
    <row r="98" spans="5:6" s="149" customFormat="1"/>
    <row r="99" spans="5:6" s="149" customFormat="1"/>
    <row r="100" spans="5:6" s="149" customFormat="1"/>
    <row r="101" spans="5:6" s="149" customFormat="1"/>
    <row r="102" spans="5:6" s="149" customFormat="1"/>
    <row r="103" spans="5:6" s="149" customFormat="1"/>
    <row r="104" spans="5:6" s="149" customFormat="1"/>
    <row r="105" spans="5:6" s="149" customFormat="1"/>
    <row r="106" spans="5:6" s="149" customFormat="1"/>
    <row r="107" spans="5:6" s="149" customFormat="1"/>
    <row r="108" spans="5:6" s="149" customFormat="1"/>
    <row r="109" spans="5:6" s="149" customFormat="1"/>
    <row r="110" spans="5:6" s="149" customFormat="1"/>
    <row r="111" spans="5:6" s="149" customFormat="1"/>
    <row r="112" spans="5:6" s="149" customFormat="1"/>
    <row r="113" spans="3:6" s="149" customFormat="1"/>
    <row r="114" spans="3:6" s="149" customFormat="1"/>
    <row r="115" spans="3:6" s="149" customFormat="1"/>
    <row r="116" spans="3:6" s="149" customFormat="1"/>
    <row r="117" spans="3:6" s="149" customFormat="1"/>
    <row r="118" spans="3:6" s="149" customFormat="1"/>
    <row r="119" spans="3:6" s="149" customFormat="1"/>
    <row r="120" spans="3:6" s="149" customFormat="1"/>
    <row r="121" spans="3:6" s="149" customFormat="1"/>
    <row r="122" spans="3:6" s="149" customFormat="1"/>
    <row r="123" spans="3:6" s="149" customFormat="1"/>
    <row r="124" spans="3:6" s="149" customFormat="1"/>
    <row r="125" spans="3:6" s="149" customFormat="1">
      <c r="C125" s="135"/>
      <c r="D125" s="135"/>
      <c r="E125" s="135"/>
      <c r="F125" s="135"/>
    </row>
    <row r="126" spans="3:6" s="149" customFormat="1">
      <c r="C126" s="135"/>
      <c r="D126" s="135"/>
      <c r="E126" s="135"/>
      <c r="F126" s="135"/>
    </row>
  </sheetData>
  <phoneticPr fontId="28" type="noConversion"/>
  <pageMargins left="0.25" right="0" top="0.5" bottom="0" header="0.5" footer="0.5"/>
  <pageSetup scale="95" orientation="portrait" horizontalDpi="4294967292" vertic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showGridLines="0" view="pageBreakPreview" topLeftCell="A38" zoomScale="90" zoomScaleNormal="90" zoomScaleSheetLayoutView="90" workbookViewId="0"/>
  </sheetViews>
  <sheetFormatPr defaultRowHeight="13.5"/>
  <cols>
    <col min="1" max="1" width="5.625" style="1578" customWidth="1"/>
    <col min="2" max="2" width="6.75" style="1578" customWidth="1"/>
    <col min="3" max="3" width="30.375" style="1578" bestFit="1" customWidth="1"/>
    <col min="4" max="4" width="3" style="1578" customWidth="1"/>
    <col min="5" max="5" width="11.125" style="1578" bestFit="1" customWidth="1"/>
    <col min="6" max="6" width="3" style="1578" customWidth="1"/>
    <col min="7" max="7" width="11.625" style="1578" bestFit="1" customWidth="1"/>
    <col min="8" max="8" width="3" style="1578" customWidth="1"/>
    <col min="9" max="9" width="12.125" style="1984" customWidth="1"/>
    <col min="10" max="10" width="3" style="1578" customWidth="1"/>
    <col min="11" max="11" width="13.375" style="1578" bestFit="1" customWidth="1"/>
    <col min="12" max="12" width="10.75" style="1578" customWidth="1"/>
    <col min="13" max="16384" width="9" style="1578"/>
  </cols>
  <sheetData>
    <row r="1" spans="1:12" ht="15">
      <c r="A1" s="2039" t="str">
        <f>Company_Name</f>
        <v>WATER SERVICE CORPORATION OF KENTUCKY</v>
      </c>
      <c r="B1" s="1577"/>
      <c r="D1" s="1579"/>
      <c r="F1" s="1579"/>
      <c r="H1" s="1579"/>
      <c r="J1" s="1579"/>
      <c r="K1" s="1579" t="s">
        <v>802</v>
      </c>
    </row>
    <row r="2" spans="1:12" ht="15">
      <c r="A2" s="2039" t="str">
        <f>Docket</f>
        <v>Case No. 2015 - 00382</v>
      </c>
      <c r="B2" s="1577"/>
      <c r="D2" s="1615"/>
      <c r="F2" s="1615"/>
      <c r="H2" s="1615"/>
      <c r="J2" s="1615"/>
    </row>
    <row r="3" spans="1:12" ht="15">
      <c r="A3" s="1577" t="s">
        <v>104</v>
      </c>
      <c r="B3" s="1577"/>
    </row>
    <row r="4" spans="1:12" ht="15">
      <c r="A4" s="1577" t="str">
        <f>TestYearEnded</f>
        <v>Test Year Ended 6/30/2015</v>
      </c>
      <c r="B4" s="1577"/>
    </row>
    <row r="7" spans="1:12" s="1615" customFormat="1" ht="15">
      <c r="B7" s="1615" t="s">
        <v>235</v>
      </c>
      <c r="C7" s="1615" t="s">
        <v>236</v>
      </c>
      <c r="E7" s="1615" t="s">
        <v>237</v>
      </c>
      <c r="G7" s="1615" t="s">
        <v>238</v>
      </c>
      <c r="I7" s="1615" t="s">
        <v>239</v>
      </c>
      <c r="K7" s="1615" t="s">
        <v>869</v>
      </c>
    </row>
    <row r="9" spans="1:12" ht="60">
      <c r="A9" s="2051" t="s">
        <v>1786</v>
      </c>
      <c r="B9" s="2051" t="s">
        <v>3950</v>
      </c>
      <c r="C9" s="2052" t="s">
        <v>1910</v>
      </c>
      <c r="D9" s="1713"/>
      <c r="E9" s="2053" t="s">
        <v>3951</v>
      </c>
      <c r="F9" s="1713"/>
      <c r="G9" s="2053" t="s">
        <v>3952</v>
      </c>
      <c r="H9" s="1713"/>
      <c r="I9" s="2054" t="s">
        <v>3990</v>
      </c>
      <c r="J9" s="1713"/>
      <c r="K9" s="2053" t="s">
        <v>3991</v>
      </c>
      <c r="L9" s="2053" t="s">
        <v>4005</v>
      </c>
    </row>
    <row r="10" spans="1:12" ht="15">
      <c r="A10" s="1615">
        <v>1</v>
      </c>
      <c r="B10" s="2055">
        <v>1020</v>
      </c>
      <c r="C10" s="2011" t="s">
        <v>466</v>
      </c>
      <c r="D10" s="1635"/>
      <c r="E10" s="2041">
        <f>IFERROR(VLOOKUP($B10,'Linked TB'!$A$5:$E$688,5,FALSE),0)</f>
        <v>164394.1</v>
      </c>
      <c r="F10" s="1635"/>
      <c r="G10" s="2041">
        <v>0</v>
      </c>
      <c r="H10" s="1635"/>
      <c r="I10" s="2060">
        <v>2.5000000000000001E-2</v>
      </c>
      <c r="J10" s="1635"/>
      <c r="K10" s="2043">
        <f>E10*I10</f>
        <v>4109.8525</v>
      </c>
      <c r="L10" s="2043">
        <f>G10*I10</f>
        <v>0</v>
      </c>
    </row>
    <row r="11" spans="1:12" ht="15">
      <c r="A11" s="1615">
        <v>2</v>
      </c>
      <c r="B11" s="2055">
        <v>1025</v>
      </c>
      <c r="C11" s="2011" t="s">
        <v>3953</v>
      </c>
      <c r="D11" s="1635"/>
      <c r="E11" s="2041">
        <f>IFERROR(VLOOKUP($B11,'Linked TB'!$A$5:$E$688,5,FALSE),0)</f>
        <v>0</v>
      </c>
      <c r="F11" s="1635"/>
      <c r="G11" s="2041">
        <v>0</v>
      </c>
      <c r="H11" s="1635"/>
      <c r="I11" s="2060">
        <v>2.5000000000000001E-2</v>
      </c>
      <c r="J11" s="1635"/>
      <c r="K11" s="2043">
        <f t="shared" ref="K11:K15" si="0">E11*I11</f>
        <v>0</v>
      </c>
      <c r="L11" s="2043">
        <f t="shared" ref="L11:L46" si="1">G11*I11</f>
        <v>0</v>
      </c>
    </row>
    <row r="12" spans="1:12" ht="15">
      <c r="A12" s="1615">
        <v>3</v>
      </c>
      <c r="B12" s="2055">
        <v>1030</v>
      </c>
      <c r="C12" s="2011" t="s">
        <v>3954</v>
      </c>
      <c r="D12" s="1635"/>
      <c r="E12" s="2041">
        <f>IFERROR(VLOOKUP($B12,'Linked TB'!$A$5:$E$688,5,FALSE),0)</f>
        <v>0</v>
      </c>
      <c r="F12" s="1635"/>
      <c r="G12" s="2041">
        <v>0</v>
      </c>
      <c r="H12" s="1635"/>
      <c r="I12" s="2060">
        <v>0</v>
      </c>
      <c r="J12" s="1635"/>
      <c r="K12" s="2043">
        <f t="shared" si="0"/>
        <v>0</v>
      </c>
      <c r="L12" s="2043">
        <f t="shared" si="1"/>
        <v>0</v>
      </c>
    </row>
    <row r="13" spans="1:12" ht="15">
      <c r="A13" s="1615">
        <v>4</v>
      </c>
      <c r="B13" s="2055">
        <v>1035</v>
      </c>
      <c r="C13" s="2011" t="s">
        <v>3955</v>
      </c>
      <c r="D13" s="1635"/>
      <c r="E13" s="2041">
        <f>IFERROR(VLOOKUP($B13,'Linked TB'!$A$5:$E$688,5,FALSE),0)</f>
        <v>0</v>
      </c>
      <c r="F13" s="1635"/>
      <c r="G13" s="2041">
        <v>0</v>
      </c>
      <c r="H13" s="1635"/>
      <c r="I13" s="2060">
        <v>0</v>
      </c>
      <c r="J13" s="1635"/>
      <c r="K13" s="2043">
        <f t="shared" si="0"/>
        <v>0</v>
      </c>
      <c r="L13" s="2043">
        <f t="shared" si="1"/>
        <v>0</v>
      </c>
    </row>
    <row r="14" spans="1:12" ht="15">
      <c r="A14" s="1615">
        <v>5</v>
      </c>
      <c r="B14" s="2055">
        <v>1040</v>
      </c>
      <c r="C14" s="2011" t="s">
        <v>3956</v>
      </c>
      <c r="D14" s="1635"/>
      <c r="E14" s="2041">
        <f>IFERROR(VLOOKUP($B14,'Linked TB'!$A$5:$E$688,5,FALSE),0)</f>
        <v>0</v>
      </c>
      <c r="F14" s="1635"/>
      <c r="G14" s="2041">
        <v>0</v>
      </c>
      <c r="H14" s="1635"/>
      <c r="I14" s="2060">
        <v>0</v>
      </c>
      <c r="J14" s="1635"/>
      <c r="K14" s="2043">
        <f t="shared" si="0"/>
        <v>0</v>
      </c>
      <c r="L14" s="2043">
        <f t="shared" si="1"/>
        <v>0</v>
      </c>
    </row>
    <row r="15" spans="1:12" ht="15">
      <c r="A15" s="1615">
        <v>6</v>
      </c>
      <c r="B15" s="2055">
        <v>1045</v>
      </c>
      <c r="C15" s="2011" t="s">
        <v>3957</v>
      </c>
      <c r="D15" s="1635"/>
      <c r="E15" s="2041">
        <f>IFERROR(VLOOKUP($B15,'Linked TB'!$A$5:$E$688,5,FALSE),0)</f>
        <v>22551.41</v>
      </c>
      <c r="F15" s="1635"/>
      <c r="G15" s="2041">
        <v>0</v>
      </c>
      <c r="H15" s="1635"/>
      <c r="I15" s="2060">
        <v>0</v>
      </c>
      <c r="J15" s="1635"/>
      <c r="K15" s="2043">
        <f t="shared" si="0"/>
        <v>0</v>
      </c>
      <c r="L15" s="2043">
        <f t="shared" si="1"/>
        <v>0</v>
      </c>
    </row>
    <row r="16" spans="1:12" ht="15">
      <c r="A16" s="1615">
        <v>7</v>
      </c>
      <c r="B16" s="2055">
        <v>1050</v>
      </c>
      <c r="C16" s="2011" t="s">
        <v>3958</v>
      </c>
      <c r="D16" s="1635"/>
      <c r="E16" s="2041">
        <f>IFERROR(VLOOKUP($B16,'Linked TB'!$A$5:$E$688,5,FALSE),0)</f>
        <v>119734.05</v>
      </c>
      <c r="F16" s="1635"/>
      <c r="G16" s="2041">
        <v>2024.4152240667809</v>
      </c>
      <c r="H16" s="1635"/>
      <c r="I16" s="2060">
        <v>2.6666666666666668E-2</v>
      </c>
      <c r="J16" s="1635"/>
      <c r="K16" s="2043">
        <f t="shared" ref="K16:K46" si="2">(E16+G16)*I16</f>
        <v>3246.8924059751143</v>
      </c>
      <c r="L16" s="2043">
        <f t="shared" si="1"/>
        <v>53.984405975114157</v>
      </c>
    </row>
    <row r="17" spans="1:12" ht="15">
      <c r="A17" s="1615">
        <v>8</v>
      </c>
      <c r="B17" s="2055">
        <v>1055</v>
      </c>
      <c r="C17" s="2011" t="s">
        <v>3959</v>
      </c>
      <c r="D17" s="1635"/>
      <c r="E17" s="2041">
        <f>IFERROR(VLOOKUP($B17,'Linked TB'!$A$5:$E$688,5,FALSE),0)</f>
        <v>469034.23</v>
      </c>
      <c r="F17" s="1635"/>
      <c r="G17" s="2041">
        <v>7930.2423648113463</v>
      </c>
      <c r="H17" s="1635"/>
      <c r="I17" s="2060">
        <v>2.6666666666666668E-2</v>
      </c>
      <c r="J17" s="1635"/>
      <c r="K17" s="2043">
        <f t="shared" si="2"/>
        <v>12719.052596394969</v>
      </c>
      <c r="L17" s="2043">
        <f t="shared" si="1"/>
        <v>211.47312972830258</v>
      </c>
    </row>
    <row r="18" spans="1:12" ht="15">
      <c r="A18" s="1615">
        <v>9</v>
      </c>
      <c r="B18" s="2055">
        <v>1060</v>
      </c>
      <c r="C18" s="2011" t="s">
        <v>3960</v>
      </c>
      <c r="D18" s="1635"/>
      <c r="E18" s="2041">
        <f>IFERROR(VLOOKUP($B18,'Linked TB'!$A$5:$E$688,5,FALSE),0)</f>
        <v>461.5</v>
      </c>
      <c r="F18" s="1635"/>
      <c r="G18" s="2041">
        <v>7.8028566302302425</v>
      </c>
      <c r="H18" s="1635"/>
      <c r="I18" s="2060">
        <v>2.6666666666666668E-2</v>
      </c>
      <c r="J18" s="1635"/>
      <c r="K18" s="2043">
        <f t="shared" si="2"/>
        <v>12.514742843472806</v>
      </c>
      <c r="L18" s="2043">
        <f t="shared" si="1"/>
        <v>0.20807617680613982</v>
      </c>
    </row>
    <row r="19" spans="1:12" ht="15">
      <c r="A19" s="1615">
        <v>10</v>
      </c>
      <c r="B19" s="2055">
        <v>1065</v>
      </c>
      <c r="C19" s="2011" t="s">
        <v>3961</v>
      </c>
      <c r="D19" s="1635"/>
      <c r="E19" s="2041">
        <f>IFERROR(VLOOKUP($B19,'Linked TB'!$A$5:$E$688,5,FALSE),0)</f>
        <v>129602.66</v>
      </c>
      <c r="F19" s="1635"/>
      <c r="G19" s="2041">
        <v>2191.269718042201</v>
      </c>
      <c r="H19" s="1635"/>
      <c r="I19" s="2060">
        <v>2.6666666666666668E-2</v>
      </c>
      <c r="J19" s="1635"/>
      <c r="K19" s="2043">
        <f t="shared" si="2"/>
        <v>3514.5047924811256</v>
      </c>
      <c r="L19" s="2043">
        <f t="shared" si="1"/>
        <v>58.433859147792027</v>
      </c>
    </row>
    <row r="20" spans="1:12" ht="15">
      <c r="A20" s="1615">
        <v>11</v>
      </c>
      <c r="B20" s="2055">
        <v>1080</v>
      </c>
      <c r="C20" s="2011" t="s">
        <v>3962</v>
      </c>
      <c r="D20" s="1635"/>
      <c r="E20" s="2041">
        <f>IFERROR(VLOOKUP($B20,'Linked TB'!$A$5:$E$688,5,FALSE),0)</f>
        <v>477398.13</v>
      </c>
      <c r="F20" s="1635"/>
      <c r="G20" s="2041">
        <v>8071.6558265005833</v>
      </c>
      <c r="H20" s="1635"/>
      <c r="I20" s="2060">
        <v>3.3333333333333333E-2</v>
      </c>
      <c r="J20" s="1635"/>
      <c r="K20" s="2043">
        <f t="shared" si="2"/>
        <v>16182.326194216685</v>
      </c>
      <c r="L20" s="2043">
        <f t="shared" si="1"/>
        <v>269.05519421668612</v>
      </c>
    </row>
    <row r="21" spans="1:12" ht="15">
      <c r="A21" s="1615">
        <v>12</v>
      </c>
      <c r="B21" s="2055">
        <v>1085</v>
      </c>
      <c r="C21" s="2011" t="s">
        <v>3963</v>
      </c>
      <c r="D21" s="1635"/>
      <c r="E21" s="2041">
        <f>IFERROR(VLOOKUP($B21,'Linked TB'!$A$5:$E$688,5,FALSE),0)</f>
        <v>0</v>
      </c>
      <c r="F21" s="1635"/>
      <c r="G21" s="2041">
        <v>0</v>
      </c>
      <c r="H21" s="1635"/>
      <c r="I21" s="2060">
        <v>2.5000000000000001E-2</v>
      </c>
      <c r="J21" s="1635"/>
      <c r="K21" s="2043">
        <f t="shared" si="2"/>
        <v>0</v>
      </c>
      <c r="L21" s="2043">
        <f t="shared" si="1"/>
        <v>0</v>
      </c>
    </row>
    <row r="22" spans="1:12" ht="15">
      <c r="A22" s="1615">
        <v>13</v>
      </c>
      <c r="B22" s="2055">
        <v>1090</v>
      </c>
      <c r="C22" s="2011" t="s">
        <v>3964</v>
      </c>
      <c r="D22" s="1635"/>
      <c r="E22" s="2041">
        <f>IFERROR(VLOOKUP($B22,'Linked TB'!$A$5:$E$688,5,FALSE),0)</f>
        <v>9489.7199999999993</v>
      </c>
      <c r="F22" s="1635"/>
      <c r="G22" s="2041">
        <v>160.44837404339876</v>
      </c>
      <c r="H22" s="1635"/>
      <c r="I22" s="2060">
        <v>1.6E-2</v>
      </c>
      <c r="J22" s="1635"/>
      <c r="K22" s="2043">
        <f t="shared" si="2"/>
        <v>154.40269398469437</v>
      </c>
      <c r="L22" s="2043">
        <f t="shared" si="1"/>
        <v>2.5671739846943802</v>
      </c>
    </row>
    <row r="23" spans="1:12" ht="15">
      <c r="A23" s="1615">
        <v>14</v>
      </c>
      <c r="B23" s="2055">
        <v>1095</v>
      </c>
      <c r="C23" s="2011" t="s">
        <v>3965</v>
      </c>
      <c r="D23" s="1635"/>
      <c r="E23" s="2041">
        <f>IFERROR(VLOOKUP($B23,'Linked TB'!$A$5:$E$688,5,FALSE),0)</f>
        <v>0</v>
      </c>
      <c r="F23" s="1635"/>
      <c r="G23" s="2041">
        <v>0</v>
      </c>
      <c r="H23" s="1635"/>
      <c r="I23" s="2060">
        <v>0.1</v>
      </c>
      <c r="J23" s="1635"/>
      <c r="K23" s="2043">
        <f t="shared" si="2"/>
        <v>0</v>
      </c>
      <c r="L23" s="2043">
        <f t="shared" si="1"/>
        <v>0</v>
      </c>
    </row>
    <row r="24" spans="1:12" ht="15">
      <c r="A24" s="1615">
        <v>15</v>
      </c>
      <c r="B24" s="2055">
        <v>1100</v>
      </c>
      <c r="C24" s="2011" t="s">
        <v>3966</v>
      </c>
      <c r="D24" s="1635"/>
      <c r="E24" s="2041">
        <f>IFERROR(VLOOKUP($B24,'Linked TB'!$A$5:$E$688,5,FALSE),0)</f>
        <v>9223.01</v>
      </c>
      <c r="F24" s="1635"/>
      <c r="G24" s="2041">
        <v>155.93894849226399</v>
      </c>
      <c r="H24" s="1635"/>
      <c r="I24" s="2060">
        <v>0.05</v>
      </c>
      <c r="J24" s="1635"/>
      <c r="K24" s="2043">
        <f t="shared" si="2"/>
        <v>468.94744742461319</v>
      </c>
      <c r="L24" s="2043">
        <f t="shared" si="1"/>
        <v>7.7969474246132</v>
      </c>
    </row>
    <row r="25" spans="1:12" ht="15">
      <c r="A25" s="1615">
        <v>16</v>
      </c>
      <c r="B25" s="2055">
        <v>1105</v>
      </c>
      <c r="C25" s="2011" t="s">
        <v>3967</v>
      </c>
      <c r="D25" s="1635"/>
      <c r="E25" s="2041">
        <f>IFERROR(VLOOKUP($B25,'Linked TB'!$A$5:$E$688,5,FALSE),0)</f>
        <v>702166.93</v>
      </c>
      <c r="F25" s="1635"/>
      <c r="G25" s="2041">
        <v>11871.95641447219</v>
      </c>
      <c r="H25" s="1635"/>
      <c r="I25" s="2060">
        <v>0.05</v>
      </c>
      <c r="J25" s="1635"/>
      <c r="K25" s="2043">
        <f t="shared" si="2"/>
        <v>35701.944320723611</v>
      </c>
      <c r="L25" s="2043">
        <f t="shared" si="1"/>
        <v>593.59782072360952</v>
      </c>
    </row>
    <row r="26" spans="1:12" ht="15">
      <c r="A26" s="1615">
        <v>17</v>
      </c>
      <c r="B26" s="2055">
        <v>1110</v>
      </c>
      <c r="C26" s="2011" t="s">
        <v>3968</v>
      </c>
      <c r="D26" s="1635"/>
      <c r="E26" s="2041">
        <f>IFERROR(VLOOKUP($B26,'Linked TB'!$A$5:$E$688,5,FALSE),0)</f>
        <v>7532.87</v>
      </c>
      <c r="F26" s="1635"/>
      <c r="G26" s="2041">
        <v>127.36274024737266</v>
      </c>
      <c r="H26" s="1635"/>
      <c r="I26" s="2060">
        <v>0.05</v>
      </c>
      <c r="J26" s="1635"/>
      <c r="K26" s="2043">
        <f t="shared" si="2"/>
        <v>383.01163701236868</v>
      </c>
      <c r="L26" s="2043">
        <f t="shared" si="1"/>
        <v>6.3681370123686332</v>
      </c>
    </row>
    <row r="27" spans="1:12" ht="15">
      <c r="A27" s="1615">
        <v>18</v>
      </c>
      <c r="B27" s="2055">
        <v>1115</v>
      </c>
      <c r="C27" s="2011" t="s">
        <v>3969</v>
      </c>
      <c r="D27" s="1635"/>
      <c r="E27" s="2041">
        <f>IFERROR(VLOOKUP($B27,'Linked TB'!$A$5:$E$688,5,FALSE),0)</f>
        <v>1011297.32</v>
      </c>
      <c r="F27" s="1635"/>
      <c r="G27" s="2041">
        <v>17098.608880814896</v>
      </c>
      <c r="H27" s="1635"/>
      <c r="I27" s="2060">
        <v>3.6363636363636362E-2</v>
      </c>
      <c r="J27" s="1635"/>
      <c r="K27" s="2043">
        <f t="shared" si="2"/>
        <v>37396.215595665992</v>
      </c>
      <c r="L27" s="2043">
        <f t="shared" si="1"/>
        <v>621.76759566599617</v>
      </c>
    </row>
    <row r="28" spans="1:12" ht="15">
      <c r="A28" s="1615">
        <v>19</v>
      </c>
      <c r="B28" s="2055">
        <v>1120</v>
      </c>
      <c r="C28" s="2011" t="s">
        <v>3970</v>
      </c>
      <c r="D28" s="1635"/>
      <c r="E28" s="2041">
        <f>IFERROR(VLOOKUP($B28,'Linked TB'!$A$5:$E$688,5,FALSE),0)</f>
        <v>529313.81999999995</v>
      </c>
      <c r="F28" s="1635"/>
      <c r="G28" s="2041">
        <v>8949.4254601505872</v>
      </c>
      <c r="H28" s="1635"/>
      <c r="I28" s="2060">
        <v>2.2222222222222223E-2</v>
      </c>
      <c r="J28" s="1635"/>
      <c r="K28" s="2043">
        <f t="shared" si="2"/>
        <v>11961.405454670012</v>
      </c>
      <c r="L28" s="2043">
        <f t="shared" si="1"/>
        <v>198.87612133667972</v>
      </c>
    </row>
    <row r="29" spans="1:12" ht="15">
      <c r="A29" s="1615">
        <v>20</v>
      </c>
      <c r="B29" s="2055">
        <v>1125</v>
      </c>
      <c r="C29" s="2011" t="s">
        <v>3971</v>
      </c>
      <c r="D29" s="1635"/>
      <c r="E29" s="2041">
        <f>IFERROR(VLOOKUP($B29,'Linked TB'!$A$5:$E$688,5,FALSE),0)</f>
        <v>3390245.07</v>
      </c>
      <c r="F29" s="1635"/>
      <c r="G29" s="2041">
        <v>57320.901890693152</v>
      </c>
      <c r="H29" s="1635"/>
      <c r="I29" s="2060">
        <v>1.6E-2</v>
      </c>
      <c r="J29" s="1635"/>
      <c r="K29" s="2043">
        <f t="shared" si="2"/>
        <v>55161.055550251091</v>
      </c>
      <c r="L29" s="2043">
        <f t="shared" si="1"/>
        <v>917.13443025109041</v>
      </c>
    </row>
    <row r="30" spans="1:12" ht="15">
      <c r="A30" s="1615">
        <v>21</v>
      </c>
      <c r="B30" s="2055">
        <v>1130</v>
      </c>
      <c r="C30" s="2011" t="s">
        <v>3972</v>
      </c>
      <c r="D30" s="1635"/>
      <c r="E30" s="2041">
        <f>IFERROR(VLOOKUP($B30,'Linked TB'!$A$5:$E$688,5,FALSE),0)</f>
        <v>881265.1</v>
      </c>
      <c r="F30" s="1635"/>
      <c r="G30" s="2041">
        <v>14900.076334833191</v>
      </c>
      <c r="H30" s="1635"/>
      <c r="I30" s="2060">
        <v>2.5000000000000001E-2</v>
      </c>
      <c r="J30" s="1635"/>
      <c r="K30" s="2043">
        <f t="shared" si="2"/>
        <v>22404.129408370831</v>
      </c>
      <c r="L30" s="2043">
        <f t="shared" si="1"/>
        <v>372.50190837082982</v>
      </c>
    </row>
    <row r="31" spans="1:12" ht="15">
      <c r="A31" s="1615">
        <v>22</v>
      </c>
      <c r="B31" s="2055">
        <v>1135</v>
      </c>
      <c r="C31" s="2011" t="s">
        <v>84</v>
      </c>
      <c r="D31" s="1635"/>
      <c r="E31" s="2041">
        <f>IFERROR(VLOOKUP($B31,'Linked TB'!$A$5:$E$688,5,FALSE),0)</f>
        <v>738122.04</v>
      </c>
      <c r="F31" s="1635"/>
      <c r="G31" s="2041">
        <v>12479.870972336017</v>
      </c>
      <c r="H31" s="1635"/>
      <c r="I31" s="2060">
        <v>2.5000000000000001E-2</v>
      </c>
      <c r="J31" s="1635"/>
      <c r="K31" s="2043">
        <f t="shared" si="2"/>
        <v>18765.047774308401</v>
      </c>
      <c r="L31" s="2043">
        <f t="shared" si="1"/>
        <v>311.99677430840046</v>
      </c>
    </row>
    <row r="32" spans="1:12" ht="15">
      <c r="A32" s="1615">
        <v>23</v>
      </c>
      <c r="B32" s="2055">
        <v>1140</v>
      </c>
      <c r="C32" s="2011" t="s">
        <v>3973</v>
      </c>
      <c r="D32" s="1635"/>
      <c r="E32" s="2041">
        <f>IFERROR(VLOOKUP($B32,'Linked TB'!$A$5:$E$688,5,FALSE),0)</f>
        <v>600576.56999999995</v>
      </c>
      <c r="F32" s="1635"/>
      <c r="G32" s="2041">
        <v>10154.307413186212</v>
      </c>
      <c r="H32" s="1635"/>
      <c r="I32" s="2060">
        <v>2.2222222222222223E-2</v>
      </c>
      <c r="J32" s="1635"/>
      <c r="K32" s="2043">
        <f t="shared" si="2"/>
        <v>13571.797275848581</v>
      </c>
      <c r="L32" s="2043">
        <f t="shared" si="1"/>
        <v>225.65127584858251</v>
      </c>
    </row>
    <row r="33" spans="1:12" ht="15">
      <c r="A33" s="1615">
        <v>24</v>
      </c>
      <c r="B33" s="2055">
        <v>1145</v>
      </c>
      <c r="C33" s="2011" t="s">
        <v>444</v>
      </c>
      <c r="D33" s="2011"/>
      <c r="E33" s="2041">
        <f>IFERROR(VLOOKUP($B33,'Linked TB'!$A$5:$E$688,5,FALSE),0)</f>
        <v>406626.32</v>
      </c>
      <c r="F33" s="2011"/>
      <c r="G33" s="2041">
        <v>6875.074489790085</v>
      </c>
      <c r="H33" s="2011"/>
      <c r="I33" s="2060">
        <v>0.02</v>
      </c>
      <c r="J33" s="2011"/>
      <c r="K33" s="2043">
        <f t="shared" si="2"/>
        <v>8270.0278897958015</v>
      </c>
      <c r="L33" s="2043">
        <f t="shared" si="1"/>
        <v>137.50148979580169</v>
      </c>
    </row>
    <row r="34" spans="1:12" ht="15">
      <c r="A34" s="1615">
        <v>25</v>
      </c>
      <c r="B34" s="2055">
        <v>1150</v>
      </c>
      <c r="C34" s="2011" t="s">
        <v>3974</v>
      </c>
      <c r="D34" s="2011"/>
      <c r="E34" s="2041">
        <f>IFERROR(VLOOKUP($B34,'Linked TB'!$A$5:$E$688,5,FALSE),0)</f>
        <v>0</v>
      </c>
      <c r="F34" s="2011"/>
      <c r="G34" s="2041">
        <v>0</v>
      </c>
      <c r="H34" s="2011"/>
      <c r="I34" s="2060">
        <v>0.1</v>
      </c>
      <c r="J34" s="2011"/>
      <c r="K34" s="2043">
        <f t="shared" si="2"/>
        <v>0</v>
      </c>
      <c r="L34" s="2043">
        <f t="shared" si="1"/>
        <v>0</v>
      </c>
    </row>
    <row r="35" spans="1:12" ht="15">
      <c r="A35" s="1615">
        <v>26</v>
      </c>
      <c r="B35" s="2055">
        <v>1160</v>
      </c>
      <c r="C35" s="2011" t="s">
        <v>3975</v>
      </c>
      <c r="D35" s="2011"/>
      <c r="E35" s="2041">
        <f>IFERROR(VLOOKUP($B35,'Linked TB'!$A$5:$E$688,5,FALSE),0)</f>
        <v>0</v>
      </c>
      <c r="F35" s="2011"/>
      <c r="G35" s="2041">
        <v>0</v>
      </c>
      <c r="H35" s="2011"/>
      <c r="I35" s="2060">
        <v>2.8571428571428571E-2</v>
      </c>
      <c r="J35" s="2011"/>
      <c r="K35" s="2043">
        <f t="shared" si="2"/>
        <v>0</v>
      </c>
      <c r="L35" s="2043">
        <f t="shared" si="1"/>
        <v>0</v>
      </c>
    </row>
    <row r="36" spans="1:12" ht="15">
      <c r="A36" s="1615">
        <v>27</v>
      </c>
      <c r="B36" s="2056">
        <v>1165</v>
      </c>
      <c r="C36" s="2011" t="s">
        <v>3867</v>
      </c>
      <c r="D36" s="2011"/>
      <c r="E36" s="2041">
        <f>IFERROR(VLOOKUP($B36,'Linked TB'!$A$5:$E$688,5,FALSE),0)</f>
        <v>0</v>
      </c>
      <c r="F36" s="2011"/>
      <c r="G36" s="2041">
        <v>0</v>
      </c>
      <c r="H36" s="2011"/>
      <c r="I36" s="2060">
        <v>2.8571428571428571E-2</v>
      </c>
      <c r="J36" s="2011"/>
      <c r="K36" s="2043">
        <f t="shared" si="2"/>
        <v>0</v>
      </c>
      <c r="L36" s="2043">
        <f t="shared" si="1"/>
        <v>0</v>
      </c>
    </row>
    <row r="37" spans="1:12" ht="15">
      <c r="A37" s="1615">
        <v>28</v>
      </c>
      <c r="B37" s="2056">
        <v>1175</v>
      </c>
      <c r="C37" s="2011" t="s">
        <v>3976</v>
      </c>
      <c r="D37" s="2011"/>
      <c r="E37" s="2041">
        <f>IFERROR(VLOOKUP($B37,'Linked TB'!$A$5:$E$688,5,FALSE),0)</f>
        <v>151271.59</v>
      </c>
      <c r="F37" s="2011"/>
      <c r="G37" s="2041">
        <v>2557.6392827670006</v>
      </c>
      <c r="H37" s="2011"/>
      <c r="I37" s="2060">
        <v>2.6666666666666668E-2</v>
      </c>
      <c r="J37" s="2011"/>
      <c r="K37" s="2043">
        <f t="shared" si="2"/>
        <v>4102.1127808737865</v>
      </c>
      <c r="L37" s="2043">
        <f t="shared" si="1"/>
        <v>68.203714207120015</v>
      </c>
    </row>
    <row r="38" spans="1:12" ht="15">
      <c r="A38" s="1615">
        <v>29</v>
      </c>
      <c r="B38" s="2055">
        <v>1180</v>
      </c>
      <c r="C38" s="2011" t="s">
        <v>3977</v>
      </c>
      <c r="D38" s="2011"/>
      <c r="E38" s="2041">
        <f>IFERROR(VLOOKUP($B38,'Linked TB'!$A$5:$E$688,5,FALSE),0)</f>
        <v>100935.4</v>
      </c>
      <c r="F38" s="2011"/>
      <c r="G38" s="2041">
        <v>1706.5752006824302</v>
      </c>
      <c r="H38" s="2011"/>
      <c r="I38" s="2060">
        <v>4.4444444444444446E-2</v>
      </c>
      <c r="J38" s="2011"/>
      <c r="K38" s="2043">
        <f t="shared" si="2"/>
        <v>4561.8655644747751</v>
      </c>
      <c r="L38" s="2043">
        <f t="shared" si="1"/>
        <v>75.847786696996906</v>
      </c>
    </row>
    <row r="39" spans="1:12" ht="15">
      <c r="A39" s="1615">
        <v>30</v>
      </c>
      <c r="B39" s="2055">
        <v>1185</v>
      </c>
      <c r="C39" s="2011" t="s">
        <v>3978</v>
      </c>
      <c r="D39" s="1635"/>
      <c r="E39" s="2041">
        <f>IFERROR(VLOOKUP($B39,'Linked TB'!$A$5:$E$688,5,FALSE),0)</f>
        <v>0</v>
      </c>
      <c r="F39" s="1635"/>
      <c r="G39" s="2041">
        <v>0</v>
      </c>
      <c r="H39" s="1635"/>
      <c r="I39" s="2060">
        <v>0.05</v>
      </c>
      <c r="J39" s="1635"/>
      <c r="K39" s="2043">
        <f t="shared" si="2"/>
        <v>0</v>
      </c>
      <c r="L39" s="2043">
        <f t="shared" si="1"/>
        <v>0</v>
      </c>
    </row>
    <row r="40" spans="1:12" ht="15">
      <c r="A40" s="1615">
        <v>31</v>
      </c>
      <c r="B40" s="2055">
        <v>1190</v>
      </c>
      <c r="C40" s="2011" t="s">
        <v>3979</v>
      </c>
      <c r="D40" s="1635"/>
      <c r="E40" s="2041">
        <f>IFERROR(VLOOKUP($B40,'Linked TB'!$A$5:$E$688,5,FALSE),0)</f>
        <v>269939.90999999997</v>
      </c>
      <c r="F40" s="1635"/>
      <c r="G40" s="2041">
        <v>4564.0355720633906</v>
      </c>
      <c r="H40" s="1635"/>
      <c r="I40" s="2060">
        <v>5.7142857142857141E-2</v>
      </c>
      <c r="J40" s="1635"/>
      <c r="K40" s="2043">
        <f t="shared" si="2"/>
        <v>15685.939746975049</v>
      </c>
      <c r="L40" s="2043">
        <f t="shared" si="1"/>
        <v>260.80203268933661</v>
      </c>
    </row>
    <row r="41" spans="1:12" ht="15">
      <c r="A41" s="1615">
        <v>32</v>
      </c>
      <c r="B41" s="2055">
        <v>1195</v>
      </c>
      <c r="C41" s="2011" t="s">
        <v>3980</v>
      </c>
      <c r="D41" s="1635"/>
      <c r="E41" s="2041">
        <f>IFERROR(VLOOKUP($B41,'Linked TB'!$A$5:$E$688,5,FALSE),0)</f>
        <v>78263.199999999997</v>
      </c>
      <c r="F41" s="1635"/>
      <c r="G41" s="2041">
        <v>1323.2427497790584</v>
      </c>
      <c r="H41" s="1635"/>
      <c r="I41" s="2060">
        <v>5.7142857142857141E-2</v>
      </c>
      <c r="J41" s="1635"/>
      <c r="K41" s="2043">
        <f t="shared" si="2"/>
        <v>4547.7967285588029</v>
      </c>
      <c r="L41" s="2043">
        <f t="shared" si="1"/>
        <v>75.613871415946193</v>
      </c>
    </row>
    <row r="42" spans="1:12" ht="15">
      <c r="A42" s="1615">
        <v>33</v>
      </c>
      <c r="B42" s="2055">
        <v>1200</v>
      </c>
      <c r="C42" s="2011" t="s">
        <v>3981</v>
      </c>
      <c r="D42" s="1635"/>
      <c r="E42" s="2041">
        <f>IFERROR(VLOOKUP($B42,'Linked TB'!$A$5:$E$688,5,FALSE),0)</f>
        <v>2570.16</v>
      </c>
      <c r="F42" s="1635"/>
      <c r="G42" s="2041">
        <v>43.455232929041294</v>
      </c>
      <c r="H42" s="1635"/>
      <c r="I42" s="2060">
        <v>0.08</v>
      </c>
      <c r="J42" s="1635"/>
      <c r="K42" s="2043">
        <f t="shared" si="2"/>
        <v>209.08921863432329</v>
      </c>
      <c r="L42" s="2043">
        <f t="shared" si="1"/>
        <v>3.4764186343233034</v>
      </c>
    </row>
    <row r="43" spans="1:12" ht="15">
      <c r="A43" s="1615">
        <v>34</v>
      </c>
      <c r="B43" s="2055">
        <v>1205</v>
      </c>
      <c r="C43" s="2011" t="s">
        <v>3982</v>
      </c>
      <c r="D43" s="1635"/>
      <c r="E43" s="2041">
        <f>IFERROR(VLOOKUP($B43,'Linked TB'!$A$5:$E$688,5,FALSE),0)</f>
        <v>54791.5</v>
      </c>
      <c r="F43" s="1635"/>
      <c r="G43" s="2041">
        <v>926.39267400923143</v>
      </c>
      <c r="H43" s="1635"/>
      <c r="I43" s="2060">
        <v>0.1</v>
      </c>
      <c r="J43" s="1635"/>
      <c r="K43" s="2043">
        <f t="shared" si="2"/>
        <v>5571.7892674009236</v>
      </c>
      <c r="L43" s="2043">
        <f t="shared" si="1"/>
        <v>92.639267400923146</v>
      </c>
    </row>
    <row r="44" spans="1:12" ht="15">
      <c r="A44" s="1615">
        <v>35</v>
      </c>
      <c r="B44" s="2055">
        <v>1210</v>
      </c>
      <c r="C44" s="2011" t="s">
        <v>3983</v>
      </c>
      <c r="D44" s="1635"/>
      <c r="E44" s="2041">
        <f>IFERROR(VLOOKUP($B44,'Linked TB'!$A$5:$E$688,5,FALSE),0)</f>
        <v>0</v>
      </c>
      <c r="F44" s="1635"/>
      <c r="G44" s="2041">
        <v>0</v>
      </c>
      <c r="H44" s="1635"/>
      <c r="I44" s="2060">
        <v>0.04</v>
      </c>
      <c r="J44" s="1635"/>
      <c r="K44" s="2043">
        <f t="shared" si="2"/>
        <v>0</v>
      </c>
      <c r="L44" s="2043">
        <f t="shared" si="1"/>
        <v>0</v>
      </c>
    </row>
    <row r="45" spans="1:12" ht="15">
      <c r="A45" s="1615">
        <v>36</v>
      </c>
      <c r="B45" s="2055">
        <v>1215</v>
      </c>
      <c r="C45" s="2011" t="s">
        <v>504</v>
      </c>
      <c r="D45" s="1635"/>
      <c r="E45" s="2041">
        <f>IFERROR(VLOOKUP($B45,'Linked TB'!$A$5:$E$688,5,FALSE),0)</f>
        <v>69976</v>
      </c>
      <c r="F45" s="1635"/>
      <c r="G45" s="2041">
        <v>1183.1261008818883</v>
      </c>
      <c r="H45" s="1635"/>
      <c r="I45" s="2060">
        <v>2.8571428571428571E-2</v>
      </c>
      <c r="J45" s="1635"/>
      <c r="K45" s="2043">
        <f t="shared" si="2"/>
        <v>2033.1178885966251</v>
      </c>
      <c r="L45" s="2043">
        <f t="shared" si="1"/>
        <v>33.803602882339668</v>
      </c>
    </row>
    <row r="46" spans="1:12" ht="15">
      <c r="A46" s="1615">
        <v>37</v>
      </c>
      <c r="B46" s="2055">
        <v>1220</v>
      </c>
      <c r="C46" s="2011" t="s">
        <v>3984</v>
      </c>
      <c r="D46" s="1635"/>
      <c r="E46" s="2041">
        <f>IFERROR(VLOOKUP($B46,'Linked TB'!$A$5:$E$688,5,FALSE),0)</f>
        <v>0</v>
      </c>
      <c r="F46" s="1635"/>
      <c r="G46" s="2041">
        <v>0</v>
      </c>
      <c r="H46" s="1635"/>
      <c r="I46" s="2060">
        <v>2.8571428571428571E-2</v>
      </c>
      <c r="J46" s="1635"/>
      <c r="K46" s="2043">
        <f t="shared" si="2"/>
        <v>0</v>
      </c>
      <c r="L46" s="2043">
        <f t="shared" si="1"/>
        <v>0</v>
      </c>
    </row>
    <row r="47" spans="1:12" ht="15">
      <c r="A47" s="1615">
        <v>38</v>
      </c>
      <c r="B47" s="2040"/>
      <c r="C47" s="2011"/>
      <c r="D47" s="1635"/>
      <c r="E47" s="2041"/>
      <c r="F47" s="1635"/>
      <c r="G47" s="2041"/>
      <c r="H47" s="1635"/>
      <c r="I47" s="2060"/>
      <c r="J47" s="1635"/>
      <c r="K47" s="2041"/>
      <c r="L47" s="2041"/>
    </row>
    <row r="48" spans="1:12" ht="15">
      <c r="A48" s="1615">
        <v>39</v>
      </c>
      <c r="B48" s="2040"/>
      <c r="C48" s="2011" t="s">
        <v>463</v>
      </c>
      <c r="D48" s="1635"/>
      <c r="E48" s="2041">
        <f>SUM(E10:E47)</f>
        <v>10396782.610000001</v>
      </c>
      <c r="F48" s="1635"/>
      <c r="G48" s="2041">
        <f>SUM(G10:G47)</f>
        <v>172623.82472222249</v>
      </c>
      <c r="H48" s="1635"/>
      <c r="I48" s="2060"/>
      <c r="J48" s="1635"/>
      <c r="K48" s="2044">
        <f>SUM(K10:K47)</f>
        <v>280734.83947548154</v>
      </c>
      <c r="L48" s="2044"/>
    </row>
    <row r="49" spans="1:12" ht="15">
      <c r="A49" s="1615">
        <v>40</v>
      </c>
      <c r="B49" s="2040"/>
      <c r="C49" s="2011"/>
      <c r="D49" s="1635"/>
      <c r="E49" s="2041">
        <f>E48-'Linked TB'!E69</f>
        <v>0</v>
      </c>
      <c r="F49" s="1635"/>
      <c r="G49" s="2041">
        <f>G48-'wp-c-PIS Adj'!I9</f>
        <v>0</v>
      </c>
      <c r="H49" s="1635"/>
      <c r="I49" s="2060"/>
      <c r="J49" s="1635"/>
      <c r="K49" s="2041"/>
    </row>
    <row r="50" spans="1:12" ht="15">
      <c r="A50" s="1615">
        <v>41</v>
      </c>
      <c r="B50" s="2040"/>
      <c r="C50" s="2011" t="s">
        <v>3985</v>
      </c>
      <c r="D50" s="1635"/>
      <c r="E50" s="2041"/>
      <c r="F50" s="1635"/>
      <c r="G50" s="2041"/>
      <c r="H50" s="1635"/>
      <c r="I50" s="2060"/>
      <c r="J50" s="1635"/>
      <c r="K50" s="2042">
        <f>+K48/(E48+G48)</f>
        <v>2.6561079017003435E-2</v>
      </c>
    </row>
    <row r="51" spans="1:12" ht="15">
      <c r="A51" s="1615">
        <v>42</v>
      </c>
      <c r="B51" s="2040"/>
      <c r="C51" s="2011"/>
      <c r="D51" s="1635"/>
      <c r="E51" s="2041"/>
      <c r="F51" s="1635"/>
      <c r="G51" s="2041"/>
      <c r="H51" s="1635"/>
      <c r="I51" s="2060"/>
      <c r="J51" s="1635"/>
      <c r="K51" s="2042"/>
    </row>
    <row r="52" spans="1:12" ht="15">
      <c r="A52" s="1615">
        <v>43</v>
      </c>
      <c r="B52" s="2040"/>
      <c r="C52" s="2058" t="s">
        <v>3989</v>
      </c>
      <c r="D52" s="1635"/>
      <c r="E52" s="2044"/>
      <c r="F52" s="1635"/>
      <c r="G52" s="2041"/>
      <c r="H52" s="1635"/>
      <c r="I52" s="2060"/>
      <c r="J52" s="1635"/>
      <c r="K52" s="2045"/>
    </row>
    <row r="53" spans="1:12" ht="15">
      <c r="A53" s="1615">
        <v>44</v>
      </c>
      <c r="B53" s="2040"/>
      <c r="C53" s="2011" t="s">
        <v>3561</v>
      </c>
      <c r="D53" s="1635"/>
      <c r="E53" s="2044"/>
      <c r="F53" s="1635"/>
      <c r="G53" s="2041">
        <v>141851.45794068254</v>
      </c>
      <c r="H53" s="1635"/>
      <c r="I53" s="2059" t="s">
        <v>323</v>
      </c>
      <c r="J53" s="1635"/>
      <c r="K53" s="2045">
        <f>'wp-p-Vehicles'!M30</f>
        <v>54754.214123110498</v>
      </c>
      <c r="L53" s="2057"/>
    </row>
    <row r="54" spans="1:12" ht="15">
      <c r="A54" s="1615">
        <v>45</v>
      </c>
      <c r="B54" s="2040"/>
      <c r="C54" s="1578" t="s">
        <v>3522</v>
      </c>
      <c r="D54" s="1635"/>
      <c r="E54" s="2044"/>
      <c r="F54" s="1635"/>
      <c r="G54" s="2041">
        <v>224000.06380615084</v>
      </c>
      <c r="H54" s="1635"/>
      <c r="I54" s="2059" t="s">
        <v>300</v>
      </c>
      <c r="J54" s="1635"/>
      <c r="K54" s="2045">
        <f>'wp-o-Computers'!L848</f>
        <v>20465.481072483195</v>
      </c>
      <c r="L54" s="2057"/>
    </row>
    <row r="55" spans="1:12" ht="15">
      <c r="A55" s="1615">
        <v>46</v>
      </c>
      <c r="B55" s="2040"/>
      <c r="C55" s="2011"/>
      <c r="D55" s="1635"/>
      <c r="E55" s="2044"/>
      <c r="F55" s="1635"/>
      <c r="G55" s="2041"/>
      <c r="H55" s="1635"/>
      <c r="I55" s="2060"/>
      <c r="J55" s="1635"/>
      <c r="K55" s="2045"/>
    </row>
    <row r="56" spans="1:12" ht="15.75" thickBot="1">
      <c r="A56" s="1615">
        <v>47</v>
      </c>
      <c r="B56" s="2040"/>
      <c r="C56" s="2049" t="s">
        <v>3988</v>
      </c>
      <c r="D56" s="1635"/>
      <c r="E56" s="2044"/>
      <c r="F56" s="1635"/>
      <c r="G56" s="2041"/>
      <c r="H56" s="1635"/>
      <c r="I56" s="2060"/>
      <c r="J56" s="1635"/>
      <c r="K56" s="2050">
        <f>K48+K53+K54</f>
        <v>355954.53467107523</v>
      </c>
    </row>
    <row r="57" spans="1:12" ht="15.75" thickTop="1">
      <c r="A57" s="1615">
        <v>48</v>
      </c>
      <c r="B57" s="2040"/>
      <c r="C57" s="2011"/>
      <c r="D57" s="1635"/>
      <c r="E57" s="2041"/>
      <c r="F57" s="1635"/>
      <c r="G57" s="2041"/>
      <c r="H57" s="1635"/>
      <c r="I57" s="2060"/>
      <c r="J57" s="1635"/>
      <c r="K57" s="2042"/>
    </row>
    <row r="58" spans="1:12" ht="15">
      <c r="A58" s="1615">
        <v>49</v>
      </c>
      <c r="B58" s="2040">
        <v>3350</v>
      </c>
      <c r="C58" s="2011" t="s">
        <v>2069</v>
      </c>
      <c r="D58" s="1721"/>
      <c r="E58" s="2041">
        <f>IFERROR(VLOOKUP($B58,'Linked TB'!$A$5:$E$688,5,FALSE),0)</f>
        <v>-83141</v>
      </c>
      <c r="F58" s="1721"/>
      <c r="G58" s="2041"/>
      <c r="H58" s="1721"/>
      <c r="I58" s="2061">
        <f>$K$50</f>
        <v>2.6561079017003435E-2</v>
      </c>
      <c r="J58" s="1721"/>
      <c r="K58" s="2043">
        <f>(E58+G58)*I58</f>
        <v>-2208.3146705526824</v>
      </c>
    </row>
    <row r="59" spans="1:12" ht="15">
      <c r="A59" s="1615">
        <v>50</v>
      </c>
      <c r="B59" s="2040">
        <v>3430</v>
      </c>
      <c r="C59" s="2011" t="s">
        <v>3986</v>
      </c>
      <c r="D59" s="1721"/>
      <c r="E59" s="2041">
        <f>IFERROR(VLOOKUP($B59,'Linked TB'!$A$5:$E$688,5,FALSE),0)</f>
        <v>-104168.69</v>
      </c>
      <c r="F59" s="1721"/>
      <c r="G59" s="2041"/>
      <c r="H59" s="1721"/>
      <c r="I59" s="2061">
        <f>$K$50</f>
        <v>2.6561079017003435E-2</v>
      </c>
      <c r="J59" s="1721"/>
      <c r="K59" s="2043">
        <f>(E59+G59)*I59</f>
        <v>-2766.8328061877355</v>
      </c>
    </row>
    <row r="60" spans="1:12" ht="15">
      <c r="A60" s="1615">
        <v>51</v>
      </c>
      <c r="B60" s="2040">
        <v>3435</v>
      </c>
      <c r="C60" s="2011" t="s">
        <v>2071</v>
      </c>
      <c r="D60" s="1721"/>
      <c r="E60" s="2041">
        <f>IFERROR(VLOOKUP($B60,'Linked TB'!$A$5:$E$688,5,FALSE),0)</f>
        <v>-51712.25</v>
      </c>
      <c r="F60" s="1721"/>
      <c r="G60" s="2041"/>
      <c r="H60" s="1721"/>
      <c r="I60" s="2061">
        <f>$K$50</f>
        <v>2.6561079017003435E-2</v>
      </c>
      <c r="J60" s="1721"/>
      <c r="K60" s="2043">
        <f>(E60+G60)*I60</f>
        <v>-1373.5331583970358</v>
      </c>
    </row>
    <row r="61" spans="1:12" ht="15">
      <c r="A61" s="1615">
        <v>52</v>
      </c>
      <c r="B61" s="2040"/>
      <c r="C61" s="2011"/>
      <c r="D61" s="1721"/>
      <c r="E61" s="2041"/>
      <c r="F61" s="1721"/>
      <c r="G61" s="2041"/>
      <c r="H61" s="1721"/>
      <c r="I61" s="2060"/>
      <c r="J61" s="1721"/>
      <c r="K61" s="2041"/>
    </row>
    <row r="62" spans="1:12" ht="15">
      <c r="A62" s="1615">
        <v>53</v>
      </c>
      <c r="B62" s="2040"/>
      <c r="C62" s="2011" t="s">
        <v>3987</v>
      </c>
      <c r="D62" s="1721"/>
      <c r="E62" s="2041">
        <f>SUM(E58:E61)</f>
        <v>-239021.94</v>
      </c>
      <c r="F62" s="1721"/>
      <c r="G62" s="2041">
        <f>SUM(G58:G61)</f>
        <v>0</v>
      </c>
      <c r="H62" s="1721"/>
      <c r="I62" s="2060"/>
      <c r="J62" s="1721"/>
      <c r="K62" s="2044">
        <f>SUM(K58:K61)</f>
        <v>-6348.6806351374535</v>
      </c>
    </row>
    <row r="63" spans="1:12" ht="15">
      <c r="A63" s="1615">
        <v>54</v>
      </c>
      <c r="B63" s="2040"/>
      <c r="C63" s="2011"/>
      <c r="D63" s="1721"/>
      <c r="E63" s="2041">
        <f>E62-'Linked TB'!E234-'Linked TB'!E235-'Linked TB'!E236</f>
        <v>0</v>
      </c>
      <c r="F63" s="1721"/>
      <c r="G63" s="2041"/>
      <c r="H63" s="1721"/>
      <c r="I63" s="2060"/>
      <c r="J63" s="1721"/>
      <c r="K63" s="2041"/>
    </row>
    <row r="64" spans="1:12" ht="15">
      <c r="A64" s="1615">
        <v>55</v>
      </c>
      <c r="B64" s="2040"/>
      <c r="C64" s="2011"/>
      <c r="D64" s="1721"/>
      <c r="E64" s="2041"/>
      <c r="F64" s="1721"/>
      <c r="G64" s="2041"/>
      <c r="H64" s="1721"/>
      <c r="I64" s="2060"/>
      <c r="J64" s="1721"/>
      <c r="K64" s="2041"/>
    </row>
    <row r="65" spans="1:11" ht="15">
      <c r="A65" s="1615">
        <v>56</v>
      </c>
      <c r="B65" s="2040">
        <v>3225</v>
      </c>
      <c r="C65" s="2011" t="s">
        <v>2067</v>
      </c>
      <c r="D65" s="1721"/>
      <c r="E65" s="2041">
        <f>IFERROR(VLOOKUP($B65,'Linked TB'!$A$5:$E$688,5,FALSE),0)</f>
        <v>-75637.36</v>
      </c>
      <c r="F65" s="1721"/>
      <c r="G65" s="2041">
        <f>'wp-q AIAC'!F9</f>
        <v>-37443.169999999984</v>
      </c>
      <c r="H65" s="1721"/>
      <c r="I65" s="2061">
        <f>$K$50</f>
        <v>2.6561079017003435E-2</v>
      </c>
      <c r="J65" s="1721"/>
      <c r="K65" s="2063">
        <f>(E65+G65)*I65</f>
        <v>-3003.540892614627</v>
      </c>
    </row>
    <row r="66" spans="1:11" ht="15">
      <c r="A66" s="1615">
        <v>57</v>
      </c>
      <c r="B66" s="2040"/>
      <c r="C66" s="2046"/>
      <c r="D66" s="1721"/>
      <c r="E66" s="2041">
        <f>E65-'Linked TB'!E229</f>
        <v>0</v>
      </c>
      <c r="F66" s="1721"/>
      <c r="G66" s="2041">
        <f>G65-'wp-q AIAC'!F9</f>
        <v>0</v>
      </c>
      <c r="H66" s="1721"/>
      <c r="I66" s="2060"/>
      <c r="J66" s="1721"/>
      <c r="K66" s="2041"/>
    </row>
    <row r="67" spans="1:11" ht="15">
      <c r="A67" s="1615">
        <v>58</v>
      </c>
      <c r="B67" s="2040"/>
      <c r="C67" s="2046"/>
      <c r="D67" s="1721"/>
      <c r="E67" s="2047"/>
      <c r="F67" s="1721"/>
      <c r="G67" s="2047"/>
      <c r="H67" s="1721"/>
      <c r="I67" s="2060"/>
      <c r="J67" s="1721"/>
      <c r="K67" s="2048"/>
    </row>
    <row r="68" spans="1:11" ht="15.75" thickBot="1">
      <c r="A68" s="1615">
        <v>59</v>
      </c>
      <c r="B68" s="2040"/>
      <c r="C68" s="2049" t="s">
        <v>3992</v>
      </c>
      <c r="D68" s="1732"/>
      <c r="E68" s="2048"/>
      <c r="F68" s="1732"/>
      <c r="G68" s="2048"/>
      <c r="H68" s="1732"/>
      <c r="I68" s="2062"/>
      <c r="J68" s="1732"/>
      <c r="K68" s="2050">
        <f>K62+K65</f>
        <v>-9352.2215277520809</v>
      </c>
    </row>
    <row r="69" spans="1:11" ht="15.75" thickTop="1">
      <c r="B69" s="2040"/>
      <c r="C69" s="2046"/>
      <c r="D69" s="1721"/>
      <c r="E69" s="2047"/>
      <c r="F69" s="1721"/>
      <c r="G69" s="2047"/>
      <c r="H69" s="1721"/>
      <c r="I69" s="2060"/>
      <c r="J69" s="1721"/>
      <c r="K69" s="2048"/>
    </row>
    <row r="70" spans="1:11" ht="15">
      <c r="B70" s="2040"/>
      <c r="C70" s="2046"/>
      <c r="D70" s="1721"/>
      <c r="E70" s="2047"/>
      <c r="F70" s="1721"/>
      <c r="G70" s="2047"/>
      <c r="H70" s="1721"/>
      <c r="I70" s="2060"/>
      <c r="J70" s="1721"/>
      <c r="K70" s="2048"/>
    </row>
    <row r="71" spans="1:11">
      <c r="B71" s="2040"/>
      <c r="C71" s="2046"/>
      <c r="D71" s="1721"/>
      <c r="E71" s="2047"/>
      <c r="F71" s="1721"/>
      <c r="G71" s="2041"/>
      <c r="H71" s="1721"/>
      <c r="I71" s="2060"/>
      <c r="J71" s="1721"/>
      <c r="K71" s="2041"/>
    </row>
    <row r="72" spans="1:11">
      <c r="B72" s="2040"/>
      <c r="C72" s="2011"/>
      <c r="D72" s="1635"/>
      <c r="E72" s="2041"/>
      <c r="F72" s="1635"/>
      <c r="G72" s="2041"/>
      <c r="H72" s="1635"/>
      <c r="I72" s="2060"/>
      <c r="J72" s="1635"/>
      <c r="K72" s="2041"/>
    </row>
  </sheetData>
  <pageMargins left="0.7" right="0.7" top="0.75" bottom="0.75" header="0.3" footer="0.3"/>
  <pageSetup scale="6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T38"/>
  <sheetViews>
    <sheetView showGridLines="0" view="pageBreakPreview" topLeftCell="A16" zoomScale="90" zoomScaleNormal="100" zoomScaleSheetLayoutView="90" workbookViewId="0"/>
  </sheetViews>
  <sheetFormatPr defaultColWidth="11" defaultRowHeight="15"/>
  <cols>
    <col min="1" max="1" width="10" style="2" customWidth="1"/>
    <col min="2" max="2" width="43.375" style="47" customWidth="1"/>
    <col min="3" max="3" width="3" style="47" customWidth="1"/>
    <col min="4" max="4" width="14.875" style="47" bestFit="1" customWidth="1"/>
    <col min="5" max="5" width="3" style="47" customWidth="1"/>
    <col min="6" max="6" width="14.875" style="2" bestFit="1" customWidth="1"/>
    <col min="7" max="8" width="11" style="2" customWidth="1"/>
    <col min="9" max="9" width="11.625" style="2" bestFit="1" customWidth="1"/>
    <col min="10" max="12" width="11" style="2" customWidth="1"/>
    <col min="13" max="13" width="26.625" style="2" customWidth="1"/>
    <col min="14" max="15" width="11" style="2" customWidth="1"/>
    <col min="16" max="20" width="11" style="2" hidden="1" customWidth="1"/>
    <col min="21" max="16384" width="11" style="2"/>
  </cols>
  <sheetData>
    <row r="1" spans="1:9">
      <c r="A1" s="37" t="str">
        <f>Company_Name</f>
        <v>WATER SERVICE CORPORATION OF KENTUCKY</v>
      </c>
      <c r="B1" s="37"/>
      <c r="C1" s="199"/>
      <c r="E1" s="199"/>
      <c r="F1" s="63" t="s">
        <v>803</v>
      </c>
    </row>
    <row r="2" spans="1:9">
      <c r="A2" s="37" t="str">
        <f>Docket</f>
        <v>Case No. 2015 - 00382</v>
      </c>
      <c r="B2" s="37"/>
      <c r="C2" s="199"/>
      <c r="E2" s="199"/>
      <c r="F2" s="63"/>
    </row>
    <row r="3" spans="1:9">
      <c r="A3" s="37" t="s">
        <v>1484</v>
      </c>
      <c r="B3" s="37"/>
      <c r="C3" s="199"/>
      <c r="E3" s="199"/>
      <c r="F3" s="136"/>
    </row>
    <row r="4" spans="1:9">
      <c r="A4" s="37" t="str">
        <f>TestYearEnded</f>
        <v>Test Year Ended 6/30/2015</v>
      </c>
      <c r="B4" s="37"/>
    </row>
    <row r="5" spans="1:9">
      <c r="F5" s="64"/>
    </row>
    <row r="6" spans="1:9" s="158" customFormat="1" ht="14.25">
      <c r="A6" s="1701"/>
      <c r="B6" s="1701" t="s">
        <v>235</v>
      </c>
      <c r="C6" s="1702"/>
      <c r="D6" s="1702" t="s">
        <v>236</v>
      </c>
      <c r="E6" s="1702"/>
      <c r="F6" s="1504" t="s">
        <v>237</v>
      </c>
      <c r="G6" s="1504"/>
      <c r="H6" s="1504"/>
    </row>
    <row r="7" spans="1:9" s="202" customFormat="1" ht="14.25">
      <c r="B7" s="200"/>
      <c r="C7" s="1702"/>
      <c r="D7" s="1702" t="s">
        <v>454</v>
      </c>
      <c r="E7" s="1702"/>
      <c r="F7" s="1702" t="s">
        <v>454</v>
      </c>
      <c r="G7" s="201"/>
      <c r="H7" s="201"/>
    </row>
    <row r="8" spans="1:9" ht="15.75">
      <c r="A8" s="1696" t="s">
        <v>1786</v>
      </c>
      <c r="C8" s="1704"/>
      <c r="D8" s="1703" t="s">
        <v>446</v>
      </c>
      <c r="E8" s="1704"/>
      <c r="F8" s="1703" t="s">
        <v>139</v>
      </c>
      <c r="G8" s="15"/>
      <c r="H8" s="15"/>
    </row>
    <row r="9" spans="1:9">
      <c r="A9" s="158">
        <v>1</v>
      </c>
      <c r="B9" s="203" t="s">
        <v>106</v>
      </c>
      <c r="C9" s="48"/>
      <c r="D9" s="48"/>
      <c r="E9" s="48"/>
      <c r="F9" s="15"/>
      <c r="G9" s="15"/>
      <c r="H9" s="15"/>
    </row>
    <row r="10" spans="1:9">
      <c r="A10" s="158">
        <v>2</v>
      </c>
      <c r="B10" s="203"/>
      <c r="C10" s="48"/>
      <c r="D10" s="48"/>
      <c r="E10" s="48"/>
      <c r="F10" s="15"/>
      <c r="G10" s="15"/>
      <c r="H10" s="15"/>
    </row>
    <row r="11" spans="1:9">
      <c r="A11" s="158">
        <v>3</v>
      </c>
      <c r="B11" s="65" t="s">
        <v>107</v>
      </c>
      <c r="C11" s="48"/>
      <c r="D11" s="41">
        <f>'Sch.B-I.S'!J15</f>
        <v>2167760.1542871878</v>
      </c>
      <c r="E11" s="48"/>
      <c r="F11" s="41">
        <f ca="1">'Sch.B-I.S'!N15</f>
        <v>2684749.33948552</v>
      </c>
      <c r="G11" s="15"/>
      <c r="H11" s="15"/>
      <c r="I11" s="58">
        <f>D11*0.03</f>
        <v>65032.804628615631</v>
      </c>
    </row>
    <row r="12" spans="1:9">
      <c r="A12" s="158">
        <v>4</v>
      </c>
      <c r="B12" s="65"/>
      <c r="C12" s="48"/>
      <c r="D12" s="48"/>
      <c r="E12" s="48"/>
      <c r="F12" s="48"/>
      <c r="G12" s="15"/>
      <c r="H12" s="15"/>
    </row>
    <row r="13" spans="1:9">
      <c r="A13" s="158">
        <v>5</v>
      </c>
      <c r="B13" s="47" t="s">
        <v>722</v>
      </c>
      <c r="C13" s="48"/>
      <c r="D13" s="48">
        <f>+'Sch.B-I.S'!J29</f>
        <v>961363.7503775059</v>
      </c>
      <c r="E13" s="48"/>
      <c r="F13" s="48">
        <f>'Sch.B-I.S'!N29</f>
        <v>961363.7503775059</v>
      </c>
      <c r="G13" s="15"/>
      <c r="H13" s="15"/>
    </row>
    <row r="14" spans="1:9">
      <c r="A14" s="158">
        <v>6</v>
      </c>
      <c r="B14" s="47" t="s">
        <v>138</v>
      </c>
      <c r="C14" s="48"/>
      <c r="D14" s="48">
        <f>+'Sch.B-I.S'!J42</f>
        <v>744653.56825955084</v>
      </c>
      <c r="E14" s="48"/>
      <c r="F14" s="48">
        <f ca="1">'Sch.B-I.S'!N42</f>
        <v>754913.22201814118</v>
      </c>
      <c r="G14" s="15"/>
      <c r="H14" s="15"/>
    </row>
    <row r="15" spans="1:9">
      <c r="A15" s="158">
        <v>7</v>
      </c>
      <c r="B15" s="47" t="s">
        <v>315</v>
      </c>
      <c r="C15" s="48"/>
      <c r="D15" s="48">
        <f>+'Sch.B-I.S'!J44+'Sch.B-I.S'!J50</f>
        <v>346602.31314332318</v>
      </c>
      <c r="E15" s="48"/>
      <c r="F15" s="48">
        <f>'Sch.B-I.S'!N44+'Sch.B-I.S'!N50</f>
        <v>346602.31314332318</v>
      </c>
      <c r="G15" s="15"/>
      <c r="H15" s="15"/>
    </row>
    <row r="16" spans="1:9">
      <c r="A16" s="158">
        <v>8</v>
      </c>
      <c r="B16" s="47" t="s">
        <v>62</v>
      </c>
      <c r="C16" s="55"/>
      <c r="D16" s="55">
        <f>+'Sch.B-I.S'!J46</f>
        <v>142400.16880324789</v>
      </c>
      <c r="E16" s="55"/>
      <c r="F16" s="55">
        <f ca="1">'Sch.B-I.S'!N46</f>
        <v>143272.40947644127</v>
      </c>
      <c r="G16" s="15"/>
      <c r="H16" s="15"/>
    </row>
    <row r="17" spans="1:8">
      <c r="A17" s="158">
        <v>9</v>
      </c>
      <c r="B17" s="47" t="s">
        <v>286</v>
      </c>
      <c r="C17" s="55"/>
      <c r="D17" s="55">
        <f>+'Sch.B-I.S'!J47</f>
        <v>-154344.02000000002</v>
      </c>
      <c r="E17" s="55"/>
      <c r="F17" s="55">
        <f>'Sch.B-I.S'!N47</f>
        <v>-154344.02000000002</v>
      </c>
      <c r="G17" s="15"/>
      <c r="H17" s="15"/>
    </row>
    <row r="18" spans="1:8">
      <c r="A18" s="158">
        <v>10</v>
      </c>
      <c r="B18" s="47" t="s">
        <v>316</v>
      </c>
      <c r="C18" s="55"/>
      <c r="D18" s="55">
        <f ca="1">+'Sch.B-I.S'!J60</f>
        <v>191209.52458513205</v>
      </c>
      <c r="E18" s="55"/>
      <c r="F18" s="55">
        <f ca="1">'wp.h-cap.struc'!F49</f>
        <v>191209.52458513205</v>
      </c>
      <c r="G18" s="15"/>
      <c r="H18" s="15"/>
    </row>
    <row r="19" spans="1:8">
      <c r="A19" s="158">
        <v>11</v>
      </c>
      <c r="C19" s="48"/>
      <c r="D19" s="49"/>
      <c r="E19" s="48"/>
      <c r="F19" s="49"/>
      <c r="G19" s="15"/>
      <c r="H19" s="15"/>
    </row>
    <row r="20" spans="1:8">
      <c r="A20" s="158">
        <v>12</v>
      </c>
      <c r="B20" s="47" t="s">
        <v>734</v>
      </c>
      <c r="C20" s="48"/>
      <c r="D20" s="41">
        <f ca="1">D11-D13-D14-D15-D16-D17-D18</f>
        <v>-64125.150881572103</v>
      </c>
      <c r="E20" s="48"/>
      <c r="F20" s="41">
        <f ca="1">F11-F13-F14-F15-F16-F17-F18</f>
        <v>441732.13988497644</v>
      </c>
      <c r="G20" s="204"/>
      <c r="H20" s="15"/>
    </row>
    <row r="21" spans="1:8">
      <c r="A21" s="158">
        <v>13</v>
      </c>
      <c r="B21" s="47" t="s">
        <v>67</v>
      </c>
      <c r="C21" s="48"/>
      <c r="D21" s="41"/>
      <c r="E21" s="48"/>
      <c r="F21" s="41"/>
      <c r="G21" s="204"/>
      <c r="H21" s="15"/>
    </row>
    <row r="22" spans="1:8">
      <c r="A22" s="158">
        <v>14</v>
      </c>
      <c r="B22" s="340" t="s">
        <v>1096</v>
      </c>
      <c r="C22" s="196"/>
      <c r="D22" s="196">
        <f ca="1">IF(D20&lt;50000,D20*0.04,0)</f>
        <v>-2565.0060352628843</v>
      </c>
      <c r="E22" s="196"/>
      <c r="F22" s="196">
        <f ca="1">IF(F20&lt;50000,F20*0.04,0)</f>
        <v>0</v>
      </c>
      <c r="G22" s="204"/>
      <c r="H22" s="15"/>
    </row>
    <row r="23" spans="1:8">
      <c r="A23" s="158">
        <v>15</v>
      </c>
      <c r="B23" s="340" t="s">
        <v>1097</v>
      </c>
      <c r="C23" s="196"/>
      <c r="D23" s="196">
        <f ca="1">IF(AND(D20&gt;50000,D20&lt;100000),D20*0.05,0)</f>
        <v>0</v>
      </c>
      <c r="E23" s="196"/>
      <c r="F23" s="196">
        <f ca="1">IF(F$20&lt;50000,F$20*0.05,0)</f>
        <v>0</v>
      </c>
      <c r="G23" s="204"/>
      <c r="H23" s="15"/>
    </row>
    <row r="24" spans="1:8">
      <c r="A24" s="158">
        <v>16</v>
      </c>
      <c r="B24" s="340" t="s">
        <v>1098</v>
      </c>
      <c r="C24" s="196"/>
      <c r="D24" s="196">
        <f ca="1">IF(D20&gt;100000,D20*0.06,0)</f>
        <v>0</v>
      </c>
      <c r="E24" s="196"/>
      <c r="F24" s="196">
        <f ca="1">IF(F20&gt;100000,F20*0.06,0)</f>
        <v>26503.928393098584</v>
      </c>
      <c r="G24" s="204"/>
      <c r="H24" s="15"/>
    </row>
    <row r="25" spans="1:8">
      <c r="A25" s="158">
        <v>17</v>
      </c>
      <c r="C25" s="48"/>
      <c r="D25" s="48"/>
      <c r="E25" s="48"/>
      <c r="F25" s="48"/>
      <c r="G25" s="204"/>
      <c r="H25" s="15"/>
    </row>
    <row r="26" spans="1:8" ht="15.75" thickBot="1">
      <c r="A26" s="158">
        <v>18</v>
      </c>
      <c r="B26" s="47" t="s">
        <v>82</v>
      </c>
      <c r="C26" s="55"/>
      <c r="D26" s="45">
        <f ca="1">SUM(D22:D24)</f>
        <v>-2565.0060352628843</v>
      </c>
      <c r="E26" s="55"/>
      <c r="F26" s="45">
        <f ca="1">SUM(F22:F24)</f>
        <v>26503.928393098584</v>
      </c>
      <c r="G26" s="15"/>
      <c r="H26" s="15"/>
    </row>
    <row r="27" spans="1:8" ht="15.75" thickTop="1">
      <c r="A27" s="158">
        <v>19</v>
      </c>
      <c r="C27" s="55"/>
      <c r="D27" s="55"/>
      <c r="E27" s="55"/>
      <c r="F27" s="55"/>
      <c r="G27" s="15"/>
      <c r="H27" s="15"/>
    </row>
    <row r="28" spans="1:8">
      <c r="A28" s="158">
        <v>20</v>
      </c>
      <c r="B28" s="205" t="s">
        <v>886</v>
      </c>
      <c r="C28" s="48"/>
      <c r="D28" s="48"/>
      <c r="E28" s="48"/>
      <c r="F28" s="48"/>
      <c r="G28" s="15"/>
      <c r="H28" s="15"/>
    </row>
    <row r="29" spans="1:8">
      <c r="A29" s="158">
        <v>21</v>
      </c>
      <c r="C29" s="48"/>
      <c r="D29" s="48"/>
      <c r="E29" s="48"/>
      <c r="F29" s="48"/>
      <c r="G29" s="15"/>
      <c r="H29" s="15"/>
    </row>
    <row r="30" spans="1:8">
      <c r="A30" s="158">
        <v>22</v>
      </c>
      <c r="B30" s="47" t="s">
        <v>750</v>
      </c>
      <c r="C30" s="48"/>
      <c r="D30" s="41">
        <f ca="1">D20</f>
        <v>-64125.150881572103</v>
      </c>
      <c r="E30" s="48"/>
      <c r="F30" s="41">
        <f ca="1">F20</f>
        <v>441732.13988497644</v>
      </c>
      <c r="G30" s="15"/>
      <c r="H30" s="15"/>
    </row>
    <row r="31" spans="1:8">
      <c r="A31" s="158">
        <v>23</v>
      </c>
      <c r="C31" s="48"/>
      <c r="D31" s="48"/>
      <c r="E31" s="48"/>
      <c r="F31" s="48"/>
      <c r="G31" s="15"/>
      <c r="H31" s="15"/>
    </row>
    <row r="32" spans="1:8">
      <c r="A32" s="158">
        <v>24</v>
      </c>
      <c r="B32" s="47" t="s">
        <v>302</v>
      </c>
      <c r="C32" s="55"/>
      <c r="D32" s="206">
        <f ca="1">D26</f>
        <v>-2565.0060352628843</v>
      </c>
      <c r="E32" s="55"/>
      <c r="F32" s="206">
        <f ca="1">F26</f>
        <v>26503.928393098584</v>
      </c>
      <c r="G32" s="15"/>
      <c r="H32" s="15"/>
    </row>
    <row r="33" spans="1:6">
      <c r="A33" s="158">
        <v>25</v>
      </c>
      <c r="F33" s="47"/>
    </row>
    <row r="34" spans="1:6">
      <c r="A34" s="158">
        <v>26</v>
      </c>
      <c r="B34" s="47" t="s">
        <v>887</v>
      </c>
      <c r="C34" s="65"/>
      <c r="D34" s="65">
        <f ca="1">D30-D32</f>
        <v>-61560.144846309217</v>
      </c>
      <c r="E34" s="65"/>
      <c r="F34" s="65">
        <f ca="1">F30-F32</f>
        <v>415228.21149187785</v>
      </c>
    </row>
    <row r="35" spans="1:6">
      <c r="A35" s="158">
        <v>27</v>
      </c>
      <c r="B35" s="47" t="s">
        <v>405</v>
      </c>
      <c r="C35" s="208"/>
      <c r="D35" s="207">
        <v>0.34</v>
      </c>
      <c r="E35" s="208"/>
      <c r="F35" s="207">
        <v>0.34</v>
      </c>
    </row>
    <row r="36" spans="1:6">
      <c r="A36" s="158">
        <v>28</v>
      </c>
      <c r="C36" s="65"/>
      <c r="D36" s="65"/>
      <c r="E36" s="65"/>
      <c r="F36" s="65"/>
    </row>
    <row r="37" spans="1:6" ht="15.75" thickBot="1">
      <c r="A37" s="158">
        <v>29</v>
      </c>
      <c r="B37" s="47" t="s">
        <v>71</v>
      </c>
      <c r="C37" s="65"/>
      <c r="D37" s="44">
        <f ca="1">D34*D35</f>
        <v>-20930.449247745135</v>
      </c>
      <c r="E37" s="65"/>
      <c r="F37" s="44">
        <f ca="1">F34*F35</f>
        <v>141177.59190723847</v>
      </c>
    </row>
    <row r="38" spans="1:6" ht="15.75" thickTop="1">
      <c r="A38" s="158">
        <v>30</v>
      </c>
      <c r="C38" s="65"/>
      <c r="D38" s="65"/>
      <c r="E38" s="65"/>
    </row>
  </sheetData>
  <phoneticPr fontId="28" type="noConversion"/>
  <printOptions horizontalCentered="1"/>
  <pageMargins left="0.25" right="0.5" top="0.25" bottom="0" header="0.5" footer="0.5"/>
  <pageSetup orientation="portrait" horizontalDpi="4294967292" verticalDpi="4294967292" r:id="rId1"/>
  <headerFooter alignWithMargins="0"/>
  <colBreaks count="1" manualBreakCount="1">
    <brk id="6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65"/>
  <sheetViews>
    <sheetView showGridLines="0" view="pageBreakPreview" zoomScale="75" zoomScaleNormal="100" zoomScaleSheetLayoutView="75" workbookViewId="0">
      <selection sqref="A1:J1"/>
    </sheetView>
  </sheetViews>
  <sheetFormatPr defaultColWidth="10.875" defaultRowHeight="15"/>
  <cols>
    <col min="1" max="1" width="10.875" style="163"/>
    <col min="2" max="2" width="2.5" style="167" customWidth="1"/>
    <col min="3" max="3" width="2.625" style="167" customWidth="1"/>
    <col min="4" max="4" width="37.375" style="167" customWidth="1"/>
    <col min="5" max="5" width="3.5" style="167" customWidth="1"/>
    <col min="6" max="6" width="13" style="167" customWidth="1"/>
    <col min="7" max="7" width="3.5" style="167" customWidth="1"/>
    <col min="8" max="8" width="10.75" style="166" bestFit="1" customWidth="1"/>
    <col min="9" max="9" width="1.625" style="167" customWidth="1"/>
    <col min="10" max="10" width="9.5" style="168" bestFit="1" customWidth="1"/>
    <col min="11" max="11" width="8.625" style="168" bestFit="1" customWidth="1"/>
    <col min="12" max="12" width="12.5" style="169" customWidth="1"/>
    <col min="13" max="13" width="1.625" style="163" customWidth="1"/>
    <col min="14" max="14" width="8.125" style="163" bestFit="1" customWidth="1"/>
    <col min="15" max="15" width="26.625" style="163" customWidth="1"/>
    <col min="16" max="16" width="9.25" style="163" bestFit="1" customWidth="1"/>
    <col min="17" max="17" width="1.875" style="163" customWidth="1"/>
    <col min="18" max="21" width="12.125" style="163" hidden="1" customWidth="1"/>
    <col min="22" max="22" width="0" style="163" hidden="1" customWidth="1"/>
    <col min="23" max="16384" width="10.875" style="163"/>
  </cols>
  <sheetData>
    <row r="1" spans="1:12">
      <c r="A1" s="2137" t="s">
        <v>456</v>
      </c>
      <c r="B1" s="2137"/>
      <c r="C1" s="2137"/>
      <c r="D1" s="2137"/>
      <c r="E1" s="2137"/>
      <c r="F1" s="2137"/>
      <c r="G1" s="2137"/>
      <c r="H1" s="2137"/>
      <c r="I1" s="2137"/>
      <c r="J1" s="2137"/>
      <c r="K1" s="235" t="s">
        <v>804</v>
      </c>
      <c r="L1" s="162"/>
    </row>
    <row r="2" spans="1:12">
      <c r="A2" s="2137" t="s">
        <v>2339</v>
      </c>
      <c r="B2" s="2137"/>
      <c r="C2" s="2137"/>
      <c r="D2" s="2137"/>
      <c r="E2" s="2137"/>
      <c r="F2" s="2137"/>
      <c r="G2" s="2137"/>
      <c r="H2" s="2137"/>
      <c r="I2" s="2137"/>
      <c r="J2" s="2137"/>
      <c r="K2" s="161"/>
      <c r="L2" s="162"/>
    </row>
    <row r="3" spans="1:12">
      <c r="B3" s="164"/>
      <c r="C3" s="164"/>
      <c r="D3" s="164"/>
      <c r="E3" s="164"/>
      <c r="F3" s="164"/>
      <c r="G3" s="164"/>
      <c r="H3" s="159"/>
      <c r="I3" s="160"/>
      <c r="J3" s="161"/>
      <c r="K3" s="161"/>
      <c r="L3" s="162"/>
    </row>
    <row r="4" spans="1:12" s="1709" customFormat="1" ht="14.25">
      <c r="B4" s="1710"/>
      <c r="C4" s="1710"/>
      <c r="D4" s="1710" t="s">
        <v>235</v>
      </c>
      <c r="E4" s="1710"/>
      <c r="F4" s="1710" t="s">
        <v>236</v>
      </c>
      <c r="G4" s="1710"/>
      <c r="H4" s="1711" t="s">
        <v>237</v>
      </c>
      <c r="I4" s="1705"/>
      <c r="J4" s="194" t="s">
        <v>238</v>
      </c>
      <c r="K4" s="194"/>
      <c r="L4" s="1712"/>
    </row>
    <row r="5" spans="1:12">
      <c r="F5" s="1705"/>
      <c r="G5" s="1707"/>
      <c r="H5" s="1711" t="s">
        <v>413</v>
      </c>
      <c r="I5" s="1707"/>
      <c r="J5" s="1708"/>
    </row>
    <row r="6" spans="1:12">
      <c r="F6" s="1705" t="s">
        <v>2340</v>
      </c>
      <c r="G6" s="1707"/>
      <c r="H6" s="1711" t="s">
        <v>422</v>
      </c>
      <c r="I6" s="1705"/>
      <c r="J6" s="1744" t="s">
        <v>423</v>
      </c>
      <c r="K6" s="170"/>
    </row>
    <row r="7" spans="1:12">
      <c r="A7" s="1743" t="s">
        <v>1786</v>
      </c>
      <c r="F7" s="1745">
        <v>2015</v>
      </c>
      <c r="G7" s="1707"/>
      <c r="H7" s="1746" t="s">
        <v>675</v>
      </c>
      <c r="I7" s="1709"/>
      <c r="J7" s="1747" t="s">
        <v>101</v>
      </c>
      <c r="K7" s="171"/>
    </row>
    <row r="8" spans="1:12">
      <c r="A8" s="158">
        <v>1</v>
      </c>
      <c r="B8" s="172" t="s">
        <v>328</v>
      </c>
      <c r="C8" s="173"/>
      <c r="D8" s="173"/>
      <c r="E8" s="174"/>
      <c r="F8" s="174"/>
      <c r="G8" s="174"/>
    </row>
    <row r="9" spans="1:12">
      <c r="A9" s="158">
        <v>2</v>
      </c>
      <c r="B9" s="174"/>
      <c r="C9" s="174" t="s">
        <v>114</v>
      </c>
      <c r="D9" s="174"/>
      <c r="E9" s="174"/>
      <c r="F9" s="174"/>
      <c r="G9" s="174"/>
    </row>
    <row r="10" spans="1:12">
      <c r="A10" s="158">
        <v>3</v>
      </c>
      <c r="B10" s="174"/>
      <c r="C10" s="174"/>
      <c r="D10" s="174" t="s">
        <v>115</v>
      </c>
      <c r="E10" s="175" t="s">
        <v>646</v>
      </c>
      <c r="F10" s="778">
        <v>100</v>
      </c>
      <c r="G10" s="179"/>
      <c r="H10" s="779"/>
      <c r="I10" s="168"/>
    </row>
    <row r="11" spans="1:12" ht="15" hidden="1" customHeight="1">
      <c r="A11" s="158">
        <v>4</v>
      </c>
      <c r="B11" s="174"/>
      <c r="C11" s="174" t="s">
        <v>468</v>
      </c>
      <c r="D11" s="174"/>
      <c r="E11" s="174"/>
      <c r="F11" s="774">
        <v>0</v>
      </c>
      <c r="G11" s="178"/>
      <c r="H11" s="779"/>
      <c r="I11" s="168"/>
    </row>
    <row r="12" spans="1:12" hidden="1">
      <c r="A12" s="158">
        <v>5</v>
      </c>
      <c r="B12" s="174"/>
      <c r="C12" s="174"/>
      <c r="D12" s="174" t="s">
        <v>469</v>
      </c>
      <c r="E12" s="174"/>
      <c r="F12" s="774">
        <v>0</v>
      </c>
      <c r="G12" s="178"/>
      <c r="H12" s="779"/>
      <c r="I12" s="168"/>
    </row>
    <row r="13" spans="1:12">
      <c r="A13" s="158">
        <v>6</v>
      </c>
      <c r="B13" s="174"/>
      <c r="C13" s="174" t="s">
        <v>658</v>
      </c>
      <c r="D13" s="174"/>
      <c r="E13" s="174"/>
      <c r="F13" s="778">
        <v>139122615.90000001</v>
      </c>
      <c r="G13" s="178"/>
      <c r="H13" s="779"/>
      <c r="I13" s="168"/>
    </row>
    <row r="14" spans="1:12">
      <c r="A14" s="158">
        <v>7</v>
      </c>
      <c r="B14" s="174"/>
      <c r="C14" s="174" t="s">
        <v>93</v>
      </c>
      <c r="D14" s="174"/>
      <c r="E14" s="174"/>
      <c r="F14" s="778">
        <v>51154921.109999992</v>
      </c>
      <c r="G14" s="178"/>
      <c r="H14" s="779"/>
      <c r="I14" s="168"/>
    </row>
    <row r="15" spans="1:12">
      <c r="A15" s="158">
        <v>8</v>
      </c>
      <c r="C15" s="174"/>
      <c r="D15" s="174"/>
      <c r="E15" s="174"/>
      <c r="F15" s="178"/>
      <c r="G15" s="178"/>
      <c r="H15" s="780"/>
      <c r="I15" s="170"/>
      <c r="J15" s="176"/>
      <c r="K15" s="176"/>
      <c r="L15" s="177"/>
    </row>
    <row r="16" spans="1:12" ht="15.75" thickBot="1">
      <c r="A16" s="158">
        <v>9</v>
      </c>
      <c r="B16" s="174" t="s">
        <v>467</v>
      </c>
      <c r="C16" s="178"/>
      <c r="D16" s="178"/>
      <c r="E16" s="179" t="s">
        <v>646</v>
      </c>
      <c r="F16" s="781">
        <f>SUM(F9:F14)</f>
        <v>190277637.00999999</v>
      </c>
      <c r="G16" s="179"/>
      <c r="H16" s="779"/>
      <c r="I16" s="782"/>
      <c r="J16" s="783">
        <f>F16/F29</f>
        <v>0.51387828480946374</v>
      </c>
      <c r="K16" s="180"/>
    </row>
    <row r="17" spans="1:18" ht="15.75" thickTop="1">
      <c r="A17" s="158">
        <v>10</v>
      </c>
      <c r="B17" s="181"/>
      <c r="C17" s="182"/>
      <c r="D17" s="182"/>
      <c r="E17" s="168"/>
      <c r="F17" s="168"/>
      <c r="G17" s="168"/>
      <c r="H17" s="780"/>
      <c r="I17" s="170"/>
      <c r="K17" s="176"/>
      <c r="L17" s="176"/>
    </row>
    <row r="18" spans="1:18">
      <c r="A18" s="158">
        <v>11</v>
      </c>
      <c r="B18" s="172" t="s">
        <v>737</v>
      </c>
      <c r="C18" s="173"/>
      <c r="D18" s="173"/>
      <c r="E18" s="178"/>
      <c r="F18" s="178"/>
      <c r="G18" s="178"/>
      <c r="H18" s="779"/>
      <c r="I18" s="168"/>
      <c r="K18" s="182"/>
      <c r="L18" s="182"/>
    </row>
    <row r="19" spans="1:18">
      <c r="A19" s="158">
        <v>12</v>
      </c>
      <c r="B19" s="174"/>
      <c r="C19" s="174" t="s">
        <v>403</v>
      </c>
      <c r="D19" s="174"/>
      <c r="E19" s="174"/>
      <c r="F19" s="178"/>
      <c r="G19" s="178"/>
      <c r="H19" s="779"/>
      <c r="I19" s="168"/>
      <c r="L19" s="182"/>
    </row>
    <row r="20" spans="1:18">
      <c r="A20" s="158">
        <v>13</v>
      </c>
      <c r="B20" s="174"/>
      <c r="C20" s="174"/>
      <c r="D20" s="174" t="s">
        <v>94</v>
      </c>
      <c r="E20" s="175" t="s">
        <v>646</v>
      </c>
      <c r="F20" s="179">
        <v>180000000</v>
      </c>
      <c r="G20" s="179"/>
      <c r="H20" s="779">
        <f>(F20*0.0658)+42434</f>
        <v>11886434</v>
      </c>
      <c r="I20" s="168"/>
      <c r="L20" s="182"/>
    </row>
    <row r="21" spans="1:18">
      <c r="A21" s="158">
        <v>14</v>
      </c>
      <c r="B21" s="174"/>
      <c r="C21" s="174"/>
      <c r="D21" s="174" t="s">
        <v>95</v>
      </c>
      <c r="E21" s="174"/>
      <c r="F21" s="178"/>
      <c r="G21" s="178"/>
      <c r="H21" s="779"/>
      <c r="I21" s="168"/>
      <c r="L21" s="182"/>
    </row>
    <row r="22" spans="1:18" ht="15.75" thickBot="1">
      <c r="A22" s="158">
        <v>15</v>
      </c>
      <c r="C22" s="167" t="s">
        <v>438</v>
      </c>
      <c r="E22" s="175" t="s">
        <v>646</v>
      </c>
      <c r="F22" s="781">
        <f>SUM(F20:F21)</f>
        <v>180000000</v>
      </c>
      <c r="G22" s="179"/>
      <c r="H22" s="784">
        <f>SUM(H20:H21)</f>
        <v>11886434</v>
      </c>
      <c r="I22" s="184"/>
      <c r="J22" s="783">
        <f>F22/F29</f>
        <v>0.48612171519053632</v>
      </c>
      <c r="K22" s="184"/>
      <c r="L22" s="150"/>
    </row>
    <row r="23" spans="1:18" ht="15.75" thickTop="1">
      <c r="A23" s="158">
        <v>16</v>
      </c>
      <c r="E23" s="175"/>
      <c r="F23" s="179"/>
      <c r="G23" s="179"/>
      <c r="H23" s="195"/>
      <c r="I23" s="184"/>
      <c r="J23" s="169"/>
      <c r="K23" s="184"/>
      <c r="L23" s="150"/>
    </row>
    <row r="24" spans="1:18" hidden="1">
      <c r="A24" s="158">
        <v>17</v>
      </c>
      <c r="E24" s="175"/>
      <c r="F24" s="179"/>
      <c r="G24" s="179"/>
      <c r="H24" s="195"/>
      <c r="I24" s="184"/>
      <c r="J24" s="169"/>
      <c r="K24" s="184"/>
      <c r="L24" s="150"/>
    </row>
    <row r="25" spans="1:18" hidden="1">
      <c r="A25" s="158">
        <v>18</v>
      </c>
      <c r="E25" s="175"/>
      <c r="F25" s="179"/>
      <c r="G25" s="179"/>
      <c r="H25" s="195"/>
      <c r="I25" s="184"/>
      <c r="J25" s="169"/>
      <c r="K25" s="184"/>
      <c r="L25" s="150"/>
    </row>
    <row r="26" spans="1:18" hidden="1">
      <c r="A26" s="158">
        <v>19</v>
      </c>
      <c r="E26" s="175"/>
      <c r="F26" s="179"/>
      <c r="G26" s="179"/>
      <c r="H26" s="195"/>
      <c r="I26" s="184"/>
      <c r="J26" s="169"/>
      <c r="K26" s="184"/>
      <c r="L26" s="150"/>
    </row>
    <row r="27" spans="1:18" hidden="1">
      <c r="A27" s="158">
        <v>20</v>
      </c>
      <c r="E27" s="175"/>
      <c r="F27" s="179"/>
      <c r="G27" s="179"/>
      <c r="H27" s="195"/>
      <c r="I27" s="183"/>
      <c r="J27" s="183"/>
      <c r="K27" s="183"/>
    </row>
    <row r="28" spans="1:18">
      <c r="A28" s="158">
        <v>21</v>
      </c>
      <c r="D28" s="168"/>
      <c r="E28" s="175"/>
      <c r="F28" s="179"/>
      <c r="G28" s="179"/>
      <c r="H28" s="195"/>
      <c r="I28" s="183"/>
      <c r="J28" s="183"/>
      <c r="K28" s="183"/>
      <c r="L28" s="163"/>
      <c r="N28" s="188" t="s">
        <v>667</v>
      </c>
      <c r="O28" s="188"/>
      <c r="P28" s="188" t="s">
        <v>450</v>
      </c>
      <c r="Q28" s="188"/>
      <c r="R28" s="189" t="s">
        <v>668</v>
      </c>
    </row>
    <row r="29" spans="1:18" ht="15.75" thickBot="1">
      <c r="A29" s="158">
        <v>22</v>
      </c>
      <c r="B29" s="174" t="s">
        <v>307</v>
      </c>
      <c r="C29" s="174"/>
      <c r="D29" s="174"/>
      <c r="E29" s="175" t="s">
        <v>646</v>
      </c>
      <c r="F29" s="785">
        <f>F16+F22</f>
        <v>370277637.00999999</v>
      </c>
      <c r="G29" s="179"/>
      <c r="H29" s="779"/>
      <c r="I29" s="183"/>
      <c r="J29" s="786">
        <f>SUM(J15:J27)</f>
        <v>1</v>
      </c>
      <c r="K29" s="183"/>
      <c r="L29" s="163" t="s">
        <v>148</v>
      </c>
      <c r="N29" s="190">
        <f>J22</f>
        <v>0.48612171519053632</v>
      </c>
      <c r="P29" s="190">
        <f>F31</f>
        <v>6.6035744444444447E-2</v>
      </c>
      <c r="R29" s="190">
        <f>N29*P29</f>
        <v>3.2101409353217265E-2</v>
      </c>
    </row>
    <row r="30" spans="1:18">
      <c r="A30" s="158">
        <v>23</v>
      </c>
      <c r="B30" s="165"/>
      <c r="F30" s="168"/>
      <c r="G30" s="168"/>
      <c r="H30" s="779"/>
      <c r="I30" s="168"/>
      <c r="L30" s="163" t="s">
        <v>149</v>
      </c>
      <c r="N30" s="191">
        <f>J16</f>
        <v>0.51387828480946374</v>
      </c>
      <c r="P30" s="191">
        <f ca="1">'Sch.C-R.B'!M40</f>
        <v>9.1175523153112906E-2</v>
      </c>
      <c r="R30" s="191">
        <f ca="1">N30*P30</f>
        <v>4.6853121454527212E-2</v>
      </c>
    </row>
    <row r="31" spans="1:18" ht="15.75" thickBot="1">
      <c r="A31" s="158">
        <v>24</v>
      </c>
      <c r="B31" s="165" t="s">
        <v>760</v>
      </c>
      <c r="C31" s="165"/>
      <c r="D31" s="165"/>
      <c r="E31" s="165"/>
      <c r="F31" s="787">
        <f>H22/F22</f>
        <v>6.6035744444444447E-2</v>
      </c>
      <c r="G31" s="788"/>
      <c r="H31" s="71"/>
      <c r="I31" s="168"/>
      <c r="L31" s="163"/>
      <c r="N31" s="190">
        <f>SUM(N29:N30)</f>
        <v>1</v>
      </c>
      <c r="P31" s="190"/>
      <c r="R31" s="190">
        <f ca="1">SUM(R29:R30)</f>
        <v>7.8954530807744477E-2</v>
      </c>
    </row>
    <row r="32" spans="1:18" ht="15.75" thickTop="1">
      <c r="A32" s="158">
        <v>25</v>
      </c>
      <c r="B32" s="165"/>
      <c r="C32" s="165"/>
      <c r="D32" s="165"/>
      <c r="E32" s="165"/>
      <c r="F32" s="165"/>
      <c r="G32" s="165"/>
    </row>
    <row r="33" spans="1:12">
      <c r="A33" s="57" t="str">
        <f>Company_Name</f>
        <v>WATER SERVICE CORPORATION OF KENTUCKY</v>
      </c>
      <c r="B33" s="57"/>
      <c r="C33" s="165"/>
      <c r="D33" s="165"/>
      <c r="E33" s="165"/>
      <c r="F33" s="165"/>
      <c r="G33" s="165"/>
      <c r="J33" s="194"/>
      <c r="K33" s="194" t="s">
        <v>805</v>
      </c>
    </row>
    <row r="34" spans="1:12">
      <c r="A34" s="193" t="s">
        <v>696</v>
      </c>
      <c r="B34" s="193"/>
      <c r="C34" s="165"/>
      <c r="D34" s="165"/>
      <c r="E34" s="165"/>
      <c r="F34" s="165"/>
      <c r="G34" s="165"/>
    </row>
    <row r="35" spans="1:12">
      <c r="A35" s="57" t="s">
        <v>118</v>
      </c>
      <c r="B35" s="57"/>
      <c r="C35" s="165"/>
      <c r="D35" s="165"/>
      <c r="E35" s="165"/>
      <c r="F35" s="165"/>
      <c r="G35" s="165"/>
    </row>
    <row r="36" spans="1:12">
      <c r="A36" s="57" t="str">
        <f>TestYearEnded</f>
        <v>Test Year Ended 6/30/2015</v>
      </c>
      <c r="B36" s="57"/>
      <c r="C36" s="165"/>
      <c r="D36" s="165"/>
      <c r="E36" s="165"/>
      <c r="F36" s="165"/>
      <c r="G36" s="165"/>
    </row>
    <row r="37" spans="1:12" ht="12" customHeight="1">
      <c r="B37" s="165"/>
      <c r="C37" s="165"/>
      <c r="D37" s="165"/>
      <c r="E37" s="165"/>
      <c r="F37" s="165"/>
      <c r="G37" s="165"/>
    </row>
    <row r="38" spans="1:12" s="1709" customFormat="1" ht="14.25">
      <c r="B38" s="1710"/>
      <c r="C38" s="1710"/>
      <c r="D38" s="1710" t="s">
        <v>235</v>
      </c>
      <c r="E38" s="1710"/>
      <c r="F38" s="1710" t="s">
        <v>236</v>
      </c>
      <c r="G38" s="1710"/>
      <c r="H38" s="1711"/>
      <c r="I38" s="1705"/>
      <c r="J38" s="194"/>
      <c r="K38" s="194"/>
      <c r="L38" s="1712"/>
    </row>
    <row r="39" spans="1:12">
      <c r="B39" s="165"/>
      <c r="C39" s="165"/>
      <c r="D39" s="165"/>
      <c r="E39" s="165"/>
      <c r="F39" s="165"/>
      <c r="G39" s="165"/>
    </row>
    <row r="40" spans="1:12">
      <c r="A40" s="1743" t="s">
        <v>1786</v>
      </c>
      <c r="B40" s="165"/>
      <c r="C40" s="165"/>
      <c r="D40" s="165"/>
      <c r="E40" s="165"/>
      <c r="F40" s="1706" t="s">
        <v>697</v>
      </c>
      <c r="G40" s="165"/>
      <c r="H40" s="292"/>
      <c r="I40" s="293"/>
      <c r="J40" s="176"/>
    </row>
    <row r="41" spans="1:12">
      <c r="A41" s="158"/>
      <c r="B41" s="165"/>
      <c r="C41" s="165"/>
      <c r="D41" s="165"/>
      <c r="E41" s="165"/>
      <c r="F41" s="192"/>
      <c r="G41" s="165"/>
      <c r="H41" s="187"/>
      <c r="I41" s="181"/>
      <c r="J41" s="182"/>
    </row>
    <row r="42" spans="1:12">
      <c r="A42" s="158">
        <v>1</v>
      </c>
      <c r="B42" s="165" t="s">
        <v>720</v>
      </c>
      <c r="C42" s="165"/>
      <c r="D42" s="165"/>
      <c r="E42" s="165"/>
      <c r="F42" s="779">
        <f ca="1">'Sch.C-R.B'!I23</f>
        <v>5956421.491692814</v>
      </c>
      <c r="G42" s="165"/>
      <c r="H42" s="187"/>
      <c r="I42" s="187"/>
      <c r="J42" s="187"/>
    </row>
    <row r="43" spans="1:12">
      <c r="A43" s="158">
        <v>2</v>
      </c>
      <c r="B43" s="165"/>
      <c r="C43" s="165"/>
      <c r="D43" s="165"/>
      <c r="E43" s="165"/>
      <c r="F43" s="779"/>
      <c r="G43" s="165"/>
      <c r="H43" s="187"/>
      <c r="I43" s="187"/>
      <c r="J43" s="187"/>
      <c r="L43" s="163"/>
    </row>
    <row r="44" spans="1:12">
      <c r="A44" s="158">
        <v>3</v>
      </c>
      <c r="B44" s="165"/>
      <c r="C44" s="165"/>
      <c r="D44" s="165" t="s">
        <v>78</v>
      </c>
      <c r="E44" s="165"/>
      <c r="F44" s="71">
        <f>J22</f>
        <v>0.48612171519053632</v>
      </c>
      <c r="G44" s="165"/>
      <c r="H44" s="289"/>
      <c r="I44" s="289"/>
      <c r="J44" s="289"/>
      <c r="L44" s="163"/>
    </row>
    <row r="45" spans="1:12">
      <c r="A45" s="158">
        <v>4</v>
      </c>
      <c r="B45" s="165"/>
      <c r="C45" s="165"/>
      <c r="D45" s="165"/>
      <c r="E45" s="165"/>
      <c r="F45" s="71"/>
      <c r="G45" s="165"/>
      <c r="H45" s="289"/>
      <c r="I45" s="289"/>
      <c r="J45" s="289"/>
      <c r="L45" s="163"/>
    </row>
    <row r="46" spans="1:12">
      <c r="A46" s="158">
        <v>5</v>
      </c>
      <c r="B46" s="165"/>
      <c r="C46" s="165"/>
      <c r="D46" s="165" t="s">
        <v>79</v>
      </c>
      <c r="E46" s="165"/>
      <c r="F46" s="71">
        <f>F31</f>
        <v>6.6035744444444447E-2</v>
      </c>
      <c r="G46" s="165"/>
      <c r="H46" s="289"/>
      <c r="I46" s="289"/>
      <c r="J46" s="289"/>
      <c r="L46" s="163"/>
    </row>
    <row r="47" spans="1:12">
      <c r="A47" s="158">
        <v>6</v>
      </c>
      <c r="B47" s="165"/>
      <c r="C47" s="165"/>
      <c r="D47" s="165"/>
      <c r="E47" s="165"/>
      <c r="F47" s="71"/>
      <c r="G47" s="165"/>
      <c r="H47" s="289"/>
      <c r="I47" s="289"/>
      <c r="J47" s="289"/>
    </row>
    <row r="48" spans="1:12">
      <c r="A48" s="158">
        <v>7</v>
      </c>
      <c r="B48" s="165"/>
      <c r="C48" s="165"/>
      <c r="D48" s="165"/>
      <c r="E48" s="165"/>
      <c r="F48" s="779"/>
      <c r="G48" s="165"/>
      <c r="H48" s="187"/>
      <c r="I48" s="187"/>
      <c r="J48" s="187"/>
    </row>
    <row r="49" spans="1:12" ht="15.75" thickBot="1">
      <c r="A49" s="158">
        <v>8</v>
      </c>
      <c r="B49" s="165" t="s">
        <v>696</v>
      </c>
      <c r="C49" s="165"/>
      <c r="D49" s="165"/>
      <c r="E49" s="165"/>
      <c r="F49" s="781">
        <f ca="1">F46*F44*F42</f>
        <v>191209.52458513205</v>
      </c>
      <c r="G49" s="165"/>
      <c r="H49" s="187"/>
      <c r="I49" s="187"/>
      <c r="J49" s="187"/>
    </row>
    <row r="50" spans="1:12" ht="15.75" thickTop="1">
      <c r="A50" s="158">
        <v>9</v>
      </c>
      <c r="B50" s="165"/>
      <c r="C50" s="165"/>
      <c r="D50" s="165"/>
      <c r="E50" s="165"/>
      <c r="F50" s="788"/>
      <c r="G50" s="165"/>
    </row>
    <row r="51" spans="1:12">
      <c r="B51" s="165"/>
      <c r="C51" s="165"/>
      <c r="D51" s="165"/>
      <c r="E51" s="165"/>
      <c r="F51" s="165"/>
      <c r="G51" s="165"/>
    </row>
    <row r="52" spans="1:12">
      <c r="B52" s="165"/>
      <c r="C52" s="165"/>
      <c r="D52" s="165"/>
      <c r="E52" s="165"/>
      <c r="F52" s="165"/>
      <c r="G52" s="165"/>
    </row>
    <row r="53" spans="1:12">
      <c r="B53" s="165"/>
      <c r="C53" s="165"/>
      <c r="D53" s="165"/>
      <c r="E53" s="165"/>
      <c r="F53" s="165"/>
      <c r="G53" s="165"/>
    </row>
    <row r="54" spans="1:12">
      <c r="B54" s="165"/>
      <c r="C54" s="165"/>
      <c r="D54" s="165"/>
      <c r="E54" s="165"/>
      <c r="F54" s="165"/>
      <c r="G54" s="165"/>
    </row>
    <row r="55" spans="1:12" s="273" customFormat="1">
      <c r="B55" s="271"/>
      <c r="C55" s="271"/>
      <c r="D55" s="272"/>
      <c r="E55" s="271"/>
      <c r="F55" s="271"/>
      <c r="G55" s="271"/>
      <c r="H55" s="195"/>
      <c r="I55" s="182"/>
      <c r="J55" s="182"/>
      <c r="K55" s="182"/>
      <c r="L55" s="169"/>
    </row>
    <row r="56" spans="1:12" s="273" customFormat="1">
      <c r="B56" s="271"/>
      <c r="C56" s="271"/>
      <c r="D56" s="271"/>
      <c r="E56" s="271"/>
      <c r="F56" s="271"/>
      <c r="G56" s="271"/>
      <c r="H56" s="195"/>
      <c r="I56" s="182"/>
      <c r="J56" s="182"/>
      <c r="K56" s="182"/>
      <c r="L56" s="169"/>
    </row>
    <row r="57" spans="1:12" s="273" customFormat="1">
      <c r="B57" s="182"/>
      <c r="C57" s="182"/>
      <c r="D57" s="182"/>
      <c r="E57" s="274"/>
      <c r="F57" s="274"/>
      <c r="G57" s="274"/>
      <c r="H57" s="195"/>
      <c r="I57" s="184"/>
      <c r="J57" s="275"/>
      <c r="K57" s="184"/>
      <c r="L57" s="169"/>
    </row>
    <row r="58" spans="1:12" s="273" customFormat="1">
      <c r="B58" s="276"/>
      <c r="C58" s="277"/>
      <c r="D58" s="277"/>
      <c r="E58" s="276"/>
      <c r="F58" s="276"/>
      <c r="G58" s="276"/>
      <c r="H58" s="195"/>
      <c r="I58" s="182"/>
      <c r="J58" s="130"/>
      <c r="K58" s="182"/>
      <c r="L58" s="182"/>
    </row>
    <row r="59" spans="1:12" s="278" customFormat="1">
      <c r="B59" s="181"/>
      <c r="C59" s="181"/>
      <c r="D59" s="181"/>
      <c r="E59" s="185"/>
      <c r="F59" s="185"/>
      <c r="G59" s="185"/>
      <c r="H59" s="187"/>
      <c r="I59" s="186"/>
      <c r="J59" s="184"/>
      <c r="K59" s="184"/>
      <c r="L59" s="169"/>
    </row>
    <row r="60" spans="1:12" s="278" customFormat="1">
      <c r="B60" s="279"/>
      <c r="C60" s="279"/>
      <c r="D60" s="279"/>
      <c r="E60" s="279"/>
      <c r="F60" s="279"/>
      <c r="G60" s="279"/>
      <c r="H60" s="187"/>
      <c r="I60" s="181"/>
      <c r="J60" s="182"/>
      <c r="K60" s="182"/>
      <c r="L60" s="169"/>
    </row>
    <row r="61" spans="1:12" s="278" customFormat="1">
      <c r="B61" s="181"/>
      <c r="C61" s="181"/>
      <c r="D61" s="279"/>
      <c r="E61" s="279"/>
      <c r="F61" s="279"/>
      <c r="G61" s="279"/>
      <c r="H61" s="187"/>
      <c r="I61" s="181"/>
      <c r="J61" s="182"/>
      <c r="K61" s="182"/>
      <c r="L61" s="169"/>
    </row>
    <row r="62" spans="1:12" s="278" customFormat="1">
      <c r="B62" s="181"/>
      <c r="C62" s="181"/>
      <c r="D62" s="279"/>
      <c r="E62" s="279"/>
      <c r="F62" s="279"/>
      <c r="G62" s="279"/>
      <c r="H62" s="187"/>
      <c r="I62" s="181"/>
      <c r="J62" s="182"/>
      <c r="K62" s="182"/>
      <c r="L62" s="169"/>
    </row>
    <row r="63" spans="1:12" s="278" customFormat="1">
      <c r="B63" s="181"/>
      <c r="C63" s="181"/>
      <c r="D63" s="279"/>
      <c r="E63" s="279"/>
      <c r="F63" s="279"/>
      <c r="G63" s="279"/>
      <c r="H63" s="187"/>
      <c r="I63" s="181"/>
      <c r="J63" s="182"/>
      <c r="K63" s="182"/>
      <c r="L63" s="169"/>
    </row>
    <row r="64" spans="1:12" s="278" customFormat="1">
      <c r="B64" s="181"/>
      <c r="C64" s="181"/>
      <c r="D64" s="280"/>
      <c r="E64" s="181"/>
      <c r="F64" s="181"/>
      <c r="G64" s="181"/>
      <c r="H64" s="187"/>
      <c r="I64" s="181"/>
      <c r="J64" s="182"/>
      <c r="K64" s="182"/>
      <c r="L64" s="169"/>
    </row>
    <row r="65" spans="2:12" s="278" customFormat="1">
      <c r="B65" s="181"/>
      <c r="C65" s="181"/>
      <c r="D65" s="182"/>
      <c r="E65" s="181"/>
      <c r="F65" s="181"/>
      <c r="G65" s="181"/>
      <c r="H65" s="187"/>
      <c r="I65" s="181"/>
      <c r="J65" s="182"/>
      <c r="K65" s="182"/>
      <c r="L65" s="169"/>
    </row>
  </sheetData>
  <mergeCells count="2">
    <mergeCell ref="A1:J1"/>
    <mergeCell ref="A2:J2"/>
  </mergeCells>
  <phoneticPr fontId="28" type="noConversion"/>
  <pageMargins left="0.75" right="0.75" top="1" bottom="1" header="0.5" footer="0.5"/>
  <pageSetup scale="75" orientation="portrait" horizontalDpi="4294967292" verticalDpi="4294967292" r:id="rId1"/>
  <headerFooter alignWithMargins="0"/>
  <rowBreaks count="1" manualBreakCount="1">
    <brk id="32" max="10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K28"/>
  <sheetViews>
    <sheetView showGridLines="0" view="pageBreakPreview" zoomScale="90" zoomScaleNormal="100" zoomScaleSheetLayoutView="90" workbookViewId="0"/>
  </sheetViews>
  <sheetFormatPr defaultColWidth="10.875" defaultRowHeight="15"/>
  <cols>
    <col min="1" max="1" width="9.125" style="15" customWidth="1"/>
    <col min="2" max="2" width="3.125" style="12" customWidth="1"/>
    <col min="3" max="3" width="22.25" style="12" bestFit="1" customWidth="1"/>
    <col min="4" max="4" width="3.75" style="12" customWidth="1"/>
    <col min="5" max="5" width="8" style="12" customWidth="1"/>
    <col min="6" max="6" width="3.75" style="12" customWidth="1"/>
    <col min="7" max="7" width="15.5" style="12" customWidth="1"/>
    <col min="8" max="8" width="3.125" style="12" customWidth="1"/>
    <col min="9" max="13" width="10.875" style="15" customWidth="1"/>
    <col min="14" max="14" width="26.625" style="15" customWidth="1"/>
    <col min="15" max="16" width="10.875" style="15" customWidth="1"/>
    <col min="17" max="21" width="0" style="15" hidden="1" customWidth="1"/>
    <col min="22" max="16384" width="10.875" style="15"/>
  </cols>
  <sheetData>
    <row r="1" spans="1:11">
      <c r="A1" s="38" t="str">
        <f>Company_Name</f>
        <v>WATER SERVICE CORPORATION OF KENTUCKY</v>
      </c>
      <c r="B1" s="38"/>
      <c r="G1" s="209" t="s">
        <v>141</v>
      </c>
    </row>
    <row r="2" spans="1:11">
      <c r="A2" s="38" t="str">
        <f>Docket</f>
        <v>Case No. 2015 - 00382</v>
      </c>
      <c r="B2" s="38"/>
      <c r="G2" s="209"/>
    </row>
    <row r="3" spans="1:11">
      <c r="A3" s="571" t="s">
        <v>672</v>
      </c>
      <c r="B3" s="571"/>
      <c r="G3" s="210"/>
    </row>
    <row r="4" spans="1:11">
      <c r="A4" s="571" t="str">
        <f>TestYearEnded</f>
        <v>Test Year Ended 6/30/2015</v>
      </c>
      <c r="B4" s="571"/>
    </row>
    <row r="6" spans="1:11" s="1504" customFormat="1" ht="14.25">
      <c r="B6" s="1506"/>
      <c r="C6" s="1506" t="s">
        <v>235</v>
      </c>
      <c r="D6" s="1506"/>
      <c r="E6" s="1506" t="s">
        <v>236</v>
      </c>
      <c r="F6" s="1506"/>
      <c r="G6" s="1506" t="s">
        <v>237</v>
      </c>
      <c r="H6" s="1506"/>
      <c r="J6" s="1506"/>
      <c r="K6" s="1506"/>
    </row>
    <row r="7" spans="1:11" ht="15.75">
      <c r="A7" s="1696" t="s">
        <v>1786</v>
      </c>
      <c r="G7" s="585" t="s">
        <v>671</v>
      </c>
      <c r="H7" s="3"/>
    </row>
    <row r="8" spans="1:11">
      <c r="A8" s="158"/>
      <c r="J8" s="12"/>
    </row>
    <row r="9" spans="1:11">
      <c r="A9" s="158">
        <v>1</v>
      </c>
      <c r="B9" s="586" t="s">
        <v>112</v>
      </c>
      <c r="C9" s="418"/>
    </row>
    <row r="10" spans="1:11">
      <c r="A10" s="158">
        <v>2</v>
      </c>
      <c r="C10" s="12" t="s">
        <v>418</v>
      </c>
      <c r="G10" s="236">
        <f>'Sch.B-I.S'!F29</f>
        <v>965737.47999999963</v>
      </c>
    </row>
    <row r="11" spans="1:11">
      <c r="A11" s="158">
        <v>3</v>
      </c>
      <c r="C11" s="12" t="s">
        <v>74</v>
      </c>
      <c r="G11" s="17">
        <f>'Sch.B-I.S'!F42</f>
        <v>665820.10999999987</v>
      </c>
    </row>
    <row r="12" spans="1:11">
      <c r="A12" s="158">
        <v>4</v>
      </c>
      <c r="C12" s="12" t="s">
        <v>62</v>
      </c>
      <c r="G12" s="17">
        <f>'Sch.B-I.S'!F46</f>
        <v>140810.76</v>
      </c>
    </row>
    <row r="13" spans="1:11">
      <c r="A13" s="158">
        <v>5</v>
      </c>
      <c r="G13" s="17"/>
    </row>
    <row r="14" spans="1:11" ht="15.75" thickBot="1">
      <c r="A14" s="158">
        <v>6</v>
      </c>
      <c r="C14" s="12" t="s">
        <v>314</v>
      </c>
      <c r="G14" s="587">
        <f>SUM(G9:G12)</f>
        <v>1772368.3499999994</v>
      </c>
    </row>
    <row r="15" spans="1:11" ht="15.75" thickTop="1">
      <c r="A15" s="158">
        <v>7</v>
      </c>
    </row>
    <row r="16" spans="1:11" ht="15.75" thickBot="1">
      <c r="A16" s="158">
        <v>8</v>
      </c>
      <c r="C16" s="12" t="s">
        <v>719</v>
      </c>
      <c r="E16" s="588" t="s">
        <v>698</v>
      </c>
      <c r="G16" s="587">
        <f>ROUND(G14*(45/360),0)</f>
        <v>221546</v>
      </c>
    </row>
    <row r="17" spans="1:7" ht="15.75" thickTop="1">
      <c r="A17" s="158">
        <v>9</v>
      </c>
    </row>
    <row r="18" spans="1:7">
      <c r="A18" s="158">
        <v>10</v>
      </c>
    </row>
    <row r="19" spans="1:7">
      <c r="A19" s="158">
        <v>11</v>
      </c>
      <c r="B19" s="586" t="s">
        <v>447</v>
      </c>
      <c r="C19" s="418"/>
    </row>
    <row r="20" spans="1:7">
      <c r="A20" s="158">
        <v>12</v>
      </c>
      <c r="C20" s="12" t="s">
        <v>418</v>
      </c>
      <c r="G20" s="236">
        <f>'Sch.B-I.S'!J29</f>
        <v>961363.7503775059</v>
      </c>
    </row>
    <row r="21" spans="1:7">
      <c r="A21" s="158">
        <v>13</v>
      </c>
      <c r="C21" s="12" t="s">
        <v>74</v>
      </c>
      <c r="G21" s="17">
        <f ca="1">'Sch.B-I.S'!N42</f>
        <v>754913.22201814118</v>
      </c>
    </row>
    <row r="22" spans="1:7">
      <c r="A22" s="158">
        <v>14</v>
      </c>
      <c r="C22" s="12" t="s">
        <v>62</v>
      </c>
      <c r="G22" s="17">
        <f>'Sch.B-I.S'!J46</f>
        <v>142400.16880324789</v>
      </c>
    </row>
    <row r="23" spans="1:7">
      <c r="A23" s="158">
        <v>15</v>
      </c>
      <c r="G23" s="17"/>
    </row>
    <row r="24" spans="1:7" ht="15.75" thickBot="1">
      <c r="A24" s="158">
        <v>16</v>
      </c>
      <c r="C24" s="12" t="s">
        <v>314</v>
      </c>
      <c r="G24" s="587">
        <f ca="1">SUM(G20:G22)</f>
        <v>1858677.1411988949</v>
      </c>
    </row>
    <row r="25" spans="1:7" ht="12.75" customHeight="1" thickTop="1">
      <c r="A25" s="158">
        <v>17</v>
      </c>
    </row>
    <row r="26" spans="1:7" ht="15.75" thickBot="1">
      <c r="A26" s="158">
        <v>18</v>
      </c>
      <c r="C26" s="12" t="s">
        <v>719</v>
      </c>
      <c r="E26" s="588" t="s">
        <v>698</v>
      </c>
      <c r="G26" s="587">
        <f ca="1">ROUND(G24*(45/360),0)</f>
        <v>232335</v>
      </c>
    </row>
    <row r="27" spans="1:7" ht="15.75" thickTop="1">
      <c r="A27" s="158">
        <v>19</v>
      </c>
    </row>
    <row r="28" spans="1:7">
      <c r="G28" s="571"/>
    </row>
  </sheetData>
  <phoneticPr fontId="28" type="noConversion"/>
  <pageMargins left="0.25" right="0" top="0.25" bottom="0.5" header="0.5" footer="0.5"/>
  <pageSetup orientation="portrait" horizontalDpi="4294967292" vertic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showGridLines="0" view="pageBreakPreview" zoomScale="90" zoomScaleNormal="90" zoomScaleSheetLayoutView="90" workbookViewId="0"/>
  </sheetViews>
  <sheetFormatPr defaultRowHeight="13.5"/>
  <cols>
    <col min="1" max="1" width="9" style="1578"/>
    <col min="2" max="2" width="5.5" style="1578" bestFit="1" customWidth="1"/>
    <col min="3" max="3" width="31.125" style="1578" bestFit="1" customWidth="1"/>
    <col min="4" max="4" width="1.375" style="1578" customWidth="1"/>
    <col min="5" max="5" width="10.5" style="1578" bestFit="1" customWidth="1"/>
    <col min="6" max="6" width="1.375" style="1578" customWidth="1"/>
    <col min="7" max="7" width="14.375" style="1578" bestFit="1" customWidth="1"/>
    <col min="8" max="8" width="1.375" style="1578" customWidth="1"/>
    <col min="9" max="9" width="19.375" style="1578" bestFit="1" customWidth="1"/>
    <col min="10" max="10" width="1.375" style="1578" customWidth="1"/>
    <col min="11" max="11" width="12.375" style="1578" bestFit="1" customWidth="1"/>
    <col min="12" max="12" width="1.375" style="1578" customWidth="1"/>
    <col min="13" max="13" width="14.5" style="1578" bestFit="1" customWidth="1"/>
    <col min="14" max="14" width="6.75" style="1578" customWidth="1"/>
    <col min="15" max="16384" width="9" style="1578"/>
  </cols>
  <sheetData>
    <row r="1" spans="1:13" ht="15">
      <c r="A1" s="1616" t="str">
        <f>Company_Name</f>
        <v>WATER SERVICE CORPORATION OF KENTUCKY</v>
      </c>
      <c r="M1" s="209" t="s">
        <v>142</v>
      </c>
    </row>
    <row r="2" spans="1:13" ht="15">
      <c r="A2" s="1616" t="str">
        <f>Docket</f>
        <v>Case No. 2015 - 00382</v>
      </c>
    </row>
    <row r="3" spans="1:13" ht="15">
      <c r="A3" s="1617" t="s">
        <v>2411</v>
      </c>
    </row>
    <row r="4" spans="1:13" ht="15">
      <c r="A4" s="1617" t="str">
        <f>TestYearEnded</f>
        <v>Test Year Ended 6/30/2015</v>
      </c>
    </row>
    <row r="5" spans="1:13" ht="15">
      <c r="A5" s="1617"/>
    </row>
    <row r="6" spans="1:13" s="1615" customFormat="1" ht="15">
      <c r="B6" s="1615" t="s">
        <v>235</v>
      </c>
      <c r="C6" s="1615" t="s">
        <v>236</v>
      </c>
      <c r="E6" s="1615" t="s">
        <v>237</v>
      </c>
      <c r="G6" s="1615" t="s">
        <v>238</v>
      </c>
      <c r="I6" s="1615" t="s">
        <v>239</v>
      </c>
      <c r="K6" s="1615" t="s">
        <v>869</v>
      </c>
      <c r="M6" s="1615" t="s">
        <v>870</v>
      </c>
    </row>
    <row r="7" spans="1:13" s="1577" customFormat="1" ht="15">
      <c r="K7" s="1615" t="s">
        <v>454</v>
      </c>
    </row>
    <row r="8" spans="1:13" s="1577" customFormat="1" ht="15">
      <c r="A8" s="1696" t="s">
        <v>1786</v>
      </c>
      <c r="B8" s="1696" t="s">
        <v>1908</v>
      </c>
      <c r="C8" s="1696" t="s">
        <v>150</v>
      </c>
      <c r="E8" s="1614" t="s">
        <v>230</v>
      </c>
      <c r="G8" s="1614" t="s">
        <v>2407</v>
      </c>
      <c r="I8" s="1614" t="s">
        <v>2408</v>
      </c>
      <c r="K8" s="1614" t="s">
        <v>2410</v>
      </c>
      <c r="M8" s="1614" t="s">
        <v>447</v>
      </c>
    </row>
    <row r="9" spans="1:13" ht="15">
      <c r="A9" s="1615">
        <v>1</v>
      </c>
      <c r="B9" s="1578">
        <v>6285</v>
      </c>
      <c r="C9" s="1578" t="s">
        <v>261</v>
      </c>
      <c r="E9" s="1621">
        <f>'Linked TB'!E530</f>
        <v>8071.6799999999985</v>
      </c>
      <c r="F9" s="1621"/>
      <c r="G9" s="1621">
        <v>0</v>
      </c>
      <c r="H9" s="1621"/>
      <c r="I9" s="1621">
        <v>0</v>
      </c>
      <c r="J9" s="1621"/>
      <c r="K9" s="1621">
        <v>0</v>
      </c>
      <c r="L9" s="1621"/>
      <c r="M9" s="1621">
        <f>E9+SUM(G9:L9)</f>
        <v>8071.6799999999985</v>
      </c>
    </row>
    <row r="10" spans="1:13" ht="15">
      <c r="A10" s="1615">
        <v>2</v>
      </c>
      <c r="B10" s="1578">
        <v>6290</v>
      </c>
      <c r="C10" s="1578" t="s">
        <v>262</v>
      </c>
      <c r="E10" s="1613">
        <f>'Linked TB'!E531</f>
        <v>9888.02</v>
      </c>
      <c r="G10" s="1613">
        <v>0</v>
      </c>
      <c r="I10" s="1613">
        <v>0</v>
      </c>
      <c r="K10" s="1613">
        <v>0</v>
      </c>
      <c r="M10" s="1613">
        <f t="shared" ref="M10:M27" si="0">E10+SUM(G10:L10)</f>
        <v>9888.02</v>
      </c>
    </row>
    <row r="11" spans="1:13" ht="15">
      <c r="A11" s="1615">
        <v>3</v>
      </c>
      <c r="B11" s="1578">
        <v>6295</v>
      </c>
      <c r="C11" s="1578" t="s">
        <v>263</v>
      </c>
      <c r="E11" s="1613">
        <f>'Linked TB'!E532</f>
        <v>10643.11</v>
      </c>
      <c r="G11" s="1613">
        <v>0</v>
      </c>
      <c r="I11" s="1613">
        <v>0</v>
      </c>
      <c r="K11" s="1613">
        <v>0</v>
      </c>
      <c r="M11" s="1613">
        <f t="shared" si="0"/>
        <v>10643.11</v>
      </c>
    </row>
    <row r="12" spans="1:13" ht="15">
      <c r="A12" s="1615">
        <v>4</v>
      </c>
      <c r="B12" s="1578">
        <v>6300</v>
      </c>
      <c r="C12" s="1578" t="s">
        <v>264</v>
      </c>
      <c r="E12" s="1613">
        <f>'Linked TB'!E533</f>
        <v>90.1</v>
      </c>
      <c r="G12" s="1613">
        <v>0</v>
      </c>
      <c r="I12" s="1613">
        <v>0</v>
      </c>
      <c r="K12" s="1613">
        <v>0</v>
      </c>
      <c r="M12" s="1613">
        <f t="shared" si="0"/>
        <v>90.1</v>
      </c>
    </row>
    <row r="13" spans="1:13" ht="15">
      <c r="A13" s="1615">
        <v>5</v>
      </c>
      <c r="B13" s="1578">
        <v>6310</v>
      </c>
      <c r="C13" s="1578" t="s">
        <v>266</v>
      </c>
      <c r="E13" s="1613">
        <f>'Linked TB'!E534</f>
        <v>26047.65</v>
      </c>
      <c r="G13" s="1613">
        <v>0</v>
      </c>
      <c r="I13" s="1613">
        <v>0</v>
      </c>
      <c r="K13" s="1613">
        <v>0</v>
      </c>
      <c r="M13" s="1613">
        <f t="shared" si="0"/>
        <v>26047.65</v>
      </c>
    </row>
    <row r="14" spans="1:13" ht="15">
      <c r="A14" s="1615">
        <v>6</v>
      </c>
      <c r="B14" s="1578">
        <v>6320</v>
      </c>
      <c r="C14" s="1578" t="s">
        <v>267</v>
      </c>
      <c r="E14" s="1613">
        <f>'Linked TB'!E535</f>
        <v>1752.5500000000002</v>
      </c>
      <c r="G14" s="1613">
        <v>0</v>
      </c>
      <c r="I14" s="1613">
        <v>0</v>
      </c>
      <c r="K14" s="1613">
        <v>0</v>
      </c>
      <c r="M14" s="1613">
        <f t="shared" si="0"/>
        <v>1752.5500000000002</v>
      </c>
    </row>
    <row r="15" spans="1:13" ht="15">
      <c r="A15" s="1615">
        <v>7</v>
      </c>
      <c r="B15" s="1578">
        <v>6325</v>
      </c>
      <c r="C15" s="1578" t="s">
        <v>268</v>
      </c>
      <c r="E15" s="1613">
        <f>'Linked TB'!E536</f>
        <v>1500</v>
      </c>
      <c r="G15" s="1613">
        <v>0</v>
      </c>
      <c r="I15" s="1613">
        <v>0</v>
      </c>
      <c r="K15" s="1613">
        <v>0</v>
      </c>
      <c r="M15" s="1613">
        <f t="shared" si="0"/>
        <v>1500</v>
      </c>
    </row>
    <row r="16" spans="1:13" ht="15">
      <c r="A16" s="1615">
        <v>8</v>
      </c>
      <c r="B16" s="1578">
        <v>6330</v>
      </c>
      <c r="C16" s="1578" t="s">
        <v>269</v>
      </c>
      <c r="E16" s="1613">
        <f>'Linked TB'!E537</f>
        <v>0</v>
      </c>
      <c r="G16" s="1613">
        <v>0</v>
      </c>
      <c r="I16" s="1613">
        <v>0</v>
      </c>
      <c r="K16" s="1613">
        <v>0</v>
      </c>
      <c r="M16" s="1613">
        <f t="shared" si="0"/>
        <v>0</v>
      </c>
    </row>
    <row r="17" spans="1:13" ht="15">
      <c r="A17" s="1615">
        <v>9</v>
      </c>
      <c r="B17" s="1578">
        <v>6335</v>
      </c>
      <c r="C17" s="1578" t="s">
        <v>270</v>
      </c>
      <c r="E17" s="1613">
        <f>'Linked TB'!E538</f>
        <v>7721.1200000000008</v>
      </c>
      <c r="G17" s="1613">
        <v>0</v>
      </c>
      <c r="I17" s="1613">
        <v>0</v>
      </c>
      <c r="K17" s="1613">
        <v>0</v>
      </c>
      <c r="M17" s="1613">
        <f t="shared" si="0"/>
        <v>7721.1200000000008</v>
      </c>
    </row>
    <row r="18" spans="1:13" ht="15">
      <c r="A18" s="1615">
        <v>10</v>
      </c>
      <c r="B18" s="1578">
        <v>6340</v>
      </c>
      <c r="C18" s="1578" t="s">
        <v>271</v>
      </c>
      <c r="E18" s="1613">
        <f>'Linked TB'!E539</f>
        <v>0</v>
      </c>
      <c r="G18" s="1613">
        <v>0</v>
      </c>
      <c r="I18" s="1613">
        <v>0</v>
      </c>
      <c r="K18" s="1613">
        <v>0</v>
      </c>
      <c r="M18" s="1613">
        <f t="shared" si="0"/>
        <v>0</v>
      </c>
    </row>
    <row r="19" spans="1:13" ht="15">
      <c r="A19" s="1615">
        <v>11</v>
      </c>
      <c r="B19" s="1578">
        <v>6345</v>
      </c>
      <c r="C19" s="1578" t="s">
        <v>272</v>
      </c>
      <c r="E19" s="1613">
        <f>'Linked TB'!E540</f>
        <v>3710.18</v>
      </c>
      <c r="G19" s="1613">
        <v>0</v>
      </c>
      <c r="I19" s="1613">
        <v>0</v>
      </c>
      <c r="K19" s="1613">
        <v>0</v>
      </c>
      <c r="M19" s="1613">
        <f t="shared" si="0"/>
        <v>3710.18</v>
      </c>
    </row>
    <row r="20" spans="1:13" ht="15">
      <c r="A20" s="1615">
        <v>12</v>
      </c>
      <c r="B20" s="1578">
        <v>6355</v>
      </c>
      <c r="C20" s="1578" t="s">
        <v>273</v>
      </c>
      <c r="E20" s="1613">
        <f>'Linked TB'!E541</f>
        <v>19977.39</v>
      </c>
      <c r="G20" s="1613">
        <f>-E20</f>
        <v>-19977.39</v>
      </c>
      <c r="I20" s="1613">
        <v>20106.314666666665</v>
      </c>
      <c r="K20" s="1613">
        <v>14026.971861176235</v>
      </c>
      <c r="M20" s="1613">
        <f t="shared" si="0"/>
        <v>34133.286527842902</v>
      </c>
    </row>
    <row r="21" spans="1:13" ht="15">
      <c r="A21" s="1615">
        <v>13</v>
      </c>
      <c r="B21" s="1578">
        <v>6360</v>
      </c>
      <c r="C21" s="1578" t="s">
        <v>274</v>
      </c>
      <c r="E21" s="1613">
        <f>'Linked TB'!E542</f>
        <v>187.89</v>
      </c>
      <c r="G21" s="1613">
        <v>0</v>
      </c>
      <c r="I21" s="1613">
        <v>0</v>
      </c>
      <c r="K21" s="1613">
        <v>0</v>
      </c>
      <c r="M21" s="1613">
        <f t="shared" si="0"/>
        <v>187.89</v>
      </c>
    </row>
    <row r="22" spans="1:13" ht="15">
      <c r="A22" s="1615">
        <v>14</v>
      </c>
      <c r="B22" s="1578">
        <v>6370</v>
      </c>
      <c r="C22" s="1578" t="s">
        <v>276</v>
      </c>
      <c r="E22" s="1613">
        <f>'Linked TB'!E543</f>
        <v>7200</v>
      </c>
      <c r="G22" s="1613">
        <v>0</v>
      </c>
      <c r="I22" s="1613">
        <v>0</v>
      </c>
      <c r="K22" s="1613">
        <v>0</v>
      </c>
      <c r="M22" s="1613">
        <f t="shared" si="0"/>
        <v>7200</v>
      </c>
    </row>
    <row r="23" spans="1:13" ht="15">
      <c r="A23" s="1615">
        <v>15</v>
      </c>
      <c r="B23" s="1578">
        <v>6380</v>
      </c>
      <c r="C23" s="1578" t="s">
        <v>29</v>
      </c>
      <c r="E23" s="1613">
        <f>'Linked TB'!E544</f>
        <v>0</v>
      </c>
      <c r="G23" s="1613">
        <v>0</v>
      </c>
      <c r="I23" s="1613">
        <v>0</v>
      </c>
      <c r="K23" s="1613">
        <v>0</v>
      </c>
      <c r="M23" s="1613">
        <f t="shared" si="0"/>
        <v>0</v>
      </c>
    </row>
    <row r="24" spans="1:13" ht="15">
      <c r="A24" s="1615">
        <v>16</v>
      </c>
      <c r="B24" s="1578">
        <v>6385</v>
      </c>
      <c r="C24" s="1578" t="s">
        <v>30</v>
      </c>
      <c r="E24" s="1613">
        <f>'Linked TB'!E545</f>
        <v>2595.16</v>
      </c>
      <c r="G24" s="1613">
        <v>0</v>
      </c>
      <c r="I24" s="1613">
        <v>0</v>
      </c>
      <c r="K24" s="1613">
        <v>0</v>
      </c>
      <c r="M24" s="1613">
        <f t="shared" si="0"/>
        <v>2595.16</v>
      </c>
    </row>
    <row r="25" spans="1:13" ht="15">
      <c r="A25" s="1615">
        <v>17</v>
      </c>
      <c r="B25" s="1578">
        <v>6390</v>
      </c>
      <c r="C25" s="1578" t="s">
        <v>1313</v>
      </c>
      <c r="E25" s="1613">
        <f>'Linked TB'!E546</f>
        <v>2067.4500000000003</v>
      </c>
      <c r="G25" s="1613">
        <v>0</v>
      </c>
      <c r="I25" s="1613">
        <v>0</v>
      </c>
      <c r="K25" s="1613">
        <v>0</v>
      </c>
      <c r="M25" s="1613">
        <f t="shared" si="0"/>
        <v>2067.4500000000003</v>
      </c>
    </row>
    <row r="26" spans="1:13" ht="15">
      <c r="A26" s="1615">
        <v>18</v>
      </c>
      <c r="B26" s="1578">
        <v>6400</v>
      </c>
      <c r="C26" s="1578" t="s">
        <v>32</v>
      </c>
      <c r="E26" s="1613">
        <f>'Linked TB'!E547</f>
        <v>0</v>
      </c>
      <c r="G26" s="1613">
        <v>0</v>
      </c>
      <c r="I26" s="1613">
        <v>0</v>
      </c>
      <c r="K26" s="1613">
        <v>0</v>
      </c>
      <c r="M26" s="1613">
        <f t="shared" si="0"/>
        <v>0</v>
      </c>
    </row>
    <row r="27" spans="1:13" ht="15">
      <c r="A27" s="1615">
        <v>19</v>
      </c>
      <c r="B27" s="1578">
        <v>6410</v>
      </c>
      <c r="C27" s="1578" t="s">
        <v>33</v>
      </c>
      <c r="E27" s="1613">
        <f>'Linked TB'!E548</f>
        <v>0</v>
      </c>
      <c r="G27" s="1613">
        <v>0</v>
      </c>
      <c r="I27" s="1613">
        <v>0</v>
      </c>
      <c r="K27" s="1613">
        <v>0</v>
      </c>
      <c r="M27" s="1613">
        <f t="shared" si="0"/>
        <v>0</v>
      </c>
    </row>
    <row r="28" spans="1:13" ht="15.75" thickBot="1">
      <c r="A28" s="1615">
        <v>20</v>
      </c>
      <c r="C28" s="1578" t="s">
        <v>2409</v>
      </c>
      <c r="E28" s="1622">
        <f>SUM(E9:E27)</f>
        <v>101452.29999999999</v>
      </c>
      <c r="F28" s="1621"/>
      <c r="G28" s="1622">
        <f>SUM(G9:G27)</f>
        <v>-19977.39</v>
      </c>
      <c r="H28" s="1621"/>
      <c r="I28" s="1622">
        <f>SUM(I9:I27)</f>
        <v>20106.314666666665</v>
      </c>
      <c r="J28" s="1621"/>
      <c r="K28" s="1622">
        <f>SUM(K9:K27)</f>
        <v>14026.971861176235</v>
      </c>
      <c r="L28" s="1621"/>
      <c r="M28" s="1622">
        <f>SUM(M9:M27)</f>
        <v>115608.1965278429</v>
      </c>
    </row>
    <row r="29" spans="1:13" ht="15.75" thickTop="1">
      <c r="A29" s="1615">
        <v>21</v>
      </c>
    </row>
  </sheetData>
  <pageMargins left="0.7" right="0.7" top="0.75" bottom="0.75" header="0.3" footer="0.3"/>
  <pageSetup scale="6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showGridLines="0" view="pageBreakPreview" zoomScale="90" zoomScaleNormal="90" zoomScaleSheetLayoutView="90" workbookViewId="0"/>
  </sheetViews>
  <sheetFormatPr defaultRowHeight="13.5"/>
  <cols>
    <col min="1" max="1" width="9" style="1578"/>
    <col min="2" max="2" width="33.625" style="1578" bestFit="1" customWidth="1"/>
    <col min="3" max="3" width="10.875" style="1578" bestFit="1" customWidth="1"/>
    <col min="4" max="4" width="4" style="1578" customWidth="1"/>
    <col min="5" max="5" width="10.875" style="1578" bestFit="1" customWidth="1"/>
    <col min="6" max="6" width="4" style="1578" customWidth="1"/>
    <col min="7" max="7" width="10.875" style="1578" bestFit="1" customWidth="1"/>
    <col min="8" max="16384" width="9" style="1578"/>
  </cols>
  <sheetData>
    <row r="1" spans="1:7" ht="15">
      <c r="A1" s="1631" t="str">
        <f>Company_Name</f>
        <v>WATER SERVICE CORPORATION OF KENTUCKY</v>
      </c>
      <c r="G1" s="209" t="s">
        <v>143</v>
      </c>
    </row>
    <row r="2" spans="1:7" ht="15">
      <c r="A2" s="1631" t="str">
        <f>Docket</f>
        <v>Case No. 2015 - 00382</v>
      </c>
    </row>
    <row r="3" spans="1:7" ht="15">
      <c r="A3" s="1617" t="s">
        <v>2424</v>
      </c>
    </row>
    <row r="4" spans="1:7" ht="15">
      <c r="A4" s="1631" t="str">
        <f>TestYearEnded</f>
        <v>Test Year Ended 6/30/2015</v>
      </c>
    </row>
    <row r="6" spans="1:7" ht="15">
      <c r="A6" s="1615"/>
      <c r="B6" s="1615" t="s">
        <v>235</v>
      </c>
      <c r="C6" s="1615" t="s">
        <v>236</v>
      </c>
      <c r="D6" s="1615"/>
      <c r="E6" s="1615" t="s">
        <v>237</v>
      </c>
      <c r="F6" s="1615"/>
      <c r="G6" s="1615" t="s">
        <v>238</v>
      </c>
    </row>
    <row r="7" spans="1:7" ht="15">
      <c r="B7" s="1632"/>
      <c r="C7" s="1633"/>
      <c r="D7" s="1632"/>
      <c r="E7" s="1633" t="s">
        <v>454</v>
      </c>
      <c r="F7" s="1632"/>
      <c r="G7" s="1633" t="s">
        <v>454</v>
      </c>
    </row>
    <row r="8" spans="1:7" ht="15">
      <c r="A8" s="1634" t="s">
        <v>1786</v>
      </c>
      <c r="B8" s="1634" t="s">
        <v>1910</v>
      </c>
      <c r="C8" s="1634" t="s">
        <v>230</v>
      </c>
      <c r="D8" s="1632"/>
      <c r="E8" s="1634" t="s">
        <v>2337</v>
      </c>
      <c r="F8" s="1632"/>
      <c r="G8" s="1634" t="s">
        <v>446</v>
      </c>
    </row>
    <row r="9" spans="1:7" ht="15">
      <c r="A9" s="1615">
        <v>1</v>
      </c>
      <c r="B9" s="1625" t="s">
        <v>2421</v>
      </c>
      <c r="C9" s="1621">
        <f>'Linked TB'!E378</f>
        <v>34161.089999999997</v>
      </c>
      <c r="D9" s="1626"/>
      <c r="E9" s="1627">
        <v>-9025.3680000000004</v>
      </c>
      <c r="F9" s="1626"/>
      <c r="G9" s="1621">
        <f>C9+E9</f>
        <v>25135.721999999994</v>
      </c>
    </row>
    <row r="10" spans="1:7" ht="15">
      <c r="A10" s="1615">
        <v>2</v>
      </c>
      <c r="B10" s="1625" t="s">
        <v>2422</v>
      </c>
      <c r="C10" s="1613">
        <f>'Linked TB'!E379</f>
        <v>98503.170000000027</v>
      </c>
      <c r="D10" s="1613"/>
      <c r="E10" s="1738">
        <v>-9331.2000000000007</v>
      </c>
      <c r="F10" s="1613"/>
      <c r="G10" s="1613">
        <f>C10+E10</f>
        <v>89171.97000000003</v>
      </c>
    </row>
    <row r="11" spans="1:7" ht="15.75" thickBot="1">
      <c r="A11" s="1615">
        <v>3</v>
      </c>
      <c r="B11" s="1578" t="s">
        <v>3602</v>
      </c>
      <c r="C11" s="1628">
        <f>SUM(C9:C10)</f>
        <v>132664.26</v>
      </c>
      <c r="D11" s="1626"/>
      <c r="E11" s="1628">
        <f>SUM(E9:E10)</f>
        <v>-18356.567999999999</v>
      </c>
      <c r="F11" s="1626"/>
      <c r="G11" s="1628">
        <f>SUM(G9:G10)</f>
        <v>114307.69200000002</v>
      </c>
    </row>
    <row r="12" spans="1:7" ht="15.75" thickTop="1">
      <c r="A12" s="1615">
        <v>4</v>
      </c>
      <c r="C12" s="1629"/>
      <c r="E12" s="1630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showGridLines="0" view="pageBreakPreview" zoomScale="90" zoomScaleNormal="90" zoomScaleSheetLayoutView="90" workbookViewId="0"/>
  </sheetViews>
  <sheetFormatPr defaultRowHeight="13.5"/>
  <cols>
    <col min="1" max="1" width="7.875" style="1578" customWidth="1"/>
    <col min="2" max="2" width="7" style="1578" bestFit="1" customWidth="1"/>
    <col min="3" max="3" width="29.875" style="1578" bestFit="1" customWidth="1"/>
    <col min="4" max="4" width="2.875" style="1578" customWidth="1"/>
    <col min="5" max="5" width="9" style="1578"/>
    <col min="6" max="6" width="2.875" style="1578" customWidth="1"/>
    <col min="7" max="7" width="9" style="1578"/>
    <col min="8" max="8" width="2.875" style="1578" customWidth="1"/>
    <col min="9" max="9" width="11.125" style="1578" customWidth="1"/>
    <col min="10" max="10" width="2.875" style="1578" customWidth="1"/>
    <col min="11" max="11" width="15" style="1578" customWidth="1"/>
    <col min="12" max="12" width="2.875" style="1578" customWidth="1"/>
    <col min="13" max="16384" width="9" style="1578"/>
  </cols>
  <sheetData>
    <row r="1" spans="1:13" ht="15">
      <c r="A1" s="1631" t="str">
        <f>Company_Name</f>
        <v>WATER SERVICE CORPORATION OF KENTUCKY</v>
      </c>
      <c r="M1" s="209" t="s">
        <v>144</v>
      </c>
    </row>
    <row r="2" spans="1:13" ht="15">
      <c r="A2" s="1631" t="str">
        <f>Docket</f>
        <v>Case No. 2015 - 00382</v>
      </c>
    </row>
    <row r="3" spans="1:13" ht="15">
      <c r="A3" s="1617" t="s">
        <v>2353</v>
      </c>
    </row>
    <row r="4" spans="1:13" ht="15">
      <c r="A4" s="1631" t="str">
        <f>TestYearEnded</f>
        <v>Test Year Ended 6/30/2015</v>
      </c>
    </row>
    <row r="5" spans="1:13" ht="15">
      <c r="A5" s="1631"/>
    </row>
    <row r="6" spans="1:13" s="1615" customFormat="1" ht="15">
      <c r="A6" s="1676"/>
      <c r="B6" s="1676" t="s">
        <v>235</v>
      </c>
      <c r="C6" s="1676" t="s">
        <v>236</v>
      </c>
      <c r="D6" s="1676"/>
      <c r="E6" s="1676" t="s">
        <v>237</v>
      </c>
      <c r="F6" s="1676"/>
      <c r="G6" s="1676" t="s">
        <v>238</v>
      </c>
      <c r="H6" s="1676"/>
      <c r="I6" s="1676" t="s">
        <v>239</v>
      </c>
      <c r="J6" s="1676"/>
      <c r="K6" s="1676" t="s">
        <v>869</v>
      </c>
      <c r="L6" s="1676"/>
      <c r="M6" s="1676" t="s">
        <v>870</v>
      </c>
    </row>
    <row r="7" spans="1:13" s="1615" customFormat="1" ht="15">
      <c r="A7" s="1676"/>
      <c r="B7" s="1676"/>
      <c r="C7" s="1676"/>
      <c r="D7" s="1676"/>
      <c r="E7" s="1676"/>
      <c r="F7" s="1676"/>
      <c r="G7" s="1676"/>
      <c r="H7" s="1676"/>
      <c r="I7" s="1676"/>
      <c r="J7" s="1676"/>
      <c r="K7" s="1676"/>
      <c r="L7" s="1676"/>
      <c r="M7" s="1676"/>
    </row>
    <row r="8" spans="1:13" ht="45">
      <c r="A8" s="1636" t="s">
        <v>1786</v>
      </c>
      <c r="B8" s="1636" t="s">
        <v>160</v>
      </c>
      <c r="C8" s="1637" t="s">
        <v>679</v>
      </c>
      <c r="D8" s="1638"/>
      <c r="E8" s="1639" t="s">
        <v>230</v>
      </c>
      <c r="F8" s="1638"/>
      <c r="G8" s="1639" t="s">
        <v>2426</v>
      </c>
      <c r="H8" s="1638"/>
      <c r="I8" s="1639" t="s">
        <v>2427</v>
      </c>
      <c r="J8" s="1638"/>
      <c r="K8" s="1639" t="s">
        <v>2428</v>
      </c>
      <c r="L8" s="1638"/>
      <c r="M8" s="1639" t="s">
        <v>447</v>
      </c>
    </row>
    <row r="9" spans="1:13">
      <c r="A9" s="1635"/>
      <c r="B9" s="1635"/>
      <c r="C9" s="1635"/>
      <c r="D9" s="1635"/>
      <c r="E9" s="1635"/>
      <c r="F9" s="1635"/>
      <c r="G9" s="1635"/>
      <c r="H9" s="1635"/>
      <c r="I9" s="1635"/>
      <c r="J9" s="1635"/>
      <c r="K9" s="1635"/>
      <c r="L9" s="1635"/>
      <c r="M9" s="1635"/>
    </row>
    <row r="10" spans="1:13" ht="15">
      <c r="A10" s="1676">
        <v>1</v>
      </c>
      <c r="B10" s="1635">
        <v>6215</v>
      </c>
      <c r="C10" s="1635" t="s">
        <v>1857</v>
      </c>
      <c r="D10" s="1635"/>
      <c r="E10" s="1640">
        <f>'Linked TB'!E516</f>
        <v>24772.33</v>
      </c>
      <c r="F10" s="1635"/>
      <c r="G10" s="1640">
        <v>-60.5</v>
      </c>
      <c r="H10" s="1635"/>
      <c r="I10" s="1640">
        <v>0</v>
      </c>
      <c r="J10" s="1635"/>
      <c r="K10" s="1640">
        <v>828.47484735977594</v>
      </c>
      <c r="L10" s="1635"/>
      <c r="M10" s="1640">
        <f>E10+G10+I10+K10</f>
        <v>25540.304847359777</v>
      </c>
    </row>
    <row r="11" spans="1:13" ht="15">
      <c r="A11" s="1676">
        <v>2</v>
      </c>
      <c r="B11" s="1635">
        <v>6220</v>
      </c>
      <c r="C11" s="1635" t="s">
        <v>1858</v>
      </c>
      <c r="D11" s="1635"/>
      <c r="E11" s="1737">
        <f>'Linked TB'!E517</f>
        <v>11426.15</v>
      </c>
      <c r="F11" s="1737"/>
      <c r="G11" s="1737">
        <v>-72.179999999999993</v>
      </c>
      <c r="H11" s="1737"/>
      <c r="I11" s="1737">
        <v>0</v>
      </c>
      <c r="J11" s="1737"/>
      <c r="K11" s="1737">
        <v>69.515687959618404</v>
      </c>
      <c r="L11" s="1737"/>
      <c r="M11" s="1737">
        <f>E11+G11+I11+K11</f>
        <v>11423.485687959617</v>
      </c>
    </row>
    <row r="12" spans="1:13" ht="15">
      <c r="A12" s="1676">
        <v>3</v>
      </c>
      <c r="B12" s="1635">
        <v>6225</v>
      </c>
      <c r="C12" s="1635" t="s">
        <v>1859</v>
      </c>
      <c r="D12" s="1635"/>
      <c r="E12" s="1737">
        <f>'Linked TB'!E518</f>
        <v>709.77</v>
      </c>
      <c r="F12" s="1737"/>
      <c r="G12" s="1737">
        <v>-0.78999999999999992</v>
      </c>
      <c r="H12" s="1737"/>
      <c r="I12" s="1737">
        <v>-21.189999999999998</v>
      </c>
      <c r="J12" s="1737"/>
      <c r="K12" s="1737">
        <v>0</v>
      </c>
      <c r="L12" s="1737"/>
      <c r="M12" s="1737">
        <f>E12+G12+I12+K12</f>
        <v>687.79</v>
      </c>
    </row>
    <row r="13" spans="1:13" ht="15">
      <c r="A13" s="1676">
        <v>4</v>
      </c>
      <c r="B13" s="1635">
        <v>6230</v>
      </c>
      <c r="C13" s="1635" t="s">
        <v>1860</v>
      </c>
      <c r="D13" s="1635"/>
      <c r="E13" s="1737">
        <f>'Linked TB'!E519</f>
        <v>2135.2199999999998</v>
      </c>
      <c r="F13" s="1737"/>
      <c r="G13" s="1737">
        <v>-0.95</v>
      </c>
      <c r="H13" s="1737"/>
      <c r="I13" s="1737">
        <v>-783.73</v>
      </c>
      <c r="J13" s="1737"/>
      <c r="K13" s="1737">
        <v>0</v>
      </c>
      <c r="L13" s="1737"/>
      <c r="M13" s="1737">
        <f>E13+G13+I13+K13</f>
        <v>1350.54</v>
      </c>
    </row>
    <row r="14" spans="1:13" ht="15.75" thickBot="1">
      <c r="A14" s="1676">
        <v>5</v>
      </c>
      <c r="B14" s="1635"/>
      <c r="C14" s="1635" t="s">
        <v>1005</v>
      </c>
      <c r="D14" s="1635"/>
      <c r="E14" s="1641">
        <f>SUM(E10:E13)</f>
        <v>39043.47</v>
      </c>
      <c r="F14" s="1635"/>
      <c r="G14" s="1641">
        <f>SUM(G10:G13)</f>
        <v>-134.41999999999999</v>
      </c>
      <c r="H14" s="1635"/>
      <c r="I14" s="1641">
        <f>SUM(I10:I13)</f>
        <v>-804.92000000000007</v>
      </c>
      <c r="J14" s="1635"/>
      <c r="K14" s="1641">
        <f>SUM(K10:K13)</f>
        <v>897.99053531939433</v>
      </c>
      <c r="L14" s="1635"/>
      <c r="M14" s="1641">
        <f>SUM(M10:M13)</f>
        <v>39002.120535319395</v>
      </c>
    </row>
    <row r="15" spans="1:13" ht="15.75" thickTop="1">
      <c r="A15" s="1676">
        <v>6</v>
      </c>
      <c r="B15" s="1635"/>
      <c r="C15" s="1635"/>
      <c r="D15" s="1635"/>
      <c r="E15" s="1635"/>
      <c r="F15" s="1635"/>
      <c r="G15" s="1635"/>
      <c r="H15" s="1635"/>
      <c r="I15" s="1635"/>
      <c r="J15" s="1635"/>
      <c r="K15" s="1635"/>
      <c r="L15" s="1635"/>
      <c r="M15" s="1635"/>
    </row>
  </sheetData>
  <pageMargins left="0.7" right="0.7" top="0.75" bottom="0.75" header="0.3" footer="0.3"/>
  <pageSetup scale="7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"/>
  <sheetViews>
    <sheetView showGridLines="0" view="pageBreakPreview" topLeftCell="A34" zoomScale="90" zoomScaleNormal="90" zoomScaleSheetLayoutView="90" workbookViewId="0"/>
  </sheetViews>
  <sheetFormatPr defaultRowHeight="13.5"/>
  <cols>
    <col min="1" max="1" width="7.625" customWidth="1"/>
    <col min="2" max="2" width="6.625" style="1578" bestFit="1" customWidth="1"/>
    <col min="3" max="3" width="24" style="1578" bestFit="1" customWidth="1"/>
    <col min="4" max="4" width="10.875" style="1578" bestFit="1" customWidth="1"/>
    <col min="5" max="5" width="11.875" style="1578" bestFit="1" customWidth="1"/>
    <col min="6" max="6" width="2.625" style="1578" customWidth="1"/>
    <col min="7" max="7" width="10.875" style="1578" bestFit="1" customWidth="1"/>
    <col min="8" max="8" width="11.875" style="1578" bestFit="1" customWidth="1"/>
    <col min="9" max="9" width="2.625" style="1578" customWidth="1"/>
    <col min="10" max="10" width="8.875" style="1578" bestFit="1" customWidth="1"/>
    <col min="11" max="11" width="9.875" style="1578" bestFit="1" customWidth="1"/>
    <col min="12" max="12" width="2.625" style="1578" customWidth="1"/>
    <col min="13" max="13" width="8.5" style="1578" bestFit="1" customWidth="1"/>
    <col min="14" max="14" width="8.875" style="1578" bestFit="1" customWidth="1"/>
    <col min="15" max="15" width="2.625" style="1578" customWidth="1"/>
    <col min="16" max="16" width="10.875" style="1578" bestFit="1" customWidth="1"/>
    <col min="17" max="17" width="8.875" style="1578" bestFit="1" customWidth="1"/>
    <col min="18" max="18" width="2.625" style="1578" customWidth="1"/>
    <col min="19" max="19" width="10.875" style="1578" bestFit="1" customWidth="1"/>
    <col min="20" max="20" width="11.875" style="1578" bestFit="1" customWidth="1"/>
  </cols>
  <sheetData>
    <row r="1" spans="1:20" ht="15">
      <c r="A1" s="1631" t="str">
        <f>Company_Name</f>
        <v>WATER SERVICE CORPORATION OF KENTUCKY</v>
      </c>
      <c r="T1" s="209" t="s">
        <v>2351</v>
      </c>
    </row>
    <row r="2" spans="1:20" ht="15">
      <c r="A2" s="1631" t="str">
        <f>Docket</f>
        <v>Case No. 2015 - 00382</v>
      </c>
    </row>
    <row r="3" spans="1:20" ht="15">
      <c r="A3" s="1617" t="s">
        <v>3566</v>
      </c>
    </row>
    <row r="4" spans="1:20" ht="15">
      <c r="A4" s="1631" t="str">
        <f>TestYearEnded</f>
        <v>Test Year Ended 6/30/2015</v>
      </c>
    </row>
    <row r="5" spans="1:20" ht="15">
      <c r="A5" s="1631"/>
    </row>
    <row r="6" spans="1:20" s="1733" customFormat="1" ht="15">
      <c r="B6" s="1615" t="s">
        <v>235</v>
      </c>
      <c r="C6" s="1615" t="s">
        <v>236</v>
      </c>
      <c r="D6" s="1615" t="s">
        <v>237</v>
      </c>
      <c r="E6" s="1615" t="s">
        <v>238</v>
      </c>
      <c r="F6" s="1615"/>
      <c r="G6" s="1615" t="s">
        <v>239</v>
      </c>
      <c r="H6" s="1615" t="s">
        <v>869</v>
      </c>
      <c r="I6" s="1615"/>
      <c r="J6" s="1615" t="s">
        <v>870</v>
      </c>
      <c r="K6" s="1615" t="s">
        <v>871</v>
      </c>
      <c r="L6" s="1615"/>
      <c r="M6" s="1615" t="s">
        <v>872</v>
      </c>
      <c r="N6" s="1615" t="s">
        <v>873</v>
      </c>
      <c r="O6" s="1615"/>
      <c r="P6" s="1615" t="s">
        <v>874</v>
      </c>
      <c r="Q6" s="1615" t="s">
        <v>2304</v>
      </c>
      <c r="R6" s="1615"/>
      <c r="S6" s="1615" t="s">
        <v>2305</v>
      </c>
      <c r="T6" s="1615" t="s">
        <v>2306</v>
      </c>
    </row>
    <row r="7" spans="1:20" ht="15">
      <c r="D7" s="2138">
        <v>102</v>
      </c>
      <c r="E7" s="2138"/>
      <c r="F7" s="1675"/>
      <c r="G7" s="2138">
        <v>345</v>
      </c>
      <c r="H7" s="2138"/>
      <c r="I7" s="1675"/>
      <c r="J7" s="2138">
        <v>700</v>
      </c>
      <c r="K7" s="2138"/>
      <c r="L7" s="1675"/>
      <c r="M7" s="2138">
        <v>800</v>
      </c>
      <c r="N7" s="2138"/>
      <c r="O7" s="1675"/>
      <c r="P7" s="2138">
        <v>860</v>
      </c>
      <c r="Q7" s="2138"/>
      <c r="R7" s="1675"/>
      <c r="S7" s="2138" t="s">
        <v>314</v>
      </c>
      <c r="T7" s="2138"/>
    </row>
    <row r="8" spans="1:20" ht="15">
      <c r="A8" s="1732" t="s">
        <v>1786</v>
      </c>
      <c r="B8" s="1732" t="s">
        <v>3567</v>
      </c>
      <c r="C8" s="1732" t="s">
        <v>1910</v>
      </c>
      <c r="D8" s="1676" t="s">
        <v>230</v>
      </c>
      <c r="E8" s="1676" t="s">
        <v>3568</v>
      </c>
      <c r="F8" s="1676"/>
      <c r="G8" s="1676" t="s">
        <v>230</v>
      </c>
      <c r="H8" s="1676" t="s">
        <v>3568</v>
      </c>
      <c r="I8" s="1676"/>
      <c r="J8" s="1676" t="s">
        <v>230</v>
      </c>
      <c r="K8" s="1676" t="s">
        <v>3568</v>
      </c>
      <c r="L8" s="1676"/>
      <c r="M8" s="1676" t="s">
        <v>230</v>
      </c>
      <c r="N8" s="1676" t="s">
        <v>3568</v>
      </c>
      <c r="O8" s="1676"/>
      <c r="P8" s="1676" t="s">
        <v>230</v>
      </c>
      <c r="Q8" s="1676" t="s">
        <v>3568</v>
      </c>
      <c r="R8" s="1676"/>
      <c r="S8" s="1676" t="s">
        <v>230</v>
      </c>
      <c r="T8" s="1676" t="s">
        <v>3568</v>
      </c>
    </row>
    <row r="9" spans="1:20" ht="15">
      <c r="A9" s="1615">
        <v>1</v>
      </c>
      <c r="B9" s="1578">
        <v>5655</v>
      </c>
      <c r="C9" s="1578" t="s">
        <v>2146</v>
      </c>
      <c r="D9" s="1621">
        <v>21.80508</v>
      </c>
      <c r="E9" s="1621">
        <v>-21.80508</v>
      </c>
      <c r="F9" s="1621"/>
      <c r="G9" s="1621">
        <v>0</v>
      </c>
      <c r="H9" s="1621">
        <v>0</v>
      </c>
      <c r="I9" s="1621"/>
      <c r="J9" s="1621">
        <v>0</v>
      </c>
      <c r="K9" s="1621">
        <v>0</v>
      </c>
      <c r="L9" s="1621"/>
      <c r="M9" s="1621">
        <v>0</v>
      </c>
      <c r="N9" s="1621">
        <v>0</v>
      </c>
      <c r="O9" s="1621"/>
      <c r="P9" s="1621">
        <v>0</v>
      </c>
      <c r="Q9" s="1621">
        <v>0</v>
      </c>
      <c r="R9" s="1621"/>
      <c r="S9" s="1621">
        <f>D9+G9+J9+M9+P9</f>
        <v>21.80508</v>
      </c>
      <c r="T9" s="1621">
        <f>E9+H9+K9+N9+Q9</f>
        <v>-21.80508</v>
      </c>
    </row>
    <row r="10" spans="1:20" ht="15">
      <c r="A10" s="1615">
        <v>2</v>
      </c>
      <c r="B10" s="1578">
        <v>5660</v>
      </c>
      <c r="C10" s="1578" t="s">
        <v>2147</v>
      </c>
      <c r="D10" s="1613">
        <v>76.707048</v>
      </c>
      <c r="E10" s="1613">
        <v>-76.707048</v>
      </c>
      <c r="F10" s="1613"/>
      <c r="G10" s="1613">
        <v>0</v>
      </c>
      <c r="H10" s="1613">
        <v>0</v>
      </c>
      <c r="I10" s="1613"/>
      <c r="J10" s="1613">
        <v>0</v>
      </c>
      <c r="K10" s="1613">
        <v>0</v>
      </c>
      <c r="L10" s="1613"/>
      <c r="M10" s="1613">
        <v>0</v>
      </c>
      <c r="N10" s="1613">
        <v>0</v>
      </c>
      <c r="O10" s="1613"/>
      <c r="P10" s="1613">
        <v>0</v>
      </c>
      <c r="Q10" s="1613">
        <v>0</v>
      </c>
      <c r="R10" s="1613"/>
      <c r="S10" s="1613">
        <f t="shared" ref="S10:T32" si="0">D10+G10+J10+M10+P10</f>
        <v>76.707048</v>
      </c>
      <c r="T10" s="1613">
        <f t="shared" si="0"/>
        <v>-76.707048</v>
      </c>
    </row>
    <row r="11" spans="1:20" ht="15">
      <c r="A11" s="1615">
        <v>3</v>
      </c>
      <c r="B11" s="1578">
        <v>5805</v>
      </c>
      <c r="C11" s="1578" t="s">
        <v>2162</v>
      </c>
      <c r="D11" s="1613">
        <v>2.9039999999999999</v>
      </c>
      <c r="E11" s="1613">
        <v>-2.9039999999999999</v>
      </c>
      <c r="F11" s="1613"/>
      <c r="G11" s="1613">
        <v>247.2</v>
      </c>
      <c r="H11" s="1613">
        <v>0</v>
      </c>
      <c r="I11" s="1613"/>
      <c r="J11" s="1613">
        <v>0</v>
      </c>
      <c r="K11" s="1613">
        <v>0</v>
      </c>
      <c r="L11" s="1613"/>
      <c r="M11" s="1613">
        <v>35.302961735245368</v>
      </c>
      <c r="N11" s="1613">
        <v>-35.302961735245368</v>
      </c>
      <c r="O11" s="1613"/>
      <c r="P11" s="1613">
        <v>0</v>
      </c>
      <c r="Q11" s="1613">
        <v>0</v>
      </c>
      <c r="R11" s="1613"/>
      <c r="S11" s="1613">
        <f t="shared" si="0"/>
        <v>285.40696173524537</v>
      </c>
      <c r="T11" s="1613">
        <f t="shared" si="0"/>
        <v>-38.206961735245372</v>
      </c>
    </row>
    <row r="12" spans="1:20" ht="15">
      <c r="A12" s="1615">
        <v>4</v>
      </c>
      <c r="B12" s="1578">
        <v>5810</v>
      </c>
      <c r="C12" s="1578" t="s">
        <v>2163</v>
      </c>
      <c r="D12" s="1613">
        <v>7.3920000000000003</v>
      </c>
      <c r="E12" s="1613">
        <v>-7.3920000000000003</v>
      </c>
      <c r="F12" s="1613"/>
      <c r="G12" s="1613">
        <v>0</v>
      </c>
      <c r="H12" s="1613">
        <v>0</v>
      </c>
      <c r="I12" s="1613"/>
      <c r="J12" s="1613">
        <v>59.238801321031048</v>
      </c>
      <c r="K12" s="1613">
        <v>0</v>
      </c>
      <c r="L12" s="1613"/>
      <c r="M12" s="1613">
        <v>0</v>
      </c>
      <c r="N12" s="1613">
        <v>0</v>
      </c>
      <c r="O12" s="1613"/>
      <c r="P12" s="1613">
        <v>0</v>
      </c>
      <c r="Q12" s="1613">
        <v>0</v>
      </c>
      <c r="R12" s="1613"/>
      <c r="S12" s="1613">
        <f t="shared" si="0"/>
        <v>66.630801321031043</v>
      </c>
      <c r="T12" s="1613">
        <f t="shared" si="0"/>
        <v>-7.3920000000000003</v>
      </c>
    </row>
    <row r="13" spans="1:20" ht="15">
      <c r="A13" s="1615">
        <v>5</v>
      </c>
      <c r="B13" s="1578">
        <v>5820</v>
      </c>
      <c r="C13" s="1578" t="s">
        <v>2165</v>
      </c>
      <c r="D13" s="1613">
        <v>102.774672</v>
      </c>
      <c r="E13" s="1613">
        <v>-102.774672</v>
      </c>
      <c r="F13" s="1613"/>
      <c r="G13" s="1613">
        <v>0</v>
      </c>
      <c r="H13" s="1613">
        <v>0</v>
      </c>
      <c r="I13" s="1613"/>
      <c r="J13" s="1613">
        <v>0</v>
      </c>
      <c r="K13" s="1613">
        <v>0</v>
      </c>
      <c r="L13" s="1613"/>
      <c r="M13" s="1613">
        <v>0</v>
      </c>
      <c r="N13" s="1613">
        <v>0</v>
      </c>
      <c r="O13" s="1613"/>
      <c r="P13" s="1613">
        <v>0</v>
      </c>
      <c r="Q13" s="1613">
        <v>0</v>
      </c>
      <c r="R13" s="1613"/>
      <c r="S13" s="1613">
        <f t="shared" si="0"/>
        <v>102.774672</v>
      </c>
      <c r="T13" s="1613">
        <f t="shared" si="0"/>
        <v>-102.774672</v>
      </c>
    </row>
    <row r="14" spans="1:20" ht="15">
      <c r="A14" s="1615">
        <v>6</v>
      </c>
      <c r="B14" s="1578">
        <v>5825</v>
      </c>
      <c r="C14" s="1578" t="s">
        <v>2166</v>
      </c>
      <c r="D14" s="1613">
        <v>5.1329519999999995</v>
      </c>
      <c r="E14" s="1613">
        <v>-5.1329519999999995</v>
      </c>
      <c r="F14" s="1613"/>
      <c r="G14" s="1613">
        <v>60</v>
      </c>
      <c r="H14" s="1613">
        <v>0</v>
      </c>
      <c r="I14" s="1613"/>
      <c r="J14" s="1613">
        <v>0</v>
      </c>
      <c r="K14" s="1613">
        <v>0</v>
      </c>
      <c r="L14" s="1613"/>
      <c r="M14" s="1613">
        <v>0</v>
      </c>
      <c r="N14" s="1613">
        <v>0</v>
      </c>
      <c r="O14" s="1613"/>
      <c r="P14" s="1613">
        <v>0</v>
      </c>
      <c r="Q14" s="1613">
        <v>0</v>
      </c>
      <c r="R14" s="1613"/>
      <c r="S14" s="1613">
        <f t="shared" si="0"/>
        <v>65.132952000000003</v>
      </c>
      <c r="T14" s="1613">
        <f t="shared" si="0"/>
        <v>-5.1329519999999995</v>
      </c>
    </row>
    <row r="15" spans="1:20" ht="15">
      <c r="A15" s="1615">
        <v>7</v>
      </c>
      <c r="B15" s="1578">
        <v>5860</v>
      </c>
      <c r="C15" s="1578" t="s">
        <v>2168</v>
      </c>
      <c r="D15" s="1613">
        <v>0.37857599999999997</v>
      </c>
      <c r="E15" s="1613">
        <v>-0.37857599999999997</v>
      </c>
      <c r="F15" s="1613"/>
      <c r="G15" s="1613">
        <v>0</v>
      </c>
      <c r="H15" s="1613">
        <v>0</v>
      </c>
      <c r="I15" s="1613"/>
      <c r="J15" s="1613">
        <v>0</v>
      </c>
      <c r="K15" s="1613">
        <v>0</v>
      </c>
      <c r="L15" s="1613"/>
      <c r="M15" s="1613">
        <v>0</v>
      </c>
      <c r="N15" s="1613">
        <v>0</v>
      </c>
      <c r="O15" s="1613"/>
      <c r="P15" s="1613">
        <v>0</v>
      </c>
      <c r="Q15" s="1613">
        <v>0</v>
      </c>
      <c r="R15" s="1613"/>
      <c r="S15" s="1613">
        <f t="shared" si="0"/>
        <v>0.37857599999999997</v>
      </c>
      <c r="T15" s="1613">
        <f t="shared" si="0"/>
        <v>-0.37857599999999997</v>
      </c>
    </row>
    <row r="16" spans="1:20" ht="15">
      <c r="A16" s="1615">
        <v>8</v>
      </c>
      <c r="B16" s="1578">
        <v>5870</v>
      </c>
      <c r="C16" s="1578" t="s">
        <v>2170</v>
      </c>
      <c r="D16" s="1613">
        <v>31.378247999999999</v>
      </c>
      <c r="E16" s="1613">
        <v>-31.378247999999999</v>
      </c>
      <c r="F16" s="1613"/>
      <c r="G16" s="1613">
        <v>273.70999999999998</v>
      </c>
      <c r="H16" s="1613">
        <v>-273.70999999999998</v>
      </c>
      <c r="I16" s="1613"/>
      <c r="J16" s="1613">
        <v>0</v>
      </c>
      <c r="K16" s="1613">
        <v>0</v>
      </c>
      <c r="L16" s="1613"/>
      <c r="M16" s="1613">
        <v>0</v>
      </c>
      <c r="N16" s="1613">
        <v>0</v>
      </c>
      <c r="O16" s="1613"/>
      <c r="P16" s="1613">
        <v>0</v>
      </c>
      <c r="Q16" s="1613">
        <v>0</v>
      </c>
      <c r="R16" s="1613"/>
      <c r="S16" s="1613">
        <f t="shared" si="0"/>
        <v>305.08824799999996</v>
      </c>
      <c r="T16" s="1613">
        <f t="shared" si="0"/>
        <v>-305.08824799999996</v>
      </c>
    </row>
    <row r="17" spans="1:20" ht="15">
      <c r="A17" s="1615">
        <v>9</v>
      </c>
      <c r="B17" s="1578">
        <v>5880</v>
      </c>
      <c r="C17" s="1578" t="s">
        <v>2172</v>
      </c>
      <c r="D17" s="1613">
        <v>7.5926400000000003</v>
      </c>
      <c r="E17" s="1613">
        <v>-7.5926400000000003</v>
      </c>
      <c r="F17" s="1613"/>
      <c r="G17" s="1613">
        <v>0</v>
      </c>
      <c r="H17" s="1613">
        <v>0</v>
      </c>
      <c r="I17" s="1613"/>
      <c r="J17" s="1613">
        <v>0</v>
      </c>
      <c r="K17" s="1613">
        <v>0</v>
      </c>
      <c r="L17" s="1613"/>
      <c r="M17" s="1613">
        <v>0</v>
      </c>
      <c r="N17" s="1613">
        <v>0</v>
      </c>
      <c r="O17" s="1613"/>
      <c r="P17" s="1613">
        <v>0</v>
      </c>
      <c r="Q17" s="1613">
        <v>0</v>
      </c>
      <c r="R17" s="1613"/>
      <c r="S17" s="1613">
        <f t="shared" si="0"/>
        <v>7.5926400000000003</v>
      </c>
      <c r="T17" s="1613">
        <f t="shared" si="0"/>
        <v>-7.5926400000000003</v>
      </c>
    </row>
    <row r="18" spans="1:20" ht="15">
      <c r="A18" s="1615">
        <v>10</v>
      </c>
      <c r="B18" s="1578">
        <v>5895</v>
      </c>
      <c r="C18" s="1578" t="s">
        <v>2175</v>
      </c>
      <c r="D18" s="1613">
        <v>3.373656</v>
      </c>
      <c r="E18" s="1613">
        <v>-3.373656</v>
      </c>
      <c r="F18" s="1613"/>
      <c r="G18" s="1613">
        <v>644.96</v>
      </c>
      <c r="H18" s="1613">
        <v>0</v>
      </c>
      <c r="I18" s="1613"/>
      <c r="J18" s="1613">
        <v>0</v>
      </c>
      <c r="K18" s="1613">
        <v>0</v>
      </c>
      <c r="L18" s="1613"/>
      <c r="M18" s="1613">
        <v>0</v>
      </c>
      <c r="N18" s="1613">
        <v>0</v>
      </c>
      <c r="O18" s="1613"/>
      <c r="P18" s="1613">
        <v>0</v>
      </c>
      <c r="Q18" s="1613">
        <v>0</v>
      </c>
      <c r="R18" s="1613"/>
      <c r="S18" s="1613">
        <f t="shared" si="0"/>
        <v>648.33365600000002</v>
      </c>
      <c r="T18" s="1613">
        <f t="shared" si="0"/>
        <v>-3.373656</v>
      </c>
    </row>
    <row r="19" spans="1:20" ht="15">
      <c r="A19" s="1615">
        <v>11</v>
      </c>
      <c r="B19" s="1578">
        <v>5900</v>
      </c>
      <c r="C19" s="1578" t="s">
        <v>2176</v>
      </c>
      <c r="D19" s="1613">
        <v>15.775055999999999</v>
      </c>
      <c r="E19" s="1613">
        <v>-15.775055999999999</v>
      </c>
      <c r="F19" s="1613"/>
      <c r="G19" s="1613">
        <v>132.88</v>
      </c>
      <c r="H19" s="1613">
        <v>-58.3</v>
      </c>
      <c r="I19" s="1613"/>
      <c r="J19" s="1613">
        <v>0</v>
      </c>
      <c r="K19" s="1613">
        <v>0</v>
      </c>
      <c r="L19" s="1613"/>
      <c r="M19" s="1613">
        <v>0</v>
      </c>
      <c r="N19" s="1613">
        <v>0</v>
      </c>
      <c r="O19" s="1613"/>
      <c r="P19" s="1613">
        <v>0</v>
      </c>
      <c r="Q19" s="1613">
        <v>0</v>
      </c>
      <c r="R19" s="1613"/>
      <c r="S19" s="1613">
        <f t="shared" si="0"/>
        <v>148.655056</v>
      </c>
      <c r="T19" s="1613">
        <f t="shared" si="0"/>
        <v>-74.075055999999989</v>
      </c>
    </row>
    <row r="20" spans="1:20" ht="15">
      <c r="A20" s="1615">
        <v>12</v>
      </c>
      <c r="B20" s="1578">
        <v>5945</v>
      </c>
      <c r="C20" s="1578" t="s">
        <v>2180</v>
      </c>
      <c r="D20" s="1613">
        <v>183.08901599999996</v>
      </c>
      <c r="E20" s="1613">
        <v>-183.08901599999996</v>
      </c>
      <c r="F20" s="1613"/>
      <c r="G20" s="1613">
        <v>0</v>
      </c>
      <c r="H20" s="1613">
        <v>0</v>
      </c>
      <c r="I20" s="1613"/>
      <c r="J20" s="1613">
        <v>381.00863770123556</v>
      </c>
      <c r="K20" s="1613">
        <v>-6.3908212719277016</v>
      </c>
      <c r="L20" s="1613"/>
      <c r="M20" s="1613">
        <v>0</v>
      </c>
      <c r="N20" s="1613">
        <v>0</v>
      </c>
      <c r="O20" s="1613"/>
      <c r="P20" s="1613">
        <v>0</v>
      </c>
      <c r="Q20" s="1613">
        <v>0</v>
      </c>
      <c r="R20" s="1613"/>
      <c r="S20" s="1613">
        <f t="shared" si="0"/>
        <v>564.09765370123546</v>
      </c>
      <c r="T20" s="1613">
        <f t="shared" si="0"/>
        <v>-189.47983727192766</v>
      </c>
    </row>
    <row r="21" spans="1:20" ht="15">
      <c r="A21" s="1615">
        <v>13</v>
      </c>
      <c r="B21" s="1578">
        <v>5965</v>
      </c>
      <c r="C21" s="1578" t="s">
        <v>2184</v>
      </c>
      <c r="D21" s="1613">
        <v>0.18004800000000001</v>
      </c>
      <c r="E21" s="1613">
        <v>-0.18004800000000001</v>
      </c>
      <c r="F21" s="1613"/>
      <c r="G21" s="1613">
        <v>0</v>
      </c>
      <c r="H21" s="1613">
        <v>0</v>
      </c>
      <c r="I21" s="1613"/>
      <c r="J21" s="1613">
        <v>0</v>
      </c>
      <c r="K21" s="1613">
        <v>0</v>
      </c>
      <c r="L21" s="1613"/>
      <c r="M21" s="1613">
        <v>0</v>
      </c>
      <c r="N21" s="1613">
        <v>0</v>
      </c>
      <c r="O21" s="1613"/>
      <c r="P21" s="1613">
        <v>0</v>
      </c>
      <c r="Q21" s="1613">
        <v>0</v>
      </c>
      <c r="R21" s="1613"/>
      <c r="S21" s="1613">
        <f t="shared" si="0"/>
        <v>0.18004800000000001</v>
      </c>
      <c r="T21" s="1613">
        <f t="shared" si="0"/>
        <v>-0.18004800000000001</v>
      </c>
    </row>
    <row r="22" spans="1:20" ht="15">
      <c r="A22" s="1615">
        <v>14</v>
      </c>
      <c r="B22" s="1578">
        <v>6185</v>
      </c>
      <c r="C22" s="1578" t="s">
        <v>2212</v>
      </c>
      <c r="D22" s="1613">
        <v>294.4019760000001</v>
      </c>
      <c r="E22" s="1613">
        <v>-294.4019760000001</v>
      </c>
      <c r="F22" s="1613"/>
      <c r="G22" s="1613">
        <v>2353.41</v>
      </c>
      <c r="H22" s="1613">
        <v>0</v>
      </c>
      <c r="I22" s="1613"/>
      <c r="J22" s="1613">
        <v>0</v>
      </c>
      <c r="K22" s="1613">
        <v>0</v>
      </c>
      <c r="L22" s="1613"/>
      <c r="M22" s="1613">
        <v>0</v>
      </c>
      <c r="N22" s="1613">
        <v>0</v>
      </c>
      <c r="O22" s="1613"/>
      <c r="P22" s="1613">
        <v>132.28</v>
      </c>
      <c r="Q22" s="1613">
        <v>0</v>
      </c>
      <c r="R22" s="1613"/>
      <c r="S22" s="1613">
        <f t="shared" si="0"/>
        <v>2780.0919760000002</v>
      </c>
      <c r="T22" s="1613">
        <f t="shared" si="0"/>
        <v>-294.4019760000001</v>
      </c>
    </row>
    <row r="23" spans="1:20" ht="15">
      <c r="A23" s="1615">
        <v>15</v>
      </c>
      <c r="B23" s="1578">
        <v>6190</v>
      </c>
      <c r="C23" s="1578" t="s">
        <v>2213</v>
      </c>
      <c r="D23" s="1613">
        <v>433.01253600000013</v>
      </c>
      <c r="E23" s="1613">
        <v>-433.01253600000013</v>
      </c>
      <c r="F23" s="1613"/>
      <c r="G23" s="1613">
        <v>0</v>
      </c>
      <c r="H23" s="1613">
        <v>0</v>
      </c>
      <c r="I23" s="1613"/>
      <c r="J23" s="1613">
        <v>450.32361066343697</v>
      </c>
      <c r="K23" s="1613">
        <v>-450.32361066343697</v>
      </c>
      <c r="L23" s="1613"/>
      <c r="M23" s="1613">
        <v>0</v>
      </c>
      <c r="N23" s="1613">
        <v>0</v>
      </c>
      <c r="O23" s="1613"/>
      <c r="P23" s="1613">
        <v>530.16</v>
      </c>
      <c r="Q23" s="1613">
        <v>0</v>
      </c>
      <c r="R23" s="1613"/>
      <c r="S23" s="1613">
        <f t="shared" si="0"/>
        <v>1413.4961466634372</v>
      </c>
      <c r="T23" s="1613">
        <f t="shared" si="0"/>
        <v>-883.33614666343715</v>
      </c>
    </row>
    <row r="24" spans="1:20" ht="15">
      <c r="A24" s="1615">
        <v>16</v>
      </c>
      <c r="B24" s="1578">
        <v>6195</v>
      </c>
      <c r="C24" s="1578" t="s">
        <v>2214</v>
      </c>
      <c r="D24" s="1613">
        <v>135.86258399999997</v>
      </c>
      <c r="E24" s="1613">
        <v>-135.86258399999997</v>
      </c>
      <c r="F24" s="1613"/>
      <c r="G24" s="1613">
        <v>236.88</v>
      </c>
      <c r="H24" s="1613">
        <v>0</v>
      </c>
      <c r="I24" s="1613"/>
      <c r="J24" s="1613">
        <v>61.160926192129907</v>
      </c>
      <c r="K24" s="1613">
        <v>-61.160926192129907</v>
      </c>
      <c r="L24" s="1613"/>
      <c r="M24" s="1613">
        <v>0</v>
      </c>
      <c r="N24" s="1613">
        <v>0</v>
      </c>
      <c r="O24" s="1613"/>
      <c r="P24" s="1613">
        <v>221.31</v>
      </c>
      <c r="Q24" s="1613">
        <v>-49.28</v>
      </c>
      <c r="R24" s="1613"/>
      <c r="S24" s="1613">
        <f t="shared" si="0"/>
        <v>655.21351019212989</v>
      </c>
      <c r="T24" s="1613">
        <f t="shared" si="0"/>
        <v>-246.30351019212989</v>
      </c>
    </row>
    <row r="25" spans="1:20" ht="15">
      <c r="A25" s="1615">
        <v>17</v>
      </c>
      <c r="B25" s="1578">
        <v>6200</v>
      </c>
      <c r="C25" s="1578" t="s">
        <v>2215</v>
      </c>
      <c r="D25" s="1613">
        <v>102.718968</v>
      </c>
      <c r="E25" s="1613">
        <v>-102.718968</v>
      </c>
      <c r="F25" s="1613"/>
      <c r="G25" s="1613">
        <v>1252.3899999999999</v>
      </c>
      <c r="H25" s="1613">
        <v>-1252.3899999999999</v>
      </c>
      <c r="I25" s="1613"/>
      <c r="J25" s="1613">
        <v>6.6012932483859537</v>
      </c>
      <c r="K25" s="1613">
        <v>-6.6012932483859537</v>
      </c>
      <c r="L25" s="1613"/>
      <c r="M25" s="1613">
        <v>5.7232330907256603</v>
      </c>
      <c r="N25" s="1613">
        <v>-5.7232330907256603</v>
      </c>
      <c r="O25" s="1613"/>
      <c r="P25" s="1613">
        <v>41.47</v>
      </c>
      <c r="Q25" s="1613">
        <v>-41.47</v>
      </c>
      <c r="R25" s="1613"/>
      <c r="S25" s="1613">
        <f t="shared" si="0"/>
        <v>1408.9034943391114</v>
      </c>
      <c r="T25" s="1613">
        <f t="shared" si="0"/>
        <v>-1408.9034943391114</v>
      </c>
    </row>
    <row r="26" spans="1:20" ht="15">
      <c r="A26" s="1615">
        <v>18</v>
      </c>
      <c r="B26" s="1578">
        <v>6205</v>
      </c>
      <c r="C26" s="1578" t="s">
        <v>2216</v>
      </c>
      <c r="D26" s="1613">
        <v>56.404920000000004</v>
      </c>
      <c r="E26" s="1613">
        <v>-56.404920000000004</v>
      </c>
      <c r="F26" s="1613"/>
      <c r="G26" s="1613">
        <v>0</v>
      </c>
      <c r="H26" s="1613">
        <v>0</v>
      </c>
      <c r="I26" s="1613"/>
      <c r="J26" s="1613">
        <v>0</v>
      </c>
      <c r="K26" s="1613">
        <v>0</v>
      </c>
      <c r="L26" s="1613"/>
      <c r="M26" s="1613">
        <v>0</v>
      </c>
      <c r="N26" s="1613">
        <v>0</v>
      </c>
      <c r="O26" s="1613"/>
      <c r="P26" s="1613">
        <v>0</v>
      </c>
      <c r="Q26" s="1613">
        <v>0</v>
      </c>
      <c r="R26" s="1613"/>
      <c r="S26" s="1613">
        <f t="shared" si="0"/>
        <v>56.404920000000004</v>
      </c>
      <c r="T26" s="1613">
        <f t="shared" si="0"/>
        <v>-56.404920000000004</v>
      </c>
    </row>
    <row r="27" spans="1:20" ht="15">
      <c r="A27" s="1615">
        <v>19</v>
      </c>
      <c r="B27" s="1578">
        <v>6207</v>
      </c>
      <c r="C27" s="1578" t="s">
        <v>2217</v>
      </c>
      <c r="D27" s="1613">
        <v>39.597888000000005</v>
      </c>
      <c r="E27" s="1613">
        <v>-39.597888000000005</v>
      </c>
      <c r="F27" s="1613"/>
      <c r="G27" s="1613">
        <v>0</v>
      </c>
      <c r="H27" s="1613">
        <v>0</v>
      </c>
      <c r="I27" s="1613"/>
      <c r="J27" s="1613">
        <v>4.8784895205554983</v>
      </c>
      <c r="K27" s="1613">
        <v>-4.8784895205554983</v>
      </c>
      <c r="L27" s="1613"/>
      <c r="M27" s="1613">
        <v>0</v>
      </c>
      <c r="N27" s="1613">
        <v>0</v>
      </c>
      <c r="O27" s="1613"/>
      <c r="P27" s="1613">
        <v>47</v>
      </c>
      <c r="Q27" s="1613">
        <v>0</v>
      </c>
      <c r="R27" s="1613"/>
      <c r="S27" s="1613">
        <f t="shared" si="0"/>
        <v>91.476377520555502</v>
      </c>
      <c r="T27" s="1613">
        <f t="shared" si="0"/>
        <v>-44.476377520555502</v>
      </c>
    </row>
    <row r="28" spans="1:20" ht="15">
      <c r="A28" s="1615">
        <v>20</v>
      </c>
      <c r="B28" s="1578">
        <v>6215</v>
      </c>
      <c r="C28" s="1578" t="s">
        <v>1857</v>
      </c>
      <c r="D28" s="1613">
        <v>4.0355040000000004</v>
      </c>
      <c r="E28" s="1613">
        <v>-4.0355040000000004</v>
      </c>
      <c r="F28" s="1613"/>
      <c r="G28" s="1613">
        <v>0</v>
      </c>
      <c r="H28" s="1613">
        <v>0</v>
      </c>
      <c r="I28" s="1613"/>
      <c r="J28" s="1613">
        <v>0</v>
      </c>
      <c r="K28" s="1613">
        <v>0</v>
      </c>
      <c r="L28" s="1613"/>
      <c r="M28" s="1613">
        <v>0</v>
      </c>
      <c r="N28" s="1613">
        <v>0</v>
      </c>
      <c r="O28" s="1613"/>
      <c r="P28" s="1613">
        <v>130.41</v>
      </c>
      <c r="Q28" s="1613">
        <v>0</v>
      </c>
      <c r="R28" s="1613"/>
      <c r="S28" s="1613">
        <f t="shared" si="0"/>
        <v>134.445504</v>
      </c>
      <c r="T28" s="1613">
        <f t="shared" si="0"/>
        <v>-4.0355040000000004</v>
      </c>
    </row>
    <row r="29" spans="1:20" ht="15">
      <c r="A29" s="1615">
        <v>21</v>
      </c>
      <c r="B29" s="1578">
        <v>6225</v>
      </c>
      <c r="C29" s="1578" t="s">
        <v>1859</v>
      </c>
      <c r="D29" s="1613">
        <v>0.79200000000000004</v>
      </c>
      <c r="E29" s="1613">
        <v>-0.79200000000000004</v>
      </c>
      <c r="F29" s="1613"/>
      <c r="G29" s="1613">
        <v>0</v>
      </c>
      <c r="H29" s="1613">
        <v>0</v>
      </c>
      <c r="I29" s="1613"/>
      <c r="J29" s="1613">
        <v>0</v>
      </c>
      <c r="K29" s="1613">
        <v>0</v>
      </c>
      <c r="L29" s="1613"/>
      <c r="M29" s="1613">
        <v>0</v>
      </c>
      <c r="N29" s="1613">
        <v>0</v>
      </c>
      <c r="O29" s="1613"/>
      <c r="P29" s="1613">
        <v>0</v>
      </c>
      <c r="Q29" s="1613">
        <v>0</v>
      </c>
      <c r="R29" s="1613"/>
      <c r="S29" s="1613">
        <f t="shared" si="0"/>
        <v>0.79200000000000004</v>
      </c>
      <c r="T29" s="1613">
        <f t="shared" si="0"/>
        <v>-0.79200000000000004</v>
      </c>
    </row>
    <row r="30" spans="1:20" ht="15">
      <c r="A30" s="1615">
        <v>22</v>
      </c>
      <c r="B30" s="1578">
        <v>6285</v>
      </c>
      <c r="C30" s="1578" t="s">
        <v>2222</v>
      </c>
      <c r="D30" s="1613">
        <v>0</v>
      </c>
      <c r="E30" s="1613">
        <v>0</v>
      </c>
      <c r="F30" s="1613"/>
      <c r="G30" s="1613">
        <v>11.61</v>
      </c>
      <c r="H30" s="1613">
        <v>0</v>
      </c>
      <c r="I30" s="1613"/>
      <c r="J30" s="1613">
        <v>0</v>
      </c>
      <c r="K30" s="1613">
        <v>0</v>
      </c>
      <c r="L30" s="1613"/>
      <c r="M30" s="1613">
        <v>0</v>
      </c>
      <c r="N30" s="1613">
        <v>0</v>
      </c>
      <c r="O30" s="1613"/>
      <c r="P30" s="1613">
        <v>0</v>
      </c>
      <c r="Q30" s="1613">
        <v>0</v>
      </c>
      <c r="R30" s="1613"/>
      <c r="S30" s="1613">
        <f t="shared" si="0"/>
        <v>11.61</v>
      </c>
      <c r="T30" s="1613">
        <f t="shared" si="0"/>
        <v>0</v>
      </c>
    </row>
    <row r="31" spans="1:20" ht="15">
      <c r="A31" s="1615">
        <v>23</v>
      </c>
      <c r="B31" s="1578">
        <v>6360</v>
      </c>
      <c r="C31" s="1578" t="s">
        <v>2232</v>
      </c>
      <c r="D31" s="1613">
        <v>0</v>
      </c>
      <c r="E31" s="1613">
        <v>0</v>
      </c>
      <c r="F31" s="1613"/>
      <c r="G31" s="1613">
        <v>56.84</v>
      </c>
      <c r="H31" s="1613">
        <v>0</v>
      </c>
      <c r="I31" s="1613"/>
      <c r="J31" s="1613">
        <v>0</v>
      </c>
      <c r="K31" s="1613">
        <v>0</v>
      </c>
      <c r="L31" s="1613"/>
      <c r="M31" s="1613">
        <v>0</v>
      </c>
      <c r="N31" s="1613">
        <v>0</v>
      </c>
      <c r="O31" s="1613"/>
      <c r="P31" s="1613">
        <v>0</v>
      </c>
      <c r="Q31" s="1613">
        <v>0</v>
      </c>
      <c r="R31" s="1613"/>
      <c r="S31" s="1613">
        <f t="shared" si="0"/>
        <v>56.84</v>
      </c>
      <c r="T31" s="1613">
        <f t="shared" si="0"/>
        <v>0</v>
      </c>
    </row>
    <row r="32" spans="1:20" ht="15">
      <c r="A32" s="1615">
        <v>24</v>
      </c>
      <c r="B32" s="1578">
        <v>6385</v>
      </c>
      <c r="C32" s="1578" t="s">
        <v>2234</v>
      </c>
      <c r="D32" s="1613">
        <v>0</v>
      </c>
      <c r="E32" s="1613">
        <v>0</v>
      </c>
      <c r="F32" s="1613"/>
      <c r="G32" s="1613">
        <v>243.06</v>
      </c>
      <c r="H32" s="1613">
        <v>0</v>
      </c>
      <c r="I32" s="1613"/>
      <c r="J32" s="1613">
        <v>0</v>
      </c>
      <c r="K32" s="1613">
        <v>0</v>
      </c>
      <c r="L32" s="1613"/>
      <c r="M32" s="1613">
        <v>0</v>
      </c>
      <c r="N32" s="1613">
        <v>0</v>
      </c>
      <c r="O32" s="1613"/>
      <c r="P32" s="1613">
        <v>0</v>
      </c>
      <c r="Q32" s="1613">
        <v>0</v>
      </c>
      <c r="R32" s="1613"/>
      <c r="S32" s="1613">
        <f t="shared" si="0"/>
        <v>243.06</v>
      </c>
      <c r="T32" s="1613">
        <f t="shared" si="0"/>
        <v>0</v>
      </c>
    </row>
    <row r="33" spans="1:20" ht="15.75" thickBot="1">
      <c r="A33" s="1615">
        <v>25</v>
      </c>
      <c r="D33" s="1622">
        <f>SUM(D9:D32)</f>
        <v>1525.3093679999999</v>
      </c>
      <c r="E33" s="1622">
        <f>SUM(E9:E32)</f>
        <v>-1525.3093679999999</v>
      </c>
      <c r="F33" s="1622"/>
      <c r="G33" s="1622">
        <f>SUM(G9:G32)</f>
        <v>5512.9400000000005</v>
      </c>
      <c r="H33" s="1622">
        <f>SUM(H9:H32)</f>
        <v>-1584.3999999999999</v>
      </c>
      <c r="I33" s="1622"/>
      <c r="J33" s="1622">
        <f>SUM(J9:J32)</f>
        <v>963.2117586467748</v>
      </c>
      <c r="K33" s="1622">
        <f>SUM(K9:K32)</f>
        <v>-529.35514089643596</v>
      </c>
      <c r="L33" s="1622"/>
      <c r="M33" s="1622">
        <f>SUM(M9:M32)</f>
        <v>41.026194825971032</v>
      </c>
      <c r="N33" s="1622">
        <f>SUM(N9:N32)</f>
        <v>-41.026194825971032</v>
      </c>
      <c r="O33" s="1622"/>
      <c r="P33" s="1622">
        <f>SUM(P9:P32)</f>
        <v>1102.6300000000001</v>
      </c>
      <c r="Q33" s="1622">
        <f>SUM(Q9:Q32)</f>
        <v>-90.75</v>
      </c>
      <c r="R33" s="1622"/>
      <c r="S33" s="1622">
        <f t="shared" ref="S33:T33" si="1">SUM(S9:S32)</f>
        <v>9145.117321472746</v>
      </c>
      <c r="T33" s="1622">
        <f t="shared" si="1"/>
        <v>-3770.8407037224069</v>
      </c>
    </row>
    <row r="34" spans="1:20" ht="15.75" thickTop="1">
      <c r="A34" s="1615">
        <v>26</v>
      </c>
      <c r="E34" s="1671"/>
      <c r="H34" s="1671"/>
      <c r="K34" s="1671"/>
      <c r="N34" s="1671"/>
      <c r="Q34" s="1671"/>
      <c r="T34" s="1671"/>
    </row>
    <row r="35" spans="1:20" ht="15">
      <c r="A35" s="1615">
        <v>27</v>
      </c>
    </row>
    <row r="36" spans="1:20" ht="15">
      <c r="A36" s="1615">
        <v>28</v>
      </c>
    </row>
    <row r="37" spans="1:20" ht="15">
      <c r="A37" s="1615">
        <v>29</v>
      </c>
      <c r="B37" s="976" t="s">
        <v>418</v>
      </c>
      <c r="C37" s="976"/>
      <c r="D37" s="976"/>
      <c r="E37" s="976" t="s">
        <v>3569</v>
      </c>
    </row>
    <row r="38" spans="1:20" ht="15">
      <c r="A38" s="1615">
        <v>30</v>
      </c>
      <c r="B38" s="967"/>
      <c r="C38" s="967" t="s">
        <v>419</v>
      </c>
      <c r="D38" s="967"/>
      <c r="E38" s="968"/>
    </row>
    <row r="39" spans="1:20" ht="15">
      <c r="A39" s="1615">
        <v>31</v>
      </c>
      <c r="B39" s="967"/>
      <c r="C39" s="967" t="s">
        <v>1037</v>
      </c>
      <c r="D39" s="967"/>
      <c r="E39" s="968"/>
    </row>
    <row r="40" spans="1:20" ht="15">
      <c r="A40" s="1615">
        <v>32</v>
      </c>
      <c r="B40" s="967"/>
      <c r="C40" s="967" t="s">
        <v>317</v>
      </c>
      <c r="D40" s="967"/>
      <c r="E40" s="968"/>
    </row>
    <row r="41" spans="1:20" ht="15">
      <c r="A41" s="1615">
        <v>33</v>
      </c>
      <c r="B41" s="967"/>
      <c r="C41" s="967" t="s">
        <v>313</v>
      </c>
      <c r="D41" s="967"/>
      <c r="E41" s="968">
        <f>T30+T31+T32</f>
        <v>0</v>
      </c>
    </row>
    <row r="42" spans="1:20" ht="15">
      <c r="A42" s="1615">
        <v>34</v>
      </c>
      <c r="B42" s="967"/>
      <c r="C42" s="967" t="s">
        <v>70</v>
      </c>
      <c r="D42" s="967"/>
      <c r="E42" s="968"/>
    </row>
    <row r="43" spans="1:20" ht="15">
      <c r="A43" s="1615">
        <v>35</v>
      </c>
      <c r="B43" s="967"/>
      <c r="C43" s="967" t="s">
        <v>445</v>
      </c>
      <c r="D43" s="967"/>
      <c r="E43" s="968"/>
    </row>
    <row r="44" spans="1:20" ht="15">
      <c r="A44" s="1615">
        <v>36</v>
      </c>
      <c r="B44" s="967"/>
      <c r="C44" s="967" t="s">
        <v>663</v>
      </c>
      <c r="D44" s="967"/>
      <c r="E44" s="968"/>
    </row>
    <row r="45" spans="1:20" ht="15">
      <c r="A45" s="1615">
        <v>37</v>
      </c>
      <c r="B45" s="967"/>
      <c r="C45" s="967" t="s">
        <v>88</v>
      </c>
      <c r="D45" s="967"/>
      <c r="E45" s="968">
        <f>T28+T29</f>
        <v>-4.8275040000000002</v>
      </c>
      <c r="F45" s="1578" t="s">
        <v>3570</v>
      </c>
    </row>
    <row r="46" spans="1:20" ht="15">
      <c r="A46" s="1615">
        <v>38</v>
      </c>
      <c r="B46" s="967"/>
      <c r="C46" s="967" t="s">
        <v>415</v>
      </c>
      <c r="D46" s="967"/>
      <c r="E46" s="968"/>
    </row>
    <row r="47" spans="1:20" ht="15">
      <c r="A47" s="1615">
        <v>39</v>
      </c>
      <c r="B47" s="967"/>
      <c r="C47" s="967" t="s">
        <v>72</v>
      </c>
      <c r="D47" s="967"/>
      <c r="E47" s="968"/>
    </row>
    <row r="48" spans="1:20" ht="15">
      <c r="A48" s="1615">
        <v>40</v>
      </c>
      <c r="B48" s="967"/>
      <c r="C48" s="967"/>
      <c r="D48" s="967"/>
      <c r="E48" s="980"/>
    </row>
    <row r="49" spans="1:5" ht="15">
      <c r="A49" s="1615">
        <v>41</v>
      </c>
      <c r="B49" s="967"/>
      <c r="C49" s="967" t="s">
        <v>73</v>
      </c>
      <c r="D49" s="967"/>
      <c r="E49" s="981">
        <f>SUM(E38:E47)</f>
        <v>-4.8275040000000002</v>
      </c>
    </row>
    <row r="50" spans="1:5" ht="15">
      <c r="A50" s="1615">
        <v>42</v>
      </c>
      <c r="B50" s="967"/>
      <c r="C50" s="967"/>
      <c r="D50" s="967"/>
      <c r="E50" s="983"/>
    </row>
    <row r="51" spans="1:5" ht="15">
      <c r="A51" s="1615">
        <v>43</v>
      </c>
      <c r="B51" s="976" t="s">
        <v>74</v>
      </c>
      <c r="C51" s="976"/>
      <c r="D51" s="976"/>
      <c r="E51" s="968"/>
    </row>
    <row r="52" spans="1:5" ht="15">
      <c r="A52" s="1615">
        <v>44</v>
      </c>
      <c r="B52" s="967"/>
      <c r="C52" s="967" t="s">
        <v>419</v>
      </c>
      <c r="D52" s="967"/>
      <c r="E52" s="968"/>
    </row>
    <row r="53" spans="1:5" ht="15">
      <c r="A53" s="1615">
        <v>45</v>
      </c>
      <c r="B53" s="967"/>
      <c r="C53" s="967" t="s">
        <v>309</v>
      </c>
      <c r="D53" s="967"/>
      <c r="E53" s="968">
        <f>T15+T16+T17+T18+T19</f>
        <v>-390.50817599999993</v>
      </c>
    </row>
    <row r="54" spans="1:5" ht="15">
      <c r="A54" s="1615">
        <v>46</v>
      </c>
      <c r="B54" s="967"/>
      <c r="C54" s="967" t="s">
        <v>310</v>
      </c>
      <c r="D54" s="967"/>
      <c r="E54" s="968"/>
    </row>
    <row r="55" spans="1:5" ht="15">
      <c r="A55" s="1615">
        <v>47</v>
      </c>
      <c r="B55" s="967"/>
      <c r="C55" s="967" t="s">
        <v>1</v>
      </c>
      <c r="D55" s="967"/>
      <c r="E55" s="968">
        <f>T9+T10</f>
        <v>-98.512128000000004</v>
      </c>
    </row>
    <row r="56" spans="1:5" ht="15">
      <c r="A56" s="1615">
        <v>48</v>
      </c>
      <c r="B56" s="967"/>
      <c r="C56" s="967" t="s">
        <v>303</v>
      </c>
      <c r="D56" s="967"/>
      <c r="E56" s="968"/>
    </row>
    <row r="57" spans="1:5" ht="15">
      <c r="A57" s="1615">
        <v>49</v>
      </c>
      <c r="B57" s="967"/>
      <c r="C57" s="967" t="s">
        <v>304</v>
      </c>
      <c r="D57" s="967"/>
      <c r="E57" s="968"/>
    </row>
    <row r="58" spans="1:5" ht="15">
      <c r="A58" s="1615">
        <v>50</v>
      </c>
      <c r="B58" s="892"/>
      <c r="C58" s="967" t="s">
        <v>63</v>
      </c>
      <c r="D58" s="967"/>
      <c r="E58" s="968"/>
    </row>
    <row r="59" spans="1:5" ht="15">
      <c r="A59" s="1615">
        <v>51</v>
      </c>
      <c r="B59" s="967"/>
      <c r="C59" s="967" t="s">
        <v>757</v>
      </c>
      <c r="D59" s="967"/>
      <c r="E59" s="968">
        <f>T20+T21</f>
        <v>-189.65988527192766</v>
      </c>
    </row>
    <row r="60" spans="1:5" ht="15">
      <c r="A60" s="1615">
        <v>52</v>
      </c>
      <c r="B60" s="967"/>
      <c r="C60" s="967" t="s">
        <v>416</v>
      </c>
      <c r="D60" s="967"/>
      <c r="E60" s="968">
        <f>T11+T12+T13+T14+T22+T23+T24+T25+T26+T27</f>
        <v>-3087.3330104504794</v>
      </c>
    </row>
    <row r="61" spans="1:5" ht="15">
      <c r="A61" s="1615">
        <v>53</v>
      </c>
      <c r="E61" s="980"/>
    </row>
    <row r="62" spans="1:5" ht="15">
      <c r="A62" s="1615">
        <v>54</v>
      </c>
      <c r="C62" s="967" t="s">
        <v>73</v>
      </c>
      <c r="E62" s="981">
        <f>SUM(E52:E60)</f>
        <v>-3766.0131997224071</v>
      </c>
    </row>
  </sheetData>
  <mergeCells count="6">
    <mergeCell ref="S7:T7"/>
    <mergeCell ref="D7:E7"/>
    <mergeCell ref="G7:H7"/>
    <mergeCell ref="J7:K7"/>
    <mergeCell ref="M7:N7"/>
    <mergeCell ref="P7:Q7"/>
  </mergeCells>
  <pageMargins left="0.7" right="0.7" top="0.75" bottom="0.75" header="0.3" footer="0.3"/>
  <pageSetup scale="4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tabColor theme="5" tint="0.79998168889431442"/>
    <pageSetUpPr fitToPage="1"/>
  </sheetPr>
  <dimension ref="A1:U259"/>
  <sheetViews>
    <sheetView view="pageBreakPreview" zoomScale="80" zoomScaleNormal="80" zoomScaleSheetLayoutView="80" workbookViewId="0">
      <selection activeCell="T35" sqref="A30:T35"/>
    </sheetView>
  </sheetViews>
  <sheetFormatPr defaultColWidth="11.625" defaultRowHeight="13.5"/>
  <cols>
    <col min="1" max="1" width="4.875" style="1760" bestFit="1" customWidth="1"/>
    <col min="2" max="2" width="16.625" style="1760" customWidth="1"/>
    <col min="3" max="3" width="11.625" style="1760" customWidth="1"/>
    <col min="4" max="4" width="9.25" style="1760" bestFit="1" customWidth="1"/>
    <col min="5" max="5" width="14.25" style="1760" customWidth="1"/>
    <col min="6" max="6" width="10.5" style="1760" bestFit="1" customWidth="1"/>
    <col min="7" max="7" width="13.625" style="1760" bestFit="1" customWidth="1"/>
    <col min="8" max="8" width="13.125" style="1760" bestFit="1" customWidth="1"/>
    <col min="9" max="9" width="13.625" style="1760" bestFit="1" customWidth="1"/>
    <col min="10" max="10" width="13.125" style="1760" bestFit="1" customWidth="1"/>
    <col min="11" max="11" width="13.625" style="1760" bestFit="1" customWidth="1"/>
    <col min="12" max="12" width="13.125" style="1760" bestFit="1" customWidth="1"/>
    <col min="13" max="13" width="13.625" style="1760" bestFit="1" customWidth="1"/>
    <col min="14" max="14" width="13.125" style="1760" bestFit="1" customWidth="1"/>
    <col min="15" max="15" width="13.625" style="1760" bestFit="1" customWidth="1"/>
    <col min="16" max="16" width="13.125" style="1760" bestFit="1" customWidth="1"/>
    <col min="17" max="17" width="12.125" style="1760" bestFit="1" customWidth="1"/>
    <col min="18" max="18" width="10.625" style="1760" customWidth="1"/>
    <col min="19" max="16384" width="11.625" style="1760"/>
  </cols>
  <sheetData>
    <row r="1" spans="1:21" ht="15">
      <c r="A1" s="1759" t="str">
        <f>Company_Name</f>
        <v>WATER SERVICE CORPORATION OF KENTUCKY</v>
      </c>
      <c r="C1" s="1761"/>
      <c r="D1" s="1761"/>
      <c r="E1" s="1761"/>
      <c r="F1" s="1761"/>
      <c r="G1" s="1761"/>
      <c r="I1" s="1762"/>
      <c r="J1" s="1761"/>
      <c r="K1" s="1761"/>
      <c r="L1" s="1763"/>
      <c r="M1" s="1761"/>
      <c r="N1" s="1761"/>
      <c r="O1" s="1761"/>
      <c r="P1" s="1761"/>
      <c r="Q1" s="1764" t="s">
        <v>3611</v>
      </c>
    </row>
    <row r="2" spans="1:21" ht="15">
      <c r="A2" s="1759" t="str">
        <f>Docket</f>
        <v>Case No. 2015 - 00382</v>
      </c>
      <c r="C2" s="1761"/>
      <c r="D2" s="1761"/>
      <c r="E2" s="1761"/>
      <c r="F2" s="1761"/>
      <c r="G2" s="1761"/>
      <c r="I2" s="1762"/>
      <c r="J2" s="1761"/>
      <c r="K2" s="1761"/>
      <c r="L2" s="1763"/>
      <c r="M2" s="1761"/>
      <c r="N2" s="1761"/>
      <c r="O2" s="1761"/>
      <c r="P2" s="1761"/>
      <c r="Q2" s="1764"/>
    </row>
    <row r="3" spans="1:21" ht="15">
      <c r="A3" s="1759" t="s">
        <v>3612</v>
      </c>
      <c r="C3" s="1761"/>
      <c r="D3" s="1761"/>
      <c r="E3" s="1761"/>
      <c r="F3" s="1761"/>
      <c r="G3" s="1761"/>
      <c r="I3" s="1762"/>
      <c r="J3" s="1761"/>
      <c r="K3" s="1761"/>
      <c r="L3" s="1763"/>
      <c r="M3" s="1761"/>
      <c r="N3" s="1761"/>
      <c r="O3" s="1765"/>
      <c r="P3" s="1761"/>
      <c r="Q3" s="1766"/>
    </row>
    <row r="4" spans="1:21" ht="15">
      <c r="A4" s="1767" t="s">
        <v>3613</v>
      </c>
      <c r="C4" s="1763"/>
      <c r="D4" s="1763"/>
      <c r="E4" s="1761"/>
      <c r="F4" s="1761"/>
      <c r="G4" s="1761"/>
      <c r="I4" s="1762"/>
      <c r="J4" s="1761"/>
      <c r="K4" s="1761"/>
      <c r="L4" s="1763"/>
      <c r="M4" s="1761"/>
      <c r="N4" s="1761"/>
      <c r="O4" s="1765"/>
      <c r="P4" s="1761"/>
      <c r="Q4" s="1766"/>
    </row>
    <row r="5" spans="1:21" ht="15">
      <c r="A5" s="2115" t="str">
        <f>TestYearEnded</f>
        <v>Test Year Ended 6/30/2015</v>
      </c>
      <c r="B5" s="2115"/>
      <c r="C5" s="2115"/>
      <c r="D5" s="2115"/>
      <c r="E5" s="1768"/>
      <c r="F5" s="1761"/>
      <c r="G5" s="1761"/>
      <c r="I5" s="1769"/>
      <c r="J5" s="1761"/>
      <c r="K5" s="1761"/>
      <c r="L5" s="1763"/>
      <c r="M5" s="1761"/>
      <c r="N5" s="1761"/>
      <c r="O5" s="1761"/>
      <c r="P5" s="1761"/>
    </row>
    <row r="6" spans="1:21" ht="15">
      <c r="A6" s="1770"/>
      <c r="B6" s="1770"/>
      <c r="C6" s="1770"/>
      <c r="D6" s="1770"/>
      <c r="E6" s="1768"/>
      <c r="F6" s="1761"/>
      <c r="G6" s="1761"/>
      <c r="I6" s="1769"/>
      <c r="J6" s="1761"/>
      <c r="K6" s="1761"/>
      <c r="L6" s="1763"/>
      <c r="M6" s="1761"/>
      <c r="N6" s="1761"/>
      <c r="O6" s="1761"/>
      <c r="P6" s="1761"/>
    </row>
    <row r="7" spans="1:21" ht="15">
      <c r="A7" s="1771"/>
      <c r="B7" s="1771" t="s">
        <v>235</v>
      </c>
      <c r="C7" s="1771" t="s">
        <v>236</v>
      </c>
      <c r="D7" s="1771" t="s">
        <v>237</v>
      </c>
      <c r="E7" s="1771" t="s">
        <v>238</v>
      </c>
      <c r="F7" s="1771" t="s">
        <v>239</v>
      </c>
      <c r="G7" s="1771" t="s">
        <v>869</v>
      </c>
      <c r="H7" s="1771" t="s">
        <v>870</v>
      </c>
      <c r="I7" s="1771" t="s">
        <v>871</v>
      </c>
      <c r="J7" s="1771" t="s">
        <v>872</v>
      </c>
      <c r="K7" s="1771" t="s">
        <v>873</v>
      </c>
      <c r="L7" s="1771" t="s">
        <v>874</v>
      </c>
      <c r="M7" s="1771" t="s">
        <v>2304</v>
      </c>
      <c r="N7" s="1771" t="s">
        <v>2305</v>
      </c>
      <c r="O7" s="1771" t="s">
        <v>2306</v>
      </c>
      <c r="P7" s="1771" t="s">
        <v>2307</v>
      </c>
      <c r="Q7" s="1771" t="s">
        <v>2308</v>
      </c>
    </row>
    <row r="8" spans="1:21">
      <c r="B8" s="1772"/>
      <c r="C8" s="1773"/>
      <c r="D8" s="1773"/>
      <c r="E8" s="1773"/>
      <c r="F8" s="1773"/>
      <c r="G8" s="1773"/>
      <c r="H8" s="1773"/>
      <c r="I8" s="1773"/>
      <c r="J8" s="1773"/>
      <c r="K8" s="1773"/>
      <c r="L8" s="1773"/>
      <c r="M8" s="1773"/>
      <c r="N8" s="1773"/>
      <c r="O8" s="1773"/>
      <c r="P8" s="1773"/>
      <c r="Q8" s="1773"/>
    </row>
    <row r="9" spans="1:21">
      <c r="A9" s="1774"/>
      <c r="B9" s="1775"/>
      <c r="C9" s="1776"/>
      <c r="D9" s="1777" t="s">
        <v>3614</v>
      </c>
      <c r="E9" s="1777"/>
      <c r="F9" s="1777" t="s">
        <v>3615</v>
      </c>
      <c r="G9" s="1778" t="s">
        <v>3754</v>
      </c>
      <c r="H9" s="1779"/>
      <c r="I9" s="1778" t="s">
        <v>3755</v>
      </c>
      <c r="J9" s="1779"/>
      <c r="K9" s="1778" t="s">
        <v>3936</v>
      </c>
      <c r="L9" s="1779"/>
      <c r="M9" s="1778" t="s">
        <v>3756</v>
      </c>
      <c r="N9" s="1779"/>
      <c r="O9" s="1778" t="s">
        <v>3937</v>
      </c>
      <c r="P9" s="1779"/>
      <c r="Q9" s="1780"/>
      <c r="R9" s="1781" t="s">
        <v>3616</v>
      </c>
    </row>
    <row r="10" spans="1:21">
      <c r="A10" s="1782" t="s">
        <v>3617</v>
      </c>
      <c r="B10" s="1783" t="s">
        <v>3618</v>
      </c>
      <c r="C10" s="1784"/>
      <c r="D10" s="1785" t="s">
        <v>3619</v>
      </c>
      <c r="E10" s="1785"/>
      <c r="F10" s="1786" t="s">
        <v>3619</v>
      </c>
      <c r="G10" s="1787" t="s">
        <v>3620</v>
      </c>
      <c r="H10" s="1788" t="s">
        <v>3621</v>
      </c>
      <c r="I10" s="1789" t="s">
        <v>3620</v>
      </c>
      <c r="J10" s="1788" t="s">
        <v>3621</v>
      </c>
      <c r="K10" s="1789" t="s">
        <v>3620</v>
      </c>
      <c r="L10" s="1788" t="s">
        <v>3621</v>
      </c>
      <c r="M10" s="1789" t="s">
        <v>3620</v>
      </c>
      <c r="N10" s="1788" t="s">
        <v>3621</v>
      </c>
      <c r="O10" s="1789" t="s">
        <v>3620</v>
      </c>
      <c r="P10" s="1788" t="s">
        <v>3621</v>
      </c>
      <c r="Q10" s="1788" t="s">
        <v>959</v>
      </c>
      <c r="R10" s="1789" t="s">
        <v>3622</v>
      </c>
    </row>
    <row r="11" spans="1:21">
      <c r="B11" s="1775"/>
      <c r="C11" s="1776"/>
      <c r="D11" s="1790"/>
      <c r="E11" s="1790"/>
      <c r="F11" s="1790"/>
      <c r="G11" s="1776"/>
      <c r="H11" s="1776"/>
      <c r="I11" s="1776"/>
      <c r="J11" s="1776"/>
      <c r="K11" s="1776"/>
      <c r="L11" s="1776"/>
      <c r="M11" s="1776"/>
      <c r="N11" s="1776"/>
      <c r="O11" s="1776"/>
      <c r="P11" s="1776"/>
      <c r="Q11" s="1776"/>
      <c r="R11" s="1776"/>
    </row>
    <row r="12" spans="1:21" ht="15">
      <c r="A12" s="1791">
        <v>1</v>
      </c>
      <c r="B12" s="1792" t="s">
        <v>3623</v>
      </c>
      <c r="C12" s="1776"/>
      <c r="D12" s="1790"/>
      <c r="E12" s="1790"/>
      <c r="F12" s="1790"/>
      <c r="G12" s="1776"/>
      <c r="H12" s="1776"/>
      <c r="I12" s="1776"/>
      <c r="J12" s="1776"/>
      <c r="K12" s="1776"/>
      <c r="L12" s="1776"/>
      <c r="M12" s="1776"/>
      <c r="N12" s="1776"/>
      <c r="O12" s="1776"/>
      <c r="P12" s="1776"/>
      <c r="Q12" s="1776"/>
      <c r="R12" s="1776"/>
    </row>
    <row r="13" spans="1:21" ht="15">
      <c r="A13" s="1791">
        <v>2</v>
      </c>
      <c r="B13" s="2065" t="s">
        <v>3624</v>
      </c>
      <c r="C13" s="1776"/>
      <c r="D13" s="2019">
        <f>'Sch.D - Summary'!G10/'Sch.D - Summary'!F10</f>
        <v>9.4335833874303656</v>
      </c>
      <c r="E13" s="1794"/>
      <c r="F13" s="2079">
        <f t="shared" ref="F13:F20" ca="1" si="0">R13</f>
        <v>15.53</v>
      </c>
      <c r="G13" s="2075">
        <f>SUMIFS('Sch.D - Summary'!$F:$F,'Sch.D - Summary'!$B:$B,'wp - t-1 COSS'!G$9,'Sch.D - Summary'!$C:$C,'wp - t-1 COSS'!$B13)</f>
        <v>59513</v>
      </c>
      <c r="H13" s="2075">
        <f>0</f>
        <v>0</v>
      </c>
      <c r="I13" s="2075">
        <f>SUMIFS('Sch.D - Summary'!$F:$F,'Sch.D - Summary'!$B:$B,'wp - t-1 COSS'!I$9,'Sch.D - Summary'!$C:$C,'wp - t-1 COSS'!$B13)</f>
        <v>6451</v>
      </c>
      <c r="J13" s="2075">
        <v>0</v>
      </c>
      <c r="K13" s="2075">
        <f>SUMIFS('Sch.D - Summary'!$F:$F,'Sch.D - Summary'!$B:$B,'wp - t-1 COSS'!K$9,'Sch.D - Summary'!$C:$C,'wp - t-1 COSS'!$B13)</f>
        <v>180</v>
      </c>
      <c r="L13" s="2075">
        <v>0</v>
      </c>
      <c r="M13" s="2075">
        <f>SUMIFS('Sch.D - Summary'!$F:$F,'Sch.D - Summary'!$B:$B,'wp - t-1 COSS'!M$9,'Sch.D - Summary'!$C:$C,'wp - t-1 COSS'!$B13)</f>
        <v>95</v>
      </c>
      <c r="N13" s="2075">
        <v>0</v>
      </c>
      <c r="O13" s="2075">
        <f>SUMIFS('Sch.D - Summary'!$F:$F,'Sch.D - Summary'!$B:$B,'wp - t-1 COSS'!O$9,'Sch.D - Summary'!$C:$C,'wp - t-1 COSS'!$B13)</f>
        <v>0</v>
      </c>
      <c r="P13" s="2075">
        <v>0</v>
      </c>
      <c r="Q13" s="2076">
        <f t="shared" ref="Q13:Q20" si="1">SUM(G13:P13)</f>
        <v>66239</v>
      </c>
      <c r="R13" s="1790">
        <f ca="1">ROUND(T$13+T$14*'wp - t-5 COSS'!C12+T$15*'wp - t-5 COSS'!D12,2)</f>
        <v>15.53</v>
      </c>
      <c r="T13" s="1795">
        <f ca="1">'wp - t-4 COSS'!H38/Q23</f>
        <v>-0.94620054696368716</v>
      </c>
      <c r="U13" s="1796" t="s">
        <v>3625</v>
      </c>
    </row>
    <row r="14" spans="1:21" ht="15">
      <c r="A14" s="1791">
        <v>3</v>
      </c>
      <c r="B14" s="2065" t="s">
        <v>3626</v>
      </c>
      <c r="C14" s="1776"/>
      <c r="D14" s="2019">
        <f>'Sch.D - Summary'!G11/'Sch.D - Summary'!F11</f>
        <v>12.458532038226538</v>
      </c>
      <c r="E14" s="1794"/>
      <c r="F14" s="2079">
        <f t="shared" ca="1" si="0"/>
        <v>15.53</v>
      </c>
      <c r="G14" s="2075">
        <f>SUMIFS('Sch.D - Summary'!$F:$F,'Sch.D - Summary'!$B:$B,'wp - t-1 COSS'!G$9,'Sch.D - Summary'!$C:$C,'wp - t-1 COSS'!$B14)</f>
        <v>5588</v>
      </c>
      <c r="H14" s="2075">
        <f>0</f>
        <v>0</v>
      </c>
      <c r="I14" s="2075">
        <f>SUMIFS('Sch.D - Summary'!$F:$F,'Sch.D - Summary'!$B:$B,'wp - t-1 COSS'!I$9,'Sch.D - Summary'!$C:$C,'wp - t-1 COSS'!$B14)</f>
        <v>687</v>
      </c>
      <c r="J14" s="2075">
        <v>0</v>
      </c>
      <c r="K14" s="2075">
        <f>SUMIFS('Sch.D - Summary'!$F:$F,'Sch.D - Summary'!$B:$B,'wp - t-1 COSS'!K$9,'Sch.D - Summary'!$C:$C,'wp - t-1 COSS'!$B14)</f>
        <v>108</v>
      </c>
      <c r="L14" s="2075">
        <v>0</v>
      </c>
      <c r="M14" s="2075">
        <f>SUMIFS('Sch.D - Summary'!$F:$F,'Sch.D - Summary'!$B:$B,'wp - t-1 COSS'!M$9,'Sch.D - Summary'!$C:$C,'wp - t-1 COSS'!$B14)</f>
        <v>0</v>
      </c>
      <c r="N14" s="2075">
        <v>0</v>
      </c>
      <c r="O14" s="2075">
        <f>SUMIFS('Sch.D - Summary'!$F:$F,'Sch.D - Summary'!$B:$B,'wp - t-1 COSS'!O$9,'Sch.D - Summary'!$C:$C,'wp - t-1 COSS'!$B14)</f>
        <v>0</v>
      </c>
      <c r="P14" s="2075">
        <v>0</v>
      </c>
      <c r="Q14" s="2076">
        <f t="shared" si="1"/>
        <v>6383</v>
      </c>
      <c r="R14" s="1790">
        <f ca="1">ROUND(T$13+T$14*'wp - t-5 COSS'!C13+T$15*'wp - t-5 COSS'!D13,2)</f>
        <v>15.53</v>
      </c>
      <c r="T14" s="1795">
        <f ca="1">'wp - t-4 COSS'!I38/'wp - t-5 COSS'!K22</f>
        <v>3.8073913552590017</v>
      </c>
      <c r="U14" s="1796" t="s">
        <v>3627</v>
      </c>
    </row>
    <row r="15" spans="1:21" ht="15">
      <c r="A15" s="1791">
        <v>4</v>
      </c>
      <c r="B15" s="2065" t="s">
        <v>3628</v>
      </c>
      <c r="C15" s="1776"/>
      <c r="D15" s="2019">
        <f>'Sch.D - Summary'!G12/'Sch.D - Summary'!F12</f>
        <v>30.49558282208589</v>
      </c>
      <c r="E15" s="1794"/>
      <c r="F15" s="2079">
        <f t="shared" ca="1" si="0"/>
        <v>40.229999999999997</v>
      </c>
      <c r="G15" s="2075">
        <f>SUMIFS('Sch.D - Summary'!$F:$F,'Sch.D - Summary'!$B:$B,'wp - t-1 COSS'!G$9,'Sch.D - Summary'!$C:$C,'wp - t-1 COSS'!$B15)</f>
        <v>288</v>
      </c>
      <c r="H15" s="2075">
        <v>0</v>
      </c>
      <c r="I15" s="2075">
        <f>SUMIFS('Sch.D - Summary'!$F:$F,'Sch.D - Summary'!$B:$B,'wp - t-1 COSS'!I$9,'Sch.D - Summary'!$C:$C,'wp - t-1 COSS'!$B15)</f>
        <v>836</v>
      </c>
      <c r="J15" s="2075">
        <v>0</v>
      </c>
      <c r="K15" s="2075">
        <f>SUMIFS('Sch.D - Summary'!$F:$F,'Sch.D - Summary'!$B:$B,'wp - t-1 COSS'!K$9,'Sch.D - Summary'!$C:$C,'wp - t-1 COSS'!$B15)</f>
        <v>84</v>
      </c>
      <c r="L15" s="2075">
        <v>0</v>
      </c>
      <c r="M15" s="2075">
        <f>SUMIFS('Sch.D - Summary'!$F:$F,'Sch.D - Summary'!$B:$B,'wp - t-1 COSS'!M$9,'Sch.D - Summary'!$C:$C,'wp - t-1 COSS'!$B15)</f>
        <v>12</v>
      </c>
      <c r="N15" s="2075">
        <v>0</v>
      </c>
      <c r="O15" s="2075">
        <f>SUMIFS('Sch.D - Summary'!$F:$F,'Sch.D - Summary'!$B:$B,'wp - t-1 COSS'!O$9,'Sch.D - Summary'!$C:$C,'wp - t-1 COSS'!$B15)</f>
        <v>84</v>
      </c>
      <c r="P15" s="2075">
        <v>0</v>
      </c>
      <c r="Q15" s="2076">
        <f t="shared" si="1"/>
        <v>1304</v>
      </c>
      <c r="R15" s="1790">
        <f ca="1">ROUND(T$13+T$14*'wp - t-5 COSS'!C14+T$15*'wp - t-5 COSS'!D14,2)</f>
        <v>40.229999999999997</v>
      </c>
      <c r="T15" s="1795">
        <f ca="1">'wp - t-4 COSS'!J38/'wp - t-5 COSS'!K24</f>
        <v>12.664761791870387</v>
      </c>
      <c r="U15" s="1796" t="s">
        <v>3629</v>
      </c>
    </row>
    <row r="16" spans="1:21" ht="15">
      <c r="A16" s="1791">
        <v>5</v>
      </c>
      <c r="B16" s="2065" t="s">
        <v>3630</v>
      </c>
      <c r="C16" s="1776"/>
      <c r="D16" s="2019">
        <f>'Sch.D - Summary'!G13/'Sch.D - Summary'!F13</f>
        <v>59.611913043478253</v>
      </c>
      <c r="E16" s="1794"/>
      <c r="F16" s="2079">
        <f t="shared" ca="1" si="0"/>
        <v>81.41</v>
      </c>
      <c r="G16" s="2075">
        <f>SUMIFS('Sch.D - Summary'!$F:$F,'Sch.D - Summary'!$B:$B,'wp - t-1 COSS'!G$9,'Sch.D - Summary'!$C:$C,'wp - t-1 COSS'!$B16)</f>
        <v>0</v>
      </c>
      <c r="H16" s="2075">
        <v>0</v>
      </c>
      <c r="I16" s="2075">
        <f>SUMIFS('Sch.D - Summary'!$F:$F,'Sch.D - Summary'!$B:$B,'wp - t-1 COSS'!I$9,'Sch.D - Summary'!$C:$C,'wp - t-1 COSS'!$B16)</f>
        <v>226</v>
      </c>
      <c r="J16" s="2075">
        <v>0</v>
      </c>
      <c r="K16" s="2075">
        <f>SUMIFS('Sch.D - Summary'!$F:$F,'Sch.D - Summary'!$B:$B,'wp - t-1 COSS'!K$9,'Sch.D - Summary'!$C:$C,'wp - t-1 COSS'!$B16)</f>
        <v>95</v>
      </c>
      <c r="L16" s="2075">
        <v>0</v>
      </c>
      <c r="M16" s="2075">
        <f>SUMIFS('Sch.D - Summary'!$F:$F,'Sch.D - Summary'!$B:$B,'wp - t-1 COSS'!M$9,'Sch.D - Summary'!$C:$C,'wp - t-1 COSS'!$B16)</f>
        <v>24</v>
      </c>
      <c r="N16" s="2075">
        <v>0</v>
      </c>
      <c r="O16" s="2075">
        <f>SUMIFS('Sch.D - Summary'!$F:$F,'Sch.D - Summary'!$B:$B,'wp - t-1 COSS'!O$9,'Sch.D - Summary'!$C:$C,'wp - t-1 COSS'!$B16)</f>
        <v>0</v>
      </c>
      <c r="P16" s="2075">
        <v>0</v>
      </c>
      <c r="Q16" s="2076">
        <f t="shared" si="1"/>
        <v>345</v>
      </c>
      <c r="R16" s="1790">
        <f ca="1">ROUND(T$13+T$14*'wp - t-5 COSS'!C15+T$15*'wp - t-5 COSS'!D15,2)</f>
        <v>81.41</v>
      </c>
      <c r="T16" s="1797">
        <f ca="1">SUM(T13:T15)</f>
        <v>15.525952600165702</v>
      </c>
    </row>
    <row r="17" spans="1:20" ht="15">
      <c r="A17" s="1791">
        <v>6</v>
      </c>
      <c r="B17" s="2065" t="s">
        <v>3631</v>
      </c>
      <c r="C17" s="1776"/>
      <c r="D17" s="2019">
        <f>'Sch.D - Summary'!G14/'Sch.D - Summary'!F14</f>
        <v>88.005116279069767</v>
      </c>
      <c r="E17" s="1794"/>
      <c r="F17" s="2079">
        <f t="shared" ca="1" si="0"/>
        <v>130.83000000000001</v>
      </c>
      <c r="G17" s="2075">
        <f>SUMIFS('Sch.D - Summary'!$F:$F,'Sch.D - Summary'!$B:$B,'wp - t-1 COSS'!G$9,'Sch.D - Summary'!$C:$C,'wp - t-1 COSS'!$B17)</f>
        <v>0</v>
      </c>
      <c r="H17" s="2075">
        <v>0</v>
      </c>
      <c r="I17" s="2075">
        <f>SUMIFS('Sch.D - Summary'!$F:$F,'Sch.D - Summary'!$B:$B,'wp - t-1 COSS'!I$9,'Sch.D - Summary'!$C:$C,'wp - t-1 COSS'!$B17)</f>
        <v>370</v>
      </c>
      <c r="J17" s="2075">
        <v>0</v>
      </c>
      <c r="K17" s="2075">
        <f>SUMIFS('Sch.D - Summary'!$F:$F,'Sch.D - Summary'!$B:$B,'wp - t-1 COSS'!K$9,'Sch.D - Summary'!$C:$C,'wp - t-1 COSS'!$B17)</f>
        <v>228</v>
      </c>
      <c r="L17" s="2075">
        <v>0</v>
      </c>
      <c r="M17" s="2075">
        <f>SUMIFS('Sch.D - Summary'!$F:$F,'Sch.D - Summary'!$B:$B,'wp - t-1 COSS'!M$9,'Sch.D - Summary'!$C:$C,'wp - t-1 COSS'!$B17)</f>
        <v>35</v>
      </c>
      <c r="N17" s="2075">
        <v>0</v>
      </c>
      <c r="O17" s="2075">
        <f>SUMIFS('Sch.D - Summary'!$F:$F,'Sch.D - Summary'!$B:$B,'wp - t-1 COSS'!O$9,'Sch.D - Summary'!$C:$C,'wp - t-1 COSS'!$B17)</f>
        <v>12</v>
      </c>
      <c r="P17" s="2075">
        <v>0</v>
      </c>
      <c r="Q17" s="2076">
        <f t="shared" si="1"/>
        <v>645</v>
      </c>
      <c r="R17" s="1790">
        <f ca="1">ROUND(T$13+T$14*'wp - t-5 COSS'!C16+T$15*'wp - t-5 COSS'!D16,2)</f>
        <v>130.83000000000001</v>
      </c>
    </row>
    <row r="18" spans="1:20" ht="15">
      <c r="A18" s="1791">
        <v>7</v>
      </c>
      <c r="B18" s="2065" t="s">
        <v>3632</v>
      </c>
      <c r="C18" s="1776"/>
      <c r="D18" s="2019">
        <f>'Sch.D - Summary'!G15/'Sch.D - Summary'!F15</f>
        <v>235.96</v>
      </c>
      <c r="E18" s="1794"/>
      <c r="F18" s="2079">
        <f t="shared" ca="1" si="0"/>
        <v>246.14</v>
      </c>
      <c r="G18" s="2075">
        <f>SUMIFS('Sch.D - Summary'!$F:$F,'Sch.D - Summary'!$B:$B,'wp - t-1 COSS'!G$9,'Sch.D - Summary'!$C:$C,'wp - t-1 COSS'!$B18)</f>
        <v>0</v>
      </c>
      <c r="H18" s="2075">
        <v>0</v>
      </c>
      <c r="I18" s="2075">
        <f>SUMIFS('Sch.D - Summary'!$F:$F,'Sch.D - Summary'!$B:$B,'wp - t-1 COSS'!I$9,'Sch.D - Summary'!$C:$C,'wp - t-1 COSS'!$B18)</f>
        <v>36</v>
      </c>
      <c r="J18" s="2075">
        <v>0</v>
      </c>
      <c r="K18" s="2075">
        <f>SUMIFS('Sch.D - Summary'!$F:$F,'Sch.D - Summary'!$B:$B,'wp - t-1 COSS'!K$9,'Sch.D - Summary'!$C:$C,'wp - t-1 COSS'!$B18)</f>
        <v>48</v>
      </c>
      <c r="L18" s="2075">
        <v>0</v>
      </c>
      <c r="M18" s="2075">
        <f>SUMIFS('Sch.D - Summary'!$F:$F,'Sch.D - Summary'!$B:$B,'wp - t-1 COSS'!M$9,'Sch.D - Summary'!$C:$C,'wp - t-1 COSS'!$B18)</f>
        <v>12</v>
      </c>
      <c r="N18" s="2075">
        <v>0</v>
      </c>
      <c r="O18" s="2075">
        <f>SUMIFS('Sch.D - Summary'!$F:$F,'Sch.D - Summary'!$B:$B,'wp - t-1 COSS'!O$9,'Sch.D - Summary'!$C:$C,'wp - t-1 COSS'!$B18)</f>
        <v>0</v>
      </c>
      <c r="P18" s="2075">
        <v>0</v>
      </c>
      <c r="Q18" s="2076">
        <f t="shared" si="1"/>
        <v>96</v>
      </c>
      <c r="R18" s="1790">
        <f ca="1">ROUND(T$13+T$14*'wp - t-5 COSS'!C17+T$15*'wp - t-5 COSS'!D17,2)</f>
        <v>246.14</v>
      </c>
    </row>
    <row r="19" spans="1:20" ht="15">
      <c r="A19" s="1791">
        <v>8</v>
      </c>
      <c r="B19" s="2065" t="s">
        <v>3633</v>
      </c>
      <c r="C19" s="1776"/>
      <c r="D19" s="2019">
        <f>'Sch.D - Summary'!G16/'Sch.D - Summary'!F16</f>
        <v>406.82</v>
      </c>
      <c r="E19" s="1794"/>
      <c r="F19" s="2079">
        <f t="shared" ca="1" si="0"/>
        <v>410.86</v>
      </c>
      <c r="G19" s="2075">
        <f>SUMIFS('Sch.D - Summary'!$F:$F,'Sch.D - Summary'!$B:$B,'wp - t-1 COSS'!G$9,'Sch.D - Summary'!$C:$C,'wp - t-1 COSS'!$B19)</f>
        <v>0</v>
      </c>
      <c r="H19" s="2075">
        <v>0</v>
      </c>
      <c r="I19" s="2075">
        <f>SUMIFS('Sch.D - Summary'!$F:$F,'Sch.D - Summary'!$B:$B,'wp - t-1 COSS'!I$9,'Sch.D - Summary'!$C:$C,'wp - t-1 COSS'!$B19)</f>
        <v>12</v>
      </c>
      <c r="J19" s="2075">
        <v>0</v>
      </c>
      <c r="K19" s="2075">
        <f>SUMIFS('Sch.D - Summary'!$F:$F,'Sch.D - Summary'!$B:$B,'wp - t-1 COSS'!K$9,'Sch.D - Summary'!$C:$C,'wp - t-1 COSS'!$B19)</f>
        <v>12</v>
      </c>
      <c r="L19" s="2075">
        <v>0</v>
      </c>
      <c r="M19" s="2075">
        <f>SUMIFS('Sch.D - Summary'!$F:$F,'Sch.D - Summary'!$B:$B,'wp - t-1 COSS'!M$9,'Sch.D - Summary'!$C:$C,'wp - t-1 COSS'!$B19)</f>
        <v>12</v>
      </c>
      <c r="N19" s="2075">
        <v>0</v>
      </c>
      <c r="O19" s="2075">
        <f>SUMIFS('Sch.D - Summary'!$F:$F,'Sch.D - Summary'!$B:$B,'wp - t-1 COSS'!O$9,'Sch.D - Summary'!$C:$C,'wp - t-1 COSS'!$B19)</f>
        <v>0</v>
      </c>
      <c r="P19" s="2075">
        <v>0</v>
      </c>
      <c r="Q19" s="2076">
        <f t="shared" si="1"/>
        <v>36</v>
      </c>
      <c r="R19" s="1790">
        <f ca="1">ROUND(T$13+T$14*'wp - t-5 COSS'!C18+T$15*'wp - t-5 COSS'!D18,2)</f>
        <v>410.86</v>
      </c>
    </row>
    <row r="20" spans="1:20" ht="15">
      <c r="A20" s="1791">
        <v>9</v>
      </c>
      <c r="B20" s="2065" t="s">
        <v>3634</v>
      </c>
      <c r="C20" s="1776"/>
      <c r="D20" s="2019">
        <f>'Sch.D - Summary'!G17/'Sch.D - Summary'!F17</f>
        <v>831.52</v>
      </c>
      <c r="E20" s="1794"/>
      <c r="F20" s="2079">
        <f t="shared" ca="1" si="0"/>
        <v>822.66</v>
      </c>
      <c r="G20" s="2075">
        <f>SUMIFS('Sch.D - Summary'!$F:$F,'Sch.D - Summary'!$B:$B,'wp - t-1 COSS'!G$9,'Sch.D - Summary'!$C:$C,'wp - t-1 COSS'!$B20)</f>
        <v>0</v>
      </c>
      <c r="H20" s="2075">
        <v>0</v>
      </c>
      <c r="I20" s="2075">
        <f>SUMIFS('Sch.D - Summary'!$F:$F,'Sch.D - Summary'!$B:$B,'wp - t-1 COSS'!I$9,'Sch.D - Summary'!$C:$C,'wp - t-1 COSS'!$B20)</f>
        <v>24</v>
      </c>
      <c r="J20" s="2075">
        <v>0</v>
      </c>
      <c r="K20" s="2075">
        <f>SUMIFS('Sch.D - Summary'!$F:$F,'Sch.D - Summary'!$B:$B,'wp - t-1 COSS'!K$9,'Sch.D - Summary'!$C:$C,'wp - t-1 COSS'!$B20)</f>
        <v>0</v>
      </c>
      <c r="L20" s="2075">
        <v>0</v>
      </c>
      <c r="M20" s="2075">
        <f>SUMIFS('Sch.D - Summary'!$F:$F,'Sch.D - Summary'!$B:$B,'wp - t-1 COSS'!M$9,'Sch.D - Summary'!$C:$C,'wp - t-1 COSS'!$B20)</f>
        <v>12</v>
      </c>
      <c r="N20" s="2075">
        <v>0</v>
      </c>
      <c r="O20" s="2075">
        <f>SUMIFS('Sch.D - Summary'!$F:$F,'Sch.D - Summary'!$B:$B,'wp - t-1 COSS'!O$9,'Sch.D - Summary'!$C:$C,'wp - t-1 COSS'!$B20)</f>
        <v>0</v>
      </c>
      <c r="P20" s="2075">
        <v>0</v>
      </c>
      <c r="Q20" s="2076">
        <f t="shared" si="1"/>
        <v>36</v>
      </c>
      <c r="R20" s="1790">
        <f ca="1">ROUND(T$13+T$14*'wp - t-5 COSS'!C19+T$15*'wp - t-5 COSS'!D19,2)</f>
        <v>822.66</v>
      </c>
    </row>
    <row r="21" spans="1:20" ht="15">
      <c r="A21" s="1791">
        <v>10</v>
      </c>
      <c r="B21" s="1787"/>
      <c r="C21" s="1784"/>
      <c r="D21" s="1798"/>
      <c r="E21" s="1798"/>
      <c r="F21" s="1798"/>
      <c r="G21" s="1799"/>
      <c r="H21" s="1799"/>
      <c r="I21" s="1800"/>
      <c r="J21" s="1800"/>
      <c r="K21" s="1800"/>
      <c r="L21" s="1800"/>
      <c r="M21" s="1800"/>
      <c r="N21" s="1800"/>
      <c r="O21" s="1800"/>
      <c r="P21" s="1800"/>
      <c r="Q21" s="1801"/>
      <c r="R21" s="2102"/>
    </row>
    <row r="22" spans="1:20" ht="15">
      <c r="A22" s="1791">
        <v>11</v>
      </c>
      <c r="D22" s="1802"/>
      <c r="E22" s="1802"/>
      <c r="F22" s="1802"/>
      <c r="G22" s="1803"/>
      <c r="H22" s="1803"/>
      <c r="I22" s="1803"/>
      <c r="J22" s="1803"/>
      <c r="K22" s="1803"/>
      <c r="L22" s="1803"/>
      <c r="M22" s="1803"/>
      <c r="N22" s="1803"/>
      <c r="O22" s="1803"/>
      <c r="P22" s="1803"/>
      <c r="Q22" s="1804"/>
      <c r="R22" s="1805"/>
    </row>
    <row r="23" spans="1:20" ht="15">
      <c r="A23" s="1791">
        <v>12</v>
      </c>
      <c r="B23" s="1796" t="s">
        <v>3635</v>
      </c>
      <c r="D23" s="1805"/>
      <c r="E23" s="1795" t="s">
        <v>3636</v>
      </c>
      <c r="F23" s="1795" t="s">
        <v>3636</v>
      </c>
      <c r="G23" s="2074">
        <f t="shared" ref="G23:P23" si="2">SUM(G13:G21)</f>
        <v>65389</v>
      </c>
      <c r="H23" s="2074">
        <f t="shared" si="2"/>
        <v>0</v>
      </c>
      <c r="I23" s="2074">
        <f t="shared" si="2"/>
        <v>8642</v>
      </c>
      <c r="J23" s="2074">
        <f t="shared" si="2"/>
        <v>0</v>
      </c>
      <c r="K23" s="2074">
        <f t="shared" si="2"/>
        <v>755</v>
      </c>
      <c r="L23" s="2074">
        <f t="shared" si="2"/>
        <v>0</v>
      </c>
      <c r="M23" s="2074">
        <f t="shared" si="2"/>
        <v>202</v>
      </c>
      <c r="N23" s="2074">
        <f t="shared" si="2"/>
        <v>0</v>
      </c>
      <c r="O23" s="2074">
        <f t="shared" si="2"/>
        <v>96</v>
      </c>
      <c r="P23" s="2074">
        <f t="shared" si="2"/>
        <v>0</v>
      </c>
      <c r="Q23" s="2074">
        <f>SUM(G23:P23)</f>
        <v>75084</v>
      </c>
      <c r="R23" s="1805"/>
      <c r="S23" s="1804">
        <f ca="1">'Sch.B-I.S'!N11-'Sch.D - Summary'!AA14</f>
        <v>2566553.2996920277</v>
      </c>
      <c r="T23" s="1760" t="s">
        <v>664</v>
      </c>
    </row>
    <row r="24" spans="1:20" ht="15">
      <c r="A24" s="1791">
        <v>13</v>
      </c>
      <c r="R24" s="1805"/>
      <c r="S24" s="1804">
        <f ca="1">-Q28</f>
        <v>-1360787.5399999998</v>
      </c>
      <c r="T24" s="1760" t="s">
        <v>3996</v>
      </c>
    </row>
    <row r="25" spans="1:20" ht="15">
      <c r="A25" s="1791">
        <v>14</v>
      </c>
      <c r="R25" s="1809"/>
      <c r="S25" s="1807">
        <f ca="1">SUM(S23:S24)</f>
        <v>1205765.7596920279</v>
      </c>
      <c r="T25" s="1760" t="s">
        <v>3939</v>
      </c>
    </row>
    <row r="26" spans="1:20" ht="15">
      <c r="A26" s="1791">
        <v>15</v>
      </c>
      <c r="B26" s="1806" t="s">
        <v>3637</v>
      </c>
      <c r="E26" s="1808" t="s">
        <v>446</v>
      </c>
      <c r="F26" s="2073"/>
      <c r="G26" s="2073">
        <f t="shared" ref="G26:P26" si="3">SUMPRODUCT($D$13:$D$20,G$13:G$20)</f>
        <v>639821.85301851388</v>
      </c>
      <c r="H26" s="2073">
        <f t="shared" si="3"/>
        <v>0</v>
      </c>
      <c r="I26" s="2073">
        <f t="shared" si="3"/>
        <v>174276.43055292062</v>
      </c>
      <c r="J26" s="2073">
        <f t="shared" si="3"/>
        <v>0</v>
      </c>
      <c r="K26" s="2073">
        <f t="shared" si="3"/>
        <v>47541.413677679491</v>
      </c>
      <c r="L26" s="2073">
        <f t="shared" si="3"/>
        <v>0</v>
      </c>
      <c r="M26" s="2073">
        <f t="shared" si="3"/>
        <v>23464.602398481835</v>
      </c>
      <c r="N26" s="2073">
        <f t="shared" si="3"/>
        <v>0</v>
      </c>
      <c r="O26" s="2073">
        <f t="shared" si="3"/>
        <v>3617.6903524040522</v>
      </c>
      <c r="P26" s="2073">
        <f t="shared" si="3"/>
        <v>0</v>
      </c>
      <c r="Q26" s="1804">
        <f>SUM(G26:P26)</f>
        <v>888721.98999999976</v>
      </c>
    </row>
    <row r="27" spans="1:20" ht="15">
      <c r="A27" s="1791">
        <v>16</v>
      </c>
      <c r="E27" s="1808"/>
      <c r="F27" s="1795" t="s">
        <v>3636</v>
      </c>
      <c r="G27" s="2074">
        <f t="shared" ref="G27:P27" si="4">$E13*G13+$E14*G14+$E15*G15+$E16*G16+$E17*G17+$E18*G18+$E19*G19+$E20*G20</f>
        <v>0</v>
      </c>
      <c r="H27" s="2074">
        <f t="shared" si="4"/>
        <v>0</v>
      </c>
      <c r="I27" s="2074">
        <f t="shared" si="4"/>
        <v>0</v>
      </c>
      <c r="J27" s="2074">
        <f t="shared" si="4"/>
        <v>0</v>
      </c>
      <c r="K27" s="2074">
        <f t="shared" si="4"/>
        <v>0</v>
      </c>
      <c r="L27" s="2074">
        <f t="shared" si="4"/>
        <v>0</v>
      </c>
      <c r="M27" s="2074">
        <f t="shared" si="4"/>
        <v>0</v>
      </c>
      <c r="N27" s="2074">
        <f t="shared" si="4"/>
        <v>0</v>
      </c>
      <c r="O27" s="2074">
        <f t="shared" si="4"/>
        <v>0</v>
      </c>
      <c r="P27" s="2074">
        <f t="shared" si="4"/>
        <v>0</v>
      </c>
      <c r="Q27" s="2074">
        <f>SUM(G27:P27)</f>
        <v>0</v>
      </c>
    </row>
    <row r="28" spans="1:20" ht="15">
      <c r="A28" s="1791">
        <v>17</v>
      </c>
      <c r="E28" s="1808" t="s">
        <v>139</v>
      </c>
      <c r="F28" s="1795"/>
      <c r="G28" s="2073">
        <f t="shared" ref="G28:P28" ca="1" si="5">SUMPRODUCT($F$13:$F$20,G$13:G$20)</f>
        <v>1022604.77</v>
      </c>
      <c r="H28" s="2073">
        <f t="shared" ca="1" si="5"/>
        <v>0</v>
      </c>
      <c r="I28" s="2073">
        <f t="shared" ca="1" si="5"/>
        <v>244826.38</v>
      </c>
      <c r="J28" s="2073">
        <f t="shared" ca="1" si="5"/>
        <v>0</v>
      </c>
      <c r="K28" s="2073">
        <f t="shared" ca="1" si="5"/>
        <v>62160.19</v>
      </c>
      <c r="L28" s="2073">
        <f t="shared" ca="1" si="5"/>
        <v>0</v>
      </c>
      <c r="M28" s="2073">
        <f t="shared" ca="1" si="5"/>
        <v>26246.92</v>
      </c>
      <c r="N28" s="2073">
        <f t="shared" ca="1" si="5"/>
        <v>0</v>
      </c>
      <c r="O28" s="2073">
        <f t="shared" ca="1" si="5"/>
        <v>4949.28</v>
      </c>
      <c r="P28" s="2073">
        <f t="shared" ca="1" si="5"/>
        <v>0</v>
      </c>
      <c r="Q28" s="1804">
        <f ca="1">SUM(G28:P28)</f>
        <v>1360787.5399999998</v>
      </c>
      <c r="R28" s="1810"/>
    </row>
    <row r="29" spans="1:20" ht="15">
      <c r="A29" s="1791">
        <v>18</v>
      </c>
    </row>
    <row r="30" spans="1:20" ht="15">
      <c r="A30" s="1791">
        <v>19</v>
      </c>
      <c r="B30" s="1796" t="s">
        <v>3638</v>
      </c>
      <c r="C30" s="1796" t="s">
        <v>3639</v>
      </c>
      <c r="D30" s="1805"/>
      <c r="E30" s="1811"/>
      <c r="F30" s="2066" t="s">
        <v>3636</v>
      </c>
      <c r="Q30" s="1796" t="s">
        <v>3636</v>
      </c>
    </row>
    <row r="31" spans="1:20" ht="15">
      <c r="A31" s="1791">
        <v>20</v>
      </c>
      <c r="B31" s="2067" t="s">
        <v>3624</v>
      </c>
      <c r="D31" s="2068">
        <f>'Sch.D - Summary'!H10/('Sch.D - Summary'!E10/1000)</f>
        <v>3.7939208154798165</v>
      </c>
      <c r="E31" s="1811"/>
      <c r="F31" s="2103">
        <f ca="1">$S$39</f>
        <v>3.8170000000000002</v>
      </c>
      <c r="G31" s="2078">
        <f>SUMIFS('Sch.D - Summary'!$E:$E,'Sch.D - Summary'!$B:$B,'wp - t-1 COSS'!G$9,'Sch.D - Summary'!$C:$C,'wp - t-1 COSS'!$B31)/1000</f>
        <v>171368.79813165407</v>
      </c>
      <c r="H31" s="2077">
        <f>0</f>
        <v>0</v>
      </c>
      <c r="I31" s="2078">
        <f>SUMIFS('Sch.D - Summary'!$E:$E,'Sch.D - Summary'!$B:$B,'wp - t-1 COSS'!I$9,'Sch.D - Summary'!$C:$C,'wp - t-1 COSS'!$B31)/1000</f>
        <v>22239.770909621231</v>
      </c>
      <c r="J31" s="2077">
        <f>0</f>
        <v>0</v>
      </c>
      <c r="K31" s="2078">
        <f>SUMIFS('Sch.D - Summary'!$E:$E,'Sch.D - Summary'!$B:$B,'wp - t-1 COSS'!K$9,'Sch.D - Summary'!$C:$C,'wp - t-1 COSS'!$B31)/1000</f>
        <v>1921.2688000428125</v>
      </c>
      <c r="L31" s="2077">
        <f>0</f>
        <v>0</v>
      </c>
      <c r="M31" s="2078">
        <f>SUMIFS('Sch.D - Summary'!$E:$E,'Sch.D - Summary'!$B:$B,'wp - t-1 COSS'!M$9,'Sch.D - Summary'!$C:$C,'wp - t-1 COSS'!$B31)/1000</f>
        <v>610.18879804928304</v>
      </c>
      <c r="N31" s="2077">
        <f>0</f>
        <v>0</v>
      </c>
      <c r="O31" s="2078">
        <f>SUMIFS('Sch.D - Summary'!$E:$E,'Sch.D - Summary'!$B:$B,'wp - t-1 COSS'!O$9,'Sch.D - Summary'!$C:$C,'wp - t-1 COSS'!$B31)/1000</f>
        <v>0</v>
      </c>
      <c r="P31" s="2077">
        <f>0</f>
        <v>0</v>
      </c>
      <c r="Q31" s="2074">
        <f>SUM(G31:P31)</f>
        <v>196140.0266393674</v>
      </c>
      <c r="R31" s="1814"/>
    </row>
    <row r="32" spans="1:20" ht="15">
      <c r="A32" s="1791">
        <v>21</v>
      </c>
      <c r="B32" s="2067" t="s">
        <v>3626</v>
      </c>
      <c r="D32" s="2068">
        <f>'Sch.D - Summary'!H11/('Sch.D - Summary'!E11/1000)</f>
        <v>6.9378141265446009</v>
      </c>
      <c r="E32" s="1811"/>
      <c r="F32" s="2103">
        <f t="shared" ref="F32:F38" ca="1" si="6">$S$39</f>
        <v>3.8170000000000002</v>
      </c>
      <c r="G32" s="2078">
        <f>SUMIFS('Sch.D - Summary'!$E:$E,'Sch.D - Summary'!$B:$B,'wp - t-1 COSS'!G$9,'Sch.D - Summary'!$C:$C,'wp - t-1 COSS'!$B32)/1000</f>
        <v>12302.274758398427</v>
      </c>
      <c r="H32" s="2077">
        <v>0</v>
      </c>
      <c r="I32" s="2078">
        <f>SUMIFS('Sch.D - Summary'!$E:$E,'Sch.D - Summary'!$B:$B,'wp - t-1 COSS'!I$9,'Sch.D - Summary'!$C:$C,'wp - t-1 COSS'!$B32)/1000</f>
        <v>2134.5196286254518</v>
      </c>
      <c r="J32" s="2077">
        <v>0</v>
      </c>
      <c r="K32" s="2078">
        <f>SUMIFS('Sch.D - Summary'!$E:$E,'Sch.D - Summary'!$B:$B,'wp - t-1 COSS'!K$9,'Sch.D - Summary'!$C:$C,'wp - t-1 COSS'!$B32)/1000</f>
        <v>533.90767544469315</v>
      </c>
      <c r="L32" s="2077">
        <v>0</v>
      </c>
      <c r="M32" s="2078">
        <f>SUMIFS('Sch.D - Summary'!$E:$E,'Sch.D - Summary'!$B:$B,'wp - t-1 COSS'!M$9,'Sch.D - Summary'!$C:$C,'wp - t-1 COSS'!$B32)/1000</f>
        <v>0</v>
      </c>
      <c r="N32" s="2077">
        <v>0</v>
      </c>
      <c r="O32" s="2078">
        <f>SUMIFS('Sch.D - Summary'!$E:$E,'Sch.D - Summary'!$B:$B,'wp - t-1 COSS'!O$9,'Sch.D - Summary'!$C:$C,'wp - t-1 COSS'!$B32)/1000</f>
        <v>0</v>
      </c>
      <c r="P32" s="2077">
        <v>0</v>
      </c>
      <c r="Q32" s="2074">
        <f>SUM(G32:P32)</f>
        <v>14970.702062468572</v>
      </c>
    </row>
    <row r="33" spans="1:19" ht="15">
      <c r="A33" s="1791">
        <v>22</v>
      </c>
      <c r="B33" s="2067" t="s">
        <v>3628</v>
      </c>
      <c r="D33" s="2068">
        <f>'Sch.D - Summary'!H12/('Sch.D - Summary'!E12/1000)</f>
        <v>3.7922622103539316</v>
      </c>
      <c r="E33" s="1811"/>
      <c r="F33" s="2103">
        <f t="shared" ca="1" si="6"/>
        <v>3.8170000000000002</v>
      </c>
      <c r="G33" s="2078">
        <f>SUMIFS('Sch.D - Summary'!$E:$E,'Sch.D - Summary'!$B:$B,'wp - t-1 COSS'!G$9,'Sch.D - Summary'!$C:$C,'wp - t-1 COSS'!$B33)/1000</f>
        <v>489.41457849042968</v>
      </c>
      <c r="H33" s="2077">
        <v>0</v>
      </c>
      <c r="I33" s="2078">
        <f>SUMIFS('Sch.D - Summary'!$E:$E,'Sch.D - Summary'!$B:$B,'wp - t-1 COSS'!I$9,'Sch.D - Summary'!$C:$C,'wp - t-1 COSS'!$B33)/1000</f>
        <v>8708.6520670845312</v>
      </c>
      <c r="J33" s="2077">
        <v>0</v>
      </c>
      <c r="K33" s="2078">
        <f>SUMIFS('Sch.D - Summary'!$E:$E,'Sch.D - Summary'!$B:$B,'wp - t-1 COSS'!K$9,'Sch.D - Summary'!$C:$C,'wp - t-1 COSS'!$B33)/1000</f>
        <v>422.37523368802522</v>
      </c>
      <c r="L33" s="2077">
        <v>0</v>
      </c>
      <c r="M33" s="2078">
        <f>SUMIFS('Sch.D - Summary'!$E:$E,'Sch.D - Summary'!$B:$B,'wp - t-1 COSS'!M$9,'Sch.D - Summary'!$C:$C,'wp - t-1 COSS'!$B33)/1000</f>
        <v>80.768061201693939</v>
      </c>
      <c r="N33" s="2077">
        <v>0</v>
      </c>
      <c r="O33" s="2078">
        <f>SUMIFS('Sch.D - Summary'!$E:$E,'Sch.D - Summary'!$B:$B,'wp - t-1 COSS'!O$9,'Sch.D - Summary'!$C:$C,'wp - t-1 COSS'!$B33)/1000</f>
        <v>837.08165477314458</v>
      </c>
      <c r="P33" s="2077">
        <v>0</v>
      </c>
      <c r="Q33" s="2074">
        <f t="shared" ref="Q33:Q38" si="7">SUM(G33:P33)</f>
        <v>10538.291595237826</v>
      </c>
    </row>
    <row r="34" spans="1:19" ht="15">
      <c r="A34" s="1791">
        <v>23</v>
      </c>
      <c r="B34" s="2067" t="s">
        <v>3630</v>
      </c>
      <c r="D34" s="2068">
        <f>'Sch.D - Summary'!H13/('Sch.D - Summary'!E13/1000)</f>
        <v>3.6508189450187225</v>
      </c>
      <c r="E34" s="1811"/>
      <c r="F34" s="2103">
        <f t="shared" ca="1" si="6"/>
        <v>3.8170000000000002</v>
      </c>
      <c r="G34" s="2078">
        <f>SUMIFS('Sch.D - Summary'!$E:$E,'Sch.D - Summary'!$B:$B,'wp - t-1 COSS'!G$9,'Sch.D - Summary'!$C:$C,'wp - t-1 COSS'!$B34)/1000</f>
        <v>0</v>
      </c>
      <c r="H34" s="2077">
        <v>0</v>
      </c>
      <c r="I34" s="2078">
        <f>SUMIFS('Sch.D - Summary'!$E:$E,'Sch.D - Summary'!$B:$B,'wp - t-1 COSS'!I$9,'Sch.D - Summary'!$C:$C,'wp - t-1 COSS'!$B34)/1000</f>
        <v>6485.1384945239442</v>
      </c>
      <c r="J34" s="2077">
        <v>0</v>
      </c>
      <c r="K34" s="2078">
        <f>SUMIFS('Sch.D - Summary'!$E:$E,'Sch.D - Summary'!$B:$B,'wp - t-1 COSS'!K$9,'Sch.D - Summary'!$C:$C,'wp - t-1 COSS'!$B34)/1000</f>
        <v>5157.7834404931164</v>
      </c>
      <c r="L34" s="2077">
        <v>0</v>
      </c>
      <c r="M34" s="2078">
        <f>SUMIFS('Sch.D - Summary'!$E:$E,'Sch.D - Summary'!$B:$B,'wp - t-1 COSS'!M$9,'Sch.D - Summary'!$C:$C,'wp - t-1 COSS'!$B34)/1000</f>
        <v>1375.5644482318553</v>
      </c>
      <c r="N34" s="2077">
        <v>0</v>
      </c>
      <c r="O34" s="2078">
        <f>SUMIFS('Sch.D - Summary'!$E:$E,'Sch.D - Summary'!$B:$B,'wp - t-1 COSS'!O$9,'Sch.D - Summary'!$C:$C,'wp - t-1 COSS'!$B34)/1000</f>
        <v>0</v>
      </c>
      <c r="P34" s="2077">
        <v>0</v>
      </c>
      <c r="Q34" s="2074">
        <f t="shared" si="7"/>
        <v>13018.486383248915</v>
      </c>
    </row>
    <row r="35" spans="1:19" ht="15">
      <c r="A35" s="1791">
        <v>24</v>
      </c>
      <c r="B35" s="2067" t="s">
        <v>3631</v>
      </c>
      <c r="D35" s="2068">
        <f>'Sch.D - Summary'!H14/('Sch.D - Summary'!E14/1000)</f>
        <v>3.1697032680637101</v>
      </c>
      <c r="E35" s="1811"/>
      <c r="F35" s="2103">
        <f t="shared" ca="1" si="6"/>
        <v>3.8170000000000002</v>
      </c>
      <c r="G35" s="2078">
        <f>SUMIFS('Sch.D - Summary'!$E:$E,'Sch.D - Summary'!$B:$B,'wp - t-1 COSS'!G$9,'Sch.D - Summary'!$C:$C,'wp - t-1 COSS'!$B35)/1000</f>
        <v>0</v>
      </c>
      <c r="H35" s="2077">
        <v>0</v>
      </c>
      <c r="I35" s="2078">
        <f>SUMIFS('Sch.D - Summary'!$E:$E,'Sch.D - Summary'!$B:$B,'wp - t-1 COSS'!I$9,'Sch.D - Summary'!$C:$C,'wp - t-1 COSS'!$B35)/1000</f>
        <v>21584.459821925466</v>
      </c>
      <c r="J35" s="2077">
        <v>0</v>
      </c>
      <c r="K35" s="2078">
        <f>SUMIFS('Sch.D - Summary'!$E:$E,'Sch.D - Summary'!$B:$B,'wp - t-1 COSS'!K$9,'Sch.D - Summary'!$C:$C,'wp - t-1 COSS'!$B35)/1000</f>
        <v>4588.7232551648613</v>
      </c>
      <c r="L35" s="2077">
        <v>0</v>
      </c>
      <c r="M35" s="2078">
        <f>SUMIFS('Sch.D - Summary'!$E:$E,'Sch.D - Summary'!$B:$B,'wp - t-1 COSS'!M$9,'Sch.D - Summary'!$C:$C,'wp - t-1 COSS'!$B35)/1000</f>
        <v>326.5250071713852</v>
      </c>
      <c r="N35" s="2077">
        <v>0</v>
      </c>
      <c r="O35" s="2078">
        <f>SUMIFS('Sch.D - Summary'!$E:$E,'Sch.D - Summary'!$B:$B,'wp - t-1 COSS'!O$9,'Sch.D - Summary'!$C:$C,'wp - t-1 COSS'!$B35)/1000</f>
        <v>43.342100868977312</v>
      </c>
      <c r="P35" s="2077">
        <v>0</v>
      </c>
      <c r="Q35" s="2074">
        <f t="shared" si="7"/>
        <v>26543.050185130687</v>
      </c>
    </row>
    <row r="36" spans="1:19" ht="15">
      <c r="A36" s="1791">
        <v>25</v>
      </c>
      <c r="B36" s="2067" t="s">
        <v>3632</v>
      </c>
      <c r="D36" s="2068">
        <f>'Sch.D - Summary'!H15/('Sch.D - Summary'!E15/1000)</f>
        <v>2.7833898989809187</v>
      </c>
      <c r="E36" s="1811"/>
      <c r="F36" s="2103">
        <f t="shared" ca="1" si="6"/>
        <v>3.8170000000000002</v>
      </c>
      <c r="G36" s="2078">
        <f>SUMIFS('Sch.D - Summary'!$E:$E,'Sch.D - Summary'!$B:$B,'wp - t-1 COSS'!G$9,'Sch.D - Summary'!$C:$C,'wp - t-1 COSS'!$B36)/1000</f>
        <v>0</v>
      </c>
      <c r="H36" s="2077">
        <v>0</v>
      </c>
      <c r="I36" s="2078">
        <f>SUMIFS('Sch.D - Summary'!$E:$E,'Sch.D - Summary'!$B:$B,'wp - t-1 COSS'!I$9,'Sch.D - Summary'!$C:$C,'wp - t-1 COSS'!$B36)/1000</f>
        <v>1288.5853975124883</v>
      </c>
      <c r="J36" s="2077">
        <v>0</v>
      </c>
      <c r="K36" s="2078">
        <f>SUMIFS('Sch.D - Summary'!$E:$E,'Sch.D - Summary'!$B:$B,'wp - t-1 COSS'!K$9,'Sch.D - Summary'!$C:$C,'wp - t-1 COSS'!$B36)/1000</f>
        <v>4653.2221885351573</v>
      </c>
      <c r="L36" s="2077">
        <v>0</v>
      </c>
      <c r="M36" s="2078">
        <f>SUMIFS('Sch.D - Summary'!$E:$E,'Sch.D - Summary'!$B:$B,'wp - t-1 COSS'!M$9,'Sch.D - Summary'!$C:$C,'wp - t-1 COSS'!$B36)/1000</f>
        <v>8964.7961412841978</v>
      </c>
      <c r="N36" s="2077">
        <v>0</v>
      </c>
      <c r="O36" s="2078">
        <f>SUMIFS('Sch.D - Summary'!$E:$E,'Sch.D - Summary'!$B:$B,'wp - t-1 COSS'!O$9,'Sch.D - Summary'!$C:$C,'wp - t-1 COSS'!$B36)/1000</f>
        <v>0</v>
      </c>
      <c r="P36" s="2077">
        <v>0</v>
      </c>
      <c r="Q36" s="2074">
        <f t="shared" si="7"/>
        <v>14906.603727331843</v>
      </c>
    </row>
    <row r="37" spans="1:19" ht="15">
      <c r="A37" s="1791">
        <v>26</v>
      </c>
      <c r="B37" s="2067" t="s">
        <v>3633</v>
      </c>
      <c r="D37" s="2068">
        <f>'Sch.D - Summary'!H16/('Sch.D - Summary'!E16/1000)</f>
        <v>2.7600000000000002</v>
      </c>
      <c r="E37" s="1811"/>
      <c r="F37" s="2103">
        <f t="shared" ca="1" si="6"/>
        <v>3.8170000000000002</v>
      </c>
      <c r="G37" s="2078">
        <f>SUMIFS('Sch.D - Summary'!$E:$E,'Sch.D - Summary'!$B:$B,'wp - t-1 COSS'!G$9,'Sch.D - Summary'!$C:$C,'wp - t-1 COSS'!$B37)/1000</f>
        <v>0</v>
      </c>
      <c r="H37" s="2077">
        <v>0</v>
      </c>
      <c r="I37" s="2078">
        <f>SUMIFS('Sch.D - Summary'!$E:$E,'Sch.D - Summary'!$B:$B,'wp - t-1 COSS'!I$9,'Sch.D - Summary'!$C:$C,'wp - t-1 COSS'!$B37)/1000</f>
        <v>442.05957276591556</v>
      </c>
      <c r="J37" s="2077">
        <v>0</v>
      </c>
      <c r="K37" s="2078">
        <f>SUMIFS('Sch.D - Summary'!$E:$E,'Sch.D - Summary'!$B:$B,'wp - t-1 COSS'!K$9,'Sch.D - Summary'!$C:$C,'wp - t-1 COSS'!$B37)/1000</f>
        <v>0</v>
      </c>
      <c r="L37" s="2077">
        <v>0</v>
      </c>
      <c r="M37" s="2078">
        <f>SUMIFS('Sch.D - Summary'!$E:$E,'Sch.D - Summary'!$B:$B,'wp - t-1 COSS'!M$9,'Sch.D - Summary'!$C:$C,'wp - t-1 COSS'!$B37)/1000</f>
        <v>158.81287478956239</v>
      </c>
      <c r="N37" s="2077">
        <v>0</v>
      </c>
      <c r="O37" s="2078">
        <f>SUMIFS('Sch.D - Summary'!$E:$E,'Sch.D - Summary'!$B:$B,'wp - t-1 COSS'!O$9,'Sch.D - Summary'!$C:$C,'wp - t-1 COSS'!$B37)/1000</f>
        <v>0</v>
      </c>
      <c r="P37" s="2077">
        <v>0</v>
      </c>
      <c r="Q37" s="2074">
        <f t="shared" si="7"/>
        <v>600.87244755547795</v>
      </c>
    </row>
    <row r="38" spans="1:19" ht="15">
      <c r="A38" s="1791">
        <v>27</v>
      </c>
      <c r="B38" s="2067" t="s">
        <v>3634</v>
      </c>
      <c r="D38" s="2068">
        <f>'Sch.D - Summary'!H17/('Sch.D - Summary'!E17/1000)</f>
        <v>2.76</v>
      </c>
      <c r="E38" s="1811"/>
      <c r="F38" s="2103">
        <f t="shared" ca="1" si="6"/>
        <v>3.8170000000000002</v>
      </c>
      <c r="G38" s="2078">
        <f>SUMIFS('Sch.D - Summary'!$E:$E,'Sch.D - Summary'!$B:$B,'wp - t-1 COSS'!G$9,'Sch.D - Summary'!$C:$C,'wp - t-1 COSS'!$B38)/1000</f>
        <v>0</v>
      </c>
      <c r="H38" s="2077">
        <v>0</v>
      </c>
      <c r="I38" s="2078">
        <f>SUMIFS('Sch.D - Summary'!$E:$E,'Sch.D - Summary'!$B:$B,'wp - t-1 COSS'!I$9,'Sch.D - Summary'!$C:$C,'wp - t-1 COSS'!$B38)/1000</f>
        <v>0</v>
      </c>
      <c r="J38" s="2077">
        <v>0</v>
      </c>
      <c r="K38" s="2078">
        <f>SUMIFS('Sch.D - Summary'!$E:$E,'Sch.D - Summary'!$B:$B,'wp - t-1 COSS'!K$9,'Sch.D - Summary'!$C:$C,'wp - t-1 COSS'!$B38)/1000</f>
        <v>0</v>
      </c>
      <c r="L38" s="2077">
        <v>0</v>
      </c>
      <c r="M38" s="2078">
        <f>SUMIFS('Sch.D - Summary'!$E:$E,'Sch.D - Summary'!$B:$B,'wp - t-1 COSS'!M$9,'Sch.D - Summary'!$C:$C,'wp - t-1 COSS'!$B38)/1000</f>
        <v>39158.620797858392</v>
      </c>
      <c r="N38" s="2077">
        <v>0</v>
      </c>
      <c r="O38" s="2078">
        <f>SUMIFS('Sch.D - Summary'!$E:$E,'Sch.D - Summary'!$B:$B,'wp - t-1 COSS'!O$9,'Sch.D - Summary'!$C:$C,'wp - t-1 COSS'!$B38)/1000</f>
        <v>0</v>
      </c>
      <c r="P38" s="2077">
        <v>0</v>
      </c>
      <c r="Q38" s="2074">
        <f t="shared" si="7"/>
        <v>39158.620797858392</v>
      </c>
      <c r="R38" s="1760" t="s">
        <v>3640</v>
      </c>
    </row>
    <row r="39" spans="1:19" ht="15">
      <c r="A39" s="1791">
        <v>28</v>
      </c>
      <c r="B39" s="1781"/>
      <c r="D39" s="1812"/>
      <c r="E39" s="1811"/>
      <c r="F39" s="2077"/>
      <c r="G39" s="2077"/>
      <c r="H39" s="2077">
        <v>0</v>
      </c>
      <c r="I39" s="2077"/>
      <c r="J39" s="2077">
        <v>0</v>
      </c>
      <c r="K39" s="2077">
        <v>0</v>
      </c>
      <c r="L39" s="2077">
        <v>0</v>
      </c>
      <c r="M39" s="2077">
        <v>0</v>
      </c>
      <c r="N39" s="2077">
        <v>0</v>
      </c>
      <c r="O39" s="2077">
        <v>0</v>
      </c>
      <c r="P39" s="2077">
        <v>0</v>
      </c>
      <c r="Q39" s="2074">
        <f>SUM(G39:P39)</f>
        <v>0</v>
      </c>
      <c r="R39" s="1804">
        <f>SUM(Q31:Q39)</f>
        <v>315876.6538381991</v>
      </c>
      <c r="S39" s="2113">
        <f ca="1">ROUND(S25/R39,3)</f>
        <v>3.8170000000000002</v>
      </c>
    </row>
    <row r="40" spans="1:19" ht="15">
      <c r="A40" s="1791">
        <v>29</v>
      </c>
      <c r="B40" s="1796"/>
      <c r="D40" s="1812"/>
      <c r="E40" s="1812"/>
      <c r="F40" s="1812"/>
      <c r="G40" s="1813"/>
      <c r="H40" s="1813"/>
      <c r="I40" s="1813"/>
      <c r="J40" s="1813"/>
      <c r="K40" s="1813"/>
      <c r="L40" s="1813"/>
      <c r="M40" s="1813"/>
      <c r="N40" s="1813"/>
      <c r="O40" s="1813"/>
      <c r="P40" s="1813"/>
      <c r="Q40" s="1804"/>
    </row>
    <row r="41" spans="1:19" ht="15">
      <c r="A41" s="1791">
        <v>30</v>
      </c>
      <c r="B41" s="1796" t="s">
        <v>3641</v>
      </c>
      <c r="D41" s="1808" t="s">
        <v>446</v>
      </c>
      <c r="E41" s="1795" t="s">
        <v>3636</v>
      </c>
      <c r="F41" s="1795" t="s">
        <v>3636</v>
      </c>
      <c r="G41" s="2074">
        <f>SUMIFS('Sch.D - Summary'!$H:$H,'Sch.D - Summary'!$B:$B,'wp - t-1 COSS'!G$9)</f>
        <v>742790.83855795348</v>
      </c>
      <c r="H41" s="2074">
        <f t="shared" ref="H41:P41" si="8">$D31*H31+$D32*H32+$D39*H39</f>
        <v>0</v>
      </c>
      <c r="I41" s="2074">
        <f>SUMIFS('Sch.D - Summary'!$H:$H,'Sch.D - Summary'!$B:$B,'wp - t-1 COSS'!I$9)</f>
        <v>220461.27736976306</v>
      </c>
      <c r="J41" s="2074">
        <f t="shared" si="8"/>
        <v>0</v>
      </c>
      <c r="K41" s="2074">
        <f>SUMIFS('Sch.D - Summary'!$H:$H,'Sch.D - Summary'!$B:$B,'wp - t-1 COSS'!K$9)</f>
        <v>60489.374735099809</v>
      </c>
      <c r="L41" s="2074">
        <f t="shared" si="8"/>
        <v>0</v>
      </c>
      <c r="M41" s="2074">
        <f>SUMIFS('Sch.D - Summary'!$H:$H,'Sch.D - Summary'!$B:$B,'wp - t-1 COSS'!M$9)</f>
        <v>141262.09295634401</v>
      </c>
      <c r="N41" s="2074">
        <f t="shared" si="8"/>
        <v>0</v>
      </c>
      <c r="O41" s="2074">
        <f>SUMIFS('Sch.D - Summary'!$H:$H,'Sch.D - Summary'!$B:$B,'wp - t-1 COSS'!O$9)</f>
        <v>5852.8806680272664</v>
      </c>
      <c r="P41" s="2074">
        <f t="shared" si="8"/>
        <v>0</v>
      </c>
      <c r="Q41" s="2074">
        <f t="shared" ref="Q41:Q42" si="9">SUM(G41:P41)</f>
        <v>1170856.4642871877</v>
      </c>
    </row>
    <row r="42" spans="1:19" ht="15">
      <c r="A42" s="1791">
        <v>31</v>
      </c>
      <c r="D42" s="1808"/>
      <c r="E42" s="1795" t="s">
        <v>3636</v>
      </c>
      <c r="F42" s="1795" t="s">
        <v>3636</v>
      </c>
      <c r="G42" s="2074">
        <f t="shared" ref="G42:P42" si="10">$E31*G31+$E32*G32+$E39*G39</f>
        <v>0</v>
      </c>
      <c r="H42" s="2074">
        <f t="shared" si="10"/>
        <v>0</v>
      </c>
      <c r="I42" s="2074">
        <f t="shared" si="10"/>
        <v>0</v>
      </c>
      <c r="J42" s="2074">
        <f t="shared" si="10"/>
        <v>0</v>
      </c>
      <c r="K42" s="2074">
        <f t="shared" si="10"/>
        <v>0</v>
      </c>
      <c r="L42" s="2074">
        <f t="shared" si="10"/>
        <v>0</v>
      </c>
      <c r="M42" s="2074">
        <f t="shared" si="10"/>
        <v>0</v>
      </c>
      <c r="N42" s="2074">
        <f t="shared" si="10"/>
        <v>0</v>
      </c>
      <c r="O42" s="2074">
        <f t="shared" si="10"/>
        <v>0</v>
      </c>
      <c r="P42" s="2074">
        <f t="shared" si="10"/>
        <v>0</v>
      </c>
      <c r="Q42" s="2074">
        <f t="shared" si="9"/>
        <v>0</v>
      </c>
    </row>
    <row r="43" spans="1:19" ht="15">
      <c r="A43" s="1791">
        <v>32</v>
      </c>
      <c r="D43" s="1808" t="s">
        <v>139</v>
      </c>
      <c r="E43" s="1795" t="s">
        <v>3636</v>
      </c>
      <c r="F43" s="1795" t="s">
        <v>3636</v>
      </c>
      <c r="G43" s="2074">
        <f ca="1">SUMPRODUCT($F$31:$F$38,G$31:G$38)</f>
        <v>702940.58066742844</v>
      </c>
      <c r="H43" s="2074">
        <f t="shared" ref="H43:P43" ca="1" si="11">SUMPRODUCT($F$31:$F$38,H$31:H$38)</f>
        <v>0</v>
      </c>
      <c r="I43" s="2074">
        <f t="shared" ca="1" si="11"/>
        <v>240025.12054998934</v>
      </c>
      <c r="J43" s="2074">
        <f t="shared" ca="1" si="11"/>
        <v>0</v>
      </c>
      <c r="K43" s="2074">
        <f t="shared" ca="1" si="11"/>
        <v>65947.380024888203</v>
      </c>
      <c r="L43" s="2074">
        <f t="shared" ca="1" si="11"/>
        <v>0</v>
      </c>
      <c r="M43" s="2074">
        <f t="shared" ca="1" si="11"/>
        <v>193427.52898281417</v>
      </c>
      <c r="N43" s="2074">
        <f t="shared" ca="1" si="11"/>
        <v>0</v>
      </c>
      <c r="O43" s="2074">
        <f t="shared" ca="1" si="11"/>
        <v>3360.5774752859793</v>
      </c>
      <c r="P43" s="2074">
        <f t="shared" ca="1" si="11"/>
        <v>0</v>
      </c>
      <c r="Q43" s="1804">
        <f ca="1">SUM(G43:P43)</f>
        <v>1205701.1877004062</v>
      </c>
    </row>
    <row r="44" spans="1:19" ht="15">
      <c r="A44" s="1791"/>
    </row>
    <row r="45" spans="1:19" ht="16.5">
      <c r="D45" s="1808" t="s">
        <v>3642</v>
      </c>
      <c r="E45" s="1815">
        <f ca="1">'wp - t-2 COSS'!Q24</f>
        <v>67563.151991622522</v>
      </c>
      <c r="F45" s="1816">
        <f ca="1">E45/(Q31+Q32+Q33+Q34+Q35+Q36+Q37+Q38+Q39)</f>
        <v>0.21389093233281581</v>
      </c>
    </row>
    <row r="46" spans="1:19" ht="16.5">
      <c r="E46" s="1815"/>
    </row>
    <row r="47" spans="1:19" ht="16.5">
      <c r="E47" s="1815">
        <f ca="1">'wp - t-2 COSS'!Q22-'wp - t-1 COSS'!Q28</f>
        <v>1323961.7994855202</v>
      </c>
      <c r="F47" s="1816">
        <f ca="1">E47/R39</f>
        <v>4.1913885796817727</v>
      </c>
      <c r="J47" s="1805"/>
    </row>
    <row r="48" spans="1:19" ht="16.5">
      <c r="E48" s="1815"/>
      <c r="J48" s="1805"/>
    </row>
    <row r="49" spans="3:18" ht="16.5">
      <c r="E49" s="1815"/>
      <c r="G49" s="2080">
        <f>G26+G41</f>
        <v>1382612.6915764674</v>
      </c>
      <c r="H49" s="2080">
        <f t="shared" ref="H49:Q49" si="12">H26+H41</f>
        <v>0</v>
      </c>
      <c r="I49" s="2080">
        <f t="shared" si="12"/>
        <v>394737.70792268368</v>
      </c>
      <c r="J49" s="2080">
        <f t="shared" si="12"/>
        <v>0</v>
      </c>
      <c r="K49" s="2080">
        <f t="shared" si="12"/>
        <v>108030.78841277931</v>
      </c>
      <c r="L49" s="2080">
        <f t="shared" si="12"/>
        <v>0</v>
      </c>
      <c r="M49" s="2080">
        <f t="shared" si="12"/>
        <v>164726.69535482585</v>
      </c>
      <c r="N49" s="2080">
        <f t="shared" si="12"/>
        <v>0</v>
      </c>
      <c r="O49" s="2080">
        <f t="shared" si="12"/>
        <v>9470.5710204313182</v>
      </c>
      <c r="P49" s="2080">
        <f t="shared" si="12"/>
        <v>0</v>
      </c>
      <c r="Q49" s="2080">
        <f t="shared" si="12"/>
        <v>2059578.4542871874</v>
      </c>
    </row>
    <row r="50" spans="3:18">
      <c r="C50" s="1817"/>
      <c r="D50" s="1760" t="s">
        <v>3643</v>
      </c>
      <c r="E50" s="1818">
        <v>0</v>
      </c>
      <c r="F50" s="1819">
        <f ca="1">E50/E53</f>
        <v>0</v>
      </c>
      <c r="G50" s="2080">
        <f ca="1">G28+G43</f>
        <v>1725545.3506674285</v>
      </c>
      <c r="H50" s="2080">
        <f t="shared" ref="H50:Q50" ca="1" si="13">H28+H43</f>
        <v>0</v>
      </c>
      <c r="I50" s="2080">
        <f t="shared" ca="1" si="13"/>
        <v>484851.50054998935</v>
      </c>
      <c r="J50" s="2080">
        <f t="shared" ca="1" si="13"/>
        <v>0</v>
      </c>
      <c r="K50" s="2080">
        <f t="shared" ca="1" si="13"/>
        <v>128107.57002488821</v>
      </c>
      <c r="L50" s="2080">
        <f t="shared" ca="1" si="13"/>
        <v>0</v>
      </c>
      <c r="M50" s="2080">
        <f t="shared" ca="1" si="13"/>
        <v>219674.44898281415</v>
      </c>
      <c r="N50" s="2080">
        <f t="shared" ca="1" si="13"/>
        <v>0</v>
      </c>
      <c r="O50" s="2080">
        <f t="shared" ca="1" si="13"/>
        <v>8309.8574752859786</v>
      </c>
      <c r="P50" s="2080">
        <f t="shared" ca="1" si="13"/>
        <v>0</v>
      </c>
      <c r="Q50" s="2080">
        <f t="shared" ca="1" si="13"/>
        <v>2566488.7277004058</v>
      </c>
    </row>
    <row r="51" spans="3:18">
      <c r="D51" s="1760" t="s">
        <v>3644</v>
      </c>
      <c r="E51" s="1818">
        <f ca="1">Q28</f>
        <v>1360787.5399999998</v>
      </c>
      <c r="F51" s="1819">
        <f ca="1">E51/E53</f>
        <v>0.53021372169410474</v>
      </c>
      <c r="G51" s="2081">
        <f ca="1">G50/G49-1</f>
        <v>0.2480323384706864</v>
      </c>
      <c r="H51" s="2081" t="e">
        <f t="shared" ref="H51:Q51" ca="1" si="14">H50/H49-1</f>
        <v>#DIV/0!</v>
      </c>
      <c r="I51" s="2081">
        <f t="shared" ca="1" si="14"/>
        <v>0.22828777392849431</v>
      </c>
      <c r="J51" s="2081" t="e">
        <f t="shared" ca="1" si="14"/>
        <v>#DIV/0!</v>
      </c>
      <c r="K51" s="2081">
        <f t="shared" ca="1" si="14"/>
        <v>0.18584314626490261</v>
      </c>
      <c r="L51" s="2081" t="e">
        <f t="shared" ca="1" si="14"/>
        <v>#DIV/0!</v>
      </c>
      <c r="M51" s="2081">
        <f t="shared" ca="1" si="14"/>
        <v>0.33356920995488504</v>
      </c>
      <c r="N51" s="2081" t="e">
        <f t="shared" ca="1" si="14"/>
        <v>#DIV/0!</v>
      </c>
      <c r="O51" s="2081">
        <f t="shared" ca="1" si="14"/>
        <v>-0.12256003810554572</v>
      </c>
      <c r="P51" s="2081" t="e">
        <f t="shared" ca="1" si="14"/>
        <v>#DIV/0!</v>
      </c>
      <c r="Q51" s="2081">
        <f t="shared" ca="1" si="14"/>
        <v>0.24612331341787042</v>
      </c>
    </row>
    <row r="52" spans="3:18">
      <c r="D52" s="1760" t="s">
        <v>3645</v>
      </c>
      <c r="E52" s="1821">
        <f ca="1">Q43</f>
        <v>1205701.1877004062</v>
      </c>
      <c r="F52" s="1822">
        <f ca="1">E52/E53</f>
        <v>0.46978627830589537</v>
      </c>
    </row>
    <row r="53" spans="3:18" ht="14.25" thickBot="1">
      <c r="D53" s="1760" t="s">
        <v>314</v>
      </c>
      <c r="E53" s="1823">
        <f ca="1">SUM(E50:E52)</f>
        <v>2566488.7277004058</v>
      </c>
      <c r="F53" s="1824">
        <f ca="1">E53/E53</f>
        <v>1</v>
      </c>
      <c r="G53" s="1805"/>
      <c r="Q53" s="2080">
        <f ca="1">Q50-'Sch.B-I.S'!N11</f>
        <v>-50762.031785113737</v>
      </c>
    </row>
    <row r="54" spans="3:18" ht="14.25" thickTop="1">
      <c r="E54" s="1805"/>
      <c r="F54" s="1805"/>
      <c r="G54" s="1805"/>
      <c r="Q54" s="2080">
        <f ca="1">Q53+'Sch.D - Summary'!AA14</f>
        <v>-64.571991621909547</v>
      </c>
    </row>
    <row r="57" spans="3:18">
      <c r="E57" s="1802"/>
      <c r="F57" s="1802"/>
      <c r="G57" s="1802"/>
      <c r="H57" s="1803"/>
      <c r="I57" s="1803"/>
      <c r="J57" s="1803"/>
      <c r="K57" s="1803"/>
      <c r="L57" s="1803"/>
      <c r="M57" s="1803"/>
      <c r="N57" s="1803"/>
      <c r="O57" s="1803"/>
      <c r="P57" s="1803"/>
      <c r="Q57" s="1803"/>
      <c r="R57" s="1804"/>
    </row>
    <row r="58" spans="3:18">
      <c r="E58" s="1802"/>
      <c r="F58" s="1802"/>
      <c r="G58" s="1802"/>
      <c r="H58" s="1803"/>
      <c r="I58" s="1803"/>
      <c r="J58" s="1803"/>
      <c r="K58" s="1803"/>
      <c r="L58" s="1803"/>
      <c r="M58" s="1803"/>
      <c r="N58" s="1803"/>
      <c r="O58" s="1803"/>
      <c r="P58" s="1803"/>
      <c r="Q58" s="1803"/>
      <c r="R58" s="1804"/>
    </row>
    <row r="59" spans="3:18">
      <c r="E59" s="1802"/>
      <c r="F59" s="1802"/>
      <c r="G59" s="1802"/>
      <c r="H59" s="1803"/>
      <c r="I59" s="1803"/>
      <c r="J59" s="1803"/>
      <c r="K59" s="1803"/>
      <c r="L59" s="1803"/>
      <c r="M59" s="1803"/>
      <c r="N59" s="1803"/>
      <c r="O59" s="1803"/>
      <c r="P59" s="1803"/>
      <c r="Q59" s="1803"/>
      <c r="R59" s="1804"/>
    </row>
    <row r="60" spans="3:18">
      <c r="E60" s="1802"/>
      <c r="F60" s="1802"/>
      <c r="G60" s="1802"/>
      <c r="H60" s="1803"/>
      <c r="I60" s="1803"/>
      <c r="J60" s="1803"/>
      <c r="K60" s="1803"/>
      <c r="L60" s="1803"/>
      <c r="M60" s="1803"/>
      <c r="N60" s="1803"/>
      <c r="O60" s="1803"/>
      <c r="P60" s="1803"/>
      <c r="Q60" s="1803"/>
      <c r="R60" s="1804"/>
    </row>
    <row r="61" spans="3:18">
      <c r="E61" s="1802"/>
      <c r="F61" s="1802"/>
      <c r="G61" s="1802"/>
      <c r="H61" s="1803"/>
      <c r="I61" s="1803"/>
      <c r="J61" s="1803"/>
      <c r="K61" s="1803"/>
      <c r="L61" s="1803"/>
      <c r="M61" s="1803"/>
      <c r="N61" s="1803"/>
      <c r="O61" s="1803"/>
      <c r="P61" s="1803"/>
      <c r="Q61" s="1803"/>
      <c r="R61" s="1804"/>
    </row>
    <row r="62" spans="3:18">
      <c r="E62" s="1802"/>
      <c r="F62" s="1802"/>
      <c r="G62" s="1802"/>
      <c r="H62" s="1803"/>
      <c r="I62" s="1803"/>
      <c r="J62" s="1803"/>
      <c r="K62" s="1803"/>
      <c r="L62" s="1803"/>
      <c r="M62" s="1803"/>
      <c r="N62" s="1803"/>
      <c r="O62" s="1803"/>
      <c r="P62" s="1803"/>
      <c r="Q62" s="1803"/>
      <c r="R62" s="1804"/>
    </row>
    <row r="63" spans="3:18">
      <c r="E63" s="1802"/>
      <c r="F63" s="1802"/>
      <c r="G63" s="1802"/>
      <c r="H63" s="1803"/>
      <c r="I63" s="1803"/>
      <c r="J63" s="1803"/>
      <c r="K63" s="1803"/>
      <c r="L63" s="1803"/>
      <c r="M63" s="1803"/>
      <c r="N63" s="1803"/>
      <c r="O63" s="1803"/>
      <c r="P63" s="1803"/>
      <c r="Q63" s="1803"/>
      <c r="R63" s="1804"/>
    </row>
    <row r="64" spans="3:18">
      <c r="E64" s="1802"/>
      <c r="F64" s="1802"/>
      <c r="G64" s="1802"/>
      <c r="H64" s="1803"/>
      <c r="I64" s="1803"/>
      <c r="J64" s="1803"/>
      <c r="K64" s="1803"/>
      <c r="L64" s="1803"/>
      <c r="M64" s="1803"/>
      <c r="N64" s="1803"/>
      <c r="O64" s="1803"/>
      <c r="P64" s="1803"/>
      <c r="Q64" s="1803"/>
      <c r="R64" s="1804"/>
    </row>
    <row r="65" spans="5:18">
      <c r="E65" s="1802"/>
      <c r="F65" s="1802"/>
      <c r="G65" s="1802"/>
      <c r="H65" s="1803"/>
      <c r="I65" s="1803"/>
      <c r="J65" s="1803"/>
      <c r="K65" s="1803"/>
      <c r="L65" s="1803"/>
      <c r="M65" s="1803"/>
      <c r="N65" s="1803"/>
      <c r="O65" s="1803"/>
      <c r="P65" s="1803"/>
      <c r="Q65" s="1803"/>
      <c r="R65" s="1804"/>
    </row>
    <row r="66" spans="5:18">
      <c r="E66" s="1802"/>
      <c r="F66" s="1802"/>
      <c r="G66" s="1802"/>
      <c r="H66" s="1803"/>
      <c r="I66" s="1803"/>
      <c r="J66" s="1803"/>
      <c r="K66" s="1803"/>
      <c r="L66" s="1803"/>
      <c r="M66" s="1803"/>
      <c r="N66" s="1803"/>
      <c r="O66" s="1803"/>
      <c r="P66" s="1803"/>
      <c r="Q66" s="1803"/>
      <c r="R66" s="1804"/>
    </row>
    <row r="67" spans="5:18">
      <c r="E67" s="1802"/>
      <c r="F67" s="1802"/>
      <c r="G67" s="1802"/>
      <c r="H67" s="1803"/>
      <c r="I67" s="1803"/>
      <c r="J67" s="1803"/>
      <c r="K67" s="1803"/>
      <c r="L67" s="1803"/>
      <c r="M67" s="1803"/>
      <c r="N67" s="1803"/>
      <c r="O67" s="1803"/>
      <c r="P67" s="1803"/>
      <c r="Q67" s="1803"/>
      <c r="R67" s="1804"/>
    </row>
    <row r="68" spans="5:18">
      <c r="E68" s="1802"/>
      <c r="F68" s="1802"/>
      <c r="G68" s="1802"/>
      <c r="H68" s="1803"/>
      <c r="I68" s="1803"/>
      <c r="J68" s="1803"/>
      <c r="K68" s="1803"/>
      <c r="L68" s="1803"/>
      <c r="M68" s="1803"/>
      <c r="N68" s="1803"/>
      <c r="O68" s="1803"/>
      <c r="P68" s="1803"/>
      <c r="Q68" s="1803"/>
      <c r="R68" s="1804"/>
    </row>
    <row r="69" spans="5:18">
      <c r="E69" s="1802"/>
      <c r="F69" s="1802"/>
      <c r="G69" s="1802"/>
      <c r="H69" s="1803"/>
      <c r="I69" s="1803"/>
      <c r="J69" s="1803"/>
      <c r="K69" s="1803"/>
      <c r="L69" s="1803"/>
      <c r="M69" s="1803"/>
      <c r="N69" s="1803"/>
      <c r="O69" s="1803"/>
      <c r="P69" s="1803"/>
      <c r="Q69" s="1803"/>
      <c r="R69" s="1804"/>
    </row>
    <row r="70" spans="5:18">
      <c r="E70" s="1802"/>
      <c r="F70" s="1802"/>
      <c r="G70" s="1802"/>
      <c r="H70" s="1803"/>
      <c r="I70" s="1803"/>
      <c r="J70" s="1803"/>
      <c r="K70" s="1803"/>
      <c r="L70" s="1803"/>
      <c r="M70" s="1803"/>
      <c r="N70" s="1803"/>
      <c r="O70" s="1803"/>
      <c r="P70" s="1803"/>
      <c r="Q70" s="1803"/>
      <c r="R70" s="1804"/>
    </row>
    <row r="71" spans="5:18">
      <c r="E71" s="1802"/>
      <c r="F71" s="1802"/>
      <c r="G71" s="1802"/>
      <c r="H71" s="1803"/>
      <c r="I71" s="1803"/>
      <c r="J71" s="1803"/>
      <c r="K71" s="1803"/>
      <c r="L71" s="1803"/>
      <c r="M71" s="1803"/>
      <c r="N71" s="1803"/>
      <c r="O71" s="1803"/>
      <c r="P71" s="1803"/>
      <c r="Q71" s="1803"/>
      <c r="R71" s="1804"/>
    </row>
    <row r="72" spans="5:18">
      <c r="E72" s="1802"/>
      <c r="F72" s="1802"/>
      <c r="G72" s="1802"/>
      <c r="H72" s="1803"/>
      <c r="I72" s="1803"/>
      <c r="J72" s="1803"/>
      <c r="K72" s="1803"/>
      <c r="L72" s="1803"/>
      <c r="M72" s="1803"/>
      <c r="N72" s="1803"/>
      <c r="O72" s="1803"/>
      <c r="P72" s="1803"/>
      <c r="Q72" s="1803"/>
      <c r="R72" s="1804"/>
    </row>
    <row r="73" spans="5:18">
      <c r="E73" s="1802"/>
      <c r="F73" s="1802"/>
      <c r="G73" s="1802"/>
      <c r="H73" s="1803"/>
      <c r="I73" s="1803"/>
      <c r="J73" s="1803"/>
      <c r="K73" s="1803"/>
      <c r="L73" s="1803"/>
      <c r="M73" s="1803"/>
      <c r="N73" s="1803"/>
      <c r="O73" s="1803"/>
      <c r="P73" s="1803"/>
      <c r="Q73" s="1803"/>
      <c r="R73" s="1804"/>
    </row>
    <row r="75" spans="5:18">
      <c r="F75" s="1805"/>
      <c r="G75" s="1805"/>
      <c r="H75" s="1804"/>
      <c r="I75" s="1804"/>
      <c r="J75" s="1804"/>
      <c r="K75" s="1804"/>
      <c r="L75" s="1804"/>
      <c r="M75" s="1804"/>
      <c r="N75" s="1804"/>
      <c r="O75" s="1804"/>
      <c r="P75" s="1804"/>
      <c r="Q75" s="1804"/>
      <c r="R75" s="1804"/>
    </row>
    <row r="77" spans="5:18">
      <c r="E77" s="1805"/>
      <c r="F77" s="1805"/>
      <c r="G77" s="1805"/>
      <c r="H77" s="1804"/>
      <c r="I77" s="1804"/>
      <c r="J77" s="1804"/>
      <c r="K77" s="1804"/>
      <c r="L77" s="1804"/>
      <c r="M77" s="1804"/>
      <c r="N77" s="1804"/>
      <c r="O77" s="1804"/>
      <c r="P77" s="1804"/>
      <c r="Q77" s="1804"/>
      <c r="R77" s="1804"/>
    </row>
    <row r="78" spans="5:18">
      <c r="E78" s="1805"/>
      <c r="F78" s="1805"/>
      <c r="G78" s="1805"/>
      <c r="H78" s="1804"/>
      <c r="I78" s="1804"/>
      <c r="J78" s="1804"/>
      <c r="K78" s="1804"/>
      <c r="L78" s="1804"/>
      <c r="M78" s="1804"/>
      <c r="N78" s="1804"/>
      <c r="O78" s="1804"/>
      <c r="P78" s="1804"/>
      <c r="Q78" s="1804"/>
      <c r="R78" s="1804"/>
    </row>
    <row r="79" spans="5:18">
      <c r="E79" s="1805"/>
      <c r="F79" s="1805"/>
      <c r="G79" s="1805"/>
      <c r="H79" s="1804"/>
      <c r="I79" s="1804"/>
      <c r="J79" s="1804"/>
      <c r="K79" s="1804"/>
      <c r="L79" s="1804"/>
      <c r="M79" s="1804"/>
      <c r="N79" s="1804"/>
      <c r="O79" s="1804"/>
      <c r="P79" s="1804"/>
      <c r="Q79" s="1804"/>
      <c r="R79" s="1804"/>
    </row>
    <row r="80" spans="5:18">
      <c r="F80" s="1805"/>
      <c r="G80" s="1805"/>
    </row>
    <row r="81" spans="3:18">
      <c r="G81" s="1811"/>
    </row>
    <row r="82" spans="3:18">
      <c r="E82" s="1825"/>
      <c r="F82" s="1825"/>
      <c r="G82" s="1825"/>
      <c r="H82" s="1803"/>
      <c r="I82" s="1803"/>
      <c r="J82" s="1803"/>
      <c r="K82" s="1803"/>
      <c r="L82" s="1803"/>
      <c r="M82" s="1803"/>
      <c r="N82" s="1803"/>
      <c r="O82" s="1803"/>
      <c r="P82" s="1803"/>
      <c r="Q82" s="1803"/>
      <c r="R82" s="1804"/>
    </row>
    <row r="83" spans="3:18">
      <c r="E83" s="1825"/>
      <c r="F83" s="1825"/>
      <c r="G83" s="1825"/>
      <c r="H83" s="1803"/>
      <c r="I83" s="1803"/>
      <c r="J83" s="1803"/>
      <c r="K83" s="1803"/>
      <c r="L83" s="1803"/>
      <c r="M83" s="1803"/>
      <c r="N83" s="1803"/>
      <c r="O83" s="1803"/>
      <c r="P83" s="1803"/>
      <c r="Q83" s="1803"/>
      <c r="R83" s="1804"/>
    </row>
    <row r="84" spans="3:18">
      <c r="E84" s="1825"/>
      <c r="F84" s="1825"/>
      <c r="G84" s="1825"/>
      <c r="H84" s="1803"/>
      <c r="I84" s="1803"/>
      <c r="J84" s="1803"/>
      <c r="K84" s="1803"/>
      <c r="L84" s="1803"/>
      <c r="M84" s="1803"/>
      <c r="N84" s="1803"/>
      <c r="O84" s="1803"/>
      <c r="P84" s="1803"/>
      <c r="Q84" s="1803"/>
      <c r="R84" s="1804"/>
    </row>
    <row r="85" spans="3:18">
      <c r="E85" s="1825"/>
      <c r="F85" s="1825"/>
      <c r="G85" s="1825"/>
      <c r="H85" s="1803"/>
      <c r="I85" s="1803"/>
      <c r="J85" s="1803"/>
      <c r="K85" s="1803"/>
      <c r="L85" s="1803"/>
      <c r="M85" s="1803"/>
      <c r="N85" s="1803"/>
      <c r="O85" s="1803"/>
      <c r="P85" s="1803"/>
      <c r="Q85" s="1803"/>
      <c r="R85" s="1804"/>
    </row>
    <row r="86" spans="3:18">
      <c r="E86" s="1825"/>
      <c r="F86" s="1825"/>
      <c r="G86" s="1825"/>
      <c r="H86" s="1803"/>
      <c r="I86" s="1803"/>
      <c r="J86" s="1803"/>
      <c r="K86" s="1803"/>
      <c r="L86" s="1803"/>
      <c r="M86" s="1803"/>
      <c r="N86" s="1803"/>
      <c r="O86" s="1803"/>
      <c r="P86" s="1803"/>
      <c r="Q86" s="1803"/>
      <c r="R86" s="1804"/>
    </row>
    <row r="87" spans="3:18">
      <c r="R87" s="1804"/>
    </row>
    <row r="88" spans="3:18">
      <c r="E88" s="1811"/>
      <c r="F88" s="1811"/>
      <c r="G88" s="1811"/>
      <c r="H88" s="1803"/>
      <c r="I88" s="1803"/>
      <c r="J88" s="1803"/>
      <c r="K88" s="1803"/>
      <c r="L88" s="1803"/>
      <c r="M88" s="1803"/>
      <c r="N88" s="1803"/>
      <c r="O88" s="1803"/>
      <c r="P88" s="1803"/>
      <c r="Q88" s="1803"/>
      <c r="R88" s="1804"/>
    </row>
    <row r="89" spans="3:18">
      <c r="E89" s="1811"/>
      <c r="F89" s="1811"/>
      <c r="G89" s="1811"/>
      <c r="H89" s="1803"/>
      <c r="I89" s="1803"/>
      <c r="J89" s="1803"/>
      <c r="K89" s="1803"/>
      <c r="L89" s="1803"/>
      <c r="M89" s="1803"/>
      <c r="N89" s="1803"/>
      <c r="O89" s="1803"/>
      <c r="P89" s="1803"/>
      <c r="Q89" s="1803"/>
      <c r="R89" s="1804"/>
    </row>
    <row r="90" spans="3:18">
      <c r="E90" s="1811"/>
      <c r="F90" s="1811"/>
      <c r="G90" s="1811"/>
      <c r="H90" s="1803"/>
      <c r="I90" s="1803"/>
      <c r="J90" s="1803"/>
      <c r="K90" s="1803"/>
      <c r="L90" s="1803"/>
      <c r="M90" s="1803"/>
      <c r="N90" s="1803"/>
      <c r="O90" s="1803"/>
      <c r="P90" s="1803"/>
      <c r="Q90" s="1803"/>
      <c r="R90" s="1804"/>
    </row>
    <row r="91" spans="3:18">
      <c r="E91" s="1811"/>
      <c r="F91" s="1811"/>
      <c r="G91" s="1811"/>
      <c r="H91" s="1803"/>
      <c r="I91" s="1803"/>
      <c r="J91" s="1803"/>
      <c r="K91" s="1803"/>
      <c r="L91" s="1803"/>
      <c r="M91" s="1803"/>
      <c r="N91" s="1803"/>
      <c r="O91" s="1803"/>
      <c r="P91" s="1803"/>
      <c r="Q91" s="1803"/>
      <c r="R91" s="1804"/>
    </row>
    <row r="93" spans="3:18">
      <c r="C93" s="1817"/>
    </row>
    <row r="94" spans="3:18">
      <c r="C94" s="1817"/>
    </row>
    <row r="99" spans="3:18">
      <c r="E99" s="1805"/>
      <c r="F99" s="1805"/>
      <c r="G99" s="1805"/>
      <c r="H99" s="1804"/>
      <c r="I99" s="1804"/>
      <c r="J99" s="1804"/>
      <c r="K99" s="1804"/>
      <c r="L99" s="1804"/>
      <c r="M99" s="1804"/>
      <c r="N99" s="1804"/>
      <c r="O99" s="1804"/>
      <c r="P99" s="1804"/>
      <c r="Q99" s="1804"/>
      <c r="R99" s="1804"/>
    </row>
    <row r="100" spans="3:18">
      <c r="E100" s="1805"/>
      <c r="F100" s="1805"/>
      <c r="G100" s="1805"/>
      <c r="H100" s="1804"/>
      <c r="I100" s="1804"/>
      <c r="J100" s="1804"/>
      <c r="K100" s="1804"/>
      <c r="L100" s="1804"/>
      <c r="M100" s="1804"/>
      <c r="N100" s="1804"/>
      <c r="O100" s="1804"/>
      <c r="P100" s="1804"/>
      <c r="Q100" s="1804"/>
      <c r="R100" s="1804"/>
    </row>
    <row r="101" spans="3:18">
      <c r="E101" s="1805"/>
      <c r="F101" s="1805"/>
      <c r="G101" s="1805"/>
      <c r="H101" s="1804"/>
      <c r="I101" s="1804"/>
      <c r="J101" s="1804"/>
      <c r="K101" s="1804"/>
      <c r="L101" s="1804"/>
      <c r="M101" s="1804"/>
      <c r="N101" s="1804"/>
      <c r="O101" s="1804"/>
      <c r="P101" s="1804"/>
      <c r="Q101" s="1804"/>
      <c r="R101" s="1804"/>
    </row>
    <row r="102" spans="3:18">
      <c r="F102" s="1805"/>
      <c r="G102" s="1805"/>
      <c r="R102" s="1804"/>
    </row>
    <row r="103" spans="3:18">
      <c r="E103" s="1805"/>
      <c r="H103" s="1803"/>
      <c r="I103" s="1804"/>
      <c r="J103" s="1803"/>
      <c r="K103" s="1804"/>
      <c r="L103" s="1803"/>
      <c r="M103" s="1804"/>
      <c r="N103" s="1803"/>
      <c r="O103" s="1804"/>
      <c r="P103" s="1803"/>
      <c r="Q103" s="1804"/>
      <c r="R103" s="1804"/>
    </row>
    <row r="104" spans="3:18">
      <c r="E104" s="1805"/>
      <c r="H104" s="1804"/>
      <c r="I104" s="1804"/>
      <c r="J104" s="1804"/>
      <c r="K104" s="1804"/>
      <c r="L104" s="1804"/>
      <c r="M104" s="1804"/>
      <c r="N104" s="1804"/>
      <c r="O104" s="1804"/>
      <c r="P104" s="1804"/>
      <c r="Q104" s="1804"/>
      <c r="R104" s="1804"/>
    </row>
    <row r="105" spans="3:18">
      <c r="E105" s="1805"/>
      <c r="H105" s="1804"/>
      <c r="I105" s="1804"/>
      <c r="J105" s="1804"/>
      <c r="K105" s="1804"/>
      <c r="L105" s="1804"/>
      <c r="M105" s="1804"/>
      <c r="N105" s="1804"/>
      <c r="O105" s="1804"/>
      <c r="P105" s="1804"/>
      <c r="Q105" s="1804"/>
      <c r="R105" s="1804"/>
    </row>
    <row r="107" spans="3:18">
      <c r="C107" s="1804"/>
      <c r="E107" s="1805"/>
      <c r="F107" s="1805"/>
      <c r="G107" s="1805"/>
      <c r="H107" s="1804"/>
      <c r="I107" s="1804"/>
      <c r="J107" s="1804"/>
      <c r="K107" s="1804"/>
      <c r="L107" s="1804"/>
      <c r="M107" s="1804"/>
      <c r="N107" s="1804"/>
      <c r="O107" s="1804"/>
      <c r="P107" s="1804"/>
      <c r="Q107" s="1804"/>
      <c r="R107" s="1804"/>
    </row>
    <row r="108" spans="3:18">
      <c r="E108" s="1805"/>
      <c r="F108" s="1805"/>
      <c r="G108" s="1805"/>
      <c r="H108" s="1804"/>
      <c r="I108" s="1804"/>
      <c r="J108" s="1804"/>
      <c r="K108" s="1804"/>
      <c r="L108" s="1804"/>
      <c r="M108" s="1804"/>
      <c r="N108" s="1804"/>
      <c r="O108" s="1804"/>
      <c r="P108" s="1804"/>
      <c r="Q108" s="1804"/>
      <c r="R108" s="1804"/>
    </row>
    <row r="109" spans="3:18">
      <c r="E109" s="1805"/>
      <c r="F109" s="1805"/>
      <c r="G109" s="1805"/>
      <c r="H109" s="1804"/>
      <c r="I109" s="1804"/>
      <c r="J109" s="1804"/>
      <c r="K109" s="1804"/>
      <c r="L109" s="1804"/>
      <c r="M109" s="1804"/>
      <c r="N109" s="1804"/>
      <c r="O109" s="1804"/>
      <c r="P109" s="1804"/>
      <c r="Q109" s="1804"/>
      <c r="R109" s="1804"/>
    </row>
    <row r="111" spans="3:18">
      <c r="R111" s="1804"/>
    </row>
    <row r="113" spans="3:18">
      <c r="C113" s="1805"/>
      <c r="F113" s="1803"/>
      <c r="H113" s="1803"/>
      <c r="K113" s="1804"/>
      <c r="R113" s="1804"/>
    </row>
    <row r="114" spans="3:18">
      <c r="C114" s="1805"/>
      <c r="F114" s="1803"/>
      <c r="H114" s="1804"/>
      <c r="K114" s="1804"/>
      <c r="R114" s="1804"/>
    </row>
    <row r="115" spans="3:18">
      <c r="C115" s="1805"/>
      <c r="F115" s="1804"/>
      <c r="H115" s="1804"/>
      <c r="K115" s="1804"/>
      <c r="R115" s="1804"/>
    </row>
    <row r="124" spans="3:18">
      <c r="R124" s="1805"/>
    </row>
    <row r="125" spans="3:18">
      <c r="R125" s="1805"/>
    </row>
    <row r="126" spans="3:18">
      <c r="R126" s="1805"/>
    </row>
    <row r="127" spans="3:18">
      <c r="R127" s="1805"/>
    </row>
    <row r="128" spans="3:18">
      <c r="R128" s="1805"/>
    </row>
    <row r="129" spans="3:18">
      <c r="R129" s="1805"/>
    </row>
    <row r="130" spans="3:18">
      <c r="R130" s="1805"/>
    </row>
    <row r="131" spans="3:18">
      <c r="R131" s="1805"/>
    </row>
    <row r="132" spans="3:18">
      <c r="R132" s="1805"/>
    </row>
    <row r="133" spans="3:18">
      <c r="R133" s="1805"/>
    </row>
    <row r="134" spans="3:18">
      <c r="R134" s="1805"/>
    </row>
    <row r="135" spans="3:18">
      <c r="R135" s="1805"/>
    </row>
    <row r="136" spans="3:18">
      <c r="D136" s="1804"/>
      <c r="E136" s="1804"/>
      <c r="F136" s="1804"/>
      <c r="G136" s="1804"/>
      <c r="H136" s="1804"/>
      <c r="I136" s="1804"/>
      <c r="J136" s="1804"/>
      <c r="K136" s="1804"/>
      <c r="L136" s="1804"/>
      <c r="N136" s="1805"/>
      <c r="O136" s="1805"/>
      <c r="P136" s="1826"/>
      <c r="Q136" s="1804"/>
      <c r="R136" s="1805"/>
    </row>
    <row r="137" spans="3:18">
      <c r="C137" s="1817"/>
      <c r="D137" s="1804"/>
      <c r="E137" s="1803"/>
      <c r="F137" s="1804"/>
      <c r="G137" s="1803"/>
      <c r="H137" s="1803"/>
      <c r="I137" s="1803"/>
      <c r="J137" s="1803"/>
      <c r="K137" s="1804"/>
      <c r="L137" s="1804"/>
      <c r="M137" s="1805"/>
      <c r="N137" s="1805"/>
      <c r="O137" s="1805"/>
      <c r="P137" s="1805"/>
      <c r="Q137" s="1804"/>
      <c r="R137" s="1805"/>
    </row>
    <row r="138" spans="3:18">
      <c r="D138" s="1804"/>
      <c r="E138" s="1804"/>
      <c r="F138" s="1804"/>
      <c r="G138" s="1804"/>
      <c r="H138" s="1804"/>
      <c r="I138" s="1804"/>
      <c r="J138" s="1804"/>
      <c r="K138" s="1804"/>
      <c r="L138" s="1804"/>
      <c r="N138" s="1805"/>
      <c r="O138" s="1805"/>
      <c r="P138" s="1826"/>
      <c r="Q138" s="1804"/>
      <c r="R138" s="1805"/>
    </row>
    <row r="139" spans="3:18">
      <c r="C139" s="1817"/>
      <c r="D139" s="1804"/>
      <c r="E139" s="1803"/>
      <c r="F139" s="1804"/>
      <c r="G139" s="1803"/>
      <c r="H139" s="1803"/>
      <c r="I139" s="1803"/>
      <c r="J139" s="1803"/>
      <c r="K139" s="1804"/>
      <c r="L139" s="1804"/>
      <c r="M139" s="1805"/>
      <c r="N139" s="1805"/>
      <c r="O139" s="1805"/>
      <c r="P139" s="1805"/>
      <c r="Q139" s="1804"/>
      <c r="R139" s="1805"/>
    </row>
    <row r="203" spans="3:18">
      <c r="O203" s="1805"/>
      <c r="P203" s="1805"/>
      <c r="Q203" s="1826"/>
      <c r="R203" s="1805"/>
    </row>
    <row r="204" spans="3:18">
      <c r="C204" s="1817"/>
      <c r="G204" s="1817"/>
      <c r="I204" s="1817"/>
      <c r="J204" s="1817"/>
      <c r="K204" s="1817"/>
      <c r="L204" s="1817"/>
      <c r="O204" s="1805"/>
      <c r="P204" s="1805"/>
      <c r="Q204" s="1805"/>
      <c r="R204" s="1805"/>
    </row>
    <row r="205" spans="3:18">
      <c r="O205" s="1805"/>
      <c r="P205" s="1805"/>
      <c r="Q205" s="1826"/>
      <c r="R205" s="1805"/>
    </row>
    <row r="206" spans="3:18">
      <c r="C206" s="1817"/>
      <c r="G206" s="1817"/>
      <c r="I206" s="1817"/>
      <c r="J206" s="1817"/>
      <c r="K206" s="1817"/>
      <c r="L206" s="1817"/>
      <c r="O206" s="1805"/>
      <c r="P206" s="1805"/>
      <c r="Q206" s="1805"/>
      <c r="R206" s="1805"/>
    </row>
    <row r="207" spans="3:18">
      <c r="O207" s="1805"/>
      <c r="P207" s="1805"/>
      <c r="Q207" s="1826"/>
      <c r="R207" s="1805"/>
    </row>
    <row r="208" spans="3:18">
      <c r="J208" s="1817"/>
      <c r="K208" s="1817"/>
      <c r="L208" s="1817"/>
      <c r="O208" s="1805"/>
      <c r="P208" s="1805"/>
      <c r="Q208" s="1805"/>
      <c r="R208" s="1805"/>
    </row>
    <row r="209" spans="10:18">
      <c r="O209" s="1805"/>
      <c r="P209" s="1805"/>
      <c r="Q209" s="1826"/>
      <c r="R209" s="1805"/>
    </row>
    <row r="210" spans="10:18">
      <c r="J210" s="1817"/>
      <c r="K210" s="1817"/>
      <c r="L210" s="1817"/>
      <c r="O210" s="1805"/>
      <c r="P210" s="1805"/>
      <c r="Q210" s="1805"/>
      <c r="R210" s="1805"/>
    </row>
    <row r="211" spans="10:18">
      <c r="O211" s="1805"/>
      <c r="P211" s="1805"/>
      <c r="Q211" s="1826"/>
      <c r="R211" s="1805"/>
    </row>
    <row r="212" spans="10:18">
      <c r="J212" s="1817"/>
      <c r="K212" s="1817"/>
      <c r="L212" s="1817"/>
      <c r="O212" s="1805"/>
      <c r="P212" s="1805"/>
      <c r="Q212" s="1805"/>
      <c r="R212" s="1805"/>
    </row>
    <row r="213" spans="10:18">
      <c r="O213" s="1805"/>
      <c r="P213" s="1805"/>
      <c r="Q213" s="1826"/>
      <c r="R213" s="1805"/>
    </row>
    <row r="214" spans="10:18">
      <c r="J214" s="1817"/>
      <c r="K214" s="1817"/>
      <c r="L214" s="1817"/>
      <c r="O214" s="1805"/>
      <c r="P214" s="1805"/>
      <c r="Q214" s="1805"/>
      <c r="R214" s="1805"/>
    </row>
    <row r="215" spans="10:18">
      <c r="O215" s="1805"/>
      <c r="P215" s="1805"/>
      <c r="Q215" s="1826"/>
      <c r="R215" s="1805"/>
    </row>
    <row r="216" spans="10:18">
      <c r="J216" s="1817"/>
      <c r="K216" s="1817"/>
      <c r="L216" s="1817"/>
      <c r="O216" s="1805"/>
      <c r="P216" s="1805"/>
      <c r="Q216" s="1805"/>
      <c r="R216" s="1805"/>
    </row>
    <row r="217" spans="10:18">
      <c r="O217" s="1805"/>
      <c r="P217" s="1805"/>
      <c r="Q217" s="1826"/>
      <c r="R217" s="1805"/>
    </row>
    <row r="218" spans="10:18">
      <c r="J218" s="1817"/>
      <c r="K218" s="1817"/>
      <c r="L218" s="1817"/>
      <c r="O218" s="1805"/>
      <c r="P218" s="1805"/>
      <c r="Q218" s="1805"/>
      <c r="R218" s="1805"/>
    </row>
    <row r="219" spans="10:18">
      <c r="O219" s="1805"/>
      <c r="P219" s="1805"/>
      <c r="Q219" s="1826"/>
      <c r="R219" s="1805"/>
    </row>
    <row r="220" spans="10:18">
      <c r="J220" s="1817"/>
      <c r="K220" s="1817"/>
      <c r="L220" s="1817"/>
      <c r="O220" s="1805"/>
      <c r="P220" s="1805"/>
      <c r="Q220" s="1805"/>
      <c r="R220" s="1805"/>
    </row>
    <row r="221" spans="10:18">
      <c r="O221" s="1805"/>
      <c r="P221" s="1805"/>
      <c r="Q221" s="1826"/>
      <c r="R221" s="1805"/>
    </row>
    <row r="222" spans="10:18">
      <c r="J222" s="1817"/>
      <c r="K222" s="1817"/>
      <c r="L222" s="1817"/>
      <c r="O222" s="1805"/>
      <c r="P222" s="1805"/>
      <c r="Q222" s="1805"/>
      <c r="R222" s="1805"/>
    </row>
    <row r="223" spans="10:18">
      <c r="O223" s="1805"/>
      <c r="P223" s="1805"/>
      <c r="Q223" s="1826"/>
      <c r="R223" s="1805"/>
    </row>
    <row r="224" spans="10:18">
      <c r="J224" s="1817"/>
      <c r="K224" s="1817"/>
      <c r="L224" s="1817"/>
      <c r="O224" s="1805"/>
      <c r="P224" s="1805"/>
      <c r="Q224" s="1805"/>
      <c r="R224" s="1805"/>
    </row>
    <row r="225" spans="3:18">
      <c r="O225" s="1805"/>
      <c r="P225" s="1805"/>
      <c r="Q225" s="1826"/>
      <c r="R225" s="1805"/>
    </row>
    <row r="226" spans="3:18">
      <c r="J226" s="1817"/>
      <c r="K226" s="1817"/>
      <c r="L226" s="1817"/>
      <c r="O226" s="1805"/>
      <c r="P226" s="1805"/>
      <c r="Q226" s="1805"/>
      <c r="R226" s="1805"/>
    </row>
    <row r="227" spans="3:18">
      <c r="O227" s="1805"/>
      <c r="P227" s="1805"/>
      <c r="Q227" s="1826"/>
      <c r="R227" s="1805"/>
    </row>
    <row r="228" spans="3:18">
      <c r="J228" s="1817"/>
      <c r="K228" s="1817"/>
      <c r="L228" s="1817"/>
      <c r="O228" s="1805"/>
      <c r="P228" s="1805"/>
      <c r="Q228" s="1805"/>
      <c r="R228" s="1805"/>
    </row>
    <row r="229" spans="3:18">
      <c r="O229" s="1805"/>
      <c r="P229" s="1805"/>
      <c r="Q229" s="1826"/>
      <c r="R229" s="1805"/>
    </row>
    <row r="230" spans="3:18">
      <c r="J230" s="1817"/>
      <c r="K230" s="1817"/>
      <c r="L230" s="1817"/>
      <c r="O230" s="1805"/>
      <c r="P230" s="1805"/>
      <c r="Q230" s="1805"/>
      <c r="R230" s="1805"/>
    </row>
    <row r="231" spans="3:18">
      <c r="O231" s="1805"/>
      <c r="P231" s="1805"/>
      <c r="Q231" s="1826"/>
      <c r="R231" s="1805"/>
    </row>
    <row r="232" spans="3:18">
      <c r="J232" s="1817"/>
      <c r="K232" s="1817"/>
      <c r="L232" s="1817"/>
      <c r="O232" s="1805"/>
      <c r="P232" s="1805"/>
      <c r="Q232" s="1805"/>
      <c r="R232" s="1805"/>
    </row>
    <row r="233" spans="3:18">
      <c r="O233" s="1805"/>
      <c r="P233" s="1805"/>
      <c r="Q233" s="1826"/>
      <c r="R233" s="1805"/>
    </row>
    <row r="234" spans="3:18">
      <c r="J234" s="1817"/>
      <c r="K234" s="1817"/>
      <c r="L234" s="1817"/>
      <c r="O234" s="1805"/>
      <c r="P234" s="1805"/>
      <c r="Q234" s="1805"/>
      <c r="R234" s="1805"/>
    </row>
    <row r="235" spans="3:18">
      <c r="O235" s="1805"/>
      <c r="P235" s="1805"/>
      <c r="Q235" s="1826"/>
      <c r="R235" s="1805"/>
    </row>
    <row r="236" spans="3:18">
      <c r="C236" s="1817"/>
    </row>
    <row r="238" spans="3:18">
      <c r="C238" s="1817"/>
    </row>
    <row r="257" spans="7:7">
      <c r="G257" s="1817"/>
    </row>
    <row r="258" spans="7:7">
      <c r="G258" s="1817"/>
    </row>
    <row r="259" spans="7:7">
      <c r="G259" s="1817"/>
    </row>
  </sheetData>
  <mergeCells count="1">
    <mergeCell ref="A5:D5"/>
  </mergeCells>
  <printOptions horizontalCentered="1"/>
  <pageMargins left="0.5" right="0.5" top="0.5" bottom="0.5" header="0.25" footer="0.25"/>
  <pageSetup scale="61" orientation="landscape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showGridLines="0" view="pageBreakPreview" zoomScale="90" zoomScaleNormal="100" zoomScaleSheetLayoutView="90" workbookViewId="0"/>
  </sheetViews>
  <sheetFormatPr defaultRowHeight="13.5"/>
  <cols>
    <col min="1" max="1" width="6.875" style="1578" customWidth="1"/>
    <col min="2" max="2" width="2.5" style="1642" customWidth="1"/>
    <col min="3" max="3" width="5.25" style="1578" customWidth="1"/>
    <col min="4" max="4" width="28" style="1578" bestFit="1" customWidth="1"/>
    <col min="5" max="5" width="2.5" style="1642" customWidth="1"/>
    <col min="6" max="6" width="9.625" style="1578" bestFit="1" customWidth="1"/>
    <col min="7" max="7" width="2.5" style="1642" customWidth="1"/>
    <col min="8" max="8" width="11.625" style="1578" customWidth="1"/>
    <col min="9" max="9" width="2.5" style="1642" customWidth="1"/>
    <col min="10" max="10" width="10.125" style="1578" bestFit="1" customWidth="1"/>
    <col min="11" max="11" width="2.5" style="1642" customWidth="1"/>
    <col min="12" max="12" width="9.625" style="1578" bestFit="1" customWidth="1"/>
    <col min="13" max="16384" width="9" style="1578"/>
  </cols>
  <sheetData>
    <row r="1" spans="1:12" ht="15">
      <c r="A1" s="359" t="str">
        <f>Company_Name</f>
        <v>WATER SERVICE CORPORATION OF KENTUCKY</v>
      </c>
      <c r="C1" s="359"/>
      <c r="L1" s="209" t="s">
        <v>2352</v>
      </c>
    </row>
    <row r="2" spans="1:12" ht="15">
      <c r="A2" s="359" t="str">
        <f>Docket</f>
        <v>Case No. 2015 - 00382</v>
      </c>
      <c r="C2" s="359"/>
    </row>
    <row r="3" spans="1:12" ht="15">
      <c r="A3" s="2110" t="s">
        <v>4008</v>
      </c>
      <c r="C3" s="359"/>
    </row>
    <row r="4" spans="1:12" ht="15">
      <c r="A4" s="1577" t="str">
        <f>TestYearEnded</f>
        <v>Test Year Ended 6/30/2015</v>
      </c>
      <c r="C4" s="1577"/>
    </row>
    <row r="5" spans="1:12" ht="15">
      <c r="A5" s="1577"/>
      <c r="C5" s="1577"/>
    </row>
    <row r="6" spans="1:12" s="1615" customFormat="1" ht="15">
      <c r="B6" s="1720"/>
      <c r="C6" s="1615" t="s">
        <v>235</v>
      </c>
      <c r="D6" s="1615" t="s">
        <v>236</v>
      </c>
      <c r="E6" s="1720"/>
      <c r="F6" s="1615" t="s">
        <v>237</v>
      </c>
      <c r="G6" s="1720"/>
      <c r="H6" s="1615" t="s">
        <v>238</v>
      </c>
      <c r="I6" s="1720"/>
      <c r="J6" s="1615" t="s">
        <v>239</v>
      </c>
      <c r="K6" s="1720"/>
      <c r="L6" s="1615" t="s">
        <v>869</v>
      </c>
    </row>
    <row r="7" spans="1:12" ht="15">
      <c r="B7" s="1721"/>
      <c r="C7" s="1635"/>
      <c r="D7" s="1635"/>
      <c r="E7" s="1721"/>
      <c r="F7" s="1635"/>
      <c r="G7" s="1721"/>
      <c r="H7" s="1714" t="s">
        <v>2386</v>
      </c>
      <c r="I7" s="1721"/>
      <c r="J7" s="1714" t="s">
        <v>2386</v>
      </c>
      <c r="K7" s="1721"/>
      <c r="L7" s="1635"/>
    </row>
    <row r="8" spans="1:12" ht="43.5" customHeight="1">
      <c r="A8" s="1713" t="s">
        <v>1786</v>
      </c>
      <c r="B8" s="1722"/>
      <c r="C8" s="1713" t="s">
        <v>1908</v>
      </c>
      <c r="D8" s="1713" t="s">
        <v>150</v>
      </c>
      <c r="E8" s="1722"/>
      <c r="F8" s="1718" t="s">
        <v>230</v>
      </c>
      <c r="G8" s="1722"/>
      <c r="H8" s="1718" t="s">
        <v>2387</v>
      </c>
      <c r="I8" s="1722"/>
      <c r="J8" s="1718" t="s">
        <v>2388</v>
      </c>
      <c r="K8" s="1722"/>
      <c r="L8" s="1719" t="s">
        <v>447</v>
      </c>
    </row>
    <row r="9" spans="1:12" ht="15">
      <c r="A9" s="1615">
        <v>1</v>
      </c>
      <c r="B9" s="1748"/>
      <c r="C9" s="1715">
        <v>6010</v>
      </c>
      <c r="D9" s="638" t="s">
        <v>246</v>
      </c>
      <c r="E9" s="1723"/>
      <c r="F9" s="1735">
        <v>9427.02</v>
      </c>
      <c r="G9" s="1748"/>
      <c r="H9" s="1735">
        <v>0</v>
      </c>
      <c r="I9" s="1748"/>
      <c r="J9" s="1735">
        <v>0</v>
      </c>
      <c r="K9" s="1748"/>
      <c r="L9" s="1640">
        <f>F9+H9+J9</f>
        <v>9427.02</v>
      </c>
    </row>
    <row r="10" spans="1:12" ht="15">
      <c r="A10" s="1615">
        <v>2</v>
      </c>
      <c r="B10" s="1723"/>
      <c r="C10" s="1715">
        <v>6015</v>
      </c>
      <c r="D10" s="638" t="s">
        <v>247</v>
      </c>
      <c r="E10" s="1723"/>
      <c r="F10" s="1716">
        <v>60.110000000000014</v>
      </c>
      <c r="G10" s="1723"/>
      <c r="H10" s="1716">
        <v>0</v>
      </c>
      <c r="I10" s="1723"/>
      <c r="J10" s="1716">
        <v>-9867.89</v>
      </c>
      <c r="K10" s="1723"/>
      <c r="L10" s="1717">
        <f t="shared" ref="L10:L18" si="0">F10+H10+J10</f>
        <v>-9807.7799999999988</v>
      </c>
    </row>
    <row r="11" spans="1:12" ht="15">
      <c r="A11" s="1615">
        <v>3</v>
      </c>
      <c r="B11" s="1723"/>
      <c r="C11" s="1715">
        <v>6020</v>
      </c>
      <c r="D11" s="638" t="s">
        <v>248</v>
      </c>
      <c r="E11" s="1723"/>
      <c r="F11" s="1716">
        <v>0</v>
      </c>
      <c r="G11" s="1723"/>
      <c r="H11" s="1716">
        <v>0</v>
      </c>
      <c r="I11" s="1723"/>
      <c r="J11" s="1716">
        <v>0</v>
      </c>
      <c r="K11" s="1723"/>
      <c r="L11" s="1717">
        <f t="shared" si="0"/>
        <v>0</v>
      </c>
    </row>
    <row r="12" spans="1:12" ht="15">
      <c r="A12" s="1615">
        <v>4</v>
      </c>
      <c r="B12" s="1723"/>
      <c r="C12" s="1715">
        <v>6025</v>
      </c>
      <c r="D12" s="638" t="s">
        <v>249</v>
      </c>
      <c r="E12" s="1723"/>
      <c r="F12" s="1716">
        <v>12783.08</v>
      </c>
      <c r="G12" s="1723"/>
      <c r="H12" s="1716">
        <v>0</v>
      </c>
      <c r="I12" s="1723"/>
      <c r="J12" s="1716">
        <v>0</v>
      </c>
      <c r="K12" s="1723"/>
      <c r="L12" s="1717">
        <f t="shared" si="0"/>
        <v>12783.08</v>
      </c>
    </row>
    <row r="13" spans="1:12" ht="15">
      <c r="A13" s="1615">
        <v>5</v>
      </c>
      <c r="B13" s="1723"/>
      <c r="C13" s="1715">
        <v>6035</v>
      </c>
      <c r="D13" s="638" t="s">
        <v>251</v>
      </c>
      <c r="E13" s="1723"/>
      <c r="F13" s="1716">
        <v>2645.3</v>
      </c>
      <c r="G13" s="1723"/>
      <c r="H13" s="1716">
        <v>0</v>
      </c>
      <c r="I13" s="1723"/>
      <c r="J13" s="1716">
        <v>0</v>
      </c>
      <c r="K13" s="1723"/>
      <c r="L13" s="1717">
        <f t="shared" si="0"/>
        <v>2645.3</v>
      </c>
    </row>
    <row r="14" spans="1:12" ht="15">
      <c r="A14" s="1615">
        <v>6</v>
      </c>
      <c r="B14" s="1723"/>
      <c r="C14" s="1715">
        <v>6040</v>
      </c>
      <c r="D14" s="638" t="s">
        <v>252</v>
      </c>
      <c r="E14" s="1723"/>
      <c r="F14" s="1716">
        <v>28799.350000000002</v>
      </c>
      <c r="G14" s="1723"/>
      <c r="H14" s="1716">
        <v>0</v>
      </c>
      <c r="I14" s="1723"/>
      <c r="J14" s="1716">
        <v>0</v>
      </c>
      <c r="K14" s="1723"/>
      <c r="L14" s="1717">
        <f t="shared" si="0"/>
        <v>28799.350000000002</v>
      </c>
    </row>
    <row r="15" spans="1:12" ht="15">
      <c r="A15" s="1615">
        <v>7</v>
      </c>
      <c r="B15" s="1723"/>
      <c r="C15" s="1715">
        <v>6045</v>
      </c>
      <c r="D15" s="638" t="s">
        <v>253</v>
      </c>
      <c r="E15" s="1723"/>
      <c r="F15" s="1716">
        <v>348.26</v>
      </c>
      <c r="G15" s="1723"/>
      <c r="H15" s="1716">
        <v>0</v>
      </c>
      <c r="I15" s="1723"/>
      <c r="J15" s="1716">
        <v>-742.5</v>
      </c>
      <c r="K15" s="1723"/>
      <c r="L15" s="1717">
        <f t="shared" si="0"/>
        <v>-394.24</v>
      </c>
    </row>
    <row r="16" spans="1:12" ht="15">
      <c r="A16" s="1615">
        <v>8</v>
      </c>
      <c r="B16" s="1723"/>
      <c r="C16" s="1715">
        <v>6050</v>
      </c>
      <c r="D16" s="638" t="s">
        <v>254</v>
      </c>
      <c r="E16" s="1723"/>
      <c r="F16" s="1716">
        <v>11932.849999999999</v>
      </c>
      <c r="G16" s="1723"/>
      <c r="H16" s="1716">
        <v>-23077.62</v>
      </c>
      <c r="I16" s="1723"/>
      <c r="J16" s="1716">
        <v>0</v>
      </c>
      <c r="K16" s="1723"/>
      <c r="L16" s="1717">
        <f t="shared" si="0"/>
        <v>-11144.77</v>
      </c>
    </row>
    <row r="17" spans="1:12" ht="15">
      <c r="A17" s="1615">
        <v>9</v>
      </c>
      <c r="B17" s="1723"/>
      <c r="C17" s="1715">
        <v>6070</v>
      </c>
      <c r="D17" s="638" t="s">
        <v>256</v>
      </c>
      <c r="E17" s="1723"/>
      <c r="F17" s="1716">
        <v>1799.9999999999998</v>
      </c>
      <c r="G17" s="1723"/>
      <c r="H17" s="1716">
        <v>0</v>
      </c>
      <c r="I17" s="1723"/>
      <c r="J17" s="1716">
        <v>0</v>
      </c>
      <c r="K17" s="1723"/>
      <c r="L17" s="1717">
        <f t="shared" si="0"/>
        <v>1799.9999999999998</v>
      </c>
    </row>
    <row r="18" spans="1:12" ht="15">
      <c r="A18" s="1615">
        <v>10</v>
      </c>
      <c r="B18" s="1723"/>
      <c r="C18" s="1715">
        <v>6080</v>
      </c>
      <c r="D18" s="638" t="s">
        <v>2295</v>
      </c>
      <c r="E18" s="1723"/>
      <c r="F18" s="1716">
        <v>23077.62</v>
      </c>
      <c r="G18" s="1723"/>
      <c r="H18" s="1716">
        <v>0</v>
      </c>
      <c r="I18" s="1723"/>
      <c r="J18" s="1716">
        <v>0</v>
      </c>
      <c r="K18" s="1723"/>
      <c r="L18" s="1717">
        <f t="shared" si="0"/>
        <v>23077.62</v>
      </c>
    </row>
    <row r="19" spans="1:12" ht="15">
      <c r="A19" s="1615">
        <v>11</v>
      </c>
      <c r="B19" s="1723"/>
      <c r="C19" s="1635"/>
      <c r="D19" s="1635"/>
      <c r="E19" s="1723"/>
      <c r="F19" s="1717"/>
      <c r="G19" s="1723"/>
      <c r="H19" s="1717"/>
      <c r="I19" s="1723"/>
      <c r="J19" s="1717"/>
      <c r="K19" s="1723"/>
      <c r="L19" s="1717"/>
    </row>
    <row r="20" spans="1:12" ht="15.75" thickBot="1">
      <c r="A20" s="1615">
        <v>12</v>
      </c>
      <c r="B20" s="1749"/>
      <c r="C20" s="1635"/>
      <c r="D20" s="1632" t="s">
        <v>2389</v>
      </c>
      <c r="E20" s="1724"/>
      <c r="F20" s="1736">
        <f>SUM(F9:F19)</f>
        <v>90873.59</v>
      </c>
      <c r="G20" s="1749"/>
      <c r="H20" s="1736">
        <f>SUM(H9:H19)</f>
        <v>-23077.62</v>
      </c>
      <c r="I20" s="1749"/>
      <c r="J20" s="1736">
        <f>SUM(J9:J19)</f>
        <v>-10610.39</v>
      </c>
      <c r="K20" s="1749"/>
      <c r="L20" s="1736">
        <f>SUM(L9:L19)</f>
        <v>57185.58</v>
      </c>
    </row>
    <row r="21" spans="1:12" ht="15.75" thickTop="1">
      <c r="A21" s="1615">
        <v>13</v>
      </c>
      <c r="B21" s="1721"/>
      <c r="C21" s="1635"/>
      <c r="D21" s="1635"/>
      <c r="E21" s="1721"/>
      <c r="F21" s="1635"/>
      <c r="G21" s="1721"/>
      <c r="H21" s="1635"/>
      <c r="I21" s="1721"/>
      <c r="J21" s="1635"/>
      <c r="K21" s="1721"/>
      <c r="L21" s="1635"/>
    </row>
  </sheetData>
  <pageMargins left="0.7" right="0.7" top="0.75" bottom="0.75" header="0.3" footer="0.3"/>
  <pageSetup scale="9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8"/>
  <sheetViews>
    <sheetView showGridLines="0" view="pageBreakPreview" topLeftCell="A795" zoomScale="90" zoomScaleNormal="90" zoomScaleSheetLayoutView="90" workbookViewId="0"/>
  </sheetViews>
  <sheetFormatPr defaultRowHeight="13.5" outlineLevelRow="1" outlineLevelCol="1"/>
  <cols>
    <col min="1" max="1" width="8.125" style="1578" customWidth="1"/>
    <col min="2" max="2" width="1.625" style="1578" customWidth="1"/>
    <col min="3" max="3" width="8.75" style="1578" bestFit="1" customWidth="1"/>
    <col min="4" max="4" width="35" style="1578" bestFit="1" customWidth="1"/>
    <col min="5" max="5" width="12.625" style="1578" bestFit="1" customWidth="1"/>
    <col min="6" max="6" width="13.25" style="1578" bestFit="1" customWidth="1"/>
    <col min="7" max="7" width="11.75" style="1578" bestFit="1" customWidth="1"/>
    <col min="8" max="8" width="8.75" style="1578" bestFit="1" customWidth="1"/>
    <col min="9" max="9" width="13" style="1578" bestFit="1" customWidth="1"/>
    <col min="10" max="10" width="8.5" style="1578" bestFit="1" customWidth="1"/>
    <col min="11" max="11" width="6.75" style="1578" bestFit="1" customWidth="1"/>
    <col min="12" max="12" width="14.375" style="1578" bestFit="1" customWidth="1"/>
    <col min="13" max="13" width="13" style="1578" bestFit="1" customWidth="1"/>
    <col min="14" max="14" width="13.25" style="1578" bestFit="1" customWidth="1"/>
    <col min="15" max="15" width="10.5" style="1578" customWidth="1"/>
    <col min="16" max="16" width="15.25" style="1578" customWidth="1" outlineLevel="1"/>
    <col min="17" max="17" width="11.25" style="1578" customWidth="1" outlineLevel="1"/>
    <col min="18" max="18" width="15.25" style="1578" customWidth="1" outlineLevel="1"/>
    <col min="19" max="19" width="11.25" style="1578" customWidth="1" outlineLevel="1"/>
    <col min="20" max="20" width="8.625" style="1578" customWidth="1" outlineLevel="1"/>
    <col min="21" max="21" width="11.25" style="1578" customWidth="1" outlineLevel="1"/>
    <col min="22" max="22" width="8.625" style="1578" customWidth="1" outlineLevel="1"/>
    <col min="23" max="23" width="11.25" style="1578" customWidth="1" outlineLevel="1"/>
    <col min="24" max="24" width="8.625" style="1578" customWidth="1" outlineLevel="1"/>
    <col min="25" max="25" width="11.25" style="1578" customWidth="1" outlineLevel="1"/>
    <col min="26" max="16384" width="9" style="1578"/>
  </cols>
  <sheetData>
    <row r="1" spans="1:27" ht="15">
      <c r="A1" s="1631" t="str">
        <f>Company_Name</f>
        <v>WATER SERVICE CORPORATION OF KENTUCKY</v>
      </c>
      <c r="O1" s="209" t="s">
        <v>300</v>
      </c>
    </row>
    <row r="2" spans="1:27" ht="15">
      <c r="A2" s="1631" t="str">
        <f>Docket</f>
        <v>Case No. 2015 - 00382</v>
      </c>
    </row>
    <row r="3" spans="1:27" ht="15">
      <c r="A3" s="1617" t="s">
        <v>2432</v>
      </c>
    </row>
    <row r="4" spans="1:27" ht="15">
      <c r="A4" s="1631" t="str">
        <f>TestYearEnded</f>
        <v>Test Year Ended 6/30/2015</v>
      </c>
    </row>
    <row r="5" spans="1:27" ht="15">
      <c r="A5" s="1631"/>
    </row>
    <row r="6" spans="1:27" s="1615" customFormat="1" ht="15">
      <c r="C6" s="1615" t="s">
        <v>235</v>
      </c>
      <c r="D6" s="1615" t="s">
        <v>236</v>
      </c>
      <c r="E6" s="1615" t="s">
        <v>237</v>
      </c>
      <c r="F6" s="1615" t="s">
        <v>238</v>
      </c>
      <c r="G6" s="1615" t="s">
        <v>239</v>
      </c>
      <c r="H6" s="1615" t="s">
        <v>869</v>
      </c>
      <c r="I6" s="1615" t="s">
        <v>870</v>
      </c>
      <c r="J6" s="1615" t="s">
        <v>871</v>
      </c>
      <c r="K6" s="1615" t="s">
        <v>872</v>
      </c>
      <c r="L6" s="1615" t="s">
        <v>873</v>
      </c>
      <c r="M6" s="1615" t="s">
        <v>874</v>
      </c>
      <c r="N6" s="1615" t="s">
        <v>2304</v>
      </c>
      <c r="O6" s="1615" t="s">
        <v>2305</v>
      </c>
      <c r="P6" s="1615" t="s">
        <v>2306</v>
      </c>
      <c r="Q6" s="1615" t="s">
        <v>2307</v>
      </c>
      <c r="R6" s="1615" t="s">
        <v>2308</v>
      </c>
      <c r="S6" s="1615" t="s">
        <v>2309</v>
      </c>
      <c r="T6" s="1615" t="s">
        <v>2310</v>
      </c>
      <c r="U6" s="1615" t="s">
        <v>69</v>
      </c>
      <c r="V6" s="1615" t="s">
        <v>3603</v>
      </c>
      <c r="W6" s="1615" t="s">
        <v>3604</v>
      </c>
      <c r="X6" s="1615" t="s">
        <v>3605</v>
      </c>
      <c r="Y6" s="1615" t="s">
        <v>727</v>
      </c>
    </row>
    <row r="7" spans="1:27" ht="30">
      <c r="A7" s="1614" t="s">
        <v>1786</v>
      </c>
      <c r="B7" s="1643"/>
      <c r="C7" s="1644" t="s">
        <v>2434</v>
      </c>
      <c r="D7" s="1644" t="s">
        <v>2435</v>
      </c>
      <c r="E7" s="1645" t="s">
        <v>2436</v>
      </c>
      <c r="F7" s="1645" t="s">
        <v>2437</v>
      </c>
      <c r="G7" s="1645" t="s">
        <v>2438</v>
      </c>
      <c r="H7" s="1645" t="s">
        <v>1829</v>
      </c>
      <c r="I7" s="1645" t="s">
        <v>2439</v>
      </c>
      <c r="J7" s="1645" t="s">
        <v>2440</v>
      </c>
      <c r="K7" s="1645" t="s">
        <v>1830</v>
      </c>
      <c r="L7" s="1645" t="s">
        <v>2441</v>
      </c>
      <c r="M7" s="1645" t="s">
        <v>2442</v>
      </c>
      <c r="N7" s="1645" t="s">
        <v>2443</v>
      </c>
      <c r="O7" s="1657" t="s">
        <v>2444</v>
      </c>
      <c r="P7" s="1658" t="s">
        <v>2445</v>
      </c>
      <c r="Q7" s="1658" t="s">
        <v>2446</v>
      </c>
      <c r="R7" s="1658" t="s">
        <v>2447</v>
      </c>
      <c r="S7" s="1658" t="s">
        <v>2448</v>
      </c>
      <c r="T7" s="1658" t="s">
        <v>2449</v>
      </c>
      <c r="U7" s="1658" t="s">
        <v>2450</v>
      </c>
      <c r="V7" s="1658" t="s">
        <v>2451</v>
      </c>
      <c r="W7" s="1658" t="s">
        <v>2452</v>
      </c>
      <c r="X7" s="1658" t="s">
        <v>2453</v>
      </c>
      <c r="Y7" s="1658" t="s">
        <v>2454</v>
      </c>
      <c r="Z7" s="1643"/>
      <c r="AA7" s="1643"/>
    </row>
    <row r="8" spans="1:27" ht="15">
      <c r="B8" s="1643"/>
      <c r="C8" s="1646"/>
      <c r="D8" s="1646"/>
      <c r="E8" s="1647"/>
      <c r="F8" s="1647"/>
      <c r="G8" s="1647"/>
      <c r="H8" s="1647"/>
      <c r="I8" s="1647"/>
      <c r="J8" s="1647"/>
      <c r="K8" s="1647"/>
      <c r="L8" s="1647"/>
      <c r="M8" s="1647"/>
      <c r="N8" s="1647"/>
      <c r="O8" s="1659"/>
      <c r="P8" s="1659"/>
      <c r="Q8" s="1659"/>
      <c r="R8" s="1659"/>
      <c r="S8" s="1659"/>
      <c r="T8" s="1659"/>
      <c r="U8" s="1659"/>
      <c r="V8" s="1659"/>
      <c r="W8" s="1659"/>
      <c r="X8" s="1659"/>
      <c r="Y8" s="1659"/>
      <c r="Z8" s="1643"/>
      <c r="AA8" s="1643"/>
    </row>
    <row r="9" spans="1:27" ht="15">
      <c r="A9" s="1615">
        <v>1</v>
      </c>
      <c r="B9" s="1660" t="s">
        <v>2455</v>
      </c>
      <c r="C9" s="1648"/>
      <c r="D9" s="1648"/>
      <c r="E9" s="1649"/>
      <c r="F9" s="1649"/>
      <c r="G9" s="1649"/>
      <c r="H9" s="1649"/>
      <c r="I9" s="1649"/>
      <c r="J9" s="1649"/>
      <c r="K9" s="1649"/>
      <c r="L9" s="1649"/>
      <c r="M9" s="1649"/>
      <c r="N9" s="1649"/>
      <c r="O9" s="1660"/>
      <c r="P9" s="1661"/>
      <c r="Q9" s="1661"/>
      <c r="R9" s="1661"/>
      <c r="S9" s="1661"/>
      <c r="T9" s="1661"/>
      <c r="U9" s="1661"/>
      <c r="V9" s="1661"/>
      <c r="W9" s="1661"/>
      <c r="X9" s="1661"/>
      <c r="Y9" s="1661"/>
      <c r="Z9" s="1650"/>
      <c r="AA9" s="1650"/>
    </row>
    <row r="10" spans="1:27" ht="15" hidden="1" outlineLevel="1">
      <c r="A10" s="1615">
        <v>2</v>
      </c>
      <c r="C10" s="1651" t="s">
        <v>2456</v>
      </c>
      <c r="D10" s="1651" t="s">
        <v>2457</v>
      </c>
      <c r="E10" s="1613">
        <v>371501.92</v>
      </c>
      <c r="F10" s="1613">
        <v>-371501.92</v>
      </c>
      <c r="G10" s="1613">
        <f>E10+F10</f>
        <v>0</v>
      </c>
      <c r="H10" s="1578">
        <v>2000</v>
      </c>
      <c r="I10" s="1662">
        <f>IF(H10=2015,0.5,2015.5-H10)</f>
        <v>15.5</v>
      </c>
      <c r="J10" s="1663">
        <v>60</v>
      </c>
      <c r="K10" s="1664">
        <f>1/J10*12</f>
        <v>0.2</v>
      </c>
      <c r="L10" s="1613">
        <f>IF(I10&lt;(J10/12),E10*K10,0)</f>
        <v>0</v>
      </c>
      <c r="M10" s="1613">
        <f>E10</f>
        <v>371501.92</v>
      </c>
      <c r="N10" s="1613">
        <f>-IF(I10+0.5&lt;(J10/12),M10*(I10+0.5)*K10,M10)</f>
        <v>-371501.92</v>
      </c>
      <c r="O10" s="1652">
        <f>M10+N10</f>
        <v>0</v>
      </c>
      <c r="P10" s="1653">
        <f>IF(O10&gt;0,IF(O10&lt;$K10,-$L10,N10-$K10),O10)</f>
        <v>0</v>
      </c>
      <c r="Q10" s="1653">
        <f>IF(P10&lt;0,$L10+P10,O10)</f>
        <v>0</v>
      </c>
      <c r="R10" s="1653">
        <f>IF(Q10&gt;0,IF(Q10&lt;$K10,-$L10,P10-$K10),Q10)</f>
        <v>0</v>
      </c>
      <c r="S10" s="1653">
        <f>IF(R10&lt;0,$L10+R10,Q10)</f>
        <v>0</v>
      </c>
      <c r="T10" s="1653">
        <f t="shared" ref="T10:T17" si="0">IF(S10&gt;0,IF(S10&lt;$K10,-$L10,R10-$K10),S10)</f>
        <v>0</v>
      </c>
      <c r="U10" s="1653">
        <f t="shared" ref="U10:U17" si="1">IF(T10&lt;0,$L10+T10,S10)</f>
        <v>0</v>
      </c>
      <c r="V10" s="1653">
        <f t="shared" ref="V10:V17" si="2">IF(U10&gt;0,IF(U10&lt;$K10,-$L10,T10-$K10),U10)</f>
        <v>0</v>
      </c>
      <c r="W10" s="1653">
        <f t="shared" ref="W10:W17" si="3">IF(V10&lt;0,$L10+V10,U10)</f>
        <v>0</v>
      </c>
      <c r="X10" s="1653">
        <f t="shared" ref="X10:X17" si="4">IF(W10&gt;0,IF(W10&lt;$K10,-$L10,V10-$K10),W10)</f>
        <v>0</v>
      </c>
      <c r="Y10" s="1653">
        <f t="shared" ref="Y10:Y17" si="5">IF(X10&lt;0,$L10+X10,W10)</f>
        <v>0</v>
      </c>
    </row>
    <row r="11" spans="1:27" ht="15" hidden="1" outlineLevel="1">
      <c r="A11" s="1615">
        <v>3</v>
      </c>
      <c r="C11" s="1651" t="s">
        <v>2458</v>
      </c>
      <c r="D11" s="1651" t="s">
        <v>2457</v>
      </c>
      <c r="E11" s="1613">
        <v>5583.4</v>
      </c>
      <c r="F11" s="1613">
        <v>-5583.4</v>
      </c>
      <c r="G11" s="1613">
        <f t="shared" ref="G11:G17" si="6">E11+F11</f>
        <v>0</v>
      </c>
      <c r="H11" s="1578">
        <v>2001</v>
      </c>
      <c r="I11" s="1662">
        <f t="shared" ref="I11:I17" si="7">IF(H11=2015,0.5,2015.5-H11)</f>
        <v>14.5</v>
      </c>
      <c r="J11" s="1663">
        <v>60</v>
      </c>
      <c r="K11" s="1664">
        <f t="shared" ref="K11:K17" si="8">1/J11*12</f>
        <v>0.2</v>
      </c>
      <c r="L11" s="1613">
        <f t="shared" ref="L11:L17" si="9">IF(I11&lt;(J11/12),E11*K11,0)</f>
        <v>0</v>
      </c>
      <c r="M11" s="1613">
        <f t="shared" ref="M11:M17" si="10">E11</f>
        <v>5583.4</v>
      </c>
      <c r="N11" s="1613">
        <f t="shared" ref="N11:N17" si="11">-IF(I11+0.5&lt;(J11/12),M11*(I11+0.5)*K11,M11)</f>
        <v>-5583.4</v>
      </c>
      <c r="O11" s="1652">
        <f t="shared" ref="O11:O17" si="12">M11+N11</f>
        <v>0</v>
      </c>
      <c r="P11" s="1653">
        <f t="shared" ref="P11:P17" si="13">IF(O11&gt;0,IF(O11&lt;$K11,-$L11,N11-$K11),O11)</f>
        <v>0</v>
      </c>
      <c r="Q11" s="1653">
        <f t="shared" ref="Q11:Q17" si="14">IF(P11&lt;0,$L11+P11,O11)</f>
        <v>0</v>
      </c>
      <c r="R11" s="1653">
        <f t="shared" ref="R11:R17" si="15">IF(Q11&gt;0,IF(Q11&lt;$K11,-$L11,P11-$K11),Q11)</f>
        <v>0</v>
      </c>
      <c r="S11" s="1653">
        <f t="shared" ref="S11:S17" si="16">IF(R11&lt;0,$L11+R11,Q11)</f>
        <v>0</v>
      </c>
      <c r="T11" s="1653">
        <f t="shared" si="0"/>
        <v>0</v>
      </c>
      <c r="U11" s="1653">
        <f t="shared" si="1"/>
        <v>0</v>
      </c>
      <c r="V11" s="1653">
        <f t="shared" si="2"/>
        <v>0</v>
      </c>
      <c r="W11" s="1653">
        <f t="shared" si="3"/>
        <v>0</v>
      </c>
      <c r="X11" s="1653">
        <f t="shared" si="4"/>
        <v>0</v>
      </c>
      <c r="Y11" s="1653">
        <f t="shared" si="5"/>
        <v>0</v>
      </c>
    </row>
    <row r="12" spans="1:27" ht="15" hidden="1" outlineLevel="1">
      <c r="A12" s="1615">
        <v>4</v>
      </c>
      <c r="C12" s="1651" t="s">
        <v>2459</v>
      </c>
      <c r="D12" s="1651" t="s">
        <v>2457</v>
      </c>
      <c r="E12" s="1613">
        <v>171679.56</v>
      </c>
      <c r="F12" s="1613">
        <v>-171679.56</v>
      </c>
      <c r="G12" s="1613">
        <f t="shared" si="6"/>
        <v>0</v>
      </c>
      <c r="H12" s="1578">
        <v>2003</v>
      </c>
      <c r="I12" s="1662">
        <f t="shared" si="7"/>
        <v>12.5</v>
      </c>
      <c r="J12" s="1663">
        <v>60</v>
      </c>
      <c r="K12" s="1664">
        <f t="shared" si="8"/>
        <v>0.2</v>
      </c>
      <c r="L12" s="1613">
        <f t="shared" si="9"/>
        <v>0</v>
      </c>
      <c r="M12" s="1613">
        <f t="shared" si="10"/>
        <v>171679.56</v>
      </c>
      <c r="N12" s="1613">
        <f t="shared" si="11"/>
        <v>-171679.56</v>
      </c>
      <c r="O12" s="1652">
        <f t="shared" si="12"/>
        <v>0</v>
      </c>
      <c r="P12" s="1653">
        <f t="shared" si="13"/>
        <v>0</v>
      </c>
      <c r="Q12" s="1653">
        <f t="shared" si="14"/>
        <v>0</v>
      </c>
      <c r="R12" s="1653">
        <f t="shared" si="15"/>
        <v>0</v>
      </c>
      <c r="S12" s="1653">
        <f t="shared" si="16"/>
        <v>0</v>
      </c>
      <c r="T12" s="1653">
        <f t="shared" si="0"/>
        <v>0</v>
      </c>
      <c r="U12" s="1653">
        <f t="shared" si="1"/>
        <v>0</v>
      </c>
      <c r="V12" s="1653">
        <f t="shared" si="2"/>
        <v>0</v>
      </c>
      <c r="W12" s="1653">
        <f t="shared" si="3"/>
        <v>0</v>
      </c>
      <c r="X12" s="1653">
        <f t="shared" si="4"/>
        <v>0</v>
      </c>
      <c r="Y12" s="1653">
        <f t="shared" si="5"/>
        <v>0</v>
      </c>
    </row>
    <row r="13" spans="1:27" ht="15" hidden="1" outlineLevel="1">
      <c r="A13" s="1615">
        <v>5</v>
      </c>
      <c r="C13" s="1651" t="s">
        <v>2460</v>
      </c>
      <c r="D13" s="1651" t="s">
        <v>2457</v>
      </c>
      <c r="E13" s="1613">
        <v>13640.17</v>
      </c>
      <c r="F13" s="1613">
        <v>-13640.17</v>
      </c>
      <c r="G13" s="1613">
        <f t="shared" si="6"/>
        <v>0</v>
      </c>
      <c r="H13" s="1578">
        <v>2004</v>
      </c>
      <c r="I13" s="1662">
        <f t="shared" si="7"/>
        <v>11.5</v>
      </c>
      <c r="J13" s="1663">
        <v>60</v>
      </c>
      <c r="K13" s="1664">
        <f t="shared" si="8"/>
        <v>0.2</v>
      </c>
      <c r="L13" s="1613">
        <f t="shared" si="9"/>
        <v>0</v>
      </c>
      <c r="M13" s="1613">
        <f t="shared" si="10"/>
        <v>13640.17</v>
      </c>
      <c r="N13" s="1613">
        <f t="shared" si="11"/>
        <v>-13640.17</v>
      </c>
      <c r="O13" s="1652">
        <f t="shared" si="12"/>
        <v>0</v>
      </c>
      <c r="P13" s="1653">
        <f t="shared" si="13"/>
        <v>0</v>
      </c>
      <c r="Q13" s="1653">
        <f t="shared" si="14"/>
        <v>0</v>
      </c>
      <c r="R13" s="1653">
        <f t="shared" si="15"/>
        <v>0</v>
      </c>
      <c r="S13" s="1653">
        <f t="shared" si="16"/>
        <v>0</v>
      </c>
      <c r="T13" s="1653">
        <f t="shared" si="0"/>
        <v>0</v>
      </c>
      <c r="U13" s="1653">
        <f t="shared" si="1"/>
        <v>0</v>
      </c>
      <c r="V13" s="1653">
        <f t="shared" si="2"/>
        <v>0</v>
      </c>
      <c r="W13" s="1653">
        <f t="shared" si="3"/>
        <v>0</v>
      </c>
      <c r="X13" s="1653">
        <f t="shared" si="4"/>
        <v>0</v>
      </c>
      <c r="Y13" s="1653">
        <f t="shared" si="5"/>
        <v>0</v>
      </c>
    </row>
    <row r="14" spans="1:27" ht="15" hidden="1" outlineLevel="1">
      <c r="A14" s="1615">
        <v>6</v>
      </c>
      <c r="C14" s="1651" t="s">
        <v>2461</v>
      </c>
      <c r="D14" s="1651" t="s">
        <v>2457</v>
      </c>
      <c r="E14" s="1613">
        <v>2385</v>
      </c>
      <c r="F14" s="1613">
        <v>-2385</v>
      </c>
      <c r="G14" s="1613">
        <f t="shared" si="6"/>
        <v>0</v>
      </c>
      <c r="H14" s="1578">
        <v>2006</v>
      </c>
      <c r="I14" s="1662">
        <f t="shared" si="7"/>
        <v>9.5</v>
      </c>
      <c r="J14" s="1663">
        <v>60</v>
      </c>
      <c r="K14" s="1664">
        <f t="shared" si="8"/>
        <v>0.2</v>
      </c>
      <c r="L14" s="1613">
        <f t="shared" si="9"/>
        <v>0</v>
      </c>
      <c r="M14" s="1613">
        <f t="shared" si="10"/>
        <v>2385</v>
      </c>
      <c r="N14" s="1613">
        <f t="shared" si="11"/>
        <v>-2385</v>
      </c>
      <c r="O14" s="1652">
        <f t="shared" si="12"/>
        <v>0</v>
      </c>
      <c r="P14" s="1653">
        <f t="shared" si="13"/>
        <v>0</v>
      </c>
      <c r="Q14" s="1653">
        <f t="shared" si="14"/>
        <v>0</v>
      </c>
      <c r="R14" s="1653">
        <f t="shared" si="15"/>
        <v>0</v>
      </c>
      <c r="S14" s="1653">
        <f t="shared" si="16"/>
        <v>0</v>
      </c>
      <c r="T14" s="1653">
        <f t="shared" si="0"/>
        <v>0</v>
      </c>
      <c r="U14" s="1653">
        <f t="shared" si="1"/>
        <v>0</v>
      </c>
      <c r="V14" s="1653">
        <f t="shared" si="2"/>
        <v>0</v>
      </c>
      <c r="W14" s="1653">
        <f t="shared" si="3"/>
        <v>0</v>
      </c>
      <c r="X14" s="1653">
        <f t="shared" si="4"/>
        <v>0</v>
      </c>
      <c r="Y14" s="1653">
        <f t="shared" si="5"/>
        <v>0</v>
      </c>
    </row>
    <row r="15" spans="1:27" ht="15" hidden="1" outlineLevel="1">
      <c r="A15" s="1615">
        <v>7</v>
      </c>
      <c r="C15" s="1651" t="s">
        <v>2462</v>
      </c>
      <c r="D15" s="1651" t="s">
        <v>2463</v>
      </c>
      <c r="E15" s="1613">
        <v>508722.09</v>
      </c>
      <c r="F15" s="1613">
        <v>-508722.09</v>
      </c>
      <c r="G15" s="1613">
        <f t="shared" si="6"/>
        <v>0</v>
      </c>
      <c r="H15" s="1578">
        <v>2009</v>
      </c>
      <c r="I15" s="1662">
        <f t="shared" si="7"/>
        <v>6.5</v>
      </c>
      <c r="J15" s="1663">
        <v>60</v>
      </c>
      <c r="K15" s="1664">
        <f t="shared" si="8"/>
        <v>0.2</v>
      </c>
      <c r="L15" s="1613">
        <f t="shared" si="9"/>
        <v>0</v>
      </c>
      <c r="M15" s="1613">
        <f t="shared" si="10"/>
        <v>508722.09</v>
      </c>
      <c r="N15" s="1613">
        <f t="shared" si="11"/>
        <v>-508722.09</v>
      </c>
      <c r="O15" s="1652">
        <f t="shared" si="12"/>
        <v>0</v>
      </c>
      <c r="P15" s="1653">
        <f t="shared" si="13"/>
        <v>0</v>
      </c>
      <c r="Q15" s="1653">
        <f t="shared" si="14"/>
        <v>0</v>
      </c>
      <c r="R15" s="1653">
        <f t="shared" si="15"/>
        <v>0</v>
      </c>
      <c r="S15" s="1653">
        <f t="shared" si="16"/>
        <v>0</v>
      </c>
      <c r="T15" s="1653">
        <f t="shared" si="0"/>
        <v>0</v>
      </c>
      <c r="U15" s="1653">
        <f t="shared" si="1"/>
        <v>0</v>
      </c>
      <c r="V15" s="1653">
        <f t="shared" si="2"/>
        <v>0</v>
      </c>
      <c r="W15" s="1653">
        <f t="shared" si="3"/>
        <v>0</v>
      </c>
      <c r="X15" s="1653">
        <f t="shared" si="4"/>
        <v>0</v>
      </c>
      <c r="Y15" s="1653">
        <f t="shared" si="5"/>
        <v>0</v>
      </c>
    </row>
    <row r="16" spans="1:27" ht="15" hidden="1" outlineLevel="1">
      <c r="A16" s="1615">
        <v>8</v>
      </c>
      <c r="C16" s="1651" t="s">
        <v>2464</v>
      </c>
      <c r="D16" s="1651" t="s">
        <v>2465</v>
      </c>
      <c r="E16" s="1613">
        <v>6476.37</v>
      </c>
      <c r="F16" s="1613">
        <v>-6476.37</v>
      </c>
      <c r="G16" s="1613">
        <f t="shared" si="6"/>
        <v>0</v>
      </c>
      <c r="H16" s="1578">
        <v>2008</v>
      </c>
      <c r="I16" s="1662">
        <f t="shared" si="7"/>
        <v>7.5</v>
      </c>
      <c r="J16" s="1663">
        <v>60</v>
      </c>
      <c r="K16" s="1664">
        <f t="shared" si="8"/>
        <v>0.2</v>
      </c>
      <c r="L16" s="1613">
        <f t="shared" si="9"/>
        <v>0</v>
      </c>
      <c r="M16" s="1613">
        <f t="shared" si="10"/>
        <v>6476.37</v>
      </c>
      <c r="N16" s="1613">
        <f t="shared" si="11"/>
        <v>-6476.37</v>
      </c>
      <c r="O16" s="1652">
        <f t="shared" si="12"/>
        <v>0</v>
      </c>
      <c r="P16" s="1653">
        <f t="shared" si="13"/>
        <v>0</v>
      </c>
      <c r="Q16" s="1653">
        <f t="shared" si="14"/>
        <v>0</v>
      </c>
      <c r="R16" s="1653">
        <f t="shared" si="15"/>
        <v>0</v>
      </c>
      <c r="S16" s="1653">
        <f t="shared" si="16"/>
        <v>0</v>
      </c>
      <c r="T16" s="1653">
        <f t="shared" si="0"/>
        <v>0</v>
      </c>
      <c r="U16" s="1653">
        <f t="shared" si="1"/>
        <v>0</v>
      </c>
      <c r="V16" s="1653">
        <f t="shared" si="2"/>
        <v>0</v>
      </c>
      <c r="W16" s="1653">
        <f t="shared" si="3"/>
        <v>0</v>
      </c>
      <c r="X16" s="1653">
        <f t="shared" si="4"/>
        <v>0</v>
      </c>
      <c r="Y16" s="1653">
        <f t="shared" si="5"/>
        <v>0</v>
      </c>
    </row>
    <row r="17" spans="1:27" ht="15" hidden="1" outlineLevel="1">
      <c r="A17" s="1615">
        <v>9</v>
      </c>
      <c r="C17" s="1651" t="s">
        <v>2466</v>
      </c>
      <c r="D17" s="1651" t="s">
        <v>2467</v>
      </c>
      <c r="E17" s="1613">
        <v>6608.58</v>
      </c>
      <c r="F17" s="1613">
        <v>-5621.82</v>
      </c>
      <c r="G17" s="1613">
        <f t="shared" si="6"/>
        <v>986.76000000000022</v>
      </c>
      <c r="H17" s="1578">
        <v>2011</v>
      </c>
      <c r="I17" s="1662">
        <f t="shared" si="7"/>
        <v>4.5</v>
      </c>
      <c r="J17" s="1663">
        <v>60</v>
      </c>
      <c r="K17" s="1664">
        <f t="shared" si="8"/>
        <v>0.2</v>
      </c>
      <c r="L17" s="1613">
        <f t="shared" si="9"/>
        <v>1321.7160000000001</v>
      </c>
      <c r="M17" s="1613">
        <f t="shared" si="10"/>
        <v>6608.58</v>
      </c>
      <c r="N17" s="1613">
        <f t="shared" si="11"/>
        <v>-6608.58</v>
      </c>
      <c r="O17" s="1652">
        <f t="shared" si="12"/>
        <v>0</v>
      </c>
      <c r="P17" s="1653">
        <f t="shared" si="13"/>
        <v>0</v>
      </c>
      <c r="Q17" s="1653">
        <f t="shared" si="14"/>
        <v>0</v>
      </c>
      <c r="R17" s="1653">
        <f t="shared" si="15"/>
        <v>0</v>
      </c>
      <c r="S17" s="1653">
        <f t="shared" si="16"/>
        <v>0</v>
      </c>
      <c r="T17" s="1653">
        <f t="shared" si="0"/>
        <v>0</v>
      </c>
      <c r="U17" s="1653">
        <f t="shared" si="1"/>
        <v>0</v>
      </c>
      <c r="V17" s="1653">
        <f t="shared" si="2"/>
        <v>0</v>
      </c>
      <c r="W17" s="1653">
        <f t="shared" si="3"/>
        <v>0</v>
      </c>
      <c r="X17" s="1653">
        <f t="shared" si="4"/>
        <v>0</v>
      </c>
      <c r="Y17" s="1653">
        <f t="shared" si="5"/>
        <v>0</v>
      </c>
    </row>
    <row r="18" spans="1:27" ht="15" hidden="1" outlineLevel="1">
      <c r="A18" s="1615">
        <v>10</v>
      </c>
      <c r="E18" s="1652"/>
      <c r="F18" s="1652"/>
      <c r="G18" s="1652"/>
      <c r="J18" s="1663"/>
      <c r="M18" s="1652"/>
      <c r="N18" s="1652"/>
      <c r="O18" s="1652"/>
      <c r="P18" s="1642"/>
      <c r="Q18" s="1642"/>
      <c r="R18" s="1642"/>
      <c r="S18" s="1642"/>
      <c r="T18" s="1642"/>
      <c r="U18" s="1642"/>
      <c r="V18" s="1642"/>
      <c r="W18" s="1642"/>
      <c r="X18" s="1642"/>
      <c r="Y18" s="1642"/>
    </row>
    <row r="19" spans="1:27" ht="15" collapsed="1">
      <c r="A19" s="1615">
        <v>11</v>
      </c>
      <c r="D19" s="1632" t="s">
        <v>2468</v>
      </c>
      <c r="E19" s="1739">
        <f>SUM(E10:E18)</f>
        <v>1086597.0900000003</v>
      </c>
      <c r="F19" s="1739">
        <f>SUM(F10:F18)</f>
        <v>-1085610.3300000003</v>
      </c>
      <c r="G19" s="1739">
        <f>SUM(G10:G18)</f>
        <v>986.76000000000022</v>
      </c>
      <c r="H19" s="1739"/>
      <c r="I19" s="1739"/>
      <c r="J19" s="1740"/>
      <c r="K19" s="1739"/>
      <c r="L19" s="1739">
        <f t="shared" ref="L19:Y19" si="17">SUM(L10:L18)</f>
        <v>1321.7160000000001</v>
      </c>
      <c r="M19" s="1739">
        <f t="shared" si="17"/>
        <v>1086597.0900000003</v>
      </c>
      <c r="N19" s="1739">
        <f t="shared" si="17"/>
        <v>-1086597.0900000003</v>
      </c>
      <c r="O19" s="1739">
        <f t="shared" si="17"/>
        <v>0</v>
      </c>
      <c r="P19" s="1654">
        <f t="shared" si="17"/>
        <v>0</v>
      </c>
      <c r="Q19" s="1654">
        <f t="shared" si="17"/>
        <v>0</v>
      </c>
      <c r="R19" s="1654">
        <f t="shared" si="17"/>
        <v>0</v>
      </c>
      <c r="S19" s="1654">
        <f t="shared" si="17"/>
        <v>0</v>
      </c>
      <c r="T19" s="1654">
        <f t="shared" si="17"/>
        <v>0</v>
      </c>
      <c r="U19" s="1654">
        <f t="shared" si="17"/>
        <v>0</v>
      </c>
      <c r="V19" s="1654">
        <f t="shared" si="17"/>
        <v>0</v>
      </c>
      <c r="W19" s="1654">
        <f t="shared" si="17"/>
        <v>0</v>
      </c>
      <c r="X19" s="1654">
        <f t="shared" si="17"/>
        <v>0</v>
      </c>
      <c r="Y19" s="1654">
        <f t="shared" si="17"/>
        <v>0</v>
      </c>
    </row>
    <row r="20" spans="1:27" ht="15">
      <c r="A20" s="1615">
        <v>12</v>
      </c>
      <c r="D20" s="1665" t="s">
        <v>2469</v>
      </c>
      <c r="E20" s="1666">
        <f>'Input Schedule'!$D$17</f>
        <v>2.6393242386234281E-2</v>
      </c>
      <c r="F20" s="1666">
        <f>'Input Schedule'!$D$17</f>
        <v>2.6393242386234281E-2</v>
      </c>
      <c r="G20" s="1666">
        <f>'Input Schedule'!$D$17</f>
        <v>2.6393242386234281E-2</v>
      </c>
      <c r="J20" s="1663"/>
      <c r="L20" s="1666">
        <f>'Input Schedule'!$D$17</f>
        <v>2.6393242386234281E-2</v>
      </c>
      <c r="M20" s="1666">
        <f>'Input Schedule'!$D$17</f>
        <v>2.6393242386234281E-2</v>
      </c>
      <c r="N20" s="1666">
        <f>'Input Schedule'!$D$17</f>
        <v>2.6393242386234281E-2</v>
      </c>
      <c r="O20" s="1666">
        <f>'Input Schedule'!$D$17</f>
        <v>2.6393242386234281E-2</v>
      </c>
      <c r="P20" s="1666">
        <f>'Input Schedule'!$D$17</f>
        <v>2.6393242386234281E-2</v>
      </c>
      <c r="Q20" s="1666">
        <f>'Input Schedule'!$D$17</f>
        <v>2.6393242386234281E-2</v>
      </c>
      <c r="R20" s="1666">
        <f>'Input Schedule'!$D$17</f>
        <v>2.6393242386234281E-2</v>
      </c>
      <c r="S20" s="1666">
        <f>'Input Schedule'!$D$17</f>
        <v>2.6393242386234281E-2</v>
      </c>
      <c r="T20" s="1666">
        <f>'Input Schedule'!$D$17</f>
        <v>2.6393242386234281E-2</v>
      </c>
      <c r="U20" s="1666">
        <f>'Input Schedule'!$D$17</f>
        <v>2.6393242386234281E-2</v>
      </c>
      <c r="V20" s="1666">
        <f>'Input Schedule'!$D$17</f>
        <v>2.6393242386234281E-2</v>
      </c>
      <c r="W20" s="1666">
        <f>'Input Schedule'!$D$17</f>
        <v>2.6393242386234281E-2</v>
      </c>
      <c r="X20" s="1666">
        <f>'Input Schedule'!$D$17</f>
        <v>2.6393242386234281E-2</v>
      </c>
      <c r="Y20" s="1666">
        <f>'Input Schedule'!$D$17</f>
        <v>2.6393242386234281E-2</v>
      </c>
    </row>
    <row r="21" spans="1:27" ht="15">
      <c r="A21" s="1615">
        <v>13</v>
      </c>
      <c r="D21" s="1665" t="s">
        <v>2470</v>
      </c>
      <c r="E21" s="1741">
        <f>E19*E20</f>
        <v>28678.820372546834</v>
      </c>
      <c r="F21" s="1741">
        <f>F19*F20</f>
        <v>-28652.776576689794</v>
      </c>
      <c r="G21" s="1741">
        <f>G19*G20</f>
        <v>26.043795857040546</v>
      </c>
      <c r="H21" s="1621"/>
      <c r="I21" s="1621"/>
      <c r="J21" s="1742"/>
      <c r="K21" s="1621"/>
      <c r="L21" s="1741">
        <f t="shared" ref="L21:Y21" si="18">L19*L20</f>
        <v>34.884370753764031</v>
      </c>
      <c r="M21" s="1741">
        <f t="shared" si="18"/>
        <v>28678.820372546834</v>
      </c>
      <c r="N21" s="1741">
        <f t="shared" si="18"/>
        <v>-28678.820372546834</v>
      </c>
      <c r="O21" s="1741">
        <f t="shared" si="18"/>
        <v>0</v>
      </c>
      <c r="P21" s="1668">
        <f t="shared" si="18"/>
        <v>0</v>
      </c>
      <c r="Q21" s="1668">
        <f t="shared" si="18"/>
        <v>0</v>
      </c>
      <c r="R21" s="1668">
        <f t="shared" si="18"/>
        <v>0</v>
      </c>
      <c r="S21" s="1668">
        <f t="shared" si="18"/>
        <v>0</v>
      </c>
      <c r="T21" s="1668">
        <f t="shared" si="18"/>
        <v>0</v>
      </c>
      <c r="U21" s="1668">
        <f t="shared" si="18"/>
        <v>0</v>
      </c>
      <c r="V21" s="1668">
        <f t="shared" si="18"/>
        <v>0</v>
      </c>
      <c r="W21" s="1668">
        <f t="shared" si="18"/>
        <v>0</v>
      </c>
      <c r="X21" s="1668">
        <f t="shared" si="18"/>
        <v>0</v>
      </c>
      <c r="Y21" s="1668">
        <f t="shared" si="18"/>
        <v>0</v>
      </c>
    </row>
    <row r="22" spans="1:27" ht="15">
      <c r="A22" s="1615">
        <v>14</v>
      </c>
      <c r="J22" s="1663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</row>
    <row r="23" spans="1:27" ht="15">
      <c r="A23" s="1615">
        <v>15</v>
      </c>
      <c r="B23" s="1660" t="s">
        <v>2471</v>
      </c>
      <c r="C23" s="1648"/>
      <c r="D23" s="1648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60"/>
      <c r="P23" s="1661"/>
      <c r="Q23" s="1661"/>
      <c r="R23" s="1661"/>
      <c r="S23" s="1661"/>
      <c r="T23" s="1661"/>
      <c r="U23" s="1661"/>
      <c r="V23" s="1661"/>
      <c r="W23" s="1661"/>
      <c r="X23" s="1661"/>
      <c r="Y23" s="1661"/>
      <c r="Z23" s="1650"/>
      <c r="AA23" s="1650"/>
    </row>
    <row r="24" spans="1:27" ht="15" hidden="1" outlineLevel="1">
      <c r="A24" s="1615">
        <v>16</v>
      </c>
      <c r="C24" s="1651" t="s">
        <v>2472</v>
      </c>
      <c r="D24" s="1651" t="s">
        <v>2473</v>
      </c>
      <c r="E24" s="1613">
        <v>716591.21</v>
      </c>
      <c r="F24" s="1613">
        <v>-716591.21</v>
      </c>
      <c r="G24" s="1613">
        <f>E24+F24</f>
        <v>0</v>
      </c>
      <c r="H24" s="1578">
        <v>2002</v>
      </c>
      <c r="I24" s="1662">
        <f>IF(H24=2015,0.5,2015.5-H24)</f>
        <v>13.5</v>
      </c>
      <c r="J24" s="1663">
        <v>36</v>
      </c>
      <c r="K24" s="1664">
        <f>1/J24*12</f>
        <v>0.33333333333333331</v>
      </c>
      <c r="L24" s="1613">
        <f>IF(I24&lt;(J24/12),E24*K24,0)</f>
        <v>0</v>
      </c>
      <c r="M24" s="1613">
        <f>E24</f>
        <v>716591.21</v>
      </c>
      <c r="N24" s="1613">
        <f t="shared" ref="N24:N87" si="19">-IF(I24+0.5&lt;(J24/12),M24*(I24+0.5)*K24,M24)</f>
        <v>-716591.21</v>
      </c>
      <c r="O24" s="1652">
        <f>M24+N24</f>
        <v>0</v>
      </c>
      <c r="P24" s="1653">
        <f>IF(O24&gt;0,IF(O24&lt;$K24,-$L24,N24-$K24),O24)</f>
        <v>0</v>
      </c>
      <c r="Q24" s="1653">
        <f>IF(P24&lt;0,$L24+P24,O24)</f>
        <v>0</v>
      </c>
      <c r="R24" s="1653">
        <f>IF(Q24&gt;0,IF(Q24&lt;$K24,-$L24,P24-$K24),Q24)</f>
        <v>0</v>
      </c>
      <c r="S24" s="1653">
        <f>IF(R24&lt;0,$L24+R24,Q24)</f>
        <v>0</v>
      </c>
      <c r="T24" s="1653">
        <f t="shared" ref="T24:T87" si="20">IF(S24&gt;0,IF(S24&lt;$K24,-$L24,R24-$K24),S24)</f>
        <v>0</v>
      </c>
      <c r="U24" s="1653">
        <f t="shared" ref="U24:U87" si="21">IF(T24&lt;0,$L24+T24,S24)</f>
        <v>0</v>
      </c>
      <c r="V24" s="1653">
        <f t="shared" ref="V24:V87" si="22">IF(U24&gt;0,IF(U24&lt;$K24,-$L24,T24-$K24),U24)</f>
        <v>0</v>
      </c>
      <c r="W24" s="1653">
        <f t="shared" ref="W24:W87" si="23">IF(V24&lt;0,$L24+V24,U24)</f>
        <v>0</v>
      </c>
      <c r="X24" s="1653">
        <f t="shared" ref="X24:X87" si="24">IF(W24&gt;0,IF(W24&lt;$K24,-$L24,V24-$K24),W24)</f>
        <v>0</v>
      </c>
      <c r="Y24" s="1653">
        <f t="shared" ref="Y24:Y87" si="25">IF(X24&lt;0,$L24+X24,W24)</f>
        <v>0</v>
      </c>
    </row>
    <row r="25" spans="1:27" ht="15" hidden="1" outlineLevel="1">
      <c r="A25" s="1615">
        <v>17</v>
      </c>
      <c r="C25" s="1651" t="s">
        <v>2474</v>
      </c>
      <c r="D25" s="1651" t="s">
        <v>2473</v>
      </c>
      <c r="E25" s="1613">
        <v>32992.83</v>
      </c>
      <c r="F25" s="1613">
        <v>-32992.83</v>
      </c>
      <c r="G25" s="1613">
        <f t="shared" ref="G25:G88" si="26">E25+F25</f>
        <v>0</v>
      </c>
      <c r="H25" s="1578">
        <v>2003</v>
      </c>
      <c r="I25" s="1662">
        <f t="shared" ref="I25:I88" si="27">IF(H25=2015,0.5,2015.5-H25)</f>
        <v>12.5</v>
      </c>
      <c r="J25" s="1663">
        <v>36</v>
      </c>
      <c r="K25" s="1664">
        <f t="shared" ref="K25:K88" si="28">1/J25*12</f>
        <v>0.33333333333333331</v>
      </c>
      <c r="L25" s="1613">
        <f t="shared" ref="L25:L88" si="29">IF(I25&lt;(J25/12),E25*K25,0)</f>
        <v>0</v>
      </c>
      <c r="M25" s="1613">
        <f t="shared" ref="M25:M88" si="30">E25</f>
        <v>32992.83</v>
      </c>
      <c r="N25" s="1613">
        <f t="shared" si="19"/>
        <v>-32992.83</v>
      </c>
      <c r="O25" s="1652">
        <f t="shared" ref="O25:O88" si="31">M25+N25</f>
        <v>0</v>
      </c>
      <c r="P25" s="1653">
        <f t="shared" ref="P25:P88" si="32">IF(O25&gt;0,IF(O25&lt;$K25,-$L25,N25-$K25),O25)</f>
        <v>0</v>
      </c>
      <c r="Q25" s="1653">
        <f t="shared" ref="Q25:Q88" si="33">IF(P25&lt;0,$L25+P25,O25)</f>
        <v>0</v>
      </c>
      <c r="R25" s="1653">
        <f t="shared" ref="R25:R88" si="34">IF(Q25&gt;0,IF(Q25&lt;$K25,-$L25,P25-$K25),Q25)</f>
        <v>0</v>
      </c>
      <c r="S25" s="1653">
        <f t="shared" ref="S25:S88" si="35">IF(R25&lt;0,$L25+R25,Q25)</f>
        <v>0</v>
      </c>
      <c r="T25" s="1653">
        <f t="shared" si="20"/>
        <v>0</v>
      </c>
      <c r="U25" s="1653">
        <f t="shared" si="21"/>
        <v>0</v>
      </c>
      <c r="V25" s="1653">
        <f t="shared" si="22"/>
        <v>0</v>
      </c>
      <c r="W25" s="1653">
        <f t="shared" si="23"/>
        <v>0</v>
      </c>
      <c r="X25" s="1653">
        <f t="shared" si="24"/>
        <v>0</v>
      </c>
      <c r="Y25" s="1653">
        <f t="shared" si="25"/>
        <v>0</v>
      </c>
    </row>
    <row r="26" spans="1:27" ht="15" hidden="1" outlineLevel="1">
      <c r="A26" s="1615">
        <v>18</v>
      </c>
      <c r="C26" s="1651" t="s">
        <v>2475</v>
      </c>
      <c r="D26" s="1651" t="s">
        <v>2473</v>
      </c>
      <c r="E26" s="1613">
        <v>28300.37</v>
      </c>
      <c r="F26" s="1613">
        <v>-28300.37</v>
      </c>
      <c r="G26" s="1613">
        <f t="shared" si="26"/>
        <v>0</v>
      </c>
      <c r="H26" s="1578">
        <v>2004</v>
      </c>
      <c r="I26" s="1662">
        <f t="shared" si="27"/>
        <v>11.5</v>
      </c>
      <c r="J26" s="1663">
        <v>36</v>
      </c>
      <c r="K26" s="1664">
        <f t="shared" si="28"/>
        <v>0.33333333333333331</v>
      </c>
      <c r="L26" s="1613">
        <f t="shared" si="29"/>
        <v>0</v>
      </c>
      <c r="M26" s="1613">
        <f t="shared" si="30"/>
        <v>28300.37</v>
      </c>
      <c r="N26" s="1613">
        <f t="shared" si="19"/>
        <v>-28300.37</v>
      </c>
      <c r="O26" s="1652">
        <f t="shared" si="31"/>
        <v>0</v>
      </c>
      <c r="P26" s="1653">
        <f t="shared" si="32"/>
        <v>0</v>
      </c>
      <c r="Q26" s="1653">
        <f t="shared" si="33"/>
        <v>0</v>
      </c>
      <c r="R26" s="1653">
        <f t="shared" si="34"/>
        <v>0</v>
      </c>
      <c r="S26" s="1653">
        <f t="shared" si="35"/>
        <v>0</v>
      </c>
      <c r="T26" s="1653">
        <f t="shared" si="20"/>
        <v>0</v>
      </c>
      <c r="U26" s="1653">
        <f t="shared" si="21"/>
        <v>0</v>
      </c>
      <c r="V26" s="1653">
        <f t="shared" si="22"/>
        <v>0</v>
      </c>
      <c r="W26" s="1653">
        <f t="shared" si="23"/>
        <v>0</v>
      </c>
      <c r="X26" s="1653">
        <f t="shared" si="24"/>
        <v>0</v>
      </c>
      <c r="Y26" s="1653">
        <f t="shared" si="25"/>
        <v>0</v>
      </c>
    </row>
    <row r="27" spans="1:27" ht="15" hidden="1" outlineLevel="1">
      <c r="A27" s="1615">
        <v>19</v>
      </c>
      <c r="C27" s="1651" t="s">
        <v>2476</v>
      </c>
      <c r="D27" s="1651" t="s">
        <v>2473</v>
      </c>
      <c r="E27" s="1613">
        <v>64443.01</v>
      </c>
      <c r="F27" s="1613">
        <v>-64443.01</v>
      </c>
      <c r="G27" s="1613">
        <f t="shared" si="26"/>
        <v>0</v>
      </c>
      <c r="H27" s="1578">
        <v>2005</v>
      </c>
      <c r="I27" s="1662">
        <f t="shared" si="27"/>
        <v>10.5</v>
      </c>
      <c r="J27" s="1663">
        <v>36</v>
      </c>
      <c r="K27" s="1664">
        <f t="shared" si="28"/>
        <v>0.33333333333333331</v>
      </c>
      <c r="L27" s="1613">
        <f t="shared" si="29"/>
        <v>0</v>
      </c>
      <c r="M27" s="1613">
        <f t="shared" si="30"/>
        <v>64443.01</v>
      </c>
      <c r="N27" s="1613">
        <f t="shared" si="19"/>
        <v>-64443.01</v>
      </c>
      <c r="O27" s="1652">
        <f t="shared" si="31"/>
        <v>0</v>
      </c>
      <c r="P27" s="1653">
        <f t="shared" si="32"/>
        <v>0</v>
      </c>
      <c r="Q27" s="1653">
        <f t="shared" si="33"/>
        <v>0</v>
      </c>
      <c r="R27" s="1653">
        <f t="shared" si="34"/>
        <v>0</v>
      </c>
      <c r="S27" s="1653">
        <f t="shared" si="35"/>
        <v>0</v>
      </c>
      <c r="T27" s="1653">
        <f t="shared" si="20"/>
        <v>0</v>
      </c>
      <c r="U27" s="1653">
        <f t="shared" si="21"/>
        <v>0</v>
      </c>
      <c r="V27" s="1653">
        <f t="shared" si="22"/>
        <v>0</v>
      </c>
      <c r="W27" s="1653">
        <f t="shared" si="23"/>
        <v>0</v>
      </c>
      <c r="X27" s="1653">
        <f t="shared" si="24"/>
        <v>0</v>
      </c>
      <c r="Y27" s="1653">
        <f t="shared" si="25"/>
        <v>0</v>
      </c>
    </row>
    <row r="28" spans="1:27" ht="15" hidden="1" outlineLevel="1">
      <c r="A28" s="1615">
        <v>20</v>
      </c>
      <c r="C28" s="1651" t="s">
        <v>2477</v>
      </c>
      <c r="D28" s="1651" t="s">
        <v>2473</v>
      </c>
      <c r="E28" s="1613">
        <v>129917</v>
      </c>
      <c r="F28" s="1613">
        <v>-129917</v>
      </c>
      <c r="G28" s="1613">
        <f t="shared" si="26"/>
        <v>0</v>
      </c>
      <c r="H28" s="1578">
        <v>2006</v>
      </c>
      <c r="I28" s="1662">
        <f t="shared" si="27"/>
        <v>9.5</v>
      </c>
      <c r="J28" s="1663">
        <v>36</v>
      </c>
      <c r="K28" s="1664">
        <f t="shared" si="28"/>
        <v>0.33333333333333331</v>
      </c>
      <c r="L28" s="1613">
        <f t="shared" si="29"/>
        <v>0</v>
      </c>
      <c r="M28" s="1613">
        <f t="shared" si="30"/>
        <v>129917</v>
      </c>
      <c r="N28" s="1613">
        <f t="shared" si="19"/>
        <v>-129917</v>
      </c>
      <c r="O28" s="1652">
        <f t="shared" si="31"/>
        <v>0</v>
      </c>
      <c r="P28" s="1653">
        <f t="shared" si="32"/>
        <v>0</v>
      </c>
      <c r="Q28" s="1653">
        <f t="shared" si="33"/>
        <v>0</v>
      </c>
      <c r="R28" s="1653">
        <f t="shared" si="34"/>
        <v>0</v>
      </c>
      <c r="S28" s="1653">
        <f t="shared" si="35"/>
        <v>0</v>
      </c>
      <c r="T28" s="1653">
        <f t="shared" si="20"/>
        <v>0</v>
      </c>
      <c r="U28" s="1653">
        <f t="shared" si="21"/>
        <v>0</v>
      </c>
      <c r="V28" s="1653">
        <f t="shared" si="22"/>
        <v>0</v>
      </c>
      <c r="W28" s="1653">
        <f t="shared" si="23"/>
        <v>0</v>
      </c>
      <c r="X28" s="1653">
        <f t="shared" si="24"/>
        <v>0</v>
      </c>
      <c r="Y28" s="1653">
        <f t="shared" si="25"/>
        <v>0</v>
      </c>
    </row>
    <row r="29" spans="1:27" ht="15" hidden="1" outlineLevel="1">
      <c r="A29" s="1615">
        <v>21</v>
      </c>
      <c r="C29" s="1651" t="s">
        <v>2478</v>
      </c>
      <c r="D29" s="1651" t="s">
        <v>2473</v>
      </c>
      <c r="E29" s="1613">
        <v>332933.59000000003</v>
      </c>
      <c r="F29" s="1613">
        <v>-332933.59000000003</v>
      </c>
      <c r="G29" s="1613">
        <f t="shared" si="26"/>
        <v>0</v>
      </c>
      <c r="H29" s="1578">
        <v>2009</v>
      </c>
      <c r="I29" s="1662">
        <f t="shared" si="27"/>
        <v>6.5</v>
      </c>
      <c r="J29" s="1663">
        <v>36</v>
      </c>
      <c r="K29" s="1664">
        <f t="shared" si="28"/>
        <v>0.33333333333333331</v>
      </c>
      <c r="L29" s="1613">
        <f t="shared" si="29"/>
        <v>0</v>
      </c>
      <c r="M29" s="1613">
        <f t="shared" si="30"/>
        <v>332933.59000000003</v>
      </c>
      <c r="N29" s="1613">
        <f t="shared" si="19"/>
        <v>-332933.59000000003</v>
      </c>
      <c r="O29" s="1652">
        <f t="shared" si="31"/>
        <v>0</v>
      </c>
      <c r="P29" s="1653">
        <f t="shared" si="32"/>
        <v>0</v>
      </c>
      <c r="Q29" s="1653">
        <f t="shared" si="33"/>
        <v>0</v>
      </c>
      <c r="R29" s="1653">
        <f t="shared" si="34"/>
        <v>0</v>
      </c>
      <c r="S29" s="1653">
        <f t="shared" si="35"/>
        <v>0</v>
      </c>
      <c r="T29" s="1653">
        <f t="shared" si="20"/>
        <v>0</v>
      </c>
      <c r="U29" s="1653">
        <f t="shared" si="21"/>
        <v>0</v>
      </c>
      <c r="V29" s="1653">
        <f t="shared" si="22"/>
        <v>0</v>
      </c>
      <c r="W29" s="1653">
        <f t="shared" si="23"/>
        <v>0</v>
      </c>
      <c r="X29" s="1653">
        <f t="shared" si="24"/>
        <v>0</v>
      </c>
      <c r="Y29" s="1653">
        <f t="shared" si="25"/>
        <v>0</v>
      </c>
    </row>
    <row r="30" spans="1:27" ht="15" hidden="1" outlineLevel="1">
      <c r="A30" s="1615">
        <v>22</v>
      </c>
      <c r="C30" s="1651" t="s">
        <v>2479</v>
      </c>
      <c r="D30" s="1651" t="s">
        <v>2480</v>
      </c>
      <c r="E30" s="1613">
        <v>-332933.59000000003</v>
      </c>
      <c r="F30" s="1613">
        <v>332933.59000000003</v>
      </c>
      <c r="G30" s="1613">
        <f t="shared" si="26"/>
        <v>0</v>
      </c>
      <c r="H30" s="1578">
        <v>2009</v>
      </c>
      <c r="I30" s="1662">
        <f t="shared" si="27"/>
        <v>6.5</v>
      </c>
      <c r="J30" s="1663">
        <v>36</v>
      </c>
      <c r="K30" s="1664">
        <f t="shared" si="28"/>
        <v>0.33333333333333331</v>
      </c>
      <c r="L30" s="1613">
        <f t="shared" si="29"/>
        <v>0</v>
      </c>
      <c r="M30" s="1613">
        <f t="shared" si="30"/>
        <v>-332933.59000000003</v>
      </c>
      <c r="N30" s="1613">
        <f t="shared" si="19"/>
        <v>332933.59000000003</v>
      </c>
      <c r="O30" s="1652">
        <f t="shared" si="31"/>
        <v>0</v>
      </c>
      <c r="P30" s="1653">
        <f t="shared" si="32"/>
        <v>0</v>
      </c>
      <c r="Q30" s="1653">
        <f t="shared" si="33"/>
        <v>0</v>
      </c>
      <c r="R30" s="1653">
        <f t="shared" si="34"/>
        <v>0</v>
      </c>
      <c r="S30" s="1653">
        <f t="shared" si="35"/>
        <v>0</v>
      </c>
      <c r="T30" s="1653">
        <f t="shared" si="20"/>
        <v>0</v>
      </c>
      <c r="U30" s="1653">
        <f t="shared" si="21"/>
        <v>0</v>
      </c>
      <c r="V30" s="1653">
        <f t="shared" si="22"/>
        <v>0</v>
      </c>
      <c r="W30" s="1653">
        <f t="shared" si="23"/>
        <v>0</v>
      </c>
      <c r="X30" s="1653">
        <f t="shared" si="24"/>
        <v>0</v>
      </c>
      <c r="Y30" s="1653">
        <f t="shared" si="25"/>
        <v>0</v>
      </c>
    </row>
    <row r="31" spans="1:27" ht="15" hidden="1" outlineLevel="1">
      <c r="A31" s="1615">
        <v>23</v>
      </c>
      <c r="C31" s="1651" t="s">
        <v>2481</v>
      </c>
      <c r="D31" s="1651" t="s">
        <v>2482</v>
      </c>
      <c r="E31" s="1613">
        <v>-2126.66</v>
      </c>
      <c r="F31" s="1613">
        <v>2126.66</v>
      </c>
      <c r="G31" s="1613">
        <f t="shared" si="26"/>
        <v>0</v>
      </c>
      <c r="H31" s="1578">
        <v>2007</v>
      </c>
      <c r="I31" s="1662">
        <f t="shared" si="27"/>
        <v>8.5</v>
      </c>
      <c r="J31" s="1663">
        <v>36</v>
      </c>
      <c r="K31" s="1664">
        <f t="shared" si="28"/>
        <v>0.33333333333333331</v>
      </c>
      <c r="L31" s="1613">
        <f t="shared" si="29"/>
        <v>0</v>
      </c>
      <c r="M31" s="1613">
        <f t="shared" si="30"/>
        <v>-2126.66</v>
      </c>
      <c r="N31" s="1613">
        <f t="shared" si="19"/>
        <v>2126.66</v>
      </c>
      <c r="O31" s="1652">
        <f t="shared" si="31"/>
        <v>0</v>
      </c>
      <c r="P31" s="1653">
        <f t="shared" si="32"/>
        <v>0</v>
      </c>
      <c r="Q31" s="1653">
        <f t="shared" si="33"/>
        <v>0</v>
      </c>
      <c r="R31" s="1653">
        <f t="shared" si="34"/>
        <v>0</v>
      </c>
      <c r="S31" s="1653">
        <f t="shared" si="35"/>
        <v>0</v>
      </c>
      <c r="T31" s="1653">
        <f t="shared" si="20"/>
        <v>0</v>
      </c>
      <c r="U31" s="1653">
        <f t="shared" si="21"/>
        <v>0</v>
      </c>
      <c r="V31" s="1653">
        <f t="shared" si="22"/>
        <v>0</v>
      </c>
      <c r="W31" s="1653">
        <f t="shared" si="23"/>
        <v>0</v>
      </c>
      <c r="X31" s="1653">
        <f t="shared" si="24"/>
        <v>0</v>
      </c>
      <c r="Y31" s="1653">
        <f t="shared" si="25"/>
        <v>0</v>
      </c>
    </row>
    <row r="32" spans="1:27" ht="15" hidden="1" outlineLevel="1">
      <c r="A32" s="1615">
        <v>24</v>
      </c>
      <c r="C32" s="1651" t="s">
        <v>2483</v>
      </c>
      <c r="D32" s="1651" t="s">
        <v>2484</v>
      </c>
      <c r="E32" s="1613">
        <v>-2063.98</v>
      </c>
      <c r="F32" s="1613">
        <v>2063.98</v>
      </c>
      <c r="G32" s="1613">
        <f t="shared" si="26"/>
        <v>0</v>
      </c>
      <c r="H32" s="1578">
        <v>2007</v>
      </c>
      <c r="I32" s="1662">
        <f t="shared" si="27"/>
        <v>8.5</v>
      </c>
      <c r="J32" s="1663">
        <v>36</v>
      </c>
      <c r="K32" s="1664">
        <f t="shared" si="28"/>
        <v>0.33333333333333331</v>
      </c>
      <c r="L32" s="1613">
        <f t="shared" si="29"/>
        <v>0</v>
      </c>
      <c r="M32" s="1613">
        <f t="shared" si="30"/>
        <v>-2063.98</v>
      </c>
      <c r="N32" s="1613">
        <f t="shared" si="19"/>
        <v>2063.98</v>
      </c>
      <c r="O32" s="1652">
        <f t="shared" si="31"/>
        <v>0</v>
      </c>
      <c r="P32" s="1653">
        <f t="shared" si="32"/>
        <v>0</v>
      </c>
      <c r="Q32" s="1653">
        <f t="shared" si="33"/>
        <v>0</v>
      </c>
      <c r="R32" s="1653">
        <f t="shared" si="34"/>
        <v>0</v>
      </c>
      <c r="S32" s="1653">
        <f t="shared" si="35"/>
        <v>0</v>
      </c>
      <c r="T32" s="1653">
        <f t="shared" si="20"/>
        <v>0</v>
      </c>
      <c r="U32" s="1653">
        <f t="shared" si="21"/>
        <v>0</v>
      </c>
      <c r="V32" s="1653">
        <f t="shared" si="22"/>
        <v>0</v>
      </c>
      <c r="W32" s="1653">
        <f t="shared" si="23"/>
        <v>0</v>
      </c>
      <c r="X32" s="1653">
        <f t="shared" si="24"/>
        <v>0</v>
      </c>
      <c r="Y32" s="1653">
        <f t="shared" si="25"/>
        <v>0</v>
      </c>
    </row>
    <row r="33" spans="1:25" ht="15" hidden="1" outlineLevel="1">
      <c r="A33" s="1615">
        <v>25</v>
      </c>
      <c r="C33" s="1651" t="s">
        <v>2485</v>
      </c>
      <c r="D33" s="1651" t="s">
        <v>2482</v>
      </c>
      <c r="E33" s="1613">
        <v>-2063.0100000000002</v>
      </c>
      <c r="F33" s="1613">
        <v>2063.0100000000002</v>
      </c>
      <c r="G33" s="1613">
        <f t="shared" si="26"/>
        <v>0</v>
      </c>
      <c r="H33" s="1578">
        <v>2007</v>
      </c>
      <c r="I33" s="1662">
        <f t="shared" si="27"/>
        <v>8.5</v>
      </c>
      <c r="J33" s="1663">
        <v>36</v>
      </c>
      <c r="K33" s="1664">
        <f t="shared" si="28"/>
        <v>0.33333333333333331</v>
      </c>
      <c r="L33" s="1613">
        <f t="shared" si="29"/>
        <v>0</v>
      </c>
      <c r="M33" s="1613">
        <f t="shared" si="30"/>
        <v>-2063.0100000000002</v>
      </c>
      <c r="N33" s="1613">
        <f t="shared" si="19"/>
        <v>2063.0100000000002</v>
      </c>
      <c r="O33" s="1652">
        <f t="shared" si="31"/>
        <v>0</v>
      </c>
      <c r="P33" s="1653">
        <f t="shared" si="32"/>
        <v>0</v>
      </c>
      <c r="Q33" s="1653">
        <f t="shared" si="33"/>
        <v>0</v>
      </c>
      <c r="R33" s="1653">
        <f t="shared" si="34"/>
        <v>0</v>
      </c>
      <c r="S33" s="1653">
        <f t="shared" si="35"/>
        <v>0</v>
      </c>
      <c r="T33" s="1653">
        <f t="shared" si="20"/>
        <v>0</v>
      </c>
      <c r="U33" s="1653">
        <f t="shared" si="21"/>
        <v>0</v>
      </c>
      <c r="V33" s="1653">
        <f t="shared" si="22"/>
        <v>0</v>
      </c>
      <c r="W33" s="1653">
        <f t="shared" si="23"/>
        <v>0</v>
      </c>
      <c r="X33" s="1653">
        <f t="shared" si="24"/>
        <v>0</v>
      </c>
      <c r="Y33" s="1653">
        <f t="shared" si="25"/>
        <v>0</v>
      </c>
    </row>
    <row r="34" spans="1:25" ht="15" hidden="1" outlineLevel="1">
      <c r="A34" s="1615">
        <v>26</v>
      </c>
      <c r="C34" s="1651" t="s">
        <v>2486</v>
      </c>
      <c r="D34" s="1651" t="s">
        <v>2487</v>
      </c>
      <c r="E34" s="1613">
        <v>-2015.18</v>
      </c>
      <c r="F34" s="1613">
        <v>2015.18</v>
      </c>
      <c r="G34" s="1613">
        <f t="shared" si="26"/>
        <v>0</v>
      </c>
      <c r="H34" s="1578">
        <v>2007</v>
      </c>
      <c r="I34" s="1662">
        <f t="shared" si="27"/>
        <v>8.5</v>
      </c>
      <c r="J34" s="1663">
        <v>36</v>
      </c>
      <c r="K34" s="1664">
        <f t="shared" si="28"/>
        <v>0.33333333333333331</v>
      </c>
      <c r="L34" s="1613">
        <f t="shared" si="29"/>
        <v>0</v>
      </c>
      <c r="M34" s="1613">
        <f t="shared" si="30"/>
        <v>-2015.18</v>
      </c>
      <c r="N34" s="1613">
        <f t="shared" si="19"/>
        <v>2015.18</v>
      </c>
      <c r="O34" s="1652">
        <f t="shared" si="31"/>
        <v>0</v>
      </c>
      <c r="P34" s="1653">
        <f t="shared" si="32"/>
        <v>0</v>
      </c>
      <c r="Q34" s="1653">
        <f t="shared" si="33"/>
        <v>0</v>
      </c>
      <c r="R34" s="1653">
        <f t="shared" si="34"/>
        <v>0</v>
      </c>
      <c r="S34" s="1653">
        <f t="shared" si="35"/>
        <v>0</v>
      </c>
      <c r="T34" s="1653">
        <f t="shared" si="20"/>
        <v>0</v>
      </c>
      <c r="U34" s="1653">
        <f t="shared" si="21"/>
        <v>0</v>
      </c>
      <c r="V34" s="1653">
        <f t="shared" si="22"/>
        <v>0</v>
      </c>
      <c r="W34" s="1653">
        <f t="shared" si="23"/>
        <v>0</v>
      </c>
      <c r="X34" s="1653">
        <f t="shared" si="24"/>
        <v>0</v>
      </c>
      <c r="Y34" s="1653">
        <f t="shared" si="25"/>
        <v>0</v>
      </c>
    </row>
    <row r="35" spans="1:25" ht="15" hidden="1" outlineLevel="1">
      <c r="A35" s="1615">
        <v>27</v>
      </c>
      <c r="C35" s="1651" t="s">
        <v>2488</v>
      </c>
      <c r="D35" s="1651" t="s">
        <v>2482</v>
      </c>
      <c r="E35" s="1613">
        <v>-1701.62</v>
      </c>
      <c r="F35" s="1613">
        <v>1701.62</v>
      </c>
      <c r="G35" s="1613">
        <f t="shared" si="26"/>
        <v>0</v>
      </c>
      <c r="H35" s="1578">
        <v>2007</v>
      </c>
      <c r="I35" s="1662">
        <f t="shared" si="27"/>
        <v>8.5</v>
      </c>
      <c r="J35" s="1663">
        <v>36</v>
      </c>
      <c r="K35" s="1664">
        <f t="shared" si="28"/>
        <v>0.33333333333333331</v>
      </c>
      <c r="L35" s="1613">
        <f t="shared" si="29"/>
        <v>0</v>
      </c>
      <c r="M35" s="1613">
        <f t="shared" si="30"/>
        <v>-1701.62</v>
      </c>
      <c r="N35" s="1613">
        <f t="shared" si="19"/>
        <v>1701.62</v>
      </c>
      <c r="O35" s="1652">
        <f t="shared" si="31"/>
        <v>0</v>
      </c>
      <c r="P35" s="1653">
        <f t="shared" si="32"/>
        <v>0</v>
      </c>
      <c r="Q35" s="1653">
        <f t="shared" si="33"/>
        <v>0</v>
      </c>
      <c r="R35" s="1653">
        <f t="shared" si="34"/>
        <v>0</v>
      </c>
      <c r="S35" s="1653">
        <f t="shared" si="35"/>
        <v>0</v>
      </c>
      <c r="T35" s="1653">
        <f t="shared" si="20"/>
        <v>0</v>
      </c>
      <c r="U35" s="1653">
        <f t="shared" si="21"/>
        <v>0</v>
      </c>
      <c r="V35" s="1653">
        <f t="shared" si="22"/>
        <v>0</v>
      </c>
      <c r="W35" s="1653">
        <f t="shared" si="23"/>
        <v>0</v>
      </c>
      <c r="X35" s="1653">
        <f t="shared" si="24"/>
        <v>0</v>
      </c>
      <c r="Y35" s="1653">
        <f t="shared" si="25"/>
        <v>0</v>
      </c>
    </row>
    <row r="36" spans="1:25" ht="15" hidden="1" outlineLevel="1">
      <c r="A36" s="1615">
        <v>28</v>
      </c>
      <c r="C36" s="1651" t="s">
        <v>2489</v>
      </c>
      <c r="D36" s="1651" t="s">
        <v>2490</v>
      </c>
      <c r="E36" s="1613">
        <v>-1132.95</v>
      </c>
      <c r="F36" s="1613">
        <v>1132.95</v>
      </c>
      <c r="G36" s="1613">
        <f t="shared" si="26"/>
        <v>0</v>
      </c>
      <c r="H36" s="1578">
        <v>2007</v>
      </c>
      <c r="I36" s="1662">
        <f t="shared" si="27"/>
        <v>8.5</v>
      </c>
      <c r="J36" s="1663">
        <v>36</v>
      </c>
      <c r="K36" s="1664">
        <f t="shared" si="28"/>
        <v>0.33333333333333331</v>
      </c>
      <c r="L36" s="1613">
        <f t="shared" si="29"/>
        <v>0</v>
      </c>
      <c r="M36" s="1613">
        <f t="shared" si="30"/>
        <v>-1132.95</v>
      </c>
      <c r="N36" s="1613">
        <f t="shared" si="19"/>
        <v>1132.95</v>
      </c>
      <c r="O36" s="1652">
        <f t="shared" si="31"/>
        <v>0</v>
      </c>
      <c r="P36" s="1653">
        <f t="shared" si="32"/>
        <v>0</v>
      </c>
      <c r="Q36" s="1653">
        <f t="shared" si="33"/>
        <v>0</v>
      </c>
      <c r="R36" s="1653">
        <f t="shared" si="34"/>
        <v>0</v>
      </c>
      <c r="S36" s="1653">
        <f t="shared" si="35"/>
        <v>0</v>
      </c>
      <c r="T36" s="1653">
        <f t="shared" si="20"/>
        <v>0</v>
      </c>
      <c r="U36" s="1653">
        <f t="shared" si="21"/>
        <v>0</v>
      </c>
      <c r="V36" s="1653">
        <f t="shared" si="22"/>
        <v>0</v>
      </c>
      <c r="W36" s="1653">
        <f t="shared" si="23"/>
        <v>0</v>
      </c>
      <c r="X36" s="1653">
        <f t="shared" si="24"/>
        <v>0</v>
      </c>
      <c r="Y36" s="1653">
        <f t="shared" si="25"/>
        <v>0</v>
      </c>
    </row>
    <row r="37" spans="1:25" ht="15" hidden="1" outlineLevel="1">
      <c r="A37" s="1615">
        <v>29</v>
      </c>
      <c r="C37" s="1651" t="s">
        <v>2491</v>
      </c>
      <c r="D37" s="1651" t="s">
        <v>2492</v>
      </c>
      <c r="E37" s="1613">
        <v>-585.04999999999995</v>
      </c>
      <c r="F37" s="1613">
        <v>585.04999999999995</v>
      </c>
      <c r="G37" s="1613">
        <f t="shared" si="26"/>
        <v>0</v>
      </c>
      <c r="H37" s="1578">
        <v>2007</v>
      </c>
      <c r="I37" s="1662">
        <f t="shared" si="27"/>
        <v>8.5</v>
      </c>
      <c r="J37" s="1663">
        <v>36</v>
      </c>
      <c r="K37" s="1664">
        <f t="shared" si="28"/>
        <v>0.33333333333333331</v>
      </c>
      <c r="L37" s="1613">
        <f t="shared" si="29"/>
        <v>0</v>
      </c>
      <c r="M37" s="1613">
        <f t="shared" si="30"/>
        <v>-585.04999999999995</v>
      </c>
      <c r="N37" s="1613">
        <f t="shared" si="19"/>
        <v>585.04999999999995</v>
      </c>
      <c r="O37" s="1652">
        <f t="shared" si="31"/>
        <v>0</v>
      </c>
      <c r="P37" s="1653">
        <f t="shared" si="32"/>
        <v>0</v>
      </c>
      <c r="Q37" s="1653">
        <f t="shared" si="33"/>
        <v>0</v>
      </c>
      <c r="R37" s="1653">
        <f t="shared" si="34"/>
        <v>0</v>
      </c>
      <c r="S37" s="1653">
        <f t="shared" si="35"/>
        <v>0</v>
      </c>
      <c r="T37" s="1653">
        <f t="shared" si="20"/>
        <v>0</v>
      </c>
      <c r="U37" s="1653">
        <f t="shared" si="21"/>
        <v>0</v>
      </c>
      <c r="V37" s="1653">
        <f t="shared" si="22"/>
        <v>0</v>
      </c>
      <c r="W37" s="1653">
        <f t="shared" si="23"/>
        <v>0</v>
      </c>
      <c r="X37" s="1653">
        <f t="shared" si="24"/>
        <v>0</v>
      </c>
      <c r="Y37" s="1653">
        <f t="shared" si="25"/>
        <v>0</v>
      </c>
    </row>
    <row r="38" spans="1:25" ht="15" hidden="1" outlineLevel="1">
      <c r="A38" s="1615">
        <v>30</v>
      </c>
      <c r="C38" s="1651" t="s">
        <v>2493</v>
      </c>
      <c r="D38" s="1651" t="s">
        <v>2494</v>
      </c>
      <c r="E38" s="1613">
        <v>-525.54999999999995</v>
      </c>
      <c r="F38" s="1613">
        <v>525.54999999999995</v>
      </c>
      <c r="G38" s="1613">
        <f t="shared" si="26"/>
        <v>0</v>
      </c>
      <c r="H38" s="1578">
        <v>2007</v>
      </c>
      <c r="I38" s="1662">
        <f t="shared" si="27"/>
        <v>8.5</v>
      </c>
      <c r="J38" s="1663">
        <v>36</v>
      </c>
      <c r="K38" s="1664">
        <f t="shared" si="28"/>
        <v>0.33333333333333331</v>
      </c>
      <c r="L38" s="1613">
        <f t="shared" si="29"/>
        <v>0</v>
      </c>
      <c r="M38" s="1613">
        <f t="shared" si="30"/>
        <v>-525.54999999999995</v>
      </c>
      <c r="N38" s="1613">
        <f t="shared" si="19"/>
        <v>525.54999999999995</v>
      </c>
      <c r="O38" s="1652">
        <f t="shared" si="31"/>
        <v>0</v>
      </c>
      <c r="P38" s="1653">
        <f t="shared" si="32"/>
        <v>0</v>
      </c>
      <c r="Q38" s="1653">
        <f t="shared" si="33"/>
        <v>0</v>
      </c>
      <c r="R38" s="1653">
        <f t="shared" si="34"/>
        <v>0</v>
      </c>
      <c r="S38" s="1653">
        <f t="shared" si="35"/>
        <v>0</v>
      </c>
      <c r="T38" s="1653">
        <f t="shared" si="20"/>
        <v>0</v>
      </c>
      <c r="U38" s="1653">
        <f t="shared" si="21"/>
        <v>0</v>
      </c>
      <c r="V38" s="1653">
        <f t="shared" si="22"/>
        <v>0</v>
      </c>
      <c r="W38" s="1653">
        <f t="shared" si="23"/>
        <v>0</v>
      </c>
      <c r="X38" s="1653">
        <f t="shared" si="24"/>
        <v>0</v>
      </c>
      <c r="Y38" s="1653">
        <f t="shared" si="25"/>
        <v>0</v>
      </c>
    </row>
    <row r="39" spans="1:25" ht="15" hidden="1" outlineLevel="1">
      <c r="A39" s="1615">
        <v>31</v>
      </c>
      <c r="C39" s="1651" t="s">
        <v>2495</v>
      </c>
      <c r="D39" s="1651" t="s">
        <v>2496</v>
      </c>
      <c r="E39" s="1613">
        <v>-288.98</v>
      </c>
      <c r="F39" s="1613">
        <v>288.98</v>
      </c>
      <c r="G39" s="1613">
        <f t="shared" si="26"/>
        <v>0</v>
      </c>
      <c r="H39" s="1578">
        <v>2007</v>
      </c>
      <c r="I39" s="1662">
        <f t="shared" si="27"/>
        <v>8.5</v>
      </c>
      <c r="J39" s="1663">
        <v>36</v>
      </c>
      <c r="K39" s="1664">
        <f t="shared" si="28"/>
        <v>0.33333333333333331</v>
      </c>
      <c r="L39" s="1613">
        <f t="shared" si="29"/>
        <v>0</v>
      </c>
      <c r="M39" s="1613">
        <f t="shared" si="30"/>
        <v>-288.98</v>
      </c>
      <c r="N39" s="1613">
        <f t="shared" si="19"/>
        <v>288.98</v>
      </c>
      <c r="O39" s="1652">
        <f t="shared" si="31"/>
        <v>0</v>
      </c>
      <c r="P39" s="1653">
        <f t="shared" si="32"/>
        <v>0</v>
      </c>
      <c r="Q39" s="1653">
        <f t="shared" si="33"/>
        <v>0</v>
      </c>
      <c r="R39" s="1653">
        <f t="shared" si="34"/>
        <v>0</v>
      </c>
      <c r="S39" s="1653">
        <f t="shared" si="35"/>
        <v>0</v>
      </c>
      <c r="T39" s="1653">
        <f t="shared" si="20"/>
        <v>0</v>
      </c>
      <c r="U39" s="1653">
        <f t="shared" si="21"/>
        <v>0</v>
      </c>
      <c r="V39" s="1653">
        <f t="shared" si="22"/>
        <v>0</v>
      </c>
      <c r="W39" s="1653">
        <f t="shared" si="23"/>
        <v>0</v>
      </c>
      <c r="X39" s="1653">
        <f t="shared" si="24"/>
        <v>0</v>
      </c>
      <c r="Y39" s="1653">
        <f t="shared" si="25"/>
        <v>0</v>
      </c>
    </row>
    <row r="40" spans="1:25" ht="15" hidden="1" outlineLevel="1">
      <c r="A40" s="1615">
        <v>32</v>
      </c>
      <c r="C40" s="1651" t="s">
        <v>2497</v>
      </c>
      <c r="D40" s="1651" t="s">
        <v>2482</v>
      </c>
      <c r="E40" s="1613">
        <v>-265.87</v>
      </c>
      <c r="F40" s="1613">
        <v>265.87</v>
      </c>
      <c r="G40" s="1613">
        <f t="shared" si="26"/>
        <v>0</v>
      </c>
      <c r="H40" s="1578">
        <v>2007</v>
      </c>
      <c r="I40" s="1662">
        <f t="shared" si="27"/>
        <v>8.5</v>
      </c>
      <c r="J40" s="1663">
        <v>36</v>
      </c>
      <c r="K40" s="1664">
        <f t="shared" si="28"/>
        <v>0.33333333333333331</v>
      </c>
      <c r="L40" s="1613">
        <f t="shared" si="29"/>
        <v>0</v>
      </c>
      <c r="M40" s="1613">
        <f t="shared" si="30"/>
        <v>-265.87</v>
      </c>
      <c r="N40" s="1613">
        <f t="shared" si="19"/>
        <v>265.87</v>
      </c>
      <c r="O40" s="1652">
        <f t="shared" si="31"/>
        <v>0</v>
      </c>
      <c r="P40" s="1653">
        <f t="shared" si="32"/>
        <v>0</v>
      </c>
      <c r="Q40" s="1653">
        <f t="shared" si="33"/>
        <v>0</v>
      </c>
      <c r="R40" s="1653">
        <f t="shared" si="34"/>
        <v>0</v>
      </c>
      <c r="S40" s="1653">
        <f t="shared" si="35"/>
        <v>0</v>
      </c>
      <c r="T40" s="1653">
        <f t="shared" si="20"/>
        <v>0</v>
      </c>
      <c r="U40" s="1653">
        <f t="shared" si="21"/>
        <v>0</v>
      </c>
      <c r="V40" s="1653">
        <f t="shared" si="22"/>
        <v>0</v>
      </c>
      <c r="W40" s="1653">
        <f t="shared" si="23"/>
        <v>0</v>
      </c>
      <c r="X40" s="1653">
        <f t="shared" si="24"/>
        <v>0</v>
      </c>
      <c r="Y40" s="1653">
        <f t="shared" si="25"/>
        <v>0</v>
      </c>
    </row>
    <row r="41" spans="1:25" ht="15" hidden="1" outlineLevel="1">
      <c r="A41" s="1615">
        <v>33</v>
      </c>
      <c r="C41" s="1651" t="s">
        <v>2498</v>
      </c>
      <c r="D41" s="1651" t="s">
        <v>2499</v>
      </c>
      <c r="E41" s="1613">
        <v>-85</v>
      </c>
      <c r="F41" s="1613">
        <v>85</v>
      </c>
      <c r="G41" s="1613">
        <f t="shared" si="26"/>
        <v>0</v>
      </c>
      <c r="H41" s="1578">
        <v>2007</v>
      </c>
      <c r="I41" s="1662">
        <f t="shared" si="27"/>
        <v>8.5</v>
      </c>
      <c r="J41" s="1663">
        <v>36</v>
      </c>
      <c r="K41" s="1664">
        <f t="shared" si="28"/>
        <v>0.33333333333333331</v>
      </c>
      <c r="L41" s="1613">
        <f t="shared" si="29"/>
        <v>0</v>
      </c>
      <c r="M41" s="1613">
        <f t="shared" si="30"/>
        <v>-85</v>
      </c>
      <c r="N41" s="1613">
        <f t="shared" si="19"/>
        <v>85</v>
      </c>
      <c r="O41" s="1652">
        <f t="shared" si="31"/>
        <v>0</v>
      </c>
      <c r="P41" s="1653">
        <f t="shared" si="32"/>
        <v>0</v>
      </c>
      <c r="Q41" s="1653">
        <f t="shared" si="33"/>
        <v>0</v>
      </c>
      <c r="R41" s="1653">
        <f t="shared" si="34"/>
        <v>0</v>
      </c>
      <c r="S41" s="1653">
        <f t="shared" si="35"/>
        <v>0</v>
      </c>
      <c r="T41" s="1653">
        <f t="shared" si="20"/>
        <v>0</v>
      </c>
      <c r="U41" s="1653">
        <f t="shared" si="21"/>
        <v>0</v>
      </c>
      <c r="V41" s="1653">
        <f t="shared" si="22"/>
        <v>0</v>
      </c>
      <c r="W41" s="1653">
        <f t="shared" si="23"/>
        <v>0</v>
      </c>
      <c r="X41" s="1653">
        <f t="shared" si="24"/>
        <v>0</v>
      </c>
      <c r="Y41" s="1653">
        <f t="shared" si="25"/>
        <v>0</v>
      </c>
    </row>
    <row r="42" spans="1:25" ht="15" hidden="1" outlineLevel="1">
      <c r="A42" s="1615">
        <v>34</v>
      </c>
      <c r="C42" s="1651" t="s">
        <v>2500</v>
      </c>
      <c r="D42" s="1651" t="s">
        <v>2499</v>
      </c>
      <c r="E42" s="1613">
        <v>-85</v>
      </c>
      <c r="F42" s="1613">
        <v>85</v>
      </c>
      <c r="G42" s="1613">
        <f t="shared" si="26"/>
        <v>0</v>
      </c>
      <c r="H42" s="1578">
        <v>2007</v>
      </c>
      <c r="I42" s="1662">
        <f t="shared" si="27"/>
        <v>8.5</v>
      </c>
      <c r="J42" s="1663">
        <v>36</v>
      </c>
      <c r="K42" s="1664">
        <f t="shared" si="28"/>
        <v>0.33333333333333331</v>
      </c>
      <c r="L42" s="1613">
        <f t="shared" si="29"/>
        <v>0</v>
      </c>
      <c r="M42" s="1613">
        <f t="shared" si="30"/>
        <v>-85</v>
      </c>
      <c r="N42" s="1613">
        <f t="shared" si="19"/>
        <v>85</v>
      </c>
      <c r="O42" s="1652">
        <f t="shared" si="31"/>
        <v>0</v>
      </c>
      <c r="P42" s="1653">
        <f t="shared" si="32"/>
        <v>0</v>
      </c>
      <c r="Q42" s="1653">
        <f t="shared" si="33"/>
        <v>0</v>
      </c>
      <c r="R42" s="1653">
        <f t="shared" si="34"/>
        <v>0</v>
      </c>
      <c r="S42" s="1653">
        <f t="shared" si="35"/>
        <v>0</v>
      </c>
      <c r="T42" s="1653">
        <f t="shared" si="20"/>
        <v>0</v>
      </c>
      <c r="U42" s="1653">
        <f t="shared" si="21"/>
        <v>0</v>
      </c>
      <c r="V42" s="1653">
        <f t="shared" si="22"/>
        <v>0</v>
      </c>
      <c r="W42" s="1653">
        <f t="shared" si="23"/>
        <v>0</v>
      </c>
      <c r="X42" s="1653">
        <f t="shared" si="24"/>
        <v>0</v>
      </c>
      <c r="Y42" s="1653">
        <f t="shared" si="25"/>
        <v>0</v>
      </c>
    </row>
    <row r="43" spans="1:25" ht="15" hidden="1" outlineLevel="1">
      <c r="A43" s="1615">
        <v>35</v>
      </c>
      <c r="C43" s="1651" t="s">
        <v>2501</v>
      </c>
      <c r="D43" s="1651" t="s">
        <v>2502</v>
      </c>
      <c r="E43" s="1613">
        <v>-43.07</v>
      </c>
      <c r="F43" s="1613">
        <v>43.07</v>
      </c>
      <c r="G43" s="1613">
        <f t="shared" si="26"/>
        <v>0</v>
      </c>
      <c r="H43" s="1578">
        <v>2007</v>
      </c>
      <c r="I43" s="1662">
        <f t="shared" si="27"/>
        <v>8.5</v>
      </c>
      <c r="J43" s="1663">
        <v>36</v>
      </c>
      <c r="K43" s="1664">
        <f t="shared" si="28"/>
        <v>0.33333333333333331</v>
      </c>
      <c r="L43" s="1613">
        <f t="shared" si="29"/>
        <v>0</v>
      </c>
      <c r="M43" s="1613">
        <f t="shared" si="30"/>
        <v>-43.07</v>
      </c>
      <c r="N43" s="1613">
        <f t="shared" si="19"/>
        <v>43.07</v>
      </c>
      <c r="O43" s="1652">
        <f t="shared" si="31"/>
        <v>0</v>
      </c>
      <c r="P43" s="1653">
        <f t="shared" si="32"/>
        <v>0</v>
      </c>
      <c r="Q43" s="1653">
        <f t="shared" si="33"/>
        <v>0</v>
      </c>
      <c r="R43" s="1653">
        <f t="shared" si="34"/>
        <v>0</v>
      </c>
      <c r="S43" s="1653">
        <f t="shared" si="35"/>
        <v>0</v>
      </c>
      <c r="T43" s="1653">
        <f t="shared" si="20"/>
        <v>0</v>
      </c>
      <c r="U43" s="1653">
        <f t="shared" si="21"/>
        <v>0</v>
      </c>
      <c r="V43" s="1653">
        <f t="shared" si="22"/>
        <v>0</v>
      </c>
      <c r="W43" s="1653">
        <f t="shared" si="23"/>
        <v>0</v>
      </c>
      <c r="X43" s="1653">
        <f t="shared" si="24"/>
        <v>0</v>
      </c>
      <c r="Y43" s="1653">
        <f t="shared" si="25"/>
        <v>0</v>
      </c>
    </row>
    <row r="44" spans="1:25" ht="15" hidden="1" outlineLevel="1">
      <c r="A44" s="1615">
        <v>36</v>
      </c>
      <c r="C44" s="1651" t="s">
        <v>2503</v>
      </c>
      <c r="D44" s="1651" t="s">
        <v>2502</v>
      </c>
      <c r="E44" s="1613">
        <v>-42.48</v>
      </c>
      <c r="F44" s="1613">
        <v>42.48</v>
      </c>
      <c r="G44" s="1613">
        <f t="shared" si="26"/>
        <v>0</v>
      </c>
      <c r="H44" s="1578">
        <v>2007</v>
      </c>
      <c r="I44" s="1662">
        <f t="shared" si="27"/>
        <v>8.5</v>
      </c>
      <c r="J44" s="1663">
        <v>36</v>
      </c>
      <c r="K44" s="1664">
        <f t="shared" si="28"/>
        <v>0.33333333333333331</v>
      </c>
      <c r="L44" s="1613">
        <f t="shared" si="29"/>
        <v>0</v>
      </c>
      <c r="M44" s="1613">
        <f t="shared" si="30"/>
        <v>-42.48</v>
      </c>
      <c r="N44" s="1613">
        <f t="shared" si="19"/>
        <v>42.48</v>
      </c>
      <c r="O44" s="1652">
        <f t="shared" si="31"/>
        <v>0</v>
      </c>
      <c r="P44" s="1653">
        <f t="shared" si="32"/>
        <v>0</v>
      </c>
      <c r="Q44" s="1653">
        <f t="shared" si="33"/>
        <v>0</v>
      </c>
      <c r="R44" s="1653">
        <f t="shared" si="34"/>
        <v>0</v>
      </c>
      <c r="S44" s="1653">
        <f t="shared" si="35"/>
        <v>0</v>
      </c>
      <c r="T44" s="1653">
        <f t="shared" si="20"/>
        <v>0</v>
      </c>
      <c r="U44" s="1653">
        <f t="shared" si="21"/>
        <v>0</v>
      </c>
      <c r="V44" s="1653">
        <f t="shared" si="22"/>
        <v>0</v>
      </c>
      <c r="W44" s="1653">
        <f t="shared" si="23"/>
        <v>0</v>
      </c>
      <c r="X44" s="1653">
        <f t="shared" si="24"/>
        <v>0</v>
      </c>
      <c r="Y44" s="1653">
        <f t="shared" si="25"/>
        <v>0</v>
      </c>
    </row>
    <row r="45" spans="1:25" ht="15" hidden="1" outlineLevel="1">
      <c r="A45" s="1615">
        <v>37</v>
      </c>
      <c r="C45" s="1651" t="s">
        <v>2504</v>
      </c>
      <c r="D45" s="1651" t="s">
        <v>2505</v>
      </c>
      <c r="E45" s="1613">
        <v>5.22</v>
      </c>
      <c r="F45" s="1613">
        <v>-5.22</v>
      </c>
      <c r="G45" s="1613">
        <f t="shared" si="26"/>
        <v>0</v>
      </c>
      <c r="H45" s="1578">
        <v>2007</v>
      </c>
      <c r="I45" s="1662">
        <f t="shared" si="27"/>
        <v>8.5</v>
      </c>
      <c r="J45" s="1663">
        <v>36</v>
      </c>
      <c r="K45" s="1664">
        <f t="shared" si="28"/>
        <v>0.33333333333333331</v>
      </c>
      <c r="L45" s="1613">
        <f t="shared" si="29"/>
        <v>0</v>
      </c>
      <c r="M45" s="1613">
        <f t="shared" si="30"/>
        <v>5.22</v>
      </c>
      <c r="N45" s="1613">
        <f t="shared" si="19"/>
        <v>-5.22</v>
      </c>
      <c r="O45" s="1652">
        <f t="shared" si="31"/>
        <v>0</v>
      </c>
      <c r="P45" s="1653">
        <f t="shared" si="32"/>
        <v>0</v>
      </c>
      <c r="Q45" s="1653">
        <f t="shared" si="33"/>
        <v>0</v>
      </c>
      <c r="R45" s="1653">
        <f t="shared" si="34"/>
        <v>0</v>
      </c>
      <c r="S45" s="1653">
        <f t="shared" si="35"/>
        <v>0</v>
      </c>
      <c r="T45" s="1653">
        <f t="shared" si="20"/>
        <v>0</v>
      </c>
      <c r="U45" s="1653">
        <f t="shared" si="21"/>
        <v>0</v>
      </c>
      <c r="V45" s="1653">
        <f t="shared" si="22"/>
        <v>0</v>
      </c>
      <c r="W45" s="1653">
        <f t="shared" si="23"/>
        <v>0</v>
      </c>
      <c r="X45" s="1653">
        <f t="shared" si="24"/>
        <v>0</v>
      </c>
      <c r="Y45" s="1653">
        <f t="shared" si="25"/>
        <v>0</v>
      </c>
    </row>
    <row r="46" spans="1:25" ht="15" hidden="1" outlineLevel="1">
      <c r="A46" s="1615">
        <v>38</v>
      </c>
      <c r="C46" s="1651" t="s">
        <v>2506</v>
      </c>
      <c r="D46" s="1651" t="s">
        <v>2499</v>
      </c>
      <c r="E46" s="1613">
        <v>30.51</v>
      </c>
      <c r="F46" s="1613">
        <v>-30.51</v>
      </c>
      <c r="G46" s="1613">
        <f t="shared" si="26"/>
        <v>0</v>
      </c>
      <c r="H46" s="1578">
        <v>2007</v>
      </c>
      <c r="I46" s="1662">
        <f t="shared" si="27"/>
        <v>8.5</v>
      </c>
      <c r="J46" s="1663">
        <v>36</v>
      </c>
      <c r="K46" s="1664">
        <f t="shared" si="28"/>
        <v>0.33333333333333331</v>
      </c>
      <c r="L46" s="1613">
        <f t="shared" si="29"/>
        <v>0</v>
      </c>
      <c r="M46" s="1613">
        <f t="shared" si="30"/>
        <v>30.51</v>
      </c>
      <c r="N46" s="1613">
        <f t="shared" si="19"/>
        <v>-30.51</v>
      </c>
      <c r="O46" s="1652">
        <f t="shared" si="31"/>
        <v>0</v>
      </c>
      <c r="P46" s="1653">
        <f t="shared" si="32"/>
        <v>0</v>
      </c>
      <c r="Q46" s="1653">
        <f t="shared" si="33"/>
        <v>0</v>
      </c>
      <c r="R46" s="1653">
        <f t="shared" si="34"/>
        <v>0</v>
      </c>
      <c r="S46" s="1653">
        <f t="shared" si="35"/>
        <v>0</v>
      </c>
      <c r="T46" s="1653">
        <f t="shared" si="20"/>
        <v>0</v>
      </c>
      <c r="U46" s="1653">
        <f t="shared" si="21"/>
        <v>0</v>
      </c>
      <c r="V46" s="1653">
        <f t="shared" si="22"/>
        <v>0</v>
      </c>
      <c r="W46" s="1653">
        <f t="shared" si="23"/>
        <v>0</v>
      </c>
      <c r="X46" s="1653">
        <f t="shared" si="24"/>
        <v>0</v>
      </c>
      <c r="Y46" s="1653">
        <f t="shared" si="25"/>
        <v>0</v>
      </c>
    </row>
    <row r="47" spans="1:25" ht="15" hidden="1" outlineLevel="1">
      <c r="A47" s="1615">
        <v>39</v>
      </c>
      <c r="C47" s="1651" t="s">
        <v>2507</v>
      </c>
      <c r="D47" s="1651" t="s">
        <v>2482</v>
      </c>
      <c r="E47" s="1613">
        <v>33.92</v>
      </c>
      <c r="F47" s="1613">
        <v>-33.92</v>
      </c>
      <c r="G47" s="1613">
        <f t="shared" si="26"/>
        <v>0</v>
      </c>
      <c r="H47" s="1578">
        <v>2007</v>
      </c>
      <c r="I47" s="1662">
        <f t="shared" si="27"/>
        <v>8.5</v>
      </c>
      <c r="J47" s="1663">
        <v>36</v>
      </c>
      <c r="K47" s="1664">
        <f t="shared" si="28"/>
        <v>0.33333333333333331</v>
      </c>
      <c r="L47" s="1613">
        <f t="shared" si="29"/>
        <v>0</v>
      </c>
      <c r="M47" s="1613">
        <f t="shared" si="30"/>
        <v>33.92</v>
      </c>
      <c r="N47" s="1613">
        <f t="shared" si="19"/>
        <v>-33.92</v>
      </c>
      <c r="O47" s="1652">
        <f t="shared" si="31"/>
        <v>0</v>
      </c>
      <c r="P47" s="1653">
        <f t="shared" si="32"/>
        <v>0</v>
      </c>
      <c r="Q47" s="1653">
        <f t="shared" si="33"/>
        <v>0</v>
      </c>
      <c r="R47" s="1653">
        <f t="shared" si="34"/>
        <v>0</v>
      </c>
      <c r="S47" s="1653">
        <f t="shared" si="35"/>
        <v>0</v>
      </c>
      <c r="T47" s="1653">
        <f t="shared" si="20"/>
        <v>0</v>
      </c>
      <c r="U47" s="1653">
        <f t="shared" si="21"/>
        <v>0</v>
      </c>
      <c r="V47" s="1653">
        <f t="shared" si="22"/>
        <v>0</v>
      </c>
      <c r="W47" s="1653">
        <f t="shared" si="23"/>
        <v>0</v>
      </c>
      <c r="X47" s="1653">
        <f t="shared" si="24"/>
        <v>0</v>
      </c>
      <c r="Y47" s="1653">
        <f t="shared" si="25"/>
        <v>0</v>
      </c>
    </row>
    <row r="48" spans="1:25" ht="15" hidden="1" outlineLevel="1">
      <c r="A48" s="1615">
        <v>40</v>
      </c>
      <c r="C48" s="1651" t="s">
        <v>2508</v>
      </c>
      <c r="D48" s="1651" t="s">
        <v>2487</v>
      </c>
      <c r="E48" s="1613">
        <v>35.86</v>
      </c>
      <c r="F48" s="1613">
        <v>-35.86</v>
      </c>
      <c r="G48" s="1613">
        <f t="shared" si="26"/>
        <v>0</v>
      </c>
      <c r="H48" s="1578">
        <v>2007</v>
      </c>
      <c r="I48" s="1662">
        <f t="shared" si="27"/>
        <v>8.5</v>
      </c>
      <c r="J48" s="1663">
        <v>36</v>
      </c>
      <c r="K48" s="1664">
        <f t="shared" si="28"/>
        <v>0.33333333333333331</v>
      </c>
      <c r="L48" s="1613">
        <f t="shared" si="29"/>
        <v>0</v>
      </c>
      <c r="M48" s="1613">
        <f t="shared" si="30"/>
        <v>35.86</v>
      </c>
      <c r="N48" s="1613">
        <f t="shared" si="19"/>
        <v>-35.86</v>
      </c>
      <c r="O48" s="1652">
        <f t="shared" si="31"/>
        <v>0</v>
      </c>
      <c r="P48" s="1653">
        <f t="shared" si="32"/>
        <v>0</v>
      </c>
      <c r="Q48" s="1653">
        <f t="shared" si="33"/>
        <v>0</v>
      </c>
      <c r="R48" s="1653">
        <f t="shared" si="34"/>
        <v>0</v>
      </c>
      <c r="S48" s="1653">
        <f t="shared" si="35"/>
        <v>0</v>
      </c>
      <c r="T48" s="1653">
        <f t="shared" si="20"/>
        <v>0</v>
      </c>
      <c r="U48" s="1653">
        <f t="shared" si="21"/>
        <v>0</v>
      </c>
      <c r="V48" s="1653">
        <f t="shared" si="22"/>
        <v>0</v>
      </c>
      <c r="W48" s="1653">
        <f t="shared" si="23"/>
        <v>0</v>
      </c>
      <c r="X48" s="1653">
        <f t="shared" si="24"/>
        <v>0</v>
      </c>
      <c r="Y48" s="1653">
        <f t="shared" si="25"/>
        <v>0</v>
      </c>
    </row>
    <row r="49" spans="1:25" ht="15" hidden="1" outlineLevel="1">
      <c r="A49" s="1615">
        <v>41</v>
      </c>
      <c r="C49" s="1651" t="s">
        <v>2509</v>
      </c>
      <c r="D49" s="1651" t="s">
        <v>2487</v>
      </c>
      <c r="E49" s="1613">
        <v>38.14</v>
      </c>
      <c r="F49" s="1613">
        <v>-38.14</v>
      </c>
      <c r="G49" s="1613">
        <f t="shared" si="26"/>
        <v>0</v>
      </c>
      <c r="H49" s="1578">
        <v>2007</v>
      </c>
      <c r="I49" s="1662">
        <f t="shared" si="27"/>
        <v>8.5</v>
      </c>
      <c r="J49" s="1663">
        <v>36</v>
      </c>
      <c r="K49" s="1664">
        <f t="shared" si="28"/>
        <v>0.33333333333333331</v>
      </c>
      <c r="L49" s="1613">
        <f t="shared" si="29"/>
        <v>0</v>
      </c>
      <c r="M49" s="1613">
        <f t="shared" si="30"/>
        <v>38.14</v>
      </c>
      <c r="N49" s="1613">
        <f t="shared" si="19"/>
        <v>-38.14</v>
      </c>
      <c r="O49" s="1652">
        <f t="shared" si="31"/>
        <v>0</v>
      </c>
      <c r="P49" s="1653">
        <f t="shared" si="32"/>
        <v>0</v>
      </c>
      <c r="Q49" s="1653">
        <f t="shared" si="33"/>
        <v>0</v>
      </c>
      <c r="R49" s="1653">
        <f t="shared" si="34"/>
        <v>0</v>
      </c>
      <c r="S49" s="1653">
        <f t="shared" si="35"/>
        <v>0</v>
      </c>
      <c r="T49" s="1653">
        <f t="shared" si="20"/>
        <v>0</v>
      </c>
      <c r="U49" s="1653">
        <f t="shared" si="21"/>
        <v>0</v>
      </c>
      <c r="V49" s="1653">
        <f t="shared" si="22"/>
        <v>0</v>
      </c>
      <c r="W49" s="1653">
        <f t="shared" si="23"/>
        <v>0</v>
      </c>
      <c r="X49" s="1653">
        <f t="shared" si="24"/>
        <v>0</v>
      </c>
      <c r="Y49" s="1653">
        <f t="shared" si="25"/>
        <v>0</v>
      </c>
    </row>
    <row r="50" spans="1:25" ht="15" hidden="1" outlineLevel="1">
      <c r="A50" s="1615">
        <v>42</v>
      </c>
      <c r="C50" s="1651" t="s">
        <v>2510</v>
      </c>
      <c r="D50" s="1651" t="s">
        <v>2499</v>
      </c>
      <c r="E50" s="1613">
        <v>39.32</v>
      </c>
      <c r="F50" s="1613">
        <v>-39.32</v>
      </c>
      <c r="G50" s="1613">
        <f t="shared" si="26"/>
        <v>0</v>
      </c>
      <c r="H50" s="1578">
        <v>2007</v>
      </c>
      <c r="I50" s="1662">
        <f t="shared" si="27"/>
        <v>8.5</v>
      </c>
      <c r="J50" s="1663">
        <v>36</v>
      </c>
      <c r="K50" s="1664">
        <f t="shared" si="28"/>
        <v>0.33333333333333331</v>
      </c>
      <c r="L50" s="1613">
        <f t="shared" si="29"/>
        <v>0</v>
      </c>
      <c r="M50" s="1613">
        <f t="shared" si="30"/>
        <v>39.32</v>
      </c>
      <c r="N50" s="1613">
        <f t="shared" si="19"/>
        <v>-39.32</v>
      </c>
      <c r="O50" s="1652">
        <f t="shared" si="31"/>
        <v>0</v>
      </c>
      <c r="P50" s="1653">
        <f t="shared" si="32"/>
        <v>0</v>
      </c>
      <c r="Q50" s="1653">
        <f t="shared" si="33"/>
        <v>0</v>
      </c>
      <c r="R50" s="1653">
        <f t="shared" si="34"/>
        <v>0</v>
      </c>
      <c r="S50" s="1653">
        <f t="shared" si="35"/>
        <v>0</v>
      </c>
      <c r="T50" s="1653">
        <f t="shared" si="20"/>
        <v>0</v>
      </c>
      <c r="U50" s="1653">
        <f t="shared" si="21"/>
        <v>0</v>
      </c>
      <c r="V50" s="1653">
        <f t="shared" si="22"/>
        <v>0</v>
      </c>
      <c r="W50" s="1653">
        <f t="shared" si="23"/>
        <v>0</v>
      </c>
      <c r="X50" s="1653">
        <f t="shared" si="24"/>
        <v>0</v>
      </c>
      <c r="Y50" s="1653">
        <f t="shared" si="25"/>
        <v>0</v>
      </c>
    </row>
    <row r="51" spans="1:25" ht="15" hidden="1" outlineLevel="1">
      <c r="A51" s="1615">
        <v>43</v>
      </c>
      <c r="C51" s="1651" t="s">
        <v>2511</v>
      </c>
      <c r="D51" s="1651" t="s">
        <v>2484</v>
      </c>
      <c r="E51" s="1613">
        <v>42.48</v>
      </c>
      <c r="F51" s="1613">
        <v>-42.48</v>
      </c>
      <c r="G51" s="1613">
        <f t="shared" si="26"/>
        <v>0</v>
      </c>
      <c r="H51" s="1578">
        <v>2007</v>
      </c>
      <c r="I51" s="1662">
        <f t="shared" si="27"/>
        <v>8.5</v>
      </c>
      <c r="J51" s="1663">
        <v>36</v>
      </c>
      <c r="K51" s="1664">
        <f t="shared" si="28"/>
        <v>0.33333333333333331</v>
      </c>
      <c r="L51" s="1613">
        <f t="shared" si="29"/>
        <v>0</v>
      </c>
      <c r="M51" s="1613">
        <f t="shared" si="30"/>
        <v>42.48</v>
      </c>
      <c r="N51" s="1613">
        <f t="shared" si="19"/>
        <v>-42.48</v>
      </c>
      <c r="O51" s="1652">
        <f t="shared" si="31"/>
        <v>0</v>
      </c>
      <c r="P51" s="1653">
        <f t="shared" si="32"/>
        <v>0</v>
      </c>
      <c r="Q51" s="1653">
        <f t="shared" si="33"/>
        <v>0</v>
      </c>
      <c r="R51" s="1653">
        <f t="shared" si="34"/>
        <v>0</v>
      </c>
      <c r="S51" s="1653">
        <f t="shared" si="35"/>
        <v>0</v>
      </c>
      <c r="T51" s="1653">
        <f t="shared" si="20"/>
        <v>0</v>
      </c>
      <c r="U51" s="1653">
        <f t="shared" si="21"/>
        <v>0</v>
      </c>
      <c r="V51" s="1653">
        <f t="shared" si="22"/>
        <v>0</v>
      </c>
      <c r="W51" s="1653">
        <f t="shared" si="23"/>
        <v>0</v>
      </c>
      <c r="X51" s="1653">
        <f t="shared" si="24"/>
        <v>0</v>
      </c>
      <c r="Y51" s="1653">
        <f t="shared" si="25"/>
        <v>0</v>
      </c>
    </row>
    <row r="52" spans="1:25" ht="15" hidden="1" outlineLevel="1">
      <c r="A52" s="1615">
        <v>44</v>
      </c>
      <c r="C52" s="1651" t="s">
        <v>2512</v>
      </c>
      <c r="D52" s="1651" t="s">
        <v>2484</v>
      </c>
      <c r="E52" s="1613">
        <v>43.07</v>
      </c>
      <c r="F52" s="1613">
        <v>-43.07</v>
      </c>
      <c r="G52" s="1613">
        <f t="shared" si="26"/>
        <v>0</v>
      </c>
      <c r="H52" s="1578">
        <v>2007</v>
      </c>
      <c r="I52" s="1662">
        <f t="shared" si="27"/>
        <v>8.5</v>
      </c>
      <c r="J52" s="1663">
        <v>36</v>
      </c>
      <c r="K52" s="1664">
        <f t="shared" si="28"/>
        <v>0.33333333333333331</v>
      </c>
      <c r="L52" s="1613">
        <f t="shared" si="29"/>
        <v>0</v>
      </c>
      <c r="M52" s="1613">
        <f t="shared" si="30"/>
        <v>43.07</v>
      </c>
      <c r="N52" s="1613">
        <f t="shared" si="19"/>
        <v>-43.07</v>
      </c>
      <c r="O52" s="1652">
        <f t="shared" si="31"/>
        <v>0</v>
      </c>
      <c r="P52" s="1653">
        <f t="shared" si="32"/>
        <v>0</v>
      </c>
      <c r="Q52" s="1653">
        <f t="shared" si="33"/>
        <v>0</v>
      </c>
      <c r="R52" s="1653">
        <f t="shared" si="34"/>
        <v>0</v>
      </c>
      <c r="S52" s="1653">
        <f t="shared" si="35"/>
        <v>0</v>
      </c>
      <c r="T52" s="1653">
        <f t="shared" si="20"/>
        <v>0</v>
      </c>
      <c r="U52" s="1653">
        <f t="shared" si="21"/>
        <v>0</v>
      </c>
      <c r="V52" s="1653">
        <f t="shared" si="22"/>
        <v>0</v>
      </c>
      <c r="W52" s="1653">
        <f t="shared" si="23"/>
        <v>0</v>
      </c>
      <c r="X52" s="1653">
        <f t="shared" si="24"/>
        <v>0</v>
      </c>
      <c r="Y52" s="1653">
        <f t="shared" si="25"/>
        <v>0</v>
      </c>
    </row>
    <row r="53" spans="1:25" ht="15" hidden="1" outlineLevel="1">
      <c r="A53" s="1615">
        <v>45</v>
      </c>
      <c r="C53" s="1651" t="s">
        <v>2513</v>
      </c>
      <c r="D53" s="1651" t="s">
        <v>2499</v>
      </c>
      <c r="E53" s="1613">
        <v>46.06</v>
      </c>
      <c r="F53" s="1613">
        <v>-46.06</v>
      </c>
      <c r="G53" s="1613">
        <f t="shared" si="26"/>
        <v>0</v>
      </c>
      <c r="H53" s="1578">
        <v>2007</v>
      </c>
      <c r="I53" s="1662">
        <f t="shared" si="27"/>
        <v>8.5</v>
      </c>
      <c r="J53" s="1663">
        <v>36</v>
      </c>
      <c r="K53" s="1664">
        <f t="shared" si="28"/>
        <v>0.33333333333333331</v>
      </c>
      <c r="L53" s="1613">
        <f t="shared" si="29"/>
        <v>0</v>
      </c>
      <c r="M53" s="1613">
        <f t="shared" si="30"/>
        <v>46.06</v>
      </c>
      <c r="N53" s="1613">
        <f t="shared" si="19"/>
        <v>-46.06</v>
      </c>
      <c r="O53" s="1652">
        <f t="shared" si="31"/>
        <v>0</v>
      </c>
      <c r="P53" s="1653">
        <f t="shared" si="32"/>
        <v>0</v>
      </c>
      <c r="Q53" s="1653">
        <f t="shared" si="33"/>
        <v>0</v>
      </c>
      <c r="R53" s="1653">
        <f t="shared" si="34"/>
        <v>0</v>
      </c>
      <c r="S53" s="1653">
        <f t="shared" si="35"/>
        <v>0</v>
      </c>
      <c r="T53" s="1653">
        <f t="shared" si="20"/>
        <v>0</v>
      </c>
      <c r="U53" s="1653">
        <f t="shared" si="21"/>
        <v>0</v>
      </c>
      <c r="V53" s="1653">
        <f t="shared" si="22"/>
        <v>0</v>
      </c>
      <c r="W53" s="1653">
        <f t="shared" si="23"/>
        <v>0</v>
      </c>
      <c r="X53" s="1653">
        <f t="shared" si="24"/>
        <v>0</v>
      </c>
      <c r="Y53" s="1653">
        <f t="shared" si="25"/>
        <v>0</v>
      </c>
    </row>
    <row r="54" spans="1:25" ht="15" hidden="1" outlineLevel="1">
      <c r="A54" s="1615">
        <v>46</v>
      </c>
      <c r="C54" s="1651" t="s">
        <v>2514</v>
      </c>
      <c r="D54" s="1651" t="s">
        <v>2499</v>
      </c>
      <c r="E54" s="1613">
        <v>47.6</v>
      </c>
      <c r="F54" s="1613">
        <v>-47.6</v>
      </c>
      <c r="G54" s="1613">
        <f t="shared" si="26"/>
        <v>0</v>
      </c>
      <c r="H54" s="1578">
        <v>2007</v>
      </c>
      <c r="I54" s="1662">
        <f t="shared" si="27"/>
        <v>8.5</v>
      </c>
      <c r="J54" s="1663">
        <v>36</v>
      </c>
      <c r="K54" s="1664">
        <f t="shared" si="28"/>
        <v>0.33333333333333331</v>
      </c>
      <c r="L54" s="1613">
        <f t="shared" si="29"/>
        <v>0</v>
      </c>
      <c r="M54" s="1613">
        <f t="shared" si="30"/>
        <v>47.6</v>
      </c>
      <c r="N54" s="1613">
        <f t="shared" si="19"/>
        <v>-47.6</v>
      </c>
      <c r="O54" s="1652">
        <f t="shared" si="31"/>
        <v>0</v>
      </c>
      <c r="P54" s="1653">
        <f t="shared" si="32"/>
        <v>0</v>
      </c>
      <c r="Q54" s="1653">
        <f t="shared" si="33"/>
        <v>0</v>
      </c>
      <c r="R54" s="1653">
        <f t="shared" si="34"/>
        <v>0</v>
      </c>
      <c r="S54" s="1653">
        <f t="shared" si="35"/>
        <v>0</v>
      </c>
      <c r="T54" s="1653">
        <f t="shared" si="20"/>
        <v>0</v>
      </c>
      <c r="U54" s="1653">
        <f t="shared" si="21"/>
        <v>0</v>
      </c>
      <c r="V54" s="1653">
        <f t="shared" si="22"/>
        <v>0</v>
      </c>
      <c r="W54" s="1653">
        <f t="shared" si="23"/>
        <v>0</v>
      </c>
      <c r="X54" s="1653">
        <f t="shared" si="24"/>
        <v>0</v>
      </c>
      <c r="Y54" s="1653">
        <f t="shared" si="25"/>
        <v>0</v>
      </c>
    </row>
    <row r="55" spans="1:25" ht="15" hidden="1" outlineLevel="1">
      <c r="A55" s="1615">
        <v>47</v>
      </c>
      <c r="C55" s="1651" t="s">
        <v>2515</v>
      </c>
      <c r="D55" s="1651" t="s">
        <v>2516</v>
      </c>
      <c r="E55" s="1613">
        <v>48.2</v>
      </c>
      <c r="F55" s="1613">
        <v>-48.2</v>
      </c>
      <c r="G55" s="1613">
        <f t="shared" si="26"/>
        <v>0</v>
      </c>
      <c r="H55" s="1578">
        <v>2007</v>
      </c>
      <c r="I55" s="1662">
        <f t="shared" si="27"/>
        <v>8.5</v>
      </c>
      <c r="J55" s="1663">
        <v>36</v>
      </c>
      <c r="K55" s="1664">
        <f t="shared" si="28"/>
        <v>0.33333333333333331</v>
      </c>
      <c r="L55" s="1613">
        <f t="shared" si="29"/>
        <v>0</v>
      </c>
      <c r="M55" s="1613">
        <f t="shared" si="30"/>
        <v>48.2</v>
      </c>
      <c r="N55" s="1613">
        <f t="shared" si="19"/>
        <v>-48.2</v>
      </c>
      <c r="O55" s="1652">
        <f t="shared" si="31"/>
        <v>0</v>
      </c>
      <c r="P55" s="1653">
        <f t="shared" si="32"/>
        <v>0</v>
      </c>
      <c r="Q55" s="1653">
        <f t="shared" si="33"/>
        <v>0</v>
      </c>
      <c r="R55" s="1653">
        <f t="shared" si="34"/>
        <v>0</v>
      </c>
      <c r="S55" s="1653">
        <f t="shared" si="35"/>
        <v>0</v>
      </c>
      <c r="T55" s="1653">
        <f t="shared" si="20"/>
        <v>0</v>
      </c>
      <c r="U55" s="1653">
        <f t="shared" si="21"/>
        <v>0</v>
      </c>
      <c r="V55" s="1653">
        <f t="shared" si="22"/>
        <v>0</v>
      </c>
      <c r="W55" s="1653">
        <f t="shared" si="23"/>
        <v>0</v>
      </c>
      <c r="X55" s="1653">
        <f t="shared" si="24"/>
        <v>0</v>
      </c>
      <c r="Y55" s="1653">
        <f t="shared" si="25"/>
        <v>0</v>
      </c>
    </row>
    <row r="56" spans="1:25" ht="15" hidden="1" outlineLevel="1">
      <c r="A56" s="1615">
        <v>48</v>
      </c>
      <c r="C56" s="1651" t="s">
        <v>2517</v>
      </c>
      <c r="D56" s="1651" t="s">
        <v>2482</v>
      </c>
      <c r="E56" s="1613">
        <v>48.46</v>
      </c>
      <c r="F56" s="1613">
        <v>-48.46</v>
      </c>
      <c r="G56" s="1613">
        <f t="shared" si="26"/>
        <v>0</v>
      </c>
      <c r="H56" s="1578">
        <v>2007</v>
      </c>
      <c r="I56" s="1662">
        <f t="shared" si="27"/>
        <v>8.5</v>
      </c>
      <c r="J56" s="1663">
        <v>36</v>
      </c>
      <c r="K56" s="1664">
        <f t="shared" si="28"/>
        <v>0.33333333333333331</v>
      </c>
      <c r="L56" s="1613">
        <f t="shared" si="29"/>
        <v>0</v>
      </c>
      <c r="M56" s="1613">
        <f t="shared" si="30"/>
        <v>48.46</v>
      </c>
      <c r="N56" s="1613">
        <f t="shared" si="19"/>
        <v>-48.46</v>
      </c>
      <c r="O56" s="1652">
        <f t="shared" si="31"/>
        <v>0</v>
      </c>
      <c r="P56" s="1653">
        <f t="shared" si="32"/>
        <v>0</v>
      </c>
      <c r="Q56" s="1653">
        <f t="shared" si="33"/>
        <v>0</v>
      </c>
      <c r="R56" s="1653">
        <f t="shared" si="34"/>
        <v>0</v>
      </c>
      <c r="S56" s="1653">
        <f t="shared" si="35"/>
        <v>0</v>
      </c>
      <c r="T56" s="1653">
        <f t="shared" si="20"/>
        <v>0</v>
      </c>
      <c r="U56" s="1653">
        <f t="shared" si="21"/>
        <v>0</v>
      </c>
      <c r="V56" s="1653">
        <f t="shared" si="22"/>
        <v>0</v>
      </c>
      <c r="W56" s="1653">
        <f t="shared" si="23"/>
        <v>0</v>
      </c>
      <c r="X56" s="1653">
        <f t="shared" si="24"/>
        <v>0</v>
      </c>
      <c r="Y56" s="1653">
        <f t="shared" si="25"/>
        <v>0</v>
      </c>
    </row>
    <row r="57" spans="1:25" ht="15" hidden="1" outlineLevel="1">
      <c r="A57" s="1615">
        <v>49</v>
      </c>
      <c r="C57" s="1651" t="s">
        <v>2518</v>
      </c>
      <c r="D57" s="1651" t="s">
        <v>2499</v>
      </c>
      <c r="E57" s="1613">
        <v>48.54</v>
      </c>
      <c r="F57" s="1613">
        <v>-48.54</v>
      </c>
      <c r="G57" s="1613">
        <f t="shared" si="26"/>
        <v>0</v>
      </c>
      <c r="H57" s="1578">
        <v>2007</v>
      </c>
      <c r="I57" s="1662">
        <f t="shared" si="27"/>
        <v>8.5</v>
      </c>
      <c r="J57" s="1663">
        <v>36</v>
      </c>
      <c r="K57" s="1664">
        <f t="shared" si="28"/>
        <v>0.33333333333333331</v>
      </c>
      <c r="L57" s="1613">
        <f t="shared" si="29"/>
        <v>0</v>
      </c>
      <c r="M57" s="1613">
        <f t="shared" si="30"/>
        <v>48.54</v>
      </c>
      <c r="N57" s="1613">
        <f t="shared" si="19"/>
        <v>-48.54</v>
      </c>
      <c r="O57" s="1652">
        <f t="shared" si="31"/>
        <v>0</v>
      </c>
      <c r="P57" s="1653">
        <f t="shared" si="32"/>
        <v>0</v>
      </c>
      <c r="Q57" s="1653">
        <f t="shared" si="33"/>
        <v>0</v>
      </c>
      <c r="R57" s="1653">
        <f t="shared" si="34"/>
        <v>0</v>
      </c>
      <c r="S57" s="1653">
        <f t="shared" si="35"/>
        <v>0</v>
      </c>
      <c r="T57" s="1653">
        <f t="shared" si="20"/>
        <v>0</v>
      </c>
      <c r="U57" s="1653">
        <f t="shared" si="21"/>
        <v>0</v>
      </c>
      <c r="V57" s="1653">
        <f t="shared" si="22"/>
        <v>0</v>
      </c>
      <c r="W57" s="1653">
        <f t="shared" si="23"/>
        <v>0</v>
      </c>
      <c r="X57" s="1653">
        <f t="shared" si="24"/>
        <v>0</v>
      </c>
      <c r="Y57" s="1653">
        <f t="shared" si="25"/>
        <v>0</v>
      </c>
    </row>
    <row r="58" spans="1:25" ht="15" hidden="1" outlineLevel="1">
      <c r="A58" s="1615">
        <v>50</v>
      </c>
      <c r="C58" s="1651" t="s">
        <v>2519</v>
      </c>
      <c r="D58" s="1651" t="s">
        <v>2499</v>
      </c>
      <c r="E58" s="1613">
        <v>55.36</v>
      </c>
      <c r="F58" s="1613">
        <v>-55.36</v>
      </c>
      <c r="G58" s="1613">
        <f t="shared" si="26"/>
        <v>0</v>
      </c>
      <c r="H58" s="1578">
        <v>2007</v>
      </c>
      <c r="I58" s="1662">
        <f t="shared" si="27"/>
        <v>8.5</v>
      </c>
      <c r="J58" s="1663">
        <v>36</v>
      </c>
      <c r="K58" s="1664">
        <f t="shared" si="28"/>
        <v>0.33333333333333331</v>
      </c>
      <c r="L58" s="1613">
        <f t="shared" si="29"/>
        <v>0</v>
      </c>
      <c r="M58" s="1613">
        <f t="shared" si="30"/>
        <v>55.36</v>
      </c>
      <c r="N58" s="1613">
        <f t="shared" si="19"/>
        <v>-55.36</v>
      </c>
      <c r="O58" s="1652">
        <f t="shared" si="31"/>
        <v>0</v>
      </c>
      <c r="P58" s="1653">
        <f t="shared" si="32"/>
        <v>0</v>
      </c>
      <c r="Q58" s="1653">
        <f t="shared" si="33"/>
        <v>0</v>
      </c>
      <c r="R58" s="1653">
        <f t="shared" si="34"/>
        <v>0</v>
      </c>
      <c r="S58" s="1653">
        <f t="shared" si="35"/>
        <v>0</v>
      </c>
      <c r="T58" s="1653">
        <f t="shared" si="20"/>
        <v>0</v>
      </c>
      <c r="U58" s="1653">
        <f t="shared" si="21"/>
        <v>0</v>
      </c>
      <c r="V58" s="1653">
        <f t="shared" si="22"/>
        <v>0</v>
      </c>
      <c r="W58" s="1653">
        <f t="shared" si="23"/>
        <v>0</v>
      </c>
      <c r="X58" s="1653">
        <f t="shared" si="24"/>
        <v>0</v>
      </c>
      <c r="Y58" s="1653">
        <f t="shared" si="25"/>
        <v>0</v>
      </c>
    </row>
    <row r="59" spans="1:25" ht="15" hidden="1" outlineLevel="1">
      <c r="A59" s="1615">
        <v>51</v>
      </c>
      <c r="C59" s="1651" t="s">
        <v>2520</v>
      </c>
      <c r="D59" s="1651" t="s">
        <v>2521</v>
      </c>
      <c r="E59" s="1613">
        <v>64.05</v>
      </c>
      <c r="F59" s="1613">
        <v>-64.05</v>
      </c>
      <c r="G59" s="1613">
        <f t="shared" si="26"/>
        <v>0</v>
      </c>
      <c r="H59" s="1578">
        <v>2007</v>
      </c>
      <c r="I59" s="1662">
        <f t="shared" si="27"/>
        <v>8.5</v>
      </c>
      <c r="J59" s="1663">
        <v>36</v>
      </c>
      <c r="K59" s="1664">
        <f t="shared" si="28"/>
        <v>0.33333333333333331</v>
      </c>
      <c r="L59" s="1613">
        <f t="shared" si="29"/>
        <v>0</v>
      </c>
      <c r="M59" s="1613">
        <f t="shared" si="30"/>
        <v>64.05</v>
      </c>
      <c r="N59" s="1613">
        <f t="shared" si="19"/>
        <v>-64.05</v>
      </c>
      <c r="O59" s="1652">
        <f t="shared" si="31"/>
        <v>0</v>
      </c>
      <c r="P59" s="1653">
        <f t="shared" si="32"/>
        <v>0</v>
      </c>
      <c r="Q59" s="1653">
        <f t="shared" si="33"/>
        <v>0</v>
      </c>
      <c r="R59" s="1653">
        <f t="shared" si="34"/>
        <v>0</v>
      </c>
      <c r="S59" s="1653">
        <f t="shared" si="35"/>
        <v>0</v>
      </c>
      <c r="T59" s="1653">
        <f t="shared" si="20"/>
        <v>0</v>
      </c>
      <c r="U59" s="1653">
        <f t="shared" si="21"/>
        <v>0</v>
      </c>
      <c r="V59" s="1653">
        <f t="shared" si="22"/>
        <v>0</v>
      </c>
      <c r="W59" s="1653">
        <f t="shared" si="23"/>
        <v>0</v>
      </c>
      <c r="X59" s="1653">
        <f t="shared" si="24"/>
        <v>0</v>
      </c>
      <c r="Y59" s="1653">
        <f t="shared" si="25"/>
        <v>0</v>
      </c>
    </row>
    <row r="60" spans="1:25" ht="15" hidden="1" outlineLevel="1">
      <c r="A60" s="1615">
        <v>52</v>
      </c>
      <c r="C60" s="1651" t="s">
        <v>2522</v>
      </c>
      <c r="D60" s="1651" t="s">
        <v>2499</v>
      </c>
      <c r="E60" s="1613">
        <v>71.19</v>
      </c>
      <c r="F60" s="1613">
        <v>-71.19</v>
      </c>
      <c r="G60" s="1613">
        <f t="shared" si="26"/>
        <v>0</v>
      </c>
      <c r="H60" s="1578">
        <v>2007</v>
      </c>
      <c r="I60" s="1662">
        <f t="shared" si="27"/>
        <v>8.5</v>
      </c>
      <c r="J60" s="1663">
        <v>36</v>
      </c>
      <c r="K60" s="1664">
        <f t="shared" si="28"/>
        <v>0.33333333333333331</v>
      </c>
      <c r="L60" s="1613">
        <f t="shared" si="29"/>
        <v>0</v>
      </c>
      <c r="M60" s="1613">
        <f t="shared" si="30"/>
        <v>71.19</v>
      </c>
      <c r="N60" s="1613">
        <f t="shared" si="19"/>
        <v>-71.19</v>
      </c>
      <c r="O60" s="1652">
        <f t="shared" si="31"/>
        <v>0</v>
      </c>
      <c r="P60" s="1653">
        <f t="shared" si="32"/>
        <v>0</v>
      </c>
      <c r="Q60" s="1653">
        <f t="shared" si="33"/>
        <v>0</v>
      </c>
      <c r="R60" s="1653">
        <f t="shared" si="34"/>
        <v>0</v>
      </c>
      <c r="S60" s="1653">
        <f t="shared" si="35"/>
        <v>0</v>
      </c>
      <c r="T60" s="1653">
        <f t="shared" si="20"/>
        <v>0</v>
      </c>
      <c r="U60" s="1653">
        <f t="shared" si="21"/>
        <v>0</v>
      </c>
      <c r="V60" s="1653">
        <f t="shared" si="22"/>
        <v>0</v>
      </c>
      <c r="W60" s="1653">
        <f t="shared" si="23"/>
        <v>0</v>
      </c>
      <c r="X60" s="1653">
        <f t="shared" si="24"/>
        <v>0</v>
      </c>
      <c r="Y60" s="1653">
        <f t="shared" si="25"/>
        <v>0</v>
      </c>
    </row>
    <row r="61" spans="1:25" ht="15" hidden="1" outlineLevel="1">
      <c r="A61" s="1615">
        <v>53</v>
      </c>
      <c r="C61" s="1651" t="s">
        <v>2523</v>
      </c>
      <c r="D61" s="1651" t="s">
        <v>2524</v>
      </c>
      <c r="E61" s="1613">
        <v>73.08</v>
      </c>
      <c r="F61" s="1613">
        <v>-73.08</v>
      </c>
      <c r="G61" s="1613">
        <f t="shared" si="26"/>
        <v>0</v>
      </c>
      <c r="H61" s="1578">
        <v>2007</v>
      </c>
      <c r="I61" s="1662">
        <f t="shared" si="27"/>
        <v>8.5</v>
      </c>
      <c r="J61" s="1663">
        <v>36</v>
      </c>
      <c r="K61" s="1664">
        <f t="shared" si="28"/>
        <v>0.33333333333333331</v>
      </c>
      <c r="L61" s="1613">
        <f t="shared" si="29"/>
        <v>0</v>
      </c>
      <c r="M61" s="1613">
        <f t="shared" si="30"/>
        <v>73.08</v>
      </c>
      <c r="N61" s="1613">
        <f t="shared" si="19"/>
        <v>-73.08</v>
      </c>
      <c r="O61" s="1652">
        <f t="shared" si="31"/>
        <v>0</v>
      </c>
      <c r="P61" s="1653">
        <f t="shared" si="32"/>
        <v>0</v>
      </c>
      <c r="Q61" s="1653">
        <f t="shared" si="33"/>
        <v>0</v>
      </c>
      <c r="R61" s="1653">
        <f t="shared" si="34"/>
        <v>0</v>
      </c>
      <c r="S61" s="1653">
        <f t="shared" si="35"/>
        <v>0</v>
      </c>
      <c r="T61" s="1653">
        <f t="shared" si="20"/>
        <v>0</v>
      </c>
      <c r="U61" s="1653">
        <f t="shared" si="21"/>
        <v>0</v>
      </c>
      <c r="V61" s="1653">
        <f t="shared" si="22"/>
        <v>0</v>
      </c>
      <c r="W61" s="1653">
        <f t="shared" si="23"/>
        <v>0</v>
      </c>
      <c r="X61" s="1653">
        <f t="shared" si="24"/>
        <v>0</v>
      </c>
      <c r="Y61" s="1653">
        <f t="shared" si="25"/>
        <v>0</v>
      </c>
    </row>
    <row r="62" spans="1:25" ht="15" hidden="1" outlineLevel="1">
      <c r="A62" s="1615">
        <v>54</v>
      </c>
      <c r="C62" s="1651" t="s">
        <v>2525</v>
      </c>
      <c r="D62" s="1651" t="s">
        <v>2526</v>
      </c>
      <c r="E62" s="1613">
        <v>75.87</v>
      </c>
      <c r="F62" s="1613">
        <v>-75.87</v>
      </c>
      <c r="G62" s="1613">
        <f t="shared" si="26"/>
        <v>0</v>
      </c>
      <c r="H62" s="1578">
        <v>2007</v>
      </c>
      <c r="I62" s="1662">
        <f t="shared" si="27"/>
        <v>8.5</v>
      </c>
      <c r="J62" s="1663">
        <v>36</v>
      </c>
      <c r="K62" s="1664">
        <f t="shared" si="28"/>
        <v>0.33333333333333331</v>
      </c>
      <c r="L62" s="1613">
        <f t="shared" si="29"/>
        <v>0</v>
      </c>
      <c r="M62" s="1613">
        <f t="shared" si="30"/>
        <v>75.87</v>
      </c>
      <c r="N62" s="1613">
        <f t="shared" si="19"/>
        <v>-75.87</v>
      </c>
      <c r="O62" s="1652">
        <f t="shared" si="31"/>
        <v>0</v>
      </c>
      <c r="P62" s="1653">
        <f t="shared" si="32"/>
        <v>0</v>
      </c>
      <c r="Q62" s="1653">
        <f t="shared" si="33"/>
        <v>0</v>
      </c>
      <c r="R62" s="1653">
        <f t="shared" si="34"/>
        <v>0</v>
      </c>
      <c r="S62" s="1653">
        <f t="shared" si="35"/>
        <v>0</v>
      </c>
      <c r="T62" s="1653">
        <f t="shared" si="20"/>
        <v>0</v>
      </c>
      <c r="U62" s="1653">
        <f t="shared" si="21"/>
        <v>0</v>
      </c>
      <c r="V62" s="1653">
        <f t="shared" si="22"/>
        <v>0</v>
      </c>
      <c r="W62" s="1653">
        <f t="shared" si="23"/>
        <v>0</v>
      </c>
      <c r="X62" s="1653">
        <f t="shared" si="24"/>
        <v>0</v>
      </c>
      <c r="Y62" s="1653">
        <f t="shared" si="25"/>
        <v>0</v>
      </c>
    </row>
    <row r="63" spans="1:25" ht="15" hidden="1" outlineLevel="1">
      <c r="A63" s="1615">
        <v>55</v>
      </c>
      <c r="C63" s="1651" t="s">
        <v>2527</v>
      </c>
      <c r="D63" s="1651" t="s">
        <v>2482</v>
      </c>
      <c r="E63" s="1613">
        <v>76.7</v>
      </c>
      <c r="F63" s="1613">
        <v>-76.7</v>
      </c>
      <c r="G63" s="1613">
        <f t="shared" si="26"/>
        <v>0</v>
      </c>
      <c r="H63" s="1578">
        <v>2007</v>
      </c>
      <c r="I63" s="1662">
        <f t="shared" si="27"/>
        <v>8.5</v>
      </c>
      <c r="J63" s="1663">
        <v>36</v>
      </c>
      <c r="K63" s="1664">
        <f t="shared" si="28"/>
        <v>0.33333333333333331</v>
      </c>
      <c r="L63" s="1613">
        <f t="shared" si="29"/>
        <v>0</v>
      </c>
      <c r="M63" s="1613">
        <f t="shared" si="30"/>
        <v>76.7</v>
      </c>
      <c r="N63" s="1613">
        <f t="shared" si="19"/>
        <v>-76.7</v>
      </c>
      <c r="O63" s="1652">
        <f t="shared" si="31"/>
        <v>0</v>
      </c>
      <c r="P63" s="1653">
        <f t="shared" si="32"/>
        <v>0</v>
      </c>
      <c r="Q63" s="1653">
        <f t="shared" si="33"/>
        <v>0</v>
      </c>
      <c r="R63" s="1653">
        <f t="shared" si="34"/>
        <v>0</v>
      </c>
      <c r="S63" s="1653">
        <f t="shared" si="35"/>
        <v>0</v>
      </c>
      <c r="T63" s="1653">
        <f t="shared" si="20"/>
        <v>0</v>
      </c>
      <c r="U63" s="1653">
        <f t="shared" si="21"/>
        <v>0</v>
      </c>
      <c r="V63" s="1653">
        <f t="shared" si="22"/>
        <v>0</v>
      </c>
      <c r="W63" s="1653">
        <f t="shared" si="23"/>
        <v>0</v>
      </c>
      <c r="X63" s="1653">
        <f t="shared" si="24"/>
        <v>0</v>
      </c>
      <c r="Y63" s="1653">
        <f t="shared" si="25"/>
        <v>0</v>
      </c>
    </row>
    <row r="64" spans="1:25" ht="15" hidden="1" outlineLevel="1">
      <c r="A64" s="1615">
        <v>56</v>
      </c>
      <c r="C64" s="1651" t="s">
        <v>2528</v>
      </c>
      <c r="D64" s="1651" t="s">
        <v>2529</v>
      </c>
      <c r="E64" s="1613">
        <v>80.56</v>
      </c>
      <c r="F64" s="1613">
        <v>-80.56</v>
      </c>
      <c r="G64" s="1613">
        <f t="shared" si="26"/>
        <v>0</v>
      </c>
      <c r="H64" s="1578">
        <v>2007</v>
      </c>
      <c r="I64" s="1662">
        <f t="shared" si="27"/>
        <v>8.5</v>
      </c>
      <c r="J64" s="1663">
        <v>36</v>
      </c>
      <c r="K64" s="1664">
        <f t="shared" si="28"/>
        <v>0.33333333333333331</v>
      </c>
      <c r="L64" s="1613">
        <f t="shared" si="29"/>
        <v>0</v>
      </c>
      <c r="M64" s="1613">
        <f t="shared" si="30"/>
        <v>80.56</v>
      </c>
      <c r="N64" s="1613">
        <f t="shared" si="19"/>
        <v>-80.56</v>
      </c>
      <c r="O64" s="1652">
        <f t="shared" si="31"/>
        <v>0</v>
      </c>
      <c r="P64" s="1653">
        <f t="shared" si="32"/>
        <v>0</v>
      </c>
      <c r="Q64" s="1653">
        <f t="shared" si="33"/>
        <v>0</v>
      </c>
      <c r="R64" s="1653">
        <f t="shared" si="34"/>
        <v>0</v>
      </c>
      <c r="S64" s="1653">
        <f t="shared" si="35"/>
        <v>0</v>
      </c>
      <c r="T64" s="1653">
        <f t="shared" si="20"/>
        <v>0</v>
      </c>
      <c r="U64" s="1653">
        <f t="shared" si="21"/>
        <v>0</v>
      </c>
      <c r="V64" s="1653">
        <f t="shared" si="22"/>
        <v>0</v>
      </c>
      <c r="W64" s="1653">
        <f t="shared" si="23"/>
        <v>0</v>
      </c>
      <c r="X64" s="1653">
        <f t="shared" si="24"/>
        <v>0</v>
      </c>
      <c r="Y64" s="1653">
        <f t="shared" si="25"/>
        <v>0</v>
      </c>
    </row>
    <row r="65" spans="1:25" ht="15" hidden="1" outlineLevel="1">
      <c r="A65" s="1615">
        <v>57</v>
      </c>
      <c r="C65" s="1651" t="s">
        <v>2530</v>
      </c>
      <c r="D65" s="1651" t="s">
        <v>2531</v>
      </c>
      <c r="E65" s="1613">
        <v>85.33</v>
      </c>
      <c r="F65" s="1613">
        <v>-85.33</v>
      </c>
      <c r="G65" s="1613">
        <f t="shared" si="26"/>
        <v>0</v>
      </c>
      <c r="H65" s="1578">
        <v>2007</v>
      </c>
      <c r="I65" s="1662">
        <f t="shared" si="27"/>
        <v>8.5</v>
      </c>
      <c r="J65" s="1663">
        <v>36</v>
      </c>
      <c r="K65" s="1664">
        <f t="shared" si="28"/>
        <v>0.33333333333333331</v>
      </c>
      <c r="L65" s="1613">
        <f t="shared" si="29"/>
        <v>0</v>
      </c>
      <c r="M65" s="1613">
        <f t="shared" si="30"/>
        <v>85.33</v>
      </c>
      <c r="N65" s="1613">
        <f t="shared" si="19"/>
        <v>-85.33</v>
      </c>
      <c r="O65" s="1652">
        <f t="shared" si="31"/>
        <v>0</v>
      </c>
      <c r="P65" s="1653">
        <f t="shared" si="32"/>
        <v>0</v>
      </c>
      <c r="Q65" s="1653">
        <f t="shared" si="33"/>
        <v>0</v>
      </c>
      <c r="R65" s="1653">
        <f t="shared" si="34"/>
        <v>0</v>
      </c>
      <c r="S65" s="1653">
        <f t="shared" si="35"/>
        <v>0</v>
      </c>
      <c r="T65" s="1653">
        <f t="shared" si="20"/>
        <v>0</v>
      </c>
      <c r="U65" s="1653">
        <f t="shared" si="21"/>
        <v>0</v>
      </c>
      <c r="V65" s="1653">
        <f t="shared" si="22"/>
        <v>0</v>
      </c>
      <c r="W65" s="1653">
        <f t="shared" si="23"/>
        <v>0</v>
      </c>
      <c r="X65" s="1653">
        <f t="shared" si="24"/>
        <v>0</v>
      </c>
      <c r="Y65" s="1653">
        <f t="shared" si="25"/>
        <v>0</v>
      </c>
    </row>
    <row r="66" spans="1:25" ht="15" hidden="1" outlineLevel="1">
      <c r="A66" s="1615">
        <v>58</v>
      </c>
      <c r="C66" s="1651" t="s">
        <v>2532</v>
      </c>
      <c r="D66" s="1651" t="s">
        <v>2499</v>
      </c>
      <c r="E66" s="1613">
        <v>94.81</v>
      </c>
      <c r="F66" s="1613">
        <v>-94.81</v>
      </c>
      <c r="G66" s="1613">
        <f t="shared" si="26"/>
        <v>0</v>
      </c>
      <c r="H66" s="1578">
        <v>2007</v>
      </c>
      <c r="I66" s="1662">
        <f t="shared" si="27"/>
        <v>8.5</v>
      </c>
      <c r="J66" s="1663">
        <v>36</v>
      </c>
      <c r="K66" s="1664">
        <f t="shared" si="28"/>
        <v>0.33333333333333331</v>
      </c>
      <c r="L66" s="1613">
        <f t="shared" si="29"/>
        <v>0</v>
      </c>
      <c r="M66" s="1613">
        <f t="shared" si="30"/>
        <v>94.81</v>
      </c>
      <c r="N66" s="1613">
        <f t="shared" si="19"/>
        <v>-94.81</v>
      </c>
      <c r="O66" s="1652">
        <f t="shared" si="31"/>
        <v>0</v>
      </c>
      <c r="P66" s="1653">
        <f t="shared" si="32"/>
        <v>0</v>
      </c>
      <c r="Q66" s="1653">
        <f t="shared" si="33"/>
        <v>0</v>
      </c>
      <c r="R66" s="1653">
        <f t="shared" si="34"/>
        <v>0</v>
      </c>
      <c r="S66" s="1653">
        <f t="shared" si="35"/>
        <v>0</v>
      </c>
      <c r="T66" s="1653">
        <f t="shared" si="20"/>
        <v>0</v>
      </c>
      <c r="U66" s="1653">
        <f t="shared" si="21"/>
        <v>0</v>
      </c>
      <c r="V66" s="1653">
        <f t="shared" si="22"/>
        <v>0</v>
      </c>
      <c r="W66" s="1653">
        <f t="shared" si="23"/>
        <v>0</v>
      </c>
      <c r="X66" s="1653">
        <f t="shared" si="24"/>
        <v>0</v>
      </c>
      <c r="Y66" s="1653">
        <f t="shared" si="25"/>
        <v>0</v>
      </c>
    </row>
    <row r="67" spans="1:25" ht="15" hidden="1" outlineLevel="1">
      <c r="A67" s="1615">
        <v>59</v>
      </c>
      <c r="C67" s="1651" t="s">
        <v>2533</v>
      </c>
      <c r="D67" s="1651" t="s">
        <v>2499</v>
      </c>
      <c r="E67" s="1613">
        <v>106.71</v>
      </c>
      <c r="F67" s="1613">
        <v>-106.71</v>
      </c>
      <c r="G67" s="1613">
        <f t="shared" si="26"/>
        <v>0</v>
      </c>
      <c r="H67" s="1578">
        <v>2007</v>
      </c>
      <c r="I67" s="1662">
        <f t="shared" si="27"/>
        <v>8.5</v>
      </c>
      <c r="J67" s="1663">
        <v>36</v>
      </c>
      <c r="K67" s="1664">
        <f t="shared" si="28"/>
        <v>0.33333333333333331</v>
      </c>
      <c r="L67" s="1613">
        <f t="shared" si="29"/>
        <v>0</v>
      </c>
      <c r="M67" s="1613">
        <f t="shared" si="30"/>
        <v>106.71</v>
      </c>
      <c r="N67" s="1613">
        <f t="shared" si="19"/>
        <v>-106.71</v>
      </c>
      <c r="O67" s="1652">
        <f t="shared" si="31"/>
        <v>0</v>
      </c>
      <c r="P67" s="1653">
        <f t="shared" si="32"/>
        <v>0</v>
      </c>
      <c r="Q67" s="1653">
        <f t="shared" si="33"/>
        <v>0</v>
      </c>
      <c r="R67" s="1653">
        <f t="shared" si="34"/>
        <v>0</v>
      </c>
      <c r="S67" s="1653">
        <f t="shared" si="35"/>
        <v>0</v>
      </c>
      <c r="T67" s="1653">
        <f t="shared" si="20"/>
        <v>0</v>
      </c>
      <c r="U67" s="1653">
        <f t="shared" si="21"/>
        <v>0</v>
      </c>
      <c r="V67" s="1653">
        <f t="shared" si="22"/>
        <v>0</v>
      </c>
      <c r="W67" s="1653">
        <f t="shared" si="23"/>
        <v>0</v>
      </c>
      <c r="X67" s="1653">
        <f t="shared" si="24"/>
        <v>0</v>
      </c>
      <c r="Y67" s="1653">
        <f t="shared" si="25"/>
        <v>0</v>
      </c>
    </row>
    <row r="68" spans="1:25" ht="15" hidden="1" outlineLevel="1">
      <c r="A68" s="1615">
        <v>60</v>
      </c>
      <c r="C68" s="1651" t="s">
        <v>2534</v>
      </c>
      <c r="D68" s="1651" t="s">
        <v>2499</v>
      </c>
      <c r="E68" s="1613">
        <v>111.08</v>
      </c>
      <c r="F68" s="1613">
        <v>-111.08</v>
      </c>
      <c r="G68" s="1613">
        <f t="shared" si="26"/>
        <v>0</v>
      </c>
      <c r="H68" s="1578">
        <v>2007</v>
      </c>
      <c r="I68" s="1662">
        <f t="shared" si="27"/>
        <v>8.5</v>
      </c>
      <c r="J68" s="1663">
        <v>36</v>
      </c>
      <c r="K68" s="1664">
        <f t="shared" si="28"/>
        <v>0.33333333333333331</v>
      </c>
      <c r="L68" s="1613">
        <f t="shared" si="29"/>
        <v>0</v>
      </c>
      <c r="M68" s="1613">
        <f t="shared" si="30"/>
        <v>111.08</v>
      </c>
      <c r="N68" s="1613">
        <f t="shared" si="19"/>
        <v>-111.08</v>
      </c>
      <c r="O68" s="1652">
        <f t="shared" si="31"/>
        <v>0</v>
      </c>
      <c r="P68" s="1653">
        <f t="shared" si="32"/>
        <v>0</v>
      </c>
      <c r="Q68" s="1653">
        <f t="shared" si="33"/>
        <v>0</v>
      </c>
      <c r="R68" s="1653">
        <f t="shared" si="34"/>
        <v>0</v>
      </c>
      <c r="S68" s="1653">
        <f t="shared" si="35"/>
        <v>0</v>
      </c>
      <c r="T68" s="1653">
        <f t="shared" si="20"/>
        <v>0</v>
      </c>
      <c r="U68" s="1653">
        <f t="shared" si="21"/>
        <v>0</v>
      </c>
      <c r="V68" s="1653">
        <f t="shared" si="22"/>
        <v>0</v>
      </c>
      <c r="W68" s="1653">
        <f t="shared" si="23"/>
        <v>0</v>
      </c>
      <c r="X68" s="1653">
        <f t="shared" si="24"/>
        <v>0</v>
      </c>
      <c r="Y68" s="1653">
        <f t="shared" si="25"/>
        <v>0</v>
      </c>
    </row>
    <row r="69" spans="1:25" ht="15" hidden="1" outlineLevel="1">
      <c r="A69" s="1615">
        <v>61</v>
      </c>
      <c r="C69" s="1651" t="s">
        <v>2535</v>
      </c>
      <c r="D69" s="1651" t="s">
        <v>2499</v>
      </c>
      <c r="E69" s="1613">
        <v>114.89</v>
      </c>
      <c r="F69" s="1613">
        <v>-114.89</v>
      </c>
      <c r="G69" s="1613">
        <f t="shared" si="26"/>
        <v>0</v>
      </c>
      <c r="H69" s="1578">
        <v>2007</v>
      </c>
      <c r="I69" s="1662">
        <f t="shared" si="27"/>
        <v>8.5</v>
      </c>
      <c r="J69" s="1663">
        <v>36</v>
      </c>
      <c r="K69" s="1664">
        <f t="shared" si="28"/>
        <v>0.33333333333333331</v>
      </c>
      <c r="L69" s="1613">
        <f t="shared" si="29"/>
        <v>0</v>
      </c>
      <c r="M69" s="1613">
        <f t="shared" si="30"/>
        <v>114.89</v>
      </c>
      <c r="N69" s="1613">
        <f t="shared" si="19"/>
        <v>-114.89</v>
      </c>
      <c r="O69" s="1652">
        <f t="shared" si="31"/>
        <v>0</v>
      </c>
      <c r="P69" s="1653">
        <f t="shared" si="32"/>
        <v>0</v>
      </c>
      <c r="Q69" s="1653">
        <f t="shared" si="33"/>
        <v>0</v>
      </c>
      <c r="R69" s="1653">
        <f t="shared" si="34"/>
        <v>0</v>
      </c>
      <c r="S69" s="1653">
        <f t="shared" si="35"/>
        <v>0</v>
      </c>
      <c r="T69" s="1653">
        <f t="shared" si="20"/>
        <v>0</v>
      </c>
      <c r="U69" s="1653">
        <f t="shared" si="21"/>
        <v>0</v>
      </c>
      <c r="V69" s="1653">
        <f t="shared" si="22"/>
        <v>0</v>
      </c>
      <c r="W69" s="1653">
        <f t="shared" si="23"/>
        <v>0</v>
      </c>
      <c r="X69" s="1653">
        <f t="shared" si="24"/>
        <v>0</v>
      </c>
      <c r="Y69" s="1653">
        <f t="shared" si="25"/>
        <v>0</v>
      </c>
    </row>
    <row r="70" spans="1:25" ht="15" hidden="1" outlineLevel="1">
      <c r="A70" s="1615">
        <v>62</v>
      </c>
      <c r="C70" s="1651" t="s">
        <v>2536</v>
      </c>
      <c r="D70" s="1651" t="s">
        <v>2484</v>
      </c>
      <c r="E70" s="1613">
        <v>123.84</v>
      </c>
      <c r="F70" s="1613">
        <v>-123.84</v>
      </c>
      <c r="G70" s="1613">
        <f t="shared" si="26"/>
        <v>0</v>
      </c>
      <c r="H70" s="1578">
        <v>2007</v>
      </c>
      <c r="I70" s="1662">
        <f t="shared" si="27"/>
        <v>8.5</v>
      </c>
      <c r="J70" s="1663">
        <v>36</v>
      </c>
      <c r="K70" s="1664">
        <f t="shared" si="28"/>
        <v>0.33333333333333331</v>
      </c>
      <c r="L70" s="1613">
        <f t="shared" si="29"/>
        <v>0</v>
      </c>
      <c r="M70" s="1613">
        <f t="shared" si="30"/>
        <v>123.84</v>
      </c>
      <c r="N70" s="1613">
        <f t="shared" si="19"/>
        <v>-123.84</v>
      </c>
      <c r="O70" s="1652">
        <f t="shared" si="31"/>
        <v>0</v>
      </c>
      <c r="P70" s="1653">
        <f t="shared" si="32"/>
        <v>0</v>
      </c>
      <c r="Q70" s="1653">
        <f t="shared" si="33"/>
        <v>0</v>
      </c>
      <c r="R70" s="1653">
        <f t="shared" si="34"/>
        <v>0</v>
      </c>
      <c r="S70" s="1653">
        <f t="shared" si="35"/>
        <v>0</v>
      </c>
      <c r="T70" s="1653">
        <f t="shared" si="20"/>
        <v>0</v>
      </c>
      <c r="U70" s="1653">
        <f t="shared" si="21"/>
        <v>0</v>
      </c>
      <c r="V70" s="1653">
        <f t="shared" si="22"/>
        <v>0</v>
      </c>
      <c r="W70" s="1653">
        <f t="shared" si="23"/>
        <v>0</v>
      </c>
      <c r="X70" s="1653">
        <f t="shared" si="24"/>
        <v>0</v>
      </c>
      <c r="Y70" s="1653">
        <f t="shared" si="25"/>
        <v>0</v>
      </c>
    </row>
    <row r="71" spans="1:25" ht="15" hidden="1" outlineLevel="1">
      <c r="A71" s="1615">
        <v>63</v>
      </c>
      <c r="C71" s="1651" t="s">
        <v>2537</v>
      </c>
      <c r="D71" s="1651" t="s">
        <v>2521</v>
      </c>
      <c r="E71" s="1613">
        <v>137.18</v>
      </c>
      <c r="F71" s="1613">
        <v>-137.18</v>
      </c>
      <c r="G71" s="1613">
        <f t="shared" si="26"/>
        <v>0</v>
      </c>
      <c r="H71" s="1578">
        <v>2007</v>
      </c>
      <c r="I71" s="1662">
        <f t="shared" si="27"/>
        <v>8.5</v>
      </c>
      <c r="J71" s="1663">
        <v>36</v>
      </c>
      <c r="K71" s="1664">
        <f t="shared" si="28"/>
        <v>0.33333333333333331</v>
      </c>
      <c r="L71" s="1613">
        <f t="shared" si="29"/>
        <v>0</v>
      </c>
      <c r="M71" s="1613">
        <f t="shared" si="30"/>
        <v>137.18</v>
      </c>
      <c r="N71" s="1613">
        <f t="shared" si="19"/>
        <v>-137.18</v>
      </c>
      <c r="O71" s="1652">
        <f t="shared" si="31"/>
        <v>0</v>
      </c>
      <c r="P71" s="1653">
        <f t="shared" si="32"/>
        <v>0</v>
      </c>
      <c r="Q71" s="1653">
        <f t="shared" si="33"/>
        <v>0</v>
      </c>
      <c r="R71" s="1653">
        <f t="shared" si="34"/>
        <v>0</v>
      </c>
      <c r="S71" s="1653">
        <f t="shared" si="35"/>
        <v>0</v>
      </c>
      <c r="T71" s="1653">
        <f t="shared" si="20"/>
        <v>0</v>
      </c>
      <c r="U71" s="1653">
        <f t="shared" si="21"/>
        <v>0</v>
      </c>
      <c r="V71" s="1653">
        <f t="shared" si="22"/>
        <v>0</v>
      </c>
      <c r="W71" s="1653">
        <f t="shared" si="23"/>
        <v>0</v>
      </c>
      <c r="X71" s="1653">
        <f t="shared" si="24"/>
        <v>0</v>
      </c>
      <c r="Y71" s="1653">
        <f t="shared" si="25"/>
        <v>0</v>
      </c>
    </row>
    <row r="72" spans="1:25" ht="15" hidden="1" outlineLevel="1">
      <c r="A72" s="1615">
        <v>64</v>
      </c>
      <c r="C72" s="1651" t="s">
        <v>2538</v>
      </c>
      <c r="D72" s="1651" t="s">
        <v>2524</v>
      </c>
      <c r="E72" s="1613">
        <v>140.66999999999999</v>
      </c>
      <c r="F72" s="1613">
        <v>-140.66999999999999</v>
      </c>
      <c r="G72" s="1613">
        <f t="shared" si="26"/>
        <v>0</v>
      </c>
      <c r="H72" s="1578">
        <v>2007</v>
      </c>
      <c r="I72" s="1662">
        <f t="shared" si="27"/>
        <v>8.5</v>
      </c>
      <c r="J72" s="1663">
        <v>36</v>
      </c>
      <c r="K72" s="1664">
        <f t="shared" si="28"/>
        <v>0.33333333333333331</v>
      </c>
      <c r="L72" s="1613">
        <f t="shared" si="29"/>
        <v>0</v>
      </c>
      <c r="M72" s="1613">
        <f t="shared" si="30"/>
        <v>140.66999999999999</v>
      </c>
      <c r="N72" s="1613">
        <f t="shared" si="19"/>
        <v>-140.66999999999999</v>
      </c>
      <c r="O72" s="1652">
        <f t="shared" si="31"/>
        <v>0</v>
      </c>
      <c r="P72" s="1653">
        <f t="shared" si="32"/>
        <v>0</v>
      </c>
      <c r="Q72" s="1653">
        <f t="shared" si="33"/>
        <v>0</v>
      </c>
      <c r="R72" s="1653">
        <f t="shared" si="34"/>
        <v>0</v>
      </c>
      <c r="S72" s="1653">
        <f t="shared" si="35"/>
        <v>0</v>
      </c>
      <c r="T72" s="1653">
        <f t="shared" si="20"/>
        <v>0</v>
      </c>
      <c r="U72" s="1653">
        <f t="shared" si="21"/>
        <v>0</v>
      </c>
      <c r="V72" s="1653">
        <f t="shared" si="22"/>
        <v>0</v>
      </c>
      <c r="W72" s="1653">
        <f t="shared" si="23"/>
        <v>0</v>
      </c>
      <c r="X72" s="1653">
        <f t="shared" si="24"/>
        <v>0</v>
      </c>
      <c r="Y72" s="1653">
        <f t="shared" si="25"/>
        <v>0</v>
      </c>
    </row>
    <row r="73" spans="1:25" ht="15" hidden="1" outlineLevel="1">
      <c r="A73" s="1615">
        <v>65</v>
      </c>
      <c r="C73" s="1651" t="s">
        <v>2539</v>
      </c>
      <c r="D73" s="1651" t="s">
        <v>2487</v>
      </c>
      <c r="E73" s="1613">
        <v>142.46</v>
      </c>
      <c r="F73" s="1613">
        <v>-142.46</v>
      </c>
      <c r="G73" s="1613">
        <f t="shared" si="26"/>
        <v>0</v>
      </c>
      <c r="H73" s="1578">
        <v>2007</v>
      </c>
      <c r="I73" s="1662">
        <f t="shared" si="27"/>
        <v>8.5</v>
      </c>
      <c r="J73" s="1663">
        <v>36</v>
      </c>
      <c r="K73" s="1664">
        <f t="shared" si="28"/>
        <v>0.33333333333333331</v>
      </c>
      <c r="L73" s="1613">
        <f t="shared" si="29"/>
        <v>0</v>
      </c>
      <c r="M73" s="1613">
        <f t="shared" si="30"/>
        <v>142.46</v>
      </c>
      <c r="N73" s="1613">
        <f t="shared" si="19"/>
        <v>-142.46</v>
      </c>
      <c r="O73" s="1652">
        <f t="shared" si="31"/>
        <v>0</v>
      </c>
      <c r="P73" s="1653">
        <f t="shared" si="32"/>
        <v>0</v>
      </c>
      <c r="Q73" s="1653">
        <f t="shared" si="33"/>
        <v>0</v>
      </c>
      <c r="R73" s="1653">
        <f t="shared" si="34"/>
        <v>0</v>
      </c>
      <c r="S73" s="1653">
        <f t="shared" si="35"/>
        <v>0</v>
      </c>
      <c r="T73" s="1653">
        <f t="shared" si="20"/>
        <v>0</v>
      </c>
      <c r="U73" s="1653">
        <f t="shared" si="21"/>
        <v>0</v>
      </c>
      <c r="V73" s="1653">
        <f t="shared" si="22"/>
        <v>0</v>
      </c>
      <c r="W73" s="1653">
        <f t="shared" si="23"/>
        <v>0</v>
      </c>
      <c r="X73" s="1653">
        <f t="shared" si="24"/>
        <v>0</v>
      </c>
      <c r="Y73" s="1653">
        <f t="shared" si="25"/>
        <v>0</v>
      </c>
    </row>
    <row r="74" spans="1:25" ht="15" hidden="1" outlineLevel="1">
      <c r="A74" s="1615">
        <v>66</v>
      </c>
      <c r="C74" s="1651" t="s">
        <v>2540</v>
      </c>
      <c r="D74" s="1651" t="s">
        <v>2499</v>
      </c>
      <c r="E74" s="1613">
        <v>144.13</v>
      </c>
      <c r="F74" s="1613">
        <v>-144.13</v>
      </c>
      <c r="G74" s="1613">
        <f t="shared" si="26"/>
        <v>0</v>
      </c>
      <c r="H74" s="1578">
        <v>2007</v>
      </c>
      <c r="I74" s="1662">
        <f t="shared" si="27"/>
        <v>8.5</v>
      </c>
      <c r="J74" s="1663">
        <v>36</v>
      </c>
      <c r="K74" s="1664">
        <f t="shared" si="28"/>
        <v>0.33333333333333331</v>
      </c>
      <c r="L74" s="1613">
        <f t="shared" si="29"/>
        <v>0</v>
      </c>
      <c r="M74" s="1613">
        <f t="shared" si="30"/>
        <v>144.13</v>
      </c>
      <c r="N74" s="1613">
        <f t="shared" si="19"/>
        <v>-144.13</v>
      </c>
      <c r="O74" s="1652">
        <f t="shared" si="31"/>
        <v>0</v>
      </c>
      <c r="P74" s="1653">
        <f t="shared" si="32"/>
        <v>0</v>
      </c>
      <c r="Q74" s="1653">
        <f t="shared" si="33"/>
        <v>0</v>
      </c>
      <c r="R74" s="1653">
        <f t="shared" si="34"/>
        <v>0</v>
      </c>
      <c r="S74" s="1653">
        <f t="shared" si="35"/>
        <v>0</v>
      </c>
      <c r="T74" s="1653">
        <f t="shared" si="20"/>
        <v>0</v>
      </c>
      <c r="U74" s="1653">
        <f t="shared" si="21"/>
        <v>0</v>
      </c>
      <c r="V74" s="1653">
        <f t="shared" si="22"/>
        <v>0</v>
      </c>
      <c r="W74" s="1653">
        <f t="shared" si="23"/>
        <v>0</v>
      </c>
      <c r="X74" s="1653">
        <f t="shared" si="24"/>
        <v>0</v>
      </c>
      <c r="Y74" s="1653">
        <f t="shared" si="25"/>
        <v>0</v>
      </c>
    </row>
    <row r="75" spans="1:25" ht="15" hidden="1" outlineLevel="1">
      <c r="A75" s="1615">
        <v>67</v>
      </c>
      <c r="C75" s="1651" t="s">
        <v>2541</v>
      </c>
      <c r="D75" s="1651" t="s">
        <v>2482</v>
      </c>
      <c r="E75" s="1613">
        <v>216.64</v>
      </c>
      <c r="F75" s="1613">
        <v>-216.64</v>
      </c>
      <c r="G75" s="1613">
        <f t="shared" si="26"/>
        <v>0</v>
      </c>
      <c r="H75" s="1578">
        <v>2007</v>
      </c>
      <c r="I75" s="1662">
        <f t="shared" si="27"/>
        <v>8.5</v>
      </c>
      <c r="J75" s="1663">
        <v>36</v>
      </c>
      <c r="K75" s="1664">
        <f t="shared" si="28"/>
        <v>0.33333333333333331</v>
      </c>
      <c r="L75" s="1613">
        <f t="shared" si="29"/>
        <v>0</v>
      </c>
      <c r="M75" s="1613">
        <f t="shared" si="30"/>
        <v>216.64</v>
      </c>
      <c r="N75" s="1613">
        <f t="shared" si="19"/>
        <v>-216.64</v>
      </c>
      <c r="O75" s="1652">
        <f t="shared" si="31"/>
        <v>0</v>
      </c>
      <c r="P75" s="1653">
        <f t="shared" si="32"/>
        <v>0</v>
      </c>
      <c r="Q75" s="1653">
        <f t="shared" si="33"/>
        <v>0</v>
      </c>
      <c r="R75" s="1653">
        <f t="shared" si="34"/>
        <v>0</v>
      </c>
      <c r="S75" s="1653">
        <f t="shared" si="35"/>
        <v>0</v>
      </c>
      <c r="T75" s="1653">
        <f t="shared" si="20"/>
        <v>0</v>
      </c>
      <c r="U75" s="1653">
        <f t="shared" si="21"/>
        <v>0</v>
      </c>
      <c r="V75" s="1653">
        <f t="shared" si="22"/>
        <v>0</v>
      </c>
      <c r="W75" s="1653">
        <f t="shared" si="23"/>
        <v>0</v>
      </c>
      <c r="X75" s="1653">
        <f t="shared" si="24"/>
        <v>0</v>
      </c>
      <c r="Y75" s="1653">
        <f t="shared" si="25"/>
        <v>0</v>
      </c>
    </row>
    <row r="76" spans="1:25" ht="15" hidden="1" outlineLevel="1">
      <c r="A76" s="1615">
        <v>68</v>
      </c>
      <c r="C76" s="1651" t="s">
        <v>2542</v>
      </c>
      <c r="D76" s="1651" t="s">
        <v>2543</v>
      </c>
      <c r="E76" s="1613">
        <v>217.07</v>
      </c>
      <c r="F76" s="1613">
        <v>-217.07</v>
      </c>
      <c r="G76" s="1613">
        <f t="shared" si="26"/>
        <v>0</v>
      </c>
      <c r="H76" s="1578">
        <v>2007</v>
      </c>
      <c r="I76" s="1662">
        <f t="shared" si="27"/>
        <v>8.5</v>
      </c>
      <c r="J76" s="1663">
        <v>36</v>
      </c>
      <c r="K76" s="1664">
        <f t="shared" si="28"/>
        <v>0.33333333333333331</v>
      </c>
      <c r="L76" s="1613">
        <f t="shared" si="29"/>
        <v>0</v>
      </c>
      <c r="M76" s="1613">
        <f t="shared" si="30"/>
        <v>217.07</v>
      </c>
      <c r="N76" s="1613">
        <f t="shared" si="19"/>
        <v>-217.07</v>
      </c>
      <c r="O76" s="1652">
        <f t="shared" si="31"/>
        <v>0</v>
      </c>
      <c r="P76" s="1653">
        <f t="shared" si="32"/>
        <v>0</v>
      </c>
      <c r="Q76" s="1653">
        <f t="shared" si="33"/>
        <v>0</v>
      </c>
      <c r="R76" s="1653">
        <f t="shared" si="34"/>
        <v>0</v>
      </c>
      <c r="S76" s="1653">
        <f t="shared" si="35"/>
        <v>0</v>
      </c>
      <c r="T76" s="1653">
        <f t="shared" si="20"/>
        <v>0</v>
      </c>
      <c r="U76" s="1653">
        <f t="shared" si="21"/>
        <v>0</v>
      </c>
      <c r="V76" s="1653">
        <f t="shared" si="22"/>
        <v>0</v>
      </c>
      <c r="W76" s="1653">
        <f t="shared" si="23"/>
        <v>0</v>
      </c>
      <c r="X76" s="1653">
        <f t="shared" si="24"/>
        <v>0</v>
      </c>
      <c r="Y76" s="1653">
        <f t="shared" si="25"/>
        <v>0</v>
      </c>
    </row>
    <row r="77" spans="1:25" ht="15" hidden="1" outlineLevel="1">
      <c r="A77" s="1615">
        <v>69</v>
      </c>
      <c r="C77" s="1651" t="s">
        <v>2544</v>
      </c>
      <c r="D77" s="1651" t="s">
        <v>2499</v>
      </c>
      <c r="E77" s="1613">
        <v>223.54</v>
      </c>
      <c r="F77" s="1613">
        <v>-223.54</v>
      </c>
      <c r="G77" s="1613">
        <f t="shared" si="26"/>
        <v>0</v>
      </c>
      <c r="H77" s="1578">
        <v>2007</v>
      </c>
      <c r="I77" s="1662">
        <f t="shared" si="27"/>
        <v>8.5</v>
      </c>
      <c r="J77" s="1663">
        <v>36</v>
      </c>
      <c r="K77" s="1664">
        <f t="shared" si="28"/>
        <v>0.33333333333333331</v>
      </c>
      <c r="L77" s="1613">
        <f t="shared" si="29"/>
        <v>0</v>
      </c>
      <c r="M77" s="1613">
        <f t="shared" si="30"/>
        <v>223.54</v>
      </c>
      <c r="N77" s="1613">
        <f t="shared" si="19"/>
        <v>-223.54</v>
      </c>
      <c r="O77" s="1652">
        <f t="shared" si="31"/>
        <v>0</v>
      </c>
      <c r="P77" s="1653">
        <f t="shared" si="32"/>
        <v>0</v>
      </c>
      <c r="Q77" s="1653">
        <f t="shared" si="33"/>
        <v>0</v>
      </c>
      <c r="R77" s="1653">
        <f t="shared" si="34"/>
        <v>0</v>
      </c>
      <c r="S77" s="1653">
        <f t="shared" si="35"/>
        <v>0</v>
      </c>
      <c r="T77" s="1653">
        <f t="shared" si="20"/>
        <v>0</v>
      </c>
      <c r="U77" s="1653">
        <f t="shared" si="21"/>
        <v>0</v>
      </c>
      <c r="V77" s="1653">
        <f t="shared" si="22"/>
        <v>0</v>
      </c>
      <c r="W77" s="1653">
        <f t="shared" si="23"/>
        <v>0</v>
      </c>
      <c r="X77" s="1653">
        <f t="shared" si="24"/>
        <v>0</v>
      </c>
      <c r="Y77" s="1653">
        <f t="shared" si="25"/>
        <v>0</v>
      </c>
    </row>
    <row r="78" spans="1:25" ht="15" hidden="1" outlineLevel="1">
      <c r="A78" s="1615">
        <v>70</v>
      </c>
      <c r="C78" s="1651" t="s">
        <v>2545</v>
      </c>
      <c r="D78" s="1651" t="s">
        <v>2531</v>
      </c>
      <c r="E78" s="1613">
        <v>225.72</v>
      </c>
      <c r="F78" s="1613">
        <v>-225.72</v>
      </c>
      <c r="G78" s="1613">
        <f t="shared" si="26"/>
        <v>0</v>
      </c>
      <c r="H78" s="1578">
        <v>2007</v>
      </c>
      <c r="I78" s="1662">
        <f t="shared" si="27"/>
        <v>8.5</v>
      </c>
      <c r="J78" s="1663">
        <v>36</v>
      </c>
      <c r="K78" s="1664">
        <f t="shared" si="28"/>
        <v>0.33333333333333331</v>
      </c>
      <c r="L78" s="1613">
        <f t="shared" si="29"/>
        <v>0</v>
      </c>
      <c r="M78" s="1613">
        <f t="shared" si="30"/>
        <v>225.72</v>
      </c>
      <c r="N78" s="1613">
        <f t="shared" si="19"/>
        <v>-225.72</v>
      </c>
      <c r="O78" s="1652">
        <f t="shared" si="31"/>
        <v>0</v>
      </c>
      <c r="P78" s="1653">
        <f t="shared" si="32"/>
        <v>0</v>
      </c>
      <c r="Q78" s="1653">
        <f t="shared" si="33"/>
        <v>0</v>
      </c>
      <c r="R78" s="1653">
        <f t="shared" si="34"/>
        <v>0</v>
      </c>
      <c r="S78" s="1653">
        <f t="shared" si="35"/>
        <v>0</v>
      </c>
      <c r="T78" s="1653">
        <f t="shared" si="20"/>
        <v>0</v>
      </c>
      <c r="U78" s="1653">
        <f t="shared" si="21"/>
        <v>0</v>
      </c>
      <c r="V78" s="1653">
        <f t="shared" si="22"/>
        <v>0</v>
      </c>
      <c r="W78" s="1653">
        <f t="shared" si="23"/>
        <v>0</v>
      </c>
      <c r="X78" s="1653">
        <f t="shared" si="24"/>
        <v>0</v>
      </c>
      <c r="Y78" s="1653">
        <f t="shared" si="25"/>
        <v>0</v>
      </c>
    </row>
    <row r="79" spans="1:25" ht="15" hidden="1" outlineLevel="1">
      <c r="A79" s="1615">
        <v>71</v>
      </c>
      <c r="C79" s="1651" t="s">
        <v>2546</v>
      </c>
      <c r="D79" s="1651" t="s">
        <v>2499</v>
      </c>
      <c r="E79" s="1613">
        <v>225.75</v>
      </c>
      <c r="F79" s="1613">
        <v>-225.75</v>
      </c>
      <c r="G79" s="1613">
        <f t="shared" si="26"/>
        <v>0</v>
      </c>
      <c r="H79" s="1578">
        <v>2007</v>
      </c>
      <c r="I79" s="1662">
        <f t="shared" si="27"/>
        <v>8.5</v>
      </c>
      <c r="J79" s="1663">
        <v>36</v>
      </c>
      <c r="K79" s="1664">
        <f t="shared" si="28"/>
        <v>0.33333333333333331</v>
      </c>
      <c r="L79" s="1613">
        <f t="shared" si="29"/>
        <v>0</v>
      </c>
      <c r="M79" s="1613">
        <f t="shared" si="30"/>
        <v>225.75</v>
      </c>
      <c r="N79" s="1613">
        <f t="shared" si="19"/>
        <v>-225.75</v>
      </c>
      <c r="O79" s="1652">
        <f t="shared" si="31"/>
        <v>0</v>
      </c>
      <c r="P79" s="1653">
        <f t="shared" si="32"/>
        <v>0</v>
      </c>
      <c r="Q79" s="1653">
        <f t="shared" si="33"/>
        <v>0</v>
      </c>
      <c r="R79" s="1653">
        <f t="shared" si="34"/>
        <v>0</v>
      </c>
      <c r="S79" s="1653">
        <f t="shared" si="35"/>
        <v>0</v>
      </c>
      <c r="T79" s="1653">
        <f t="shared" si="20"/>
        <v>0</v>
      </c>
      <c r="U79" s="1653">
        <f t="shared" si="21"/>
        <v>0</v>
      </c>
      <c r="V79" s="1653">
        <f t="shared" si="22"/>
        <v>0</v>
      </c>
      <c r="W79" s="1653">
        <f t="shared" si="23"/>
        <v>0</v>
      </c>
      <c r="X79" s="1653">
        <f t="shared" si="24"/>
        <v>0</v>
      </c>
      <c r="Y79" s="1653">
        <f t="shared" si="25"/>
        <v>0</v>
      </c>
    </row>
    <row r="80" spans="1:25" ht="15" hidden="1" outlineLevel="1">
      <c r="A80" s="1615">
        <v>72</v>
      </c>
      <c r="C80" s="1651" t="s">
        <v>2547</v>
      </c>
      <c r="D80" s="1651" t="s">
        <v>2548</v>
      </c>
      <c r="E80" s="1613">
        <v>238.55</v>
      </c>
      <c r="F80" s="1613">
        <v>-238.55</v>
      </c>
      <c r="G80" s="1613">
        <f t="shared" si="26"/>
        <v>0</v>
      </c>
      <c r="H80" s="1578">
        <v>2007</v>
      </c>
      <c r="I80" s="1662">
        <f t="shared" si="27"/>
        <v>8.5</v>
      </c>
      <c r="J80" s="1663">
        <v>36</v>
      </c>
      <c r="K80" s="1664">
        <f t="shared" si="28"/>
        <v>0.33333333333333331</v>
      </c>
      <c r="L80" s="1613">
        <f t="shared" si="29"/>
        <v>0</v>
      </c>
      <c r="M80" s="1613">
        <f t="shared" si="30"/>
        <v>238.55</v>
      </c>
      <c r="N80" s="1613">
        <f t="shared" si="19"/>
        <v>-238.55</v>
      </c>
      <c r="O80" s="1652">
        <f t="shared" si="31"/>
        <v>0</v>
      </c>
      <c r="P80" s="1653">
        <f t="shared" si="32"/>
        <v>0</v>
      </c>
      <c r="Q80" s="1653">
        <f t="shared" si="33"/>
        <v>0</v>
      </c>
      <c r="R80" s="1653">
        <f t="shared" si="34"/>
        <v>0</v>
      </c>
      <c r="S80" s="1653">
        <f t="shared" si="35"/>
        <v>0</v>
      </c>
      <c r="T80" s="1653">
        <f t="shared" si="20"/>
        <v>0</v>
      </c>
      <c r="U80" s="1653">
        <f t="shared" si="21"/>
        <v>0</v>
      </c>
      <c r="V80" s="1653">
        <f t="shared" si="22"/>
        <v>0</v>
      </c>
      <c r="W80" s="1653">
        <f t="shared" si="23"/>
        <v>0</v>
      </c>
      <c r="X80" s="1653">
        <f t="shared" si="24"/>
        <v>0</v>
      </c>
      <c r="Y80" s="1653">
        <f t="shared" si="25"/>
        <v>0</v>
      </c>
    </row>
    <row r="81" spans="1:25" ht="15" hidden="1" outlineLevel="1">
      <c r="A81" s="1615">
        <v>73</v>
      </c>
      <c r="C81" s="1651" t="s">
        <v>2549</v>
      </c>
      <c r="D81" s="1651" t="s">
        <v>2550</v>
      </c>
      <c r="E81" s="1613">
        <v>245.52</v>
      </c>
      <c r="F81" s="1613">
        <v>-245.52</v>
      </c>
      <c r="G81" s="1613">
        <f t="shared" si="26"/>
        <v>0</v>
      </c>
      <c r="H81" s="1578">
        <v>2007</v>
      </c>
      <c r="I81" s="1662">
        <f t="shared" si="27"/>
        <v>8.5</v>
      </c>
      <c r="J81" s="1663">
        <v>36</v>
      </c>
      <c r="K81" s="1664">
        <f t="shared" si="28"/>
        <v>0.33333333333333331</v>
      </c>
      <c r="L81" s="1613">
        <f t="shared" si="29"/>
        <v>0</v>
      </c>
      <c r="M81" s="1613">
        <f t="shared" si="30"/>
        <v>245.52</v>
      </c>
      <c r="N81" s="1613">
        <f t="shared" si="19"/>
        <v>-245.52</v>
      </c>
      <c r="O81" s="1652">
        <f t="shared" si="31"/>
        <v>0</v>
      </c>
      <c r="P81" s="1653">
        <f t="shared" si="32"/>
        <v>0</v>
      </c>
      <c r="Q81" s="1653">
        <f t="shared" si="33"/>
        <v>0</v>
      </c>
      <c r="R81" s="1653">
        <f t="shared" si="34"/>
        <v>0</v>
      </c>
      <c r="S81" s="1653">
        <f t="shared" si="35"/>
        <v>0</v>
      </c>
      <c r="T81" s="1653">
        <f t="shared" si="20"/>
        <v>0</v>
      </c>
      <c r="U81" s="1653">
        <f t="shared" si="21"/>
        <v>0</v>
      </c>
      <c r="V81" s="1653">
        <f t="shared" si="22"/>
        <v>0</v>
      </c>
      <c r="W81" s="1653">
        <f t="shared" si="23"/>
        <v>0</v>
      </c>
      <c r="X81" s="1653">
        <f t="shared" si="24"/>
        <v>0</v>
      </c>
      <c r="Y81" s="1653">
        <f t="shared" si="25"/>
        <v>0</v>
      </c>
    </row>
    <row r="82" spans="1:25" ht="15" hidden="1" outlineLevel="1">
      <c r="A82" s="1615">
        <v>74</v>
      </c>
      <c r="C82" s="1651" t="s">
        <v>2551</v>
      </c>
      <c r="D82" s="1651" t="s">
        <v>2482</v>
      </c>
      <c r="E82" s="1613">
        <v>265.87</v>
      </c>
      <c r="F82" s="1613">
        <v>-265.87</v>
      </c>
      <c r="G82" s="1613">
        <f t="shared" si="26"/>
        <v>0</v>
      </c>
      <c r="H82" s="1578">
        <v>2007</v>
      </c>
      <c r="I82" s="1662">
        <f t="shared" si="27"/>
        <v>8.5</v>
      </c>
      <c r="J82" s="1663">
        <v>36</v>
      </c>
      <c r="K82" s="1664">
        <f t="shared" si="28"/>
        <v>0.33333333333333331</v>
      </c>
      <c r="L82" s="1613">
        <f t="shared" si="29"/>
        <v>0</v>
      </c>
      <c r="M82" s="1613">
        <f t="shared" si="30"/>
        <v>265.87</v>
      </c>
      <c r="N82" s="1613">
        <f t="shared" si="19"/>
        <v>-265.87</v>
      </c>
      <c r="O82" s="1652">
        <f t="shared" si="31"/>
        <v>0</v>
      </c>
      <c r="P82" s="1653">
        <f t="shared" si="32"/>
        <v>0</v>
      </c>
      <c r="Q82" s="1653">
        <f t="shared" si="33"/>
        <v>0</v>
      </c>
      <c r="R82" s="1653">
        <f t="shared" si="34"/>
        <v>0</v>
      </c>
      <c r="S82" s="1653">
        <f t="shared" si="35"/>
        <v>0</v>
      </c>
      <c r="T82" s="1653">
        <f t="shared" si="20"/>
        <v>0</v>
      </c>
      <c r="U82" s="1653">
        <f t="shared" si="21"/>
        <v>0</v>
      </c>
      <c r="V82" s="1653">
        <f t="shared" si="22"/>
        <v>0</v>
      </c>
      <c r="W82" s="1653">
        <f t="shared" si="23"/>
        <v>0</v>
      </c>
      <c r="X82" s="1653">
        <f t="shared" si="24"/>
        <v>0</v>
      </c>
      <c r="Y82" s="1653">
        <f t="shared" si="25"/>
        <v>0</v>
      </c>
    </row>
    <row r="83" spans="1:25" ht="15" hidden="1" outlineLevel="1">
      <c r="A83" s="1615">
        <v>75</v>
      </c>
      <c r="C83" s="1651" t="s">
        <v>2552</v>
      </c>
      <c r="D83" s="1651" t="s">
        <v>2499</v>
      </c>
      <c r="E83" s="1613">
        <v>267.75</v>
      </c>
      <c r="F83" s="1613">
        <v>-267.75</v>
      </c>
      <c r="G83" s="1613">
        <f t="shared" si="26"/>
        <v>0</v>
      </c>
      <c r="H83" s="1578">
        <v>2007</v>
      </c>
      <c r="I83" s="1662">
        <f t="shared" si="27"/>
        <v>8.5</v>
      </c>
      <c r="J83" s="1663">
        <v>36</v>
      </c>
      <c r="K83" s="1664">
        <f t="shared" si="28"/>
        <v>0.33333333333333331</v>
      </c>
      <c r="L83" s="1613">
        <f t="shared" si="29"/>
        <v>0</v>
      </c>
      <c r="M83" s="1613">
        <f t="shared" si="30"/>
        <v>267.75</v>
      </c>
      <c r="N83" s="1613">
        <f t="shared" si="19"/>
        <v>-267.75</v>
      </c>
      <c r="O83" s="1652">
        <f t="shared" si="31"/>
        <v>0</v>
      </c>
      <c r="P83" s="1653">
        <f t="shared" si="32"/>
        <v>0</v>
      </c>
      <c r="Q83" s="1653">
        <f t="shared" si="33"/>
        <v>0</v>
      </c>
      <c r="R83" s="1653">
        <f t="shared" si="34"/>
        <v>0</v>
      </c>
      <c r="S83" s="1653">
        <f t="shared" si="35"/>
        <v>0</v>
      </c>
      <c r="T83" s="1653">
        <f t="shared" si="20"/>
        <v>0</v>
      </c>
      <c r="U83" s="1653">
        <f t="shared" si="21"/>
        <v>0</v>
      </c>
      <c r="V83" s="1653">
        <f t="shared" si="22"/>
        <v>0</v>
      </c>
      <c r="W83" s="1653">
        <f t="shared" si="23"/>
        <v>0</v>
      </c>
      <c r="X83" s="1653">
        <f t="shared" si="24"/>
        <v>0</v>
      </c>
      <c r="Y83" s="1653">
        <f t="shared" si="25"/>
        <v>0</v>
      </c>
    </row>
    <row r="84" spans="1:25" ht="15" hidden="1" outlineLevel="1">
      <c r="A84" s="1615">
        <v>76</v>
      </c>
      <c r="C84" s="1651" t="s">
        <v>2553</v>
      </c>
      <c r="D84" s="1651" t="s">
        <v>2554</v>
      </c>
      <c r="E84" s="1613">
        <v>271.97000000000003</v>
      </c>
      <c r="F84" s="1613">
        <v>-271.97000000000003</v>
      </c>
      <c r="G84" s="1613">
        <f t="shared" si="26"/>
        <v>0</v>
      </c>
      <c r="H84" s="1578">
        <v>2007</v>
      </c>
      <c r="I84" s="1662">
        <f t="shared" si="27"/>
        <v>8.5</v>
      </c>
      <c r="J84" s="1663">
        <v>36</v>
      </c>
      <c r="K84" s="1664">
        <f t="shared" si="28"/>
        <v>0.33333333333333331</v>
      </c>
      <c r="L84" s="1613">
        <f t="shared" si="29"/>
        <v>0</v>
      </c>
      <c r="M84" s="1613">
        <f t="shared" si="30"/>
        <v>271.97000000000003</v>
      </c>
      <c r="N84" s="1613">
        <f t="shared" si="19"/>
        <v>-271.97000000000003</v>
      </c>
      <c r="O84" s="1652">
        <f t="shared" si="31"/>
        <v>0</v>
      </c>
      <c r="P84" s="1653">
        <f t="shared" si="32"/>
        <v>0</v>
      </c>
      <c r="Q84" s="1653">
        <f t="shared" si="33"/>
        <v>0</v>
      </c>
      <c r="R84" s="1653">
        <f t="shared" si="34"/>
        <v>0</v>
      </c>
      <c r="S84" s="1653">
        <f t="shared" si="35"/>
        <v>0</v>
      </c>
      <c r="T84" s="1653">
        <f t="shared" si="20"/>
        <v>0</v>
      </c>
      <c r="U84" s="1653">
        <f t="shared" si="21"/>
        <v>0</v>
      </c>
      <c r="V84" s="1653">
        <f t="shared" si="22"/>
        <v>0</v>
      </c>
      <c r="W84" s="1653">
        <f t="shared" si="23"/>
        <v>0</v>
      </c>
      <c r="X84" s="1653">
        <f t="shared" si="24"/>
        <v>0</v>
      </c>
      <c r="Y84" s="1653">
        <f t="shared" si="25"/>
        <v>0</v>
      </c>
    </row>
    <row r="85" spans="1:25" ht="15" hidden="1" outlineLevel="1">
      <c r="A85" s="1615">
        <v>77</v>
      </c>
      <c r="C85" s="1651" t="s">
        <v>2555</v>
      </c>
      <c r="D85" s="1651" t="s">
        <v>2496</v>
      </c>
      <c r="E85" s="1613">
        <v>288.98</v>
      </c>
      <c r="F85" s="1613">
        <v>-288.98</v>
      </c>
      <c r="G85" s="1613">
        <f t="shared" si="26"/>
        <v>0</v>
      </c>
      <c r="H85" s="1578">
        <v>2007</v>
      </c>
      <c r="I85" s="1662">
        <f t="shared" si="27"/>
        <v>8.5</v>
      </c>
      <c r="J85" s="1663">
        <v>36</v>
      </c>
      <c r="K85" s="1664">
        <f t="shared" si="28"/>
        <v>0.33333333333333331</v>
      </c>
      <c r="L85" s="1613">
        <f t="shared" si="29"/>
        <v>0</v>
      </c>
      <c r="M85" s="1613">
        <f t="shared" si="30"/>
        <v>288.98</v>
      </c>
      <c r="N85" s="1613">
        <f t="shared" si="19"/>
        <v>-288.98</v>
      </c>
      <c r="O85" s="1652">
        <f t="shared" si="31"/>
        <v>0</v>
      </c>
      <c r="P85" s="1653">
        <f t="shared" si="32"/>
        <v>0</v>
      </c>
      <c r="Q85" s="1653">
        <f t="shared" si="33"/>
        <v>0</v>
      </c>
      <c r="R85" s="1653">
        <f t="shared" si="34"/>
        <v>0</v>
      </c>
      <c r="S85" s="1653">
        <f t="shared" si="35"/>
        <v>0</v>
      </c>
      <c r="T85" s="1653">
        <f t="shared" si="20"/>
        <v>0</v>
      </c>
      <c r="U85" s="1653">
        <f t="shared" si="21"/>
        <v>0</v>
      </c>
      <c r="V85" s="1653">
        <f t="shared" si="22"/>
        <v>0</v>
      </c>
      <c r="W85" s="1653">
        <f t="shared" si="23"/>
        <v>0</v>
      </c>
      <c r="X85" s="1653">
        <f t="shared" si="24"/>
        <v>0</v>
      </c>
      <c r="Y85" s="1653">
        <f t="shared" si="25"/>
        <v>0</v>
      </c>
    </row>
    <row r="86" spans="1:25" ht="15" hidden="1" outlineLevel="1">
      <c r="A86" s="1615">
        <v>78</v>
      </c>
      <c r="C86" s="1651" t="s">
        <v>2556</v>
      </c>
      <c r="D86" s="1651" t="s">
        <v>2557</v>
      </c>
      <c r="E86" s="1613">
        <v>291.56</v>
      </c>
      <c r="F86" s="1613">
        <v>-291.56</v>
      </c>
      <c r="G86" s="1613">
        <f t="shared" si="26"/>
        <v>0</v>
      </c>
      <c r="H86" s="1578">
        <v>2007</v>
      </c>
      <c r="I86" s="1662">
        <f t="shared" si="27"/>
        <v>8.5</v>
      </c>
      <c r="J86" s="1663">
        <v>36</v>
      </c>
      <c r="K86" s="1664">
        <f t="shared" si="28"/>
        <v>0.33333333333333331</v>
      </c>
      <c r="L86" s="1613">
        <f t="shared" si="29"/>
        <v>0</v>
      </c>
      <c r="M86" s="1613">
        <f t="shared" si="30"/>
        <v>291.56</v>
      </c>
      <c r="N86" s="1613">
        <f t="shared" si="19"/>
        <v>-291.56</v>
      </c>
      <c r="O86" s="1652">
        <f t="shared" si="31"/>
        <v>0</v>
      </c>
      <c r="P86" s="1653">
        <f t="shared" si="32"/>
        <v>0</v>
      </c>
      <c r="Q86" s="1653">
        <f t="shared" si="33"/>
        <v>0</v>
      </c>
      <c r="R86" s="1653">
        <f t="shared" si="34"/>
        <v>0</v>
      </c>
      <c r="S86" s="1653">
        <f t="shared" si="35"/>
        <v>0</v>
      </c>
      <c r="T86" s="1653">
        <f t="shared" si="20"/>
        <v>0</v>
      </c>
      <c r="U86" s="1653">
        <f t="shared" si="21"/>
        <v>0</v>
      </c>
      <c r="V86" s="1653">
        <f t="shared" si="22"/>
        <v>0</v>
      </c>
      <c r="W86" s="1653">
        <f t="shared" si="23"/>
        <v>0</v>
      </c>
      <c r="X86" s="1653">
        <f t="shared" si="24"/>
        <v>0</v>
      </c>
      <c r="Y86" s="1653">
        <f t="shared" si="25"/>
        <v>0</v>
      </c>
    </row>
    <row r="87" spans="1:25" ht="15" hidden="1" outlineLevel="1">
      <c r="A87" s="1615">
        <v>79</v>
      </c>
      <c r="C87" s="1651" t="s">
        <v>2558</v>
      </c>
      <c r="D87" s="1651" t="s">
        <v>2496</v>
      </c>
      <c r="E87" s="1613">
        <v>291.77999999999997</v>
      </c>
      <c r="F87" s="1613">
        <v>-291.77999999999997</v>
      </c>
      <c r="G87" s="1613">
        <f t="shared" si="26"/>
        <v>0</v>
      </c>
      <c r="H87" s="1578">
        <v>2007</v>
      </c>
      <c r="I87" s="1662">
        <f t="shared" si="27"/>
        <v>8.5</v>
      </c>
      <c r="J87" s="1663">
        <v>36</v>
      </c>
      <c r="K87" s="1664">
        <f t="shared" si="28"/>
        <v>0.33333333333333331</v>
      </c>
      <c r="L87" s="1613">
        <f t="shared" si="29"/>
        <v>0</v>
      </c>
      <c r="M87" s="1613">
        <f t="shared" si="30"/>
        <v>291.77999999999997</v>
      </c>
      <c r="N87" s="1613">
        <f t="shared" si="19"/>
        <v>-291.77999999999997</v>
      </c>
      <c r="O87" s="1652">
        <f t="shared" si="31"/>
        <v>0</v>
      </c>
      <c r="P87" s="1653">
        <f t="shared" si="32"/>
        <v>0</v>
      </c>
      <c r="Q87" s="1653">
        <f t="shared" si="33"/>
        <v>0</v>
      </c>
      <c r="R87" s="1653">
        <f t="shared" si="34"/>
        <v>0</v>
      </c>
      <c r="S87" s="1653">
        <f t="shared" si="35"/>
        <v>0</v>
      </c>
      <c r="T87" s="1653">
        <f t="shared" si="20"/>
        <v>0</v>
      </c>
      <c r="U87" s="1653">
        <f t="shared" si="21"/>
        <v>0</v>
      </c>
      <c r="V87" s="1653">
        <f t="shared" si="22"/>
        <v>0</v>
      </c>
      <c r="W87" s="1653">
        <f t="shared" si="23"/>
        <v>0</v>
      </c>
      <c r="X87" s="1653">
        <f t="shared" si="24"/>
        <v>0</v>
      </c>
      <c r="Y87" s="1653">
        <f t="shared" si="25"/>
        <v>0</v>
      </c>
    </row>
    <row r="88" spans="1:25" ht="15" hidden="1" outlineLevel="1">
      <c r="A88" s="1615">
        <v>80</v>
      </c>
      <c r="C88" s="1651" t="s">
        <v>2559</v>
      </c>
      <c r="D88" s="1651" t="s">
        <v>2499</v>
      </c>
      <c r="E88" s="1613">
        <v>308.26</v>
      </c>
      <c r="F88" s="1613">
        <v>-308.26</v>
      </c>
      <c r="G88" s="1613">
        <f t="shared" si="26"/>
        <v>0</v>
      </c>
      <c r="H88" s="1578">
        <v>2007</v>
      </c>
      <c r="I88" s="1662">
        <f t="shared" si="27"/>
        <v>8.5</v>
      </c>
      <c r="J88" s="1663">
        <v>36</v>
      </c>
      <c r="K88" s="1664">
        <f t="shared" si="28"/>
        <v>0.33333333333333331</v>
      </c>
      <c r="L88" s="1613">
        <f t="shared" si="29"/>
        <v>0</v>
      </c>
      <c r="M88" s="1613">
        <f t="shared" si="30"/>
        <v>308.26</v>
      </c>
      <c r="N88" s="1613">
        <f t="shared" ref="N88:N151" si="36">-IF(I88+0.5&lt;(J88/12),M88*(I88+0.5)*K88,M88)</f>
        <v>-308.26</v>
      </c>
      <c r="O88" s="1652">
        <f t="shared" si="31"/>
        <v>0</v>
      </c>
      <c r="P88" s="1653">
        <f t="shared" si="32"/>
        <v>0</v>
      </c>
      <c r="Q88" s="1653">
        <f t="shared" si="33"/>
        <v>0</v>
      </c>
      <c r="R88" s="1653">
        <f t="shared" si="34"/>
        <v>0</v>
      </c>
      <c r="S88" s="1653">
        <f t="shared" si="35"/>
        <v>0</v>
      </c>
      <c r="T88" s="1653">
        <f t="shared" ref="T88:T151" si="37">IF(S88&gt;0,IF(S88&lt;$K88,-$L88,R88-$K88),S88)</f>
        <v>0</v>
      </c>
      <c r="U88" s="1653">
        <f t="shared" ref="U88:U151" si="38">IF(T88&lt;0,$L88+T88,S88)</f>
        <v>0</v>
      </c>
      <c r="V88" s="1653">
        <f t="shared" ref="V88:V151" si="39">IF(U88&gt;0,IF(U88&lt;$K88,-$L88,T88-$K88),U88)</f>
        <v>0</v>
      </c>
      <c r="W88" s="1653">
        <f t="shared" ref="W88:W151" si="40">IF(V88&lt;0,$L88+V88,U88)</f>
        <v>0</v>
      </c>
      <c r="X88" s="1653">
        <f t="shared" ref="X88:X151" si="41">IF(W88&gt;0,IF(W88&lt;$K88,-$L88,V88-$K88),W88)</f>
        <v>0</v>
      </c>
      <c r="Y88" s="1653">
        <f t="shared" ref="Y88:Y151" si="42">IF(X88&lt;0,$L88+X88,W88)</f>
        <v>0</v>
      </c>
    </row>
    <row r="89" spans="1:25" ht="15" hidden="1" outlineLevel="1">
      <c r="A89" s="1615">
        <v>81</v>
      </c>
      <c r="C89" s="1651" t="s">
        <v>2560</v>
      </c>
      <c r="D89" s="1651" t="s">
        <v>2561</v>
      </c>
      <c r="E89" s="1613">
        <v>322.10000000000002</v>
      </c>
      <c r="F89" s="1613">
        <v>-322.10000000000002</v>
      </c>
      <c r="G89" s="1613">
        <f t="shared" ref="G89:G152" si="43">E89+F89</f>
        <v>0</v>
      </c>
      <c r="H89" s="1578">
        <v>2007</v>
      </c>
      <c r="I89" s="1662">
        <f t="shared" ref="I89:I152" si="44">IF(H89=2015,0.5,2015.5-H89)</f>
        <v>8.5</v>
      </c>
      <c r="J89" s="1663">
        <v>36</v>
      </c>
      <c r="K89" s="1664">
        <f t="shared" ref="K89:K152" si="45">1/J89*12</f>
        <v>0.33333333333333331</v>
      </c>
      <c r="L89" s="1613">
        <f t="shared" ref="L89:L152" si="46">IF(I89&lt;(J89/12),E89*K89,0)</f>
        <v>0</v>
      </c>
      <c r="M89" s="1613">
        <f t="shared" ref="M89:M152" si="47">E89</f>
        <v>322.10000000000002</v>
      </c>
      <c r="N89" s="1613">
        <f t="shared" si="36"/>
        <v>-322.10000000000002</v>
      </c>
      <c r="O89" s="1652">
        <f t="shared" ref="O89:O152" si="48">M89+N89</f>
        <v>0</v>
      </c>
      <c r="P89" s="1653">
        <f t="shared" ref="P89:P152" si="49">IF(O89&gt;0,IF(O89&lt;$K89,-$L89,N89-$K89),O89)</f>
        <v>0</v>
      </c>
      <c r="Q89" s="1653">
        <f t="shared" ref="Q89:Q152" si="50">IF(P89&lt;0,$L89+P89,O89)</f>
        <v>0</v>
      </c>
      <c r="R89" s="1653">
        <f t="shared" ref="R89:R152" si="51">IF(Q89&gt;0,IF(Q89&lt;$K89,-$L89,P89-$K89),Q89)</f>
        <v>0</v>
      </c>
      <c r="S89" s="1653">
        <f t="shared" ref="S89:S152" si="52">IF(R89&lt;0,$L89+R89,Q89)</f>
        <v>0</v>
      </c>
      <c r="T89" s="1653">
        <f t="shared" si="37"/>
        <v>0</v>
      </c>
      <c r="U89" s="1653">
        <f t="shared" si="38"/>
        <v>0</v>
      </c>
      <c r="V89" s="1653">
        <f t="shared" si="39"/>
        <v>0</v>
      </c>
      <c r="W89" s="1653">
        <f t="shared" si="40"/>
        <v>0</v>
      </c>
      <c r="X89" s="1653">
        <f t="shared" si="41"/>
        <v>0</v>
      </c>
      <c r="Y89" s="1653">
        <f t="shared" si="42"/>
        <v>0</v>
      </c>
    </row>
    <row r="90" spans="1:25" ht="15" hidden="1" outlineLevel="1">
      <c r="A90" s="1615">
        <v>82</v>
      </c>
      <c r="C90" s="1651" t="s">
        <v>2562</v>
      </c>
      <c r="D90" s="1651" t="s">
        <v>2499</v>
      </c>
      <c r="E90" s="1613">
        <v>324.58999999999997</v>
      </c>
      <c r="F90" s="1613">
        <v>-324.58999999999997</v>
      </c>
      <c r="G90" s="1613">
        <f t="shared" si="43"/>
        <v>0</v>
      </c>
      <c r="H90" s="1578">
        <v>2007</v>
      </c>
      <c r="I90" s="1662">
        <f t="shared" si="44"/>
        <v>8.5</v>
      </c>
      <c r="J90" s="1663">
        <v>36</v>
      </c>
      <c r="K90" s="1664">
        <f t="shared" si="45"/>
        <v>0.33333333333333331</v>
      </c>
      <c r="L90" s="1613">
        <f t="shared" si="46"/>
        <v>0</v>
      </c>
      <c r="M90" s="1613">
        <f t="shared" si="47"/>
        <v>324.58999999999997</v>
      </c>
      <c r="N90" s="1613">
        <f t="shared" si="36"/>
        <v>-324.58999999999997</v>
      </c>
      <c r="O90" s="1652">
        <f t="shared" si="48"/>
        <v>0</v>
      </c>
      <c r="P90" s="1653">
        <f t="shared" si="49"/>
        <v>0</v>
      </c>
      <c r="Q90" s="1653">
        <f t="shared" si="50"/>
        <v>0</v>
      </c>
      <c r="R90" s="1653">
        <f t="shared" si="51"/>
        <v>0</v>
      </c>
      <c r="S90" s="1653">
        <f t="shared" si="52"/>
        <v>0</v>
      </c>
      <c r="T90" s="1653">
        <f t="shared" si="37"/>
        <v>0</v>
      </c>
      <c r="U90" s="1653">
        <f t="shared" si="38"/>
        <v>0</v>
      </c>
      <c r="V90" s="1653">
        <f t="shared" si="39"/>
        <v>0</v>
      </c>
      <c r="W90" s="1653">
        <f t="shared" si="40"/>
        <v>0</v>
      </c>
      <c r="X90" s="1653">
        <f t="shared" si="41"/>
        <v>0</v>
      </c>
      <c r="Y90" s="1653">
        <f t="shared" si="42"/>
        <v>0</v>
      </c>
    </row>
    <row r="91" spans="1:25" ht="15" hidden="1" outlineLevel="1">
      <c r="A91" s="1615">
        <v>83</v>
      </c>
      <c r="C91" s="1651" t="s">
        <v>2563</v>
      </c>
      <c r="D91" s="1651" t="s">
        <v>2543</v>
      </c>
      <c r="E91" s="1613">
        <v>340.71</v>
      </c>
      <c r="F91" s="1613">
        <v>-340.71</v>
      </c>
      <c r="G91" s="1613">
        <f t="shared" si="43"/>
        <v>0</v>
      </c>
      <c r="H91" s="1578">
        <v>2007</v>
      </c>
      <c r="I91" s="1662">
        <f t="shared" si="44"/>
        <v>8.5</v>
      </c>
      <c r="J91" s="1663">
        <v>36</v>
      </c>
      <c r="K91" s="1664">
        <f t="shared" si="45"/>
        <v>0.33333333333333331</v>
      </c>
      <c r="L91" s="1613">
        <f t="shared" si="46"/>
        <v>0</v>
      </c>
      <c r="M91" s="1613">
        <f t="shared" si="47"/>
        <v>340.71</v>
      </c>
      <c r="N91" s="1613">
        <f t="shared" si="36"/>
        <v>-340.71</v>
      </c>
      <c r="O91" s="1652">
        <f t="shared" si="48"/>
        <v>0</v>
      </c>
      <c r="P91" s="1653">
        <f t="shared" si="49"/>
        <v>0</v>
      </c>
      <c r="Q91" s="1653">
        <f t="shared" si="50"/>
        <v>0</v>
      </c>
      <c r="R91" s="1653">
        <f t="shared" si="51"/>
        <v>0</v>
      </c>
      <c r="S91" s="1653">
        <f t="shared" si="52"/>
        <v>0</v>
      </c>
      <c r="T91" s="1653">
        <f t="shared" si="37"/>
        <v>0</v>
      </c>
      <c r="U91" s="1653">
        <f t="shared" si="38"/>
        <v>0</v>
      </c>
      <c r="V91" s="1653">
        <f t="shared" si="39"/>
        <v>0</v>
      </c>
      <c r="W91" s="1653">
        <f t="shared" si="40"/>
        <v>0</v>
      </c>
      <c r="X91" s="1653">
        <f t="shared" si="41"/>
        <v>0</v>
      </c>
      <c r="Y91" s="1653">
        <f t="shared" si="42"/>
        <v>0</v>
      </c>
    </row>
    <row r="92" spans="1:25" ht="15" hidden="1" outlineLevel="1">
      <c r="A92" s="1615">
        <v>84</v>
      </c>
      <c r="C92" s="1651" t="s">
        <v>2564</v>
      </c>
      <c r="D92" s="1651" t="s">
        <v>2499</v>
      </c>
      <c r="E92" s="1613">
        <v>397.93</v>
      </c>
      <c r="F92" s="1613">
        <v>-397.93</v>
      </c>
      <c r="G92" s="1613">
        <f t="shared" si="43"/>
        <v>0</v>
      </c>
      <c r="H92" s="1578">
        <v>2007</v>
      </c>
      <c r="I92" s="1662">
        <f t="shared" si="44"/>
        <v>8.5</v>
      </c>
      <c r="J92" s="1663">
        <v>36</v>
      </c>
      <c r="K92" s="1664">
        <f t="shared" si="45"/>
        <v>0.33333333333333331</v>
      </c>
      <c r="L92" s="1613">
        <f t="shared" si="46"/>
        <v>0</v>
      </c>
      <c r="M92" s="1613">
        <f t="shared" si="47"/>
        <v>397.93</v>
      </c>
      <c r="N92" s="1613">
        <f t="shared" si="36"/>
        <v>-397.93</v>
      </c>
      <c r="O92" s="1652">
        <f t="shared" si="48"/>
        <v>0</v>
      </c>
      <c r="P92" s="1653">
        <f t="shared" si="49"/>
        <v>0</v>
      </c>
      <c r="Q92" s="1653">
        <f t="shared" si="50"/>
        <v>0</v>
      </c>
      <c r="R92" s="1653">
        <f t="shared" si="51"/>
        <v>0</v>
      </c>
      <c r="S92" s="1653">
        <f t="shared" si="52"/>
        <v>0</v>
      </c>
      <c r="T92" s="1653">
        <f t="shared" si="37"/>
        <v>0</v>
      </c>
      <c r="U92" s="1653">
        <f t="shared" si="38"/>
        <v>0</v>
      </c>
      <c r="V92" s="1653">
        <f t="shared" si="39"/>
        <v>0</v>
      </c>
      <c r="W92" s="1653">
        <f t="shared" si="40"/>
        <v>0</v>
      </c>
      <c r="X92" s="1653">
        <f t="shared" si="41"/>
        <v>0</v>
      </c>
      <c r="Y92" s="1653">
        <f t="shared" si="42"/>
        <v>0</v>
      </c>
    </row>
    <row r="93" spans="1:25" ht="15" hidden="1" outlineLevel="1">
      <c r="A93" s="1615">
        <v>85</v>
      </c>
      <c r="C93" s="1651" t="s">
        <v>2565</v>
      </c>
      <c r="D93" s="1651" t="s">
        <v>2505</v>
      </c>
      <c r="E93" s="1613">
        <v>452.77</v>
      </c>
      <c r="F93" s="1613">
        <v>-452.77</v>
      </c>
      <c r="G93" s="1613">
        <f t="shared" si="43"/>
        <v>0</v>
      </c>
      <c r="H93" s="1578">
        <v>2007</v>
      </c>
      <c r="I93" s="1662">
        <f t="shared" si="44"/>
        <v>8.5</v>
      </c>
      <c r="J93" s="1663">
        <v>36</v>
      </c>
      <c r="K93" s="1664">
        <f t="shared" si="45"/>
        <v>0.33333333333333331</v>
      </c>
      <c r="L93" s="1613">
        <f t="shared" si="46"/>
        <v>0</v>
      </c>
      <c r="M93" s="1613">
        <f t="shared" si="47"/>
        <v>452.77</v>
      </c>
      <c r="N93" s="1613">
        <f t="shared" si="36"/>
        <v>-452.77</v>
      </c>
      <c r="O93" s="1652">
        <f t="shared" si="48"/>
        <v>0</v>
      </c>
      <c r="P93" s="1653">
        <f t="shared" si="49"/>
        <v>0</v>
      </c>
      <c r="Q93" s="1653">
        <f t="shared" si="50"/>
        <v>0</v>
      </c>
      <c r="R93" s="1653">
        <f t="shared" si="51"/>
        <v>0</v>
      </c>
      <c r="S93" s="1653">
        <f t="shared" si="52"/>
        <v>0</v>
      </c>
      <c r="T93" s="1653">
        <f t="shared" si="37"/>
        <v>0</v>
      </c>
      <c r="U93" s="1653">
        <f t="shared" si="38"/>
        <v>0</v>
      </c>
      <c r="V93" s="1653">
        <f t="shared" si="39"/>
        <v>0</v>
      </c>
      <c r="W93" s="1653">
        <f t="shared" si="40"/>
        <v>0</v>
      </c>
      <c r="X93" s="1653">
        <f t="shared" si="41"/>
        <v>0</v>
      </c>
      <c r="Y93" s="1653">
        <f t="shared" si="42"/>
        <v>0</v>
      </c>
    </row>
    <row r="94" spans="1:25" ht="15" hidden="1" outlineLevel="1">
      <c r="A94" s="1615">
        <v>86</v>
      </c>
      <c r="C94" s="1651" t="s">
        <v>2566</v>
      </c>
      <c r="D94" s="1651" t="s">
        <v>2567</v>
      </c>
      <c r="E94" s="1613">
        <v>490</v>
      </c>
      <c r="F94" s="1613">
        <v>-490</v>
      </c>
      <c r="G94" s="1613">
        <f t="shared" si="43"/>
        <v>0</v>
      </c>
      <c r="H94" s="1578">
        <v>2007</v>
      </c>
      <c r="I94" s="1662">
        <f t="shared" si="44"/>
        <v>8.5</v>
      </c>
      <c r="J94" s="1663">
        <v>36</v>
      </c>
      <c r="K94" s="1664">
        <f t="shared" si="45"/>
        <v>0.33333333333333331</v>
      </c>
      <c r="L94" s="1613">
        <f t="shared" si="46"/>
        <v>0</v>
      </c>
      <c r="M94" s="1613">
        <f t="shared" si="47"/>
        <v>490</v>
      </c>
      <c r="N94" s="1613">
        <f t="shared" si="36"/>
        <v>-490</v>
      </c>
      <c r="O94" s="1652">
        <f t="shared" si="48"/>
        <v>0</v>
      </c>
      <c r="P94" s="1653">
        <f t="shared" si="49"/>
        <v>0</v>
      </c>
      <c r="Q94" s="1653">
        <f t="shared" si="50"/>
        <v>0</v>
      </c>
      <c r="R94" s="1653">
        <f t="shared" si="51"/>
        <v>0</v>
      </c>
      <c r="S94" s="1653">
        <f t="shared" si="52"/>
        <v>0</v>
      </c>
      <c r="T94" s="1653">
        <f t="shared" si="37"/>
        <v>0</v>
      </c>
      <c r="U94" s="1653">
        <f t="shared" si="38"/>
        <v>0</v>
      </c>
      <c r="V94" s="1653">
        <f t="shared" si="39"/>
        <v>0</v>
      </c>
      <c r="W94" s="1653">
        <f t="shared" si="40"/>
        <v>0</v>
      </c>
      <c r="X94" s="1653">
        <f t="shared" si="41"/>
        <v>0</v>
      </c>
      <c r="Y94" s="1653">
        <f t="shared" si="42"/>
        <v>0</v>
      </c>
    </row>
    <row r="95" spans="1:25" ht="15" hidden="1" outlineLevel="1">
      <c r="A95" s="1615">
        <v>87</v>
      </c>
      <c r="C95" s="1651" t="s">
        <v>2568</v>
      </c>
      <c r="D95" s="1651" t="s">
        <v>2521</v>
      </c>
      <c r="E95" s="1613">
        <v>585.04999999999995</v>
      </c>
      <c r="F95" s="1613">
        <v>-585.04999999999995</v>
      </c>
      <c r="G95" s="1613">
        <f t="shared" si="43"/>
        <v>0</v>
      </c>
      <c r="H95" s="1578">
        <v>2007</v>
      </c>
      <c r="I95" s="1662">
        <f t="shared" si="44"/>
        <v>8.5</v>
      </c>
      <c r="J95" s="1663">
        <v>36</v>
      </c>
      <c r="K95" s="1664">
        <f t="shared" si="45"/>
        <v>0.33333333333333331</v>
      </c>
      <c r="L95" s="1613">
        <f t="shared" si="46"/>
        <v>0</v>
      </c>
      <c r="M95" s="1613">
        <f t="shared" si="47"/>
        <v>585.04999999999995</v>
      </c>
      <c r="N95" s="1613">
        <f t="shared" si="36"/>
        <v>-585.04999999999995</v>
      </c>
      <c r="O95" s="1652">
        <f t="shared" si="48"/>
        <v>0</v>
      </c>
      <c r="P95" s="1653">
        <f t="shared" si="49"/>
        <v>0</v>
      </c>
      <c r="Q95" s="1653">
        <f t="shared" si="50"/>
        <v>0</v>
      </c>
      <c r="R95" s="1653">
        <f t="shared" si="51"/>
        <v>0</v>
      </c>
      <c r="S95" s="1653">
        <f t="shared" si="52"/>
        <v>0</v>
      </c>
      <c r="T95" s="1653">
        <f t="shared" si="37"/>
        <v>0</v>
      </c>
      <c r="U95" s="1653">
        <f t="shared" si="38"/>
        <v>0</v>
      </c>
      <c r="V95" s="1653">
        <f t="shared" si="39"/>
        <v>0</v>
      </c>
      <c r="W95" s="1653">
        <f t="shared" si="40"/>
        <v>0</v>
      </c>
      <c r="X95" s="1653">
        <f t="shared" si="41"/>
        <v>0</v>
      </c>
      <c r="Y95" s="1653">
        <f t="shared" si="42"/>
        <v>0</v>
      </c>
    </row>
    <row r="96" spans="1:25" ht="15" hidden="1" outlineLevel="1">
      <c r="A96" s="1615">
        <v>88</v>
      </c>
      <c r="C96" s="1651" t="s">
        <v>2569</v>
      </c>
      <c r="D96" s="1651" t="s">
        <v>2554</v>
      </c>
      <c r="E96" s="1613">
        <v>614.04999999999995</v>
      </c>
      <c r="F96" s="1613">
        <v>-614.04999999999995</v>
      </c>
      <c r="G96" s="1613">
        <f t="shared" si="43"/>
        <v>0</v>
      </c>
      <c r="H96" s="1578">
        <v>2007</v>
      </c>
      <c r="I96" s="1662">
        <f t="shared" si="44"/>
        <v>8.5</v>
      </c>
      <c r="J96" s="1663">
        <v>36</v>
      </c>
      <c r="K96" s="1664">
        <f t="shared" si="45"/>
        <v>0.33333333333333331</v>
      </c>
      <c r="L96" s="1613">
        <f t="shared" si="46"/>
        <v>0</v>
      </c>
      <c r="M96" s="1613">
        <f t="shared" si="47"/>
        <v>614.04999999999995</v>
      </c>
      <c r="N96" s="1613">
        <f t="shared" si="36"/>
        <v>-614.04999999999995</v>
      </c>
      <c r="O96" s="1652">
        <f t="shared" si="48"/>
        <v>0</v>
      </c>
      <c r="P96" s="1653">
        <f t="shared" si="49"/>
        <v>0</v>
      </c>
      <c r="Q96" s="1653">
        <f t="shared" si="50"/>
        <v>0</v>
      </c>
      <c r="R96" s="1653">
        <f t="shared" si="51"/>
        <v>0</v>
      </c>
      <c r="S96" s="1653">
        <f t="shared" si="52"/>
        <v>0</v>
      </c>
      <c r="T96" s="1653">
        <f t="shared" si="37"/>
        <v>0</v>
      </c>
      <c r="U96" s="1653">
        <f t="shared" si="38"/>
        <v>0</v>
      </c>
      <c r="V96" s="1653">
        <f t="shared" si="39"/>
        <v>0</v>
      </c>
      <c r="W96" s="1653">
        <f t="shared" si="40"/>
        <v>0</v>
      </c>
      <c r="X96" s="1653">
        <f t="shared" si="41"/>
        <v>0</v>
      </c>
      <c r="Y96" s="1653">
        <f t="shared" si="42"/>
        <v>0</v>
      </c>
    </row>
    <row r="97" spans="1:25" ht="15" hidden="1" outlineLevel="1">
      <c r="A97" s="1615">
        <v>89</v>
      </c>
      <c r="C97" s="1651" t="s">
        <v>2570</v>
      </c>
      <c r="D97" s="1651" t="s">
        <v>2499</v>
      </c>
      <c r="E97" s="1613">
        <v>634.17999999999995</v>
      </c>
      <c r="F97" s="1613">
        <v>-634.17999999999995</v>
      </c>
      <c r="G97" s="1613">
        <f t="shared" si="43"/>
        <v>0</v>
      </c>
      <c r="H97" s="1578">
        <v>2007</v>
      </c>
      <c r="I97" s="1662">
        <f t="shared" si="44"/>
        <v>8.5</v>
      </c>
      <c r="J97" s="1663">
        <v>36</v>
      </c>
      <c r="K97" s="1664">
        <f t="shared" si="45"/>
        <v>0.33333333333333331</v>
      </c>
      <c r="L97" s="1613">
        <f t="shared" si="46"/>
        <v>0</v>
      </c>
      <c r="M97" s="1613">
        <f t="shared" si="47"/>
        <v>634.17999999999995</v>
      </c>
      <c r="N97" s="1613">
        <f t="shared" si="36"/>
        <v>-634.17999999999995</v>
      </c>
      <c r="O97" s="1652">
        <f t="shared" si="48"/>
        <v>0</v>
      </c>
      <c r="P97" s="1653">
        <f t="shared" si="49"/>
        <v>0</v>
      </c>
      <c r="Q97" s="1653">
        <f t="shared" si="50"/>
        <v>0</v>
      </c>
      <c r="R97" s="1653">
        <f t="shared" si="51"/>
        <v>0</v>
      </c>
      <c r="S97" s="1653">
        <f t="shared" si="52"/>
        <v>0</v>
      </c>
      <c r="T97" s="1653">
        <f t="shared" si="37"/>
        <v>0</v>
      </c>
      <c r="U97" s="1653">
        <f t="shared" si="38"/>
        <v>0</v>
      </c>
      <c r="V97" s="1653">
        <f t="shared" si="39"/>
        <v>0</v>
      </c>
      <c r="W97" s="1653">
        <f t="shared" si="40"/>
        <v>0</v>
      </c>
      <c r="X97" s="1653">
        <f t="shared" si="41"/>
        <v>0</v>
      </c>
      <c r="Y97" s="1653">
        <f t="shared" si="42"/>
        <v>0</v>
      </c>
    </row>
    <row r="98" spans="1:25" ht="15" hidden="1" outlineLevel="1">
      <c r="A98" s="1615">
        <v>90</v>
      </c>
      <c r="C98" s="1651" t="s">
        <v>2571</v>
      </c>
      <c r="D98" s="1651" t="s">
        <v>2548</v>
      </c>
      <c r="E98" s="1613">
        <v>763.93</v>
      </c>
      <c r="F98" s="1613">
        <v>-763.93</v>
      </c>
      <c r="G98" s="1613">
        <f t="shared" si="43"/>
        <v>0</v>
      </c>
      <c r="H98" s="1578">
        <v>2007</v>
      </c>
      <c r="I98" s="1662">
        <f t="shared" si="44"/>
        <v>8.5</v>
      </c>
      <c r="J98" s="1663">
        <v>36</v>
      </c>
      <c r="K98" s="1664">
        <f t="shared" si="45"/>
        <v>0.33333333333333331</v>
      </c>
      <c r="L98" s="1613">
        <f t="shared" si="46"/>
        <v>0</v>
      </c>
      <c r="M98" s="1613">
        <f t="shared" si="47"/>
        <v>763.93</v>
      </c>
      <c r="N98" s="1613">
        <f t="shared" si="36"/>
        <v>-763.93</v>
      </c>
      <c r="O98" s="1652">
        <f t="shared" si="48"/>
        <v>0</v>
      </c>
      <c r="P98" s="1653">
        <f t="shared" si="49"/>
        <v>0</v>
      </c>
      <c r="Q98" s="1653">
        <f t="shared" si="50"/>
        <v>0</v>
      </c>
      <c r="R98" s="1653">
        <f t="shared" si="51"/>
        <v>0</v>
      </c>
      <c r="S98" s="1653">
        <f t="shared" si="52"/>
        <v>0</v>
      </c>
      <c r="T98" s="1653">
        <f t="shared" si="37"/>
        <v>0</v>
      </c>
      <c r="U98" s="1653">
        <f t="shared" si="38"/>
        <v>0</v>
      </c>
      <c r="V98" s="1653">
        <f t="shared" si="39"/>
        <v>0</v>
      </c>
      <c r="W98" s="1653">
        <f t="shared" si="40"/>
        <v>0</v>
      </c>
      <c r="X98" s="1653">
        <f t="shared" si="41"/>
        <v>0</v>
      </c>
      <c r="Y98" s="1653">
        <f t="shared" si="42"/>
        <v>0</v>
      </c>
    </row>
    <row r="99" spans="1:25" ht="15" hidden="1" outlineLevel="1">
      <c r="A99" s="1615">
        <v>91</v>
      </c>
      <c r="C99" s="1651" t="s">
        <v>2572</v>
      </c>
      <c r="D99" s="1651" t="s">
        <v>2499</v>
      </c>
      <c r="E99" s="1613">
        <v>806.01</v>
      </c>
      <c r="F99" s="1613">
        <v>-806.01</v>
      </c>
      <c r="G99" s="1613">
        <f t="shared" si="43"/>
        <v>0</v>
      </c>
      <c r="H99" s="1578">
        <v>2007</v>
      </c>
      <c r="I99" s="1662">
        <f t="shared" si="44"/>
        <v>8.5</v>
      </c>
      <c r="J99" s="1663">
        <v>36</v>
      </c>
      <c r="K99" s="1664">
        <f t="shared" si="45"/>
        <v>0.33333333333333331</v>
      </c>
      <c r="L99" s="1613">
        <f t="shared" si="46"/>
        <v>0</v>
      </c>
      <c r="M99" s="1613">
        <f t="shared" si="47"/>
        <v>806.01</v>
      </c>
      <c r="N99" s="1613">
        <f t="shared" si="36"/>
        <v>-806.01</v>
      </c>
      <c r="O99" s="1652">
        <f t="shared" si="48"/>
        <v>0</v>
      </c>
      <c r="P99" s="1653">
        <f t="shared" si="49"/>
        <v>0</v>
      </c>
      <c r="Q99" s="1653">
        <f t="shared" si="50"/>
        <v>0</v>
      </c>
      <c r="R99" s="1653">
        <f t="shared" si="51"/>
        <v>0</v>
      </c>
      <c r="S99" s="1653">
        <f t="shared" si="52"/>
        <v>0</v>
      </c>
      <c r="T99" s="1653">
        <f t="shared" si="37"/>
        <v>0</v>
      </c>
      <c r="U99" s="1653">
        <f t="shared" si="38"/>
        <v>0</v>
      </c>
      <c r="V99" s="1653">
        <f t="shared" si="39"/>
        <v>0</v>
      </c>
      <c r="W99" s="1653">
        <f t="shared" si="40"/>
        <v>0</v>
      </c>
      <c r="X99" s="1653">
        <f t="shared" si="41"/>
        <v>0</v>
      </c>
      <c r="Y99" s="1653">
        <f t="shared" si="42"/>
        <v>0</v>
      </c>
    </row>
    <row r="100" spans="1:25" ht="15" hidden="1" outlineLevel="1">
      <c r="A100" s="1615">
        <v>92</v>
      </c>
      <c r="C100" s="1651" t="s">
        <v>2573</v>
      </c>
      <c r="D100" s="1651" t="s">
        <v>2526</v>
      </c>
      <c r="E100" s="1613">
        <v>808.84</v>
      </c>
      <c r="F100" s="1613">
        <v>-808.84</v>
      </c>
      <c r="G100" s="1613">
        <f t="shared" si="43"/>
        <v>0</v>
      </c>
      <c r="H100" s="1578">
        <v>2007</v>
      </c>
      <c r="I100" s="1662">
        <f t="shared" si="44"/>
        <v>8.5</v>
      </c>
      <c r="J100" s="1663">
        <v>36</v>
      </c>
      <c r="K100" s="1664">
        <f t="shared" si="45"/>
        <v>0.33333333333333331</v>
      </c>
      <c r="L100" s="1613">
        <f t="shared" si="46"/>
        <v>0</v>
      </c>
      <c r="M100" s="1613">
        <f t="shared" si="47"/>
        <v>808.84</v>
      </c>
      <c r="N100" s="1613">
        <f t="shared" si="36"/>
        <v>-808.84</v>
      </c>
      <c r="O100" s="1652">
        <f t="shared" si="48"/>
        <v>0</v>
      </c>
      <c r="P100" s="1653">
        <f t="shared" si="49"/>
        <v>0</v>
      </c>
      <c r="Q100" s="1653">
        <f t="shared" si="50"/>
        <v>0</v>
      </c>
      <c r="R100" s="1653">
        <f t="shared" si="51"/>
        <v>0</v>
      </c>
      <c r="S100" s="1653">
        <f t="shared" si="52"/>
        <v>0</v>
      </c>
      <c r="T100" s="1653">
        <f t="shared" si="37"/>
        <v>0</v>
      </c>
      <c r="U100" s="1653">
        <f t="shared" si="38"/>
        <v>0</v>
      </c>
      <c r="V100" s="1653">
        <f t="shared" si="39"/>
        <v>0</v>
      </c>
      <c r="W100" s="1653">
        <f t="shared" si="40"/>
        <v>0</v>
      </c>
      <c r="X100" s="1653">
        <f t="shared" si="41"/>
        <v>0</v>
      </c>
      <c r="Y100" s="1653">
        <f t="shared" si="42"/>
        <v>0</v>
      </c>
    </row>
    <row r="101" spans="1:25" ht="15" hidden="1" outlineLevel="1">
      <c r="A101" s="1615">
        <v>93</v>
      </c>
      <c r="C101" s="1651" t="s">
        <v>2574</v>
      </c>
      <c r="D101" s="1651" t="s">
        <v>2482</v>
      </c>
      <c r="E101" s="1613">
        <v>812.88</v>
      </c>
      <c r="F101" s="1613">
        <v>-812.88</v>
      </c>
      <c r="G101" s="1613">
        <f t="shared" si="43"/>
        <v>0</v>
      </c>
      <c r="H101" s="1578">
        <v>2007</v>
      </c>
      <c r="I101" s="1662">
        <f t="shared" si="44"/>
        <v>8.5</v>
      </c>
      <c r="J101" s="1663">
        <v>36</v>
      </c>
      <c r="K101" s="1664">
        <f t="shared" si="45"/>
        <v>0.33333333333333331</v>
      </c>
      <c r="L101" s="1613">
        <f t="shared" si="46"/>
        <v>0</v>
      </c>
      <c r="M101" s="1613">
        <f t="shared" si="47"/>
        <v>812.88</v>
      </c>
      <c r="N101" s="1613">
        <f t="shared" si="36"/>
        <v>-812.88</v>
      </c>
      <c r="O101" s="1652">
        <f t="shared" si="48"/>
        <v>0</v>
      </c>
      <c r="P101" s="1653">
        <f t="shared" si="49"/>
        <v>0</v>
      </c>
      <c r="Q101" s="1653">
        <f t="shared" si="50"/>
        <v>0</v>
      </c>
      <c r="R101" s="1653">
        <f t="shared" si="51"/>
        <v>0</v>
      </c>
      <c r="S101" s="1653">
        <f t="shared" si="52"/>
        <v>0</v>
      </c>
      <c r="T101" s="1653">
        <f t="shared" si="37"/>
        <v>0</v>
      </c>
      <c r="U101" s="1653">
        <f t="shared" si="38"/>
        <v>0</v>
      </c>
      <c r="V101" s="1653">
        <f t="shared" si="39"/>
        <v>0</v>
      </c>
      <c r="W101" s="1653">
        <f t="shared" si="40"/>
        <v>0</v>
      </c>
      <c r="X101" s="1653">
        <f t="shared" si="41"/>
        <v>0</v>
      </c>
      <c r="Y101" s="1653">
        <f t="shared" si="42"/>
        <v>0</v>
      </c>
    </row>
    <row r="102" spans="1:25" ht="15" hidden="1" outlineLevel="1">
      <c r="A102" s="1615">
        <v>94</v>
      </c>
      <c r="C102" s="1651" t="s">
        <v>2575</v>
      </c>
      <c r="D102" s="1651" t="s">
        <v>2516</v>
      </c>
      <c r="E102" s="1613">
        <v>813.13</v>
      </c>
      <c r="F102" s="1613">
        <v>-813.13</v>
      </c>
      <c r="G102" s="1613">
        <f t="shared" si="43"/>
        <v>0</v>
      </c>
      <c r="H102" s="1578">
        <v>2007</v>
      </c>
      <c r="I102" s="1662">
        <f t="shared" si="44"/>
        <v>8.5</v>
      </c>
      <c r="J102" s="1663">
        <v>36</v>
      </c>
      <c r="K102" s="1664">
        <f t="shared" si="45"/>
        <v>0.33333333333333331</v>
      </c>
      <c r="L102" s="1613">
        <f t="shared" si="46"/>
        <v>0</v>
      </c>
      <c r="M102" s="1613">
        <f t="shared" si="47"/>
        <v>813.13</v>
      </c>
      <c r="N102" s="1613">
        <f t="shared" si="36"/>
        <v>-813.13</v>
      </c>
      <c r="O102" s="1652">
        <f t="shared" si="48"/>
        <v>0</v>
      </c>
      <c r="P102" s="1653">
        <f t="shared" si="49"/>
        <v>0</v>
      </c>
      <c r="Q102" s="1653">
        <f t="shared" si="50"/>
        <v>0</v>
      </c>
      <c r="R102" s="1653">
        <f t="shared" si="51"/>
        <v>0</v>
      </c>
      <c r="S102" s="1653">
        <f t="shared" si="52"/>
        <v>0</v>
      </c>
      <c r="T102" s="1653">
        <f t="shared" si="37"/>
        <v>0</v>
      </c>
      <c r="U102" s="1653">
        <f t="shared" si="38"/>
        <v>0</v>
      </c>
      <c r="V102" s="1653">
        <f t="shared" si="39"/>
        <v>0</v>
      </c>
      <c r="W102" s="1653">
        <f t="shared" si="40"/>
        <v>0</v>
      </c>
      <c r="X102" s="1653">
        <f t="shared" si="41"/>
        <v>0</v>
      </c>
      <c r="Y102" s="1653">
        <f t="shared" si="42"/>
        <v>0</v>
      </c>
    </row>
    <row r="103" spans="1:25" ht="15" hidden="1" outlineLevel="1">
      <c r="A103" s="1615">
        <v>95</v>
      </c>
      <c r="C103" s="1651" t="s">
        <v>2576</v>
      </c>
      <c r="D103" s="1651" t="s">
        <v>2577</v>
      </c>
      <c r="E103" s="1613">
        <v>813.13</v>
      </c>
      <c r="F103" s="1613">
        <v>-813.13</v>
      </c>
      <c r="G103" s="1613">
        <f t="shared" si="43"/>
        <v>0</v>
      </c>
      <c r="H103" s="1578">
        <v>2007</v>
      </c>
      <c r="I103" s="1662">
        <f t="shared" si="44"/>
        <v>8.5</v>
      </c>
      <c r="J103" s="1663">
        <v>36</v>
      </c>
      <c r="K103" s="1664">
        <f t="shared" si="45"/>
        <v>0.33333333333333331</v>
      </c>
      <c r="L103" s="1613">
        <f t="shared" si="46"/>
        <v>0</v>
      </c>
      <c r="M103" s="1613">
        <f t="shared" si="47"/>
        <v>813.13</v>
      </c>
      <c r="N103" s="1613">
        <f t="shared" si="36"/>
        <v>-813.13</v>
      </c>
      <c r="O103" s="1652">
        <f t="shared" si="48"/>
        <v>0</v>
      </c>
      <c r="P103" s="1653">
        <f t="shared" si="49"/>
        <v>0</v>
      </c>
      <c r="Q103" s="1653">
        <f t="shared" si="50"/>
        <v>0</v>
      </c>
      <c r="R103" s="1653">
        <f t="shared" si="51"/>
        <v>0</v>
      </c>
      <c r="S103" s="1653">
        <f t="shared" si="52"/>
        <v>0</v>
      </c>
      <c r="T103" s="1653">
        <f t="shared" si="37"/>
        <v>0</v>
      </c>
      <c r="U103" s="1653">
        <f t="shared" si="38"/>
        <v>0</v>
      </c>
      <c r="V103" s="1653">
        <f t="shared" si="39"/>
        <v>0</v>
      </c>
      <c r="W103" s="1653">
        <f t="shared" si="40"/>
        <v>0</v>
      </c>
      <c r="X103" s="1653">
        <f t="shared" si="41"/>
        <v>0</v>
      </c>
      <c r="Y103" s="1653">
        <f t="shared" si="42"/>
        <v>0</v>
      </c>
    </row>
    <row r="104" spans="1:25" ht="15" hidden="1" outlineLevel="1">
      <c r="A104" s="1615">
        <v>96</v>
      </c>
      <c r="C104" s="1651" t="s">
        <v>2578</v>
      </c>
      <c r="D104" s="1651" t="s">
        <v>2579</v>
      </c>
      <c r="E104" s="1613">
        <v>820.81</v>
      </c>
      <c r="F104" s="1613">
        <v>-820.81</v>
      </c>
      <c r="G104" s="1613">
        <f t="shared" si="43"/>
        <v>0</v>
      </c>
      <c r="H104" s="1578">
        <v>2007</v>
      </c>
      <c r="I104" s="1662">
        <f t="shared" si="44"/>
        <v>8.5</v>
      </c>
      <c r="J104" s="1663">
        <v>36</v>
      </c>
      <c r="K104" s="1664">
        <f t="shared" si="45"/>
        <v>0.33333333333333331</v>
      </c>
      <c r="L104" s="1613">
        <f t="shared" si="46"/>
        <v>0</v>
      </c>
      <c r="M104" s="1613">
        <f t="shared" si="47"/>
        <v>820.81</v>
      </c>
      <c r="N104" s="1613">
        <f t="shared" si="36"/>
        <v>-820.81</v>
      </c>
      <c r="O104" s="1652">
        <f t="shared" si="48"/>
        <v>0</v>
      </c>
      <c r="P104" s="1653">
        <f t="shared" si="49"/>
        <v>0</v>
      </c>
      <c r="Q104" s="1653">
        <f t="shared" si="50"/>
        <v>0</v>
      </c>
      <c r="R104" s="1653">
        <f t="shared" si="51"/>
        <v>0</v>
      </c>
      <c r="S104" s="1653">
        <f t="shared" si="52"/>
        <v>0</v>
      </c>
      <c r="T104" s="1653">
        <f t="shared" si="37"/>
        <v>0</v>
      </c>
      <c r="U104" s="1653">
        <f t="shared" si="38"/>
        <v>0</v>
      </c>
      <c r="V104" s="1653">
        <f t="shared" si="39"/>
        <v>0</v>
      </c>
      <c r="W104" s="1653">
        <f t="shared" si="40"/>
        <v>0</v>
      </c>
      <c r="X104" s="1653">
        <f t="shared" si="41"/>
        <v>0</v>
      </c>
      <c r="Y104" s="1653">
        <f t="shared" si="42"/>
        <v>0</v>
      </c>
    </row>
    <row r="105" spans="1:25" ht="15" hidden="1" outlineLevel="1">
      <c r="A105" s="1615">
        <v>97</v>
      </c>
      <c r="C105" s="1651" t="s">
        <v>2580</v>
      </c>
      <c r="D105" s="1651" t="s">
        <v>2550</v>
      </c>
      <c r="E105" s="1613">
        <v>1005.45</v>
      </c>
      <c r="F105" s="1613">
        <v>-1005.45</v>
      </c>
      <c r="G105" s="1613">
        <f t="shared" si="43"/>
        <v>0</v>
      </c>
      <c r="H105" s="1578">
        <v>2007</v>
      </c>
      <c r="I105" s="1662">
        <f t="shared" si="44"/>
        <v>8.5</v>
      </c>
      <c r="J105" s="1663">
        <v>36</v>
      </c>
      <c r="K105" s="1664">
        <f t="shared" si="45"/>
        <v>0.33333333333333331</v>
      </c>
      <c r="L105" s="1613">
        <f t="shared" si="46"/>
        <v>0</v>
      </c>
      <c r="M105" s="1613">
        <f t="shared" si="47"/>
        <v>1005.45</v>
      </c>
      <c r="N105" s="1613">
        <f t="shared" si="36"/>
        <v>-1005.45</v>
      </c>
      <c r="O105" s="1652">
        <f t="shared" si="48"/>
        <v>0</v>
      </c>
      <c r="P105" s="1653">
        <f t="shared" si="49"/>
        <v>0</v>
      </c>
      <c r="Q105" s="1653">
        <f t="shared" si="50"/>
        <v>0</v>
      </c>
      <c r="R105" s="1653">
        <f t="shared" si="51"/>
        <v>0</v>
      </c>
      <c r="S105" s="1653">
        <f t="shared" si="52"/>
        <v>0</v>
      </c>
      <c r="T105" s="1653">
        <f t="shared" si="37"/>
        <v>0</v>
      </c>
      <c r="U105" s="1653">
        <f t="shared" si="38"/>
        <v>0</v>
      </c>
      <c r="V105" s="1653">
        <f t="shared" si="39"/>
        <v>0</v>
      </c>
      <c r="W105" s="1653">
        <f t="shared" si="40"/>
        <v>0</v>
      </c>
      <c r="X105" s="1653">
        <f t="shared" si="41"/>
        <v>0</v>
      </c>
      <c r="Y105" s="1653">
        <f t="shared" si="42"/>
        <v>0</v>
      </c>
    </row>
    <row r="106" spans="1:25" ht="15" hidden="1" outlineLevel="1">
      <c r="A106" s="1615">
        <v>98</v>
      </c>
      <c r="C106" s="1651" t="s">
        <v>2581</v>
      </c>
      <c r="D106" s="1651" t="s">
        <v>2582</v>
      </c>
      <c r="E106" s="1613">
        <v>1063.1199999999999</v>
      </c>
      <c r="F106" s="1613">
        <v>-1063.1199999999999</v>
      </c>
      <c r="G106" s="1613">
        <f t="shared" si="43"/>
        <v>0</v>
      </c>
      <c r="H106" s="1578">
        <v>2007</v>
      </c>
      <c r="I106" s="1662">
        <f t="shared" si="44"/>
        <v>8.5</v>
      </c>
      <c r="J106" s="1663">
        <v>36</v>
      </c>
      <c r="K106" s="1664">
        <f t="shared" si="45"/>
        <v>0.33333333333333331</v>
      </c>
      <c r="L106" s="1613">
        <f t="shared" si="46"/>
        <v>0</v>
      </c>
      <c r="M106" s="1613">
        <f t="shared" si="47"/>
        <v>1063.1199999999999</v>
      </c>
      <c r="N106" s="1613">
        <f t="shared" si="36"/>
        <v>-1063.1199999999999</v>
      </c>
      <c r="O106" s="1652">
        <f t="shared" si="48"/>
        <v>0</v>
      </c>
      <c r="P106" s="1653">
        <f t="shared" si="49"/>
        <v>0</v>
      </c>
      <c r="Q106" s="1653">
        <f t="shared" si="50"/>
        <v>0</v>
      </c>
      <c r="R106" s="1653">
        <f t="shared" si="51"/>
        <v>0</v>
      </c>
      <c r="S106" s="1653">
        <f t="shared" si="52"/>
        <v>0</v>
      </c>
      <c r="T106" s="1653">
        <f t="shared" si="37"/>
        <v>0</v>
      </c>
      <c r="U106" s="1653">
        <f t="shared" si="38"/>
        <v>0</v>
      </c>
      <c r="V106" s="1653">
        <f t="shared" si="39"/>
        <v>0</v>
      </c>
      <c r="W106" s="1653">
        <f t="shared" si="40"/>
        <v>0</v>
      </c>
      <c r="X106" s="1653">
        <f t="shared" si="41"/>
        <v>0</v>
      </c>
      <c r="Y106" s="1653">
        <f t="shared" si="42"/>
        <v>0</v>
      </c>
    </row>
    <row r="107" spans="1:25" ht="15" hidden="1" outlineLevel="1">
      <c r="A107" s="1615">
        <v>99</v>
      </c>
      <c r="C107" s="1651" t="s">
        <v>2583</v>
      </c>
      <c r="D107" s="1651" t="s">
        <v>2499</v>
      </c>
      <c r="E107" s="1613">
        <v>1132.95</v>
      </c>
      <c r="F107" s="1613">
        <v>-1132.95</v>
      </c>
      <c r="G107" s="1613">
        <f t="shared" si="43"/>
        <v>0</v>
      </c>
      <c r="H107" s="1578">
        <v>2007</v>
      </c>
      <c r="I107" s="1662">
        <f t="shared" si="44"/>
        <v>8.5</v>
      </c>
      <c r="J107" s="1663">
        <v>36</v>
      </c>
      <c r="K107" s="1664">
        <f t="shared" si="45"/>
        <v>0.33333333333333331</v>
      </c>
      <c r="L107" s="1613">
        <f t="shared" si="46"/>
        <v>0</v>
      </c>
      <c r="M107" s="1613">
        <f t="shared" si="47"/>
        <v>1132.95</v>
      </c>
      <c r="N107" s="1613">
        <f t="shared" si="36"/>
        <v>-1132.95</v>
      </c>
      <c r="O107" s="1652">
        <f t="shared" si="48"/>
        <v>0</v>
      </c>
      <c r="P107" s="1653">
        <f t="shared" si="49"/>
        <v>0</v>
      </c>
      <c r="Q107" s="1653">
        <f t="shared" si="50"/>
        <v>0</v>
      </c>
      <c r="R107" s="1653">
        <f t="shared" si="51"/>
        <v>0</v>
      </c>
      <c r="S107" s="1653">
        <f t="shared" si="52"/>
        <v>0</v>
      </c>
      <c r="T107" s="1653">
        <f t="shared" si="37"/>
        <v>0</v>
      </c>
      <c r="U107" s="1653">
        <f t="shared" si="38"/>
        <v>0</v>
      </c>
      <c r="V107" s="1653">
        <f t="shared" si="39"/>
        <v>0</v>
      </c>
      <c r="W107" s="1653">
        <f t="shared" si="40"/>
        <v>0</v>
      </c>
      <c r="X107" s="1653">
        <f t="shared" si="41"/>
        <v>0</v>
      </c>
      <c r="Y107" s="1653">
        <f t="shared" si="42"/>
        <v>0</v>
      </c>
    </row>
    <row r="108" spans="1:25" ht="15" hidden="1" outlineLevel="1">
      <c r="A108" s="1615">
        <v>100</v>
      </c>
      <c r="C108" s="1651" t="s">
        <v>2584</v>
      </c>
      <c r="D108" s="1651" t="s">
        <v>2482</v>
      </c>
      <c r="E108" s="1613">
        <v>1347.76</v>
      </c>
      <c r="F108" s="1613">
        <v>-1347.76</v>
      </c>
      <c r="G108" s="1613">
        <f t="shared" si="43"/>
        <v>0</v>
      </c>
      <c r="H108" s="1578">
        <v>2007</v>
      </c>
      <c r="I108" s="1662">
        <f t="shared" si="44"/>
        <v>8.5</v>
      </c>
      <c r="J108" s="1663">
        <v>36</v>
      </c>
      <c r="K108" s="1664">
        <f t="shared" si="45"/>
        <v>0.33333333333333331</v>
      </c>
      <c r="L108" s="1613">
        <f t="shared" si="46"/>
        <v>0</v>
      </c>
      <c r="M108" s="1613">
        <f t="shared" si="47"/>
        <v>1347.76</v>
      </c>
      <c r="N108" s="1613">
        <f t="shared" si="36"/>
        <v>-1347.76</v>
      </c>
      <c r="O108" s="1652">
        <f t="shared" si="48"/>
        <v>0</v>
      </c>
      <c r="P108" s="1653">
        <f t="shared" si="49"/>
        <v>0</v>
      </c>
      <c r="Q108" s="1653">
        <f t="shared" si="50"/>
        <v>0</v>
      </c>
      <c r="R108" s="1653">
        <f t="shared" si="51"/>
        <v>0</v>
      </c>
      <c r="S108" s="1653">
        <f t="shared" si="52"/>
        <v>0</v>
      </c>
      <c r="T108" s="1653">
        <f t="shared" si="37"/>
        <v>0</v>
      </c>
      <c r="U108" s="1653">
        <f t="shared" si="38"/>
        <v>0</v>
      </c>
      <c r="V108" s="1653">
        <f t="shared" si="39"/>
        <v>0</v>
      </c>
      <c r="W108" s="1653">
        <f t="shared" si="40"/>
        <v>0</v>
      </c>
      <c r="X108" s="1653">
        <f t="shared" si="41"/>
        <v>0</v>
      </c>
      <c r="Y108" s="1653">
        <f t="shared" si="42"/>
        <v>0</v>
      </c>
    </row>
    <row r="109" spans="1:25" ht="15" hidden="1" outlineLevel="1">
      <c r="A109" s="1615">
        <v>101</v>
      </c>
      <c r="C109" s="1651" t="s">
        <v>2585</v>
      </c>
      <c r="D109" s="1651" t="s">
        <v>2499</v>
      </c>
      <c r="E109" s="1613">
        <v>1398.38</v>
      </c>
      <c r="F109" s="1613">
        <v>-1398.38</v>
      </c>
      <c r="G109" s="1613">
        <f t="shared" si="43"/>
        <v>0</v>
      </c>
      <c r="H109" s="1578">
        <v>2007</v>
      </c>
      <c r="I109" s="1662">
        <f t="shared" si="44"/>
        <v>8.5</v>
      </c>
      <c r="J109" s="1663">
        <v>36</v>
      </c>
      <c r="K109" s="1664">
        <f t="shared" si="45"/>
        <v>0.33333333333333331</v>
      </c>
      <c r="L109" s="1613">
        <f t="shared" si="46"/>
        <v>0</v>
      </c>
      <c r="M109" s="1613">
        <f t="shared" si="47"/>
        <v>1398.38</v>
      </c>
      <c r="N109" s="1613">
        <f t="shared" si="36"/>
        <v>-1398.38</v>
      </c>
      <c r="O109" s="1652">
        <f t="shared" si="48"/>
        <v>0</v>
      </c>
      <c r="P109" s="1653">
        <f t="shared" si="49"/>
        <v>0</v>
      </c>
      <c r="Q109" s="1653">
        <f t="shared" si="50"/>
        <v>0</v>
      </c>
      <c r="R109" s="1653">
        <f t="shared" si="51"/>
        <v>0</v>
      </c>
      <c r="S109" s="1653">
        <f t="shared" si="52"/>
        <v>0</v>
      </c>
      <c r="T109" s="1653">
        <f t="shared" si="37"/>
        <v>0</v>
      </c>
      <c r="U109" s="1653">
        <f t="shared" si="38"/>
        <v>0</v>
      </c>
      <c r="V109" s="1653">
        <f t="shared" si="39"/>
        <v>0</v>
      </c>
      <c r="W109" s="1653">
        <f t="shared" si="40"/>
        <v>0</v>
      </c>
      <c r="X109" s="1653">
        <f t="shared" si="41"/>
        <v>0</v>
      </c>
      <c r="Y109" s="1653">
        <f t="shared" si="42"/>
        <v>0</v>
      </c>
    </row>
    <row r="110" spans="1:25" ht="15" hidden="1" outlineLevel="1">
      <c r="A110" s="1615">
        <v>102</v>
      </c>
      <c r="C110" s="1651" t="s">
        <v>2586</v>
      </c>
      <c r="D110" s="1651" t="s">
        <v>2554</v>
      </c>
      <c r="E110" s="1613">
        <v>1600.37</v>
      </c>
      <c r="F110" s="1613">
        <v>-1600.37</v>
      </c>
      <c r="G110" s="1613">
        <f t="shared" si="43"/>
        <v>0</v>
      </c>
      <c r="H110" s="1578">
        <v>2007</v>
      </c>
      <c r="I110" s="1662">
        <f t="shared" si="44"/>
        <v>8.5</v>
      </c>
      <c r="J110" s="1663">
        <v>36</v>
      </c>
      <c r="K110" s="1664">
        <f t="shared" si="45"/>
        <v>0.33333333333333331</v>
      </c>
      <c r="L110" s="1613">
        <f t="shared" si="46"/>
        <v>0</v>
      </c>
      <c r="M110" s="1613">
        <f t="shared" si="47"/>
        <v>1600.37</v>
      </c>
      <c r="N110" s="1613">
        <f t="shared" si="36"/>
        <v>-1600.37</v>
      </c>
      <c r="O110" s="1652">
        <f t="shared" si="48"/>
        <v>0</v>
      </c>
      <c r="P110" s="1653">
        <f t="shared" si="49"/>
        <v>0</v>
      </c>
      <c r="Q110" s="1653">
        <f t="shared" si="50"/>
        <v>0</v>
      </c>
      <c r="R110" s="1653">
        <f t="shared" si="51"/>
        <v>0</v>
      </c>
      <c r="S110" s="1653">
        <f t="shared" si="52"/>
        <v>0</v>
      </c>
      <c r="T110" s="1653">
        <f t="shared" si="37"/>
        <v>0</v>
      </c>
      <c r="U110" s="1653">
        <f t="shared" si="38"/>
        <v>0</v>
      </c>
      <c r="V110" s="1653">
        <f t="shared" si="39"/>
        <v>0</v>
      </c>
      <c r="W110" s="1653">
        <f t="shared" si="40"/>
        <v>0</v>
      </c>
      <c r="X110" s="1653">
        <f t="shared" si="41"/>
        <v>0</v>
      </c>
      <c r="Y110" s="1653">
        <f t="shared" si="42"/>
        <v>0</v>
      </c>
    </row>
    <row r="111" spans="1:25" ht="15" hidden="1" outlineLevel="1">
      <c r="A111" s="1615">
        <v>103</v>
      </c>
      <c r="C111" s="1651" t="s">
        <v>2587</v>
      </c>
      <c r="D111" s="1651" t="s">
        <v>2499</v>
      </c>
      <c r="E111" s="1613">
        <v>1684.84</v>
      </c>
      <c r="F111" s="1613">
        <v>-1684.84</v>
      </c>
      <c r="G111" s="1613">
        <f t="shared" si="43"/>
        <v>0</v>
      </c>
      <c r="H111" s="1578">
        <v>2007</v>
      </c>
      <c r="I111" s="1662">
        <f t="shared" si="44"/>
        <v>8.5</v>
      </c>
      <c r="J111" s="1663">
        <v>36</v>
      </c>
      <c r="K111" s="1664">
        <f t="shared" si="45"/>
        <v>0.33333333333333331</v>
      </c>
      <c r="L111" s="1613">
        <f t="shared" si="46"/>
        <v>0</v>
      </c>
      <c r="M111" s="1613">
        <f t="shared" si="47"/>
        <v>1684.84</v>
      </c>
      <c r="N111" s="1613">
        <f t="shared" si="36"/>
        <v>-1684.84</v>
      </c>
      <c r="O111" s="1652">
        <f t="shared" si="48"/>
        <v>0</v>
      </c>
      <c r="P111" s="1653">
        <f t="shared" si="49"/>
        <v>0</v>
      </c>
      <c r="Q111" s="1653">
        <f t="shared" si="50"/>
        <v>0</v>
      </c>
      <c r="R111" s="1653">
        <f t="shared" si="51"/>
        <v>0</v>
      </c>
      <c r="S111" s="1653">
        <f t="shared" si="52"/>
        <v>0</v>
      </c>
      <c r="T111" s="1653">
        <f t="shared" si="37"/>
        <v>0</v>
      </c>
      <c r="U111" s="1653">
        <f t="shared" si="38"/>
        <v>0</v>
      </c>
      <c r="V111" s="1653">
        <f t="shared" si="39"/>
        <v>0</v>
      </c>
      <c r="W111" s="1653">
        <f t="shared" si="40"/>
        <v>0</v>
      </c>
      <c r="X111" s="1653">
        <f t="shared" si="41"/>
        <v>0</v>
      </c>
      <c r="Y111" s="1653">
        <f t="shared" si="42"/>
        <v>0</v>
      </c>
    </row>
    <row r="112" spans="1:25" ht="15" hidden="1" outlineLevel="1">
      <c r="A112" s="1615">
        <v>104</v>
      </c>
      <c r="C112" s="1651" t="s">
        <v>2588</v>
      </c>
      <c r="D112" s="1651" t="s">
        <v>2521</v>
      </c>
      <c r="E112" s="1613">
        <v>1695.61</v>
      </c>
      <c r="F112" s="1613">
        <v>-1695.61</v>
      </c>
      <c r="G112" s="1613">
        <f t="shared" si="43"/>
        <v>0</v>
      </c>
      <c r="H112" s="1578">
        <v>2007</v>
      </c>
      <c r="I112" s="1662">
        <f t="shared" si="44"/>
        <v>8.5</v>
      </c>
      <c r="J112" s="1663">
        <v>36</v>
      </c>
      <c r="K112" s="1664">
        <f t="shared" si="45"/>
        <v>0.33333333333333331</v>
      </c>
      <c r="L112" s="1613">
        <f t="shared" si="46"/>
        <v>0</v>
      </c>
      <c r="M112" s="1613">
        <f t="shared" si="47"/>
        <v>1695.61</v>
      </c>
      <c r="N112" s="1613">
        <f t="shared" si="36"/>
        <v>-1695.61</v>
      </c>
      <c r="O112" s="1652">
        <f t="shared" si="48"/>
        <v>0</v>
      </c>
      <c r="P112" s="1653">
        <f t="shared" si="49"/>
        <v>0</v>
      </c>
      <c r="Q112" s="1653">
        <f t="shared" si="50"/>
        <v>0</v>
      </c>
      <c r="R112" s="1653">
        <f t="shared" si="51"/>
        <v>0</v>
      </c>
      <c r="S112" s="1653">
        <f t="shared" si="52"/>
        <v>0</v>
      </c>
      <c r="T112" s="1653">
        <f t="shared" si="37"/>
        <v>0</v>
      </c>
      <c r="U112" s="1653">
        <f t="shared" si="38"/>
        <v>0</v>
      </c>
      <c r="V112" s="1653">
        <f t="shared" si="39"/>
        <v>0</v>
      </c>
      <c r="W112" s="1653">
        <f t="shared" si="40"/>
        <v>0</v>
      </c>
      <c r="X112" s="1653">
        <f t="shared" si="41"/>
        <v>0</v>
      </c>
      <c r="Y112" s="1653">
        <f t="shared" si="42"/>
        <v>0</v>
      </c>
    </row>
    <row r="113" spans="1:25" ht="15" hidden="1" outlineLevel="1">
      <c r="A113" s="1615">
        <v>105</v>
      </c>
      <c r="C113" s="1651" t="s">
        <v>2589</v>
      </c>
      <c r="D113" s="1651" t="s">
        <v>2499</v>
      </c>
      <c r="E113" s="1613">
        <v>1711.43</v>
      </c>
      <c r="F113" s="1613">
        <v>-1711.43</v>
      </c>
      <c r="G113" s="1613">
        <f t="shared" si="43"/>
        <v>0</v>
      </c>
      <c r="H113" s="1578">
        <v>2007</v>
      </c>
      <c r="I113" s="1662">
        <f t="shared" si="44"/>
        <v>8.5</v>
      </c>
      <c r="J113" s="1663">
        <v>36</v>
      </c>
      <c r="K113" s="1664">
        <f t="shared" si="45"/>
        <v>0.33333333333333331</v>
      </c>
      <c r="L113" s="1613">
        <f t="shared" si="46"/>
        <v>0</v>
      </c>
      <c r="M113" s="1613">
        <f t="shared" si="47"/>
        <v>1711.43</v>
      </c>
      <c r="N113" s="1613">
        <f t="shared" si="36"/>
        <v>-1711.43</v>
      </c>
      <c r="O113" s="1652">
        <f t="shared" si="48"/>
        <v>0</v>
      </c>
      <c r="P113" s="1653">
        <f t="shared" si="49"/>
        <v>0</v>
      </c>
      <c r="Q113" s="1653">
        <f t="shared" si="50"/>
        <v>0</v>
      </c>
      <c r="R113" s="1653">
        <f t="shared" si="51"/>
        <v>0</v>
      </c>
      <c r="S113" s="1653">
        <f t="shared" si="52"/>
        <v>0</v>
      </c>
      <c r="T113" s="1653">
        <f t="shared" si="37"/>
        <v>0</v>
      </c>
      <c r="U113" s="1653">
        <f t="shared" si="38"/>
        <v>0</v>
      </c>
      <c r="V113" s="1653">
        <f t="shared" si="39"/>
        <v>0</v>
      </c>
      <c r="W113" s="1653">
        <f t="shared" si="40"/>
        <v>0</v>
      </c>
      <c r="X113" s="1653">
        <f t="shared" si="41"/>
        <v>0</v>
      </c>
      <c r="Y113" s="1653">
        <f t="shared" si="42"/>
        <v>0</v>
      </c>
    </row>
    <row r="114" spans="1:25" ht="15" hidden="1" outlineLevel="1">
      <c r="A114" s="1615">
        <v>106</v>
      </c>
      <c r="C114" s="1651" t="s">
        <v>2590</v>
      </c>
      <c r="D114" s="1651" t="s">
        <v>2499</v>
      </c>
      <c r="E114" s="1613">
        <v>1715.34</v>
      </c>
      <c r="F114" s="1613">
        <v>-1715.34</v>
      </c>
      <c r="G114" s="1613">
        <f t="shared" si="43"/>
        <v>0</v>
      </c>
      <c r="H114" s="1578">
        <v>2007</v>
      </c>
      <c r="I114" s="1662">
        <f t="shared" si="44"/>
        <v>8.5</v>
      </c>
      <c r="J114" s="1663">
        <v>36</v>
      </c>
      <c r="K114" s="1664">
        <f t="shared" si="45"/>
        <v>0.33333333333333331</v>
      </c>
      <c r="L114" s="1613">
        <f t="shared" si="46"/>
        <v>0</v>
      </c>
      <c r="M114" s="1613">
        <f t="shared" si="47"/>
        <v>1715.34</v>
      </c>
      <c r="N114" s="1613">
        <f t="shared" si="36"/>
        <v>-1715.34</v>
      </c>
      <c r="O114" s="1652">
        <f t="shared" si="48"/>
        <v>0</v>
      </c>
      <c r="P114" s="1653">
        <f t="shared" si="49"/>
        <v>0</v>
      </c>
      <c r="Q114" s="1653">
        <f t="shared" si="50"/>
        <v>0</v>
      </c>
      <c r="R114" s="1653">
        <f t="shared" si="51"/>
        <v>0</v>
      </c>
      <c r="S114" s="1653">
        <f t="shared" si="52"/>
        <v>0</v>
      </c>
      <c r="T114" s="1653">
        <f t="shared" si="37"/>
        <v>0</v>
      </c>
      <c r="U114" s="1653">
        <f t="shared" si="38"/>
        <v>0</v>
      </c>
      <c r="V114" s="1653">
        <f t="shared" si="39"/>
        <v>0</v>
      </c>
      <c r="W114" s="1653">
        <f t="shared" si="40"/>
        <v>0</v>
      </c>
      <c r="X114" s="1653">
        <f t="shared" si="41"/>
        <v>0</v>
      </c>
      <c r="Y114" s="1653">
        <f t="shared" si="42"/>
        <v>0</v>
      </c>
    </row>
    <row r="115" spans="1:25" ht="15" hidden="1" outlineLevel="1">
      <c r="A115" s="1615">
        <v>107</v>
      </c>
      <c r="C115" s="1651" t="s">
        <v>2591</v>
      </c>
      <c r="D115" s="1651" t="s">
        <v>2487</v>
      </c>
      <c r="E115" s="1613">
        <v>1822.53</v>
      </c>
      <c r="F115" s="1613">
        <v>-1822.53</v>
      </c>
      <c r="G115" s="1613">
        <f t="shared" si="43"/>
        <v>0</v>
      </c>
      <c r="H115" s="1578">
        <v>2007</v>
      </c>
      <c r="I115" s="1662">
        <f t="shared" si="44"/>
        <v>8.5</v>
      </c>
      <c r="J115" s="1663">
        <v>36</v>
      </c>
      <c r="K115" s="1664">
        <f t="shared" si="45"/>
        <v>0.33333333333333331</v>
      </c>
      <c r="L115" s="1613">
        <f t="shared" si="46"/>
        <v>0</v>
      </c>
      <c r="M115" s="1613">
        <f t="shared" si="47"/>
        <v>1822.53</v>
      </c>
      <c r="N115" s="1613">
        <f t="shared" si="36"/>
        <v>-1822.53</v>
      </c>
      <c r="O115" s="1652">
        <f t="shared" si="48"/>
        <v>0</v>
      </c>
      <c r="P115" s="1653">
        <f t="shared" si="49"/>
        <v>0</v>
      </c>
      <c r="Q115" s="1653">
        <f t="shared" si="50"/>
        <v>0</v>
      </c>
      <c r="R115" s="1653">
        <f t="shared" si="51"/>
        <v>0</v>
      </c>
      <c r="S115" s="1653">
        <f t="shared" si="52"/>
        <v>0</v>
      </c>
      <c r="T115" s="1653">
        <f t="shared" si="37"/>
        <v>0</v>
      </c>
      <c r="U115" s="1653">
        <f t="shared" si="38"/>
        <v>0</v>
      </c>
      <c r="V115" s="1653">
        <f t="shared" si="39"/>
        <v>0</v>
      </c>
      <c r="W115" s="1653">
        <f t="shared" si="40"/>
        <v>0</v>
      </c>
      <c r="X115" s="1653">
        <f t="shared" si="41"/>
        <v>0</v>
      </c>
      <c r="Y115" s="1653">
        <f t="shared" si="42"/>
        <v>0</v>
      </c>
    </row>
    <row r="116" spans="1:25" ht="15" hidden="1" outlineLevel="1">
      <c r="A116" s="1615">
        <v>108</v>
      </c>
      <c r="C116" s="1651" t="s">
        <v>2592</v>
      </c>
      <c r="D116" s="1651" t="s">
        <v>2557</v>
      </c>
      <c r="E116" s="1613">
        <v>1913.07</v>
      </c>
      <c r="F116" s="1613">
        <v>-1913.07</v>
      </c>
      <c r="G116" s="1613">
        <f t="shared" si="43"/>
        <v>0</v>
      </c>
      <c r="H116" s="1578">
        <v>2007</v>
      </c>
      <c r="I116" s="1662">
        <f t="shared" si="44"/>
        <v>8.5</v>
      </c>
      <c r="J116" s="1663">
        <v>36</v>
      </c>
      <c r="K116" s="1664">
        <f t="shared" si="45"/>
        <v>0.33333333333333331</v>
      </c>
      <c r="L116" s="1613">
        <f t="shared" si="46"/>
        <v>0</v>
      </c>
      <c r="M116" s="1613">
        <f t="shared" si="47"/>
        <v>1913.07</v>
      </c>
      <c r="N116" s="1613">
        <f t="shared" si="36"/>
        <v>-1913.07</v>
      </c>
      <c r="O116" s="1652">
        <f t="shared" si="48"/>
        <v>0</v>
      </c>
      <c r="P116" s="1653">
        <f t="shared" si="49"/>
        <v>0</v>
      </c>
      <c r="Q116" s="1653">
        <f t="shared" si="50"/>
        <v>0</v>
      </c>
      <c r="R116" s="1653">
        <f t="shared" si="51"/>
        <v>0</v>
      </c>
      <c r="S116" s="1653">
        <f t="shared" si="52"/>
        <v>0</v>
      </c>
      <c r="T116" s="1653">
        <f t="shared" si="37"/>
        <v>0</v>
      </c>
      <c r="U116" s="1653">
        <f t="shared" si="38"/>
        <v>0</v>
      </c>
      <c r="V116" s="1653">
        <f t="shared" si="39"/>
        <v>0</v>
      </c>
      <c r="W116" s="1653">
        <f t="shared" si="40"/>
        <v>0</v>
      </c>
      <c r="X116" s="1653">
        <f t="shared" si="41"/>
        <v>0</v>
      </c>
      <c r="Y116" s="1653">
        <f t="shared" si="42"/>
        <v>0</v>
      </c>
    </row>
    <row r="117" spans="1:25" ht="15" hidden="1" outlineLevel="1">
      <c r="A117" s="1615">
        <v>109</v>
      </c>
      <c r="C117" s="1651" t="s">
        <v>2593</v>
      </c>
      <c r="D117" s="1651" t="s">
        <v>2548</v>
      </c>
      <c r="E117" s="1613">
        <v>1923.97</v>
      </c>
      <c r="F117" s="1613">
        <v>-1923.97</v>
      </c>
      <c r="G117" s="1613">
        <f t="shared" si="43"/>
        <v>0</v>
      </c>
      <c r="H117" s="1578">
        <v>2007</v>
      </c>
      <c r="I117" s="1662">
        <f t="shared" si="44"/>
        <v>8.5</v>
      </c>
      <c r="J117" s="1663">
        <v>36</v>
      </c>
      <c r="K117" s="1664">
        <f t="shared" si="45"/>
        <v>0.33333333333333331</v>
      </c>
      <c r="L117" s="1613">
        <f t="shared" si="46"/>
        <v>0</v>
      </c>
      <c r="M117" s="1613">
        <f t="shared" si="47"/>
        <v>1923.97</v>
      </c>
      <c r="N117" s="1613">
        <f t="shared" si="36"/>
        <v>-1923.97</v>
      </c>
      <c r="O117" s="1652">
        <f t="shared" si="48"/>
        <v>0</v>
      </c>
      <c r="P117" s="1653">
        <f t="shared" si="49"/>
        <v>0</v>
      </c>
      <c r="Q117" s="1653">
        <f t="shared" si="50"/>
        <v>0</v>
      </c>
      <c r="R117" s="1653">
        <f t="shared" si="51"/>
        <v>0</v>
      </c>
      <c r="S117" s="1653">
        <f t="shared" si="52"/>
        <v>0</v>
      </c>
      <c r="T117" s="1653">
        <f t="shared" si="37"/>
        <v>0</v>
      </c>
      <c r="U117" s="1653">
        <f t="shared" si="38"/>
        <v>0</v>
      </c>
      <c r="V117" s="1653">
        <f t="shared" si="39"/>
        <v>0</v>
      </c>
      <c r="W117" s="1653">
        <f t="shared" si="40"/>
        <v>0</v>
      </c>
      <c r="X117" s="1653">
        <f t="shared" si="41"/>
        <v>0</v>
      </c>
      <c r="Y117" s="1653">
        <f t="shared" si="42"/>
        <v>0</v>
      </c>
    </row>
    <row r="118" spans="1:25" ht="15" hidden="1" outlineLevel="1">
      <c r="A118" s="1615">
        <v>110</v>
      </c>
      <c r="C118" s="1651" t="s">
        <v>2594</v>
      </c>
      <c r="D118" s="1651" t="s">
        <v>2516</v>
      </c>
      <c r="E118" s="1613">
        <v>2013.25</v>
      </c>
      <c r="F118" s="1613">
        <v>-2013.25</v>
      </c>
      <c r="G118" s="1613">
        <f t="shared" si="43"/>
        <v>0</v>
      </c>
      <c r="H118" s="1578">
        <v>2007</v>
      </c>
      <c r="I118" s="1662">
        <f t="shared" si="44"/>
        <v>8.5</v>
      </c>
      <c r="J118" s="1663">
        <v>36</v>
      </c>
      <c r="K118" s="1664">
        <f t="shared" si="45"/>
        <v>0.33333333333333331</v>
      </c>
      <c r="L118" s="1613">
        <f t="shared" si="46"/>
        <v>0</v>
      </c>
      <c r="M118" s="1613">
        <f t="shared" si="47"/>
        <v>2013.25</v>
      </c>
      <c r="N118" s="1613">
        <f t="shared" si="36"/>
        <v>-2013.25</v>
      </c>
      <c r="O118" s="1652">
        <f t="shared" si="48"/>
        <v>0</v>
      </c>
      <c r="P118" s="1653">
        <f t="shared" si="49"/>
        <v>0</v>
      </c>
      <c r="Q118" s="1653">
        <f t="shared" si="50"/>
        <v>0</v>
      </c>
      <c r="R118" s="1653">
        <f t="shared" si="51"/>
        <v>0</v>
      </c>
      <c r="S118" s="1653">
        <f t="shared" si="52"/>
        <v>0</v>
      </c>
      <c r="T118" s="1653">
        <f t="shared" si="37"/>
        <v>0</v>
      </c>
      <c r="U118" s="1653">
        <f t="shared" si="38"/>
        <v>0</v>
      </c>
      <c r="V118" s="1653">
        <f t="shared" si="39"/>
        <v>0</v>
      </c>
      <c r="W118" s="1653">
        <f t="shared" si="40"/>
        <v>0</v>
      </c>
      <c r="X118" s="1653">
        <f t="shared" si="41"/>
        <v>0</v>
      </c>
      <c r="Y118" s="1653">
        <f t="shared" si="42"/>
        <v>0</v>
      </c>
    </row>
    <row r="119" spans="1:25" ht="15" hidden="1" outlineLevel="1">
      <c r="A119" s="1615">
        <v>111</v>
      </c>
      <c r="C119" s="1651" t="s">
        <v>2595</v>
      </c>
      <c r="D119" s="1651" t="s">
        <v>2502</v>
      </c>
      <c r="E119" s="1613">
        <v>2063.98</v>
      </c>
      <c r="F119" s="1613">
        <v>-2063.98</v>
      </c>
      <c r="G119" s="1613">
        <f t="shared" si="43"/>
        <v>0</v>
      </c>
      <c r="H119" s="1578">
        <v>2007</v>
      </c>
      <c r="I119" s="1662">
        <f t="shared" si="44"/>
        <v>8.5</v>
      </c>
      <c r="J119" s="1663">
        <v>36</v>
      </c>
      <c r="K119" s="1664">
        <f t="shared" si="45"/>
        <v>0.33333333333333331</v>
      </c>
      <c r="L119" s="1613">
        <f t="shared" si="46"/>
        <v>0</v>
      </c>
      <c r="M119" s="1613">
        <f t="shared" si="47"/>
        <v>2063.98</v>
      </c>
      <c r="N119" s="1613">
        <f t="shared" si="36"/>
        <v>-2063.98</v>
      </c>
      <c r="O119" s="1652">
        <f t="shared" si="48"/>
        <v>0</v>
      </c>
      <c r="P119" s="1653">
        <f t="shared" si="49"/>
        <v>0</v>
      </c>
      <c r="Q119" s="1653">
        <f t="shared" si="50"/>
        <v>0</v>
      </c>
      <c r="R119" s="1653">
        <f t="shared" si="51"/>
        <v>0</v>
      </c>
      <c r="S119" s="1653">
        <f t="shared" si="52"/>
        <v>0</v>
      </c>
      <c r="T119" s="1653">
        <f t="shared" si="37"/>
        <v>0</v>
      </c>
      <c r="U119" s="1653">
        <f t="shared" si="38"/>
        <v>0</v>
      </c>
      <c r="V119" s="1653">
        <f t="shared" si="39"/>
        <v>0</v>
      </c>
      <c r="W119" s="1653">
        <f t="shared" si="40"/>
        <v>0</v>
      </c>
      <c r="X119" s="1653">
        <f t="shared" si="41"/>
        <v>0</v>
      </c>
      <c r="Y119" s="1653">
        <f t="shared" si="42"/>
        <v>0</v>
      </c>
    </row>
    <row r="120" spans="1:25" ht="15" hidden="1" outlineLevel="1">
      <c r="A120" s="1615">
        <v>112</v>
      </c>
      <c r="C120" s="1651" t="s">
        <v>2596</v>
      </c>
      <c r="D120" s="1651" t="s">
        <v>2482</v>
      </c>
      <c r="E120" s="1613">
        <v>2130.79</v>
      </c>
      <c r="F120" s="1613">
        <v>-2130.79</v>
      </c>
      <c r="G120" s="1613">
        <f t="shared" si="43"/>
        <v>0</v>
      </c>
      <c r="H120" s="1578">
        <v>2007</v>
      </c>
      <c r="I120" s="1662">
        <f t="shared" si="44"/>
        <v>8.5</v>
      </c>
      <c r="J120" s="1663">
        <v>36</v>
      </c>
      <c r="K120" s="1664">
        <f t="shared" si="45"/>
        <v>0.33333333333333331</v>
      </c>
      <c r="L120" s="1613">
        <f t="shared" si="46"/>
        <v>0</v>
      </c>
      <c r="M120" s="1613">
        <f t="shared" si="47"/>
        <v>2130.79</v>
      </c>
      <c r="N120" s="1613">
        <f t="shared" si="36"/>
        <v>-2130.79</v>
      </c>
      <c r="O120" s="1652">
        <f t="shared" si="48"/>
        <v>0</v>
      </c>
      <c r="P120" s="1653">
        <f t="shared" si="49"/>
        <v>0</v>
      </c>
      <c r="Q120" s="1653">
        <f t="shared" si="50"/>
        <v>0</v>
      </c>
      <c r="R120" s="1653">
        <f t="shared" si="51"/>
        <v>0</v>
      </c>
      <c r="S120" s="1653">
        <f t="shared" si="52"/>
        <v>0</v>
      </c>
      <c r="T120" s="1653">
        <f t="shared" si="37"/>
        <v>0</v>
      </c>
      <c r="U120" s="1653">
        <f t="shared" si="38"/>
        <v>0</v>
      </c>
      <c r="V120" s="1653">
        <f t="shared" si="39"/>
        <v>0</v>
      </c>
      <c r="W120" s="1653">
        <f t="shared" si="40"/>
        <v>0</v>
      </c>
      <c r="X120" s="1653">
        <f t="shared" si="41"/>
        <v>0</v>
      </c>
      <c r="Y120" s="1653">
        <f t="shared" si="42"/>
        <v>0</v>
      </c>
    </row>
    <row r="121" spans="1:25" ht="15" hidden="1" outlineLevel="1">
      <c r="A121" s="1615">
        <v>113</v>
      </c>
      <c r="C121" s="1651" t="s">
        <v>2597</v>
      </c>
      <c r="D121" s="1651" t="s">
        <v>2487</v>
      </c>
      <c r="E121" s="1613">
        <v>2131.21</v>
      </c>
      <c r="F121" s="1613">
        <v>-2131.21</v>
      </c>
      <c r="G121" s="1613">
        <f t="shared" si="43"/>
        <v>0</v>
      </c>
      <c r="H121" s="1578">
        <v>2007</v>
      </c>
      <c r="I121" s="1662">
        <f t="shared" si="44"/>
        <v>8.5</v>
      </c>
      <c r="J121" s="1663">
        <v>36</v>
      </c>
      <c r="K121" s="1664">
        <f t="shared" si="45"/>
        <v>0.33333333333333331</v>
      </c>
      <c r="L121" s="1613">
        <f t="shared" si="46"/>
        <v>0</v>
      </c>
      <c r="M121" s="1613">
        <f t="shared" si="47"/>
        <v>2131.21</v>
      </c>
      <c r="N121" s="1613">
        <f t="shared" si="36"/>
        <v>-2131.21</v>
      </c>
      <c r="O121" s="1652">
        <f t="shared" si="48"/>
        <v>0</v>
      </c>
      <c r="P121" s="1653">
        <f t="shared" si="49"/>
        <v>0</v>
      </c>
      <c r="Q121" s="1653">
        <f t="shared" si="50"/>
        <v>0</v>
      </c>
      <c r="R121" s="1653">
        <f t="shared" si="51"/>
        <v>0</v>
      </c>
      <c r="S121" s="1653">
        <f t="shared" si="52"/>
        <v>0</v>
      </c>
      <c r="T121" s="1653">
        <f t="shared" si="37"/>
        <v>0</v>
      </c>
      <c r="U121" s="1653">
        <f t="shared" si="38"/>
        <v>0</v>
      </c>
      <c r="V121" s="1653">
        <f t="shared" si="39"/>
        <v>0</v>
      </c>
      <c r="W121" s="1653">
        <f t="shared" si="40"/>
        <v>0</v>
      </c>
      <c r="X121" s="1653">
        <f t="shared" si="41"/>
        <v>0</v>
      </c>
      <c r="Y121" s="1653">
        <f t="shared" si="42"/>
        <v>0</v>
      </c>
    </row>
    <row r="122" spans="1:25" ht="15" hidden="1" outlineLevel="1">
      <c r="A122" s="1615">
        <v>114</v>
      </c>
      <c r="C122" s="1651" t="s">
        <v>2598</v>
      </c>
      <c r="D122" s="1651" t="s">
        <v>2487</v>
      </c>
      <c r="E122" s="1613">
        <v>2134.52</v>
      </c>
      <c r="F122" s="1613">
        <v>-2134.52</v>
      </c>
      <c r="G122" s="1613">
        <f t="shared" si="43"/>
        <v>0</v>
      </c>
      <c r="H122" s="1578">
        <v>2007</v>
      </c>
      <c r="I122" s="1662">
        <f t="shared" si="44"/>
        <v>8.5</v>
      </c>
      <c r="J122" s="1663">
        <v>36</v>
      </c>
      <c r="K122" s="1664">
        <f t="shared" si="45"/>
        <v>0.33333333333333331</v>
      </c>
      <c r="L122" s="1613">
        <f t="shared" si="46"/>
        <v>0</v>
      </c>
      <c r="M122" s="1613">
        <f t="shared" si="47"/>
        <v>2134.52</v>
      </c>
      <c r="N122" s="1613">
        <f t="shared" si="36"/>
        <v>-2134.52</v>
      </c>
      <c r="O122" s="1652">
        <f t="shared" si="48"/>
        <v>0</v>
      </c>
      <c r="P122" s="1653">
        <f t="shared" si="49"/>
        <v>0</v>
      </c>
      <c r="Q122" s="1653">
        <f t="shared" si="50"/>
        <v>0</v>
      </c>
      <c r="R122" s="1653">
        <f t="shared" si="51"/>
        <v>0</v>
      </c>
      <c r="S122" s="1653">
        <f t="shared" si="52"/>
        <v>0</v>
      </c>
      <c r="T122" s="1653">
        <f t="shared" si="37"/>
        <v>0</v>
      </c>
      <c r="U122" s="1653">
        <f t="shared" si="38"/>
        <v>0</v>
      </c>
      <c r="V122" s="1653">
        <f t="shared" si="39"/>
        <v>0</v>
      </c>
      <c r="W122" s="1653">
        <f t="shared" si="40"/>
        <v>0</v>
      </c>
      <c r="X122" s="1653">
        <f t="shared" si="41"/>
        <v>0</v>
      </c>
      <c r="Y122" s="1653">
        <f t="shared" si="42"/>
        <v>0</v>
      </c>
    </row>
    <row r="123" spans="1:25" ht="15" hidden="1" outlineLevel="1">
      <c r="A123" s="1615">
        <v>115</v>
      </c>
      <c r="C123" s="1651" t="s">
        <v>2599</v>
      </c>
      <c r="D123" s="1651" t="s">
        <v>2526</v>
      </c>
      <c r="E123" s="1613">
        <v>2145.08</v>
      </c>
      <c r="F123" s="1613">
        <v>-2145.08</v>
      </c>
      <c r="G123" s="1613">
        <f t="shared" si="43"/>
        <v>0</v>
      </c>
      <c r="H123" s="1578">
        <v>2007</v>
      </c>
      <c r="I123" s="1662">
        <f t="shared" si="44"/>
        <v>8.5</v>
      </c>
      <c r="J123" s="1663">
        <v>36</v>
      </c>
      <c r="K123" s="1664">
        <f t="shared" si="45"/>
        <v>0.33333333333333331</v>
      </c>
      <c r="L123" s="1613">
        <f t="shared" si="46"/>
        <v>0</v>
      </c>
      <c r="M123" s="1613">
        <f t="shared" si="47"/>
        <v>2145.08</v>
      </c>
      <c r="N123" s="1613">
        <f t="shared" si="36"/>
        <v>-2145.08</v>
      </c>
      <c r="O123" s="1652">
        <f t="shared" si="48"/>
        <v>0</v>
      </c>
      <c r="P123" s="1653">
        <f t="shared" si="49"/>
        <v>0</v>
      </c>
      <c r="Q123" s="1653">
        <f t="shared" si="50"/>
        <v>0</v>
      </c>
      <c r="R123" s="1653">
        <f t="shared" si="51"/>
        <v>0</v>
      </c>
      <c r="S123" s="1653">
        <f t="shared" si="52"/>
        <v>0</v>
      </c>
      <c r="T123" s="1653">
        <f t="shared" si="37"/>
        <v>0</v>
      </c>
      <c r="U123" s="1653">
        <f t="shared" si="38"/>
        <v>0</v>
      </c>
      <c r="V123" s="1653">
        <f t="shared" si="39"/>
        <v>0</v>
      </c>
      <c r="W123" s="1653">
        <f t="shared" si="40"/>
        <v>0</v>
      </c>
      <c r="X123" s="1653">
        <f t="shared" si="41"/>
        <v>0</v>
      </c>
      <c r="Y123" s="1653">
        <f t="shared" si="42"/>
        <v>0</v>
      </c>
    </row>
    <row r="124" spans="1:25" ht="15" hidden="1" outlineLevel="1">
      <c r="A124" s="1615">
        <v>116</v>
      </c>
      <c r="C124" s="1651" t="s">
        <v>2600</v>
      </c>
      <c r="D124" s="1651" t="s">
        <v>2601</v>
      </c>
      <c r="E124" s="1613">
        <v>2181.3200000000002</v>
      </c>
      <c r="F124" s="1613">
        <v>-2181.3200000000002</v>
      </c>
      <c r="G124" s="1613">
        <f t="shared" si="43"/>
        <v>0</v>
      </c>
      <c r="H124" s="1578">
        <v>2007</v>
      </c>
      <c r="I124" s="1662">
        <f t="shared" si="44"/>
        <v>8.5</v>
      </c>
      <c r="J124" s="1663">
        <v>36</v>
      </c>
      <c r="K124" s="1664">
        <f t="shared" si="45"/>
        <v>0.33333333333333331</v>
      </c>
      <c r="L124" s="1613">
        <f t="shared" si="46"/>
        <v>0</v>
      </c>
      <c r="M124" s="1613">
        <f t="shared" si="47"/>
        <v>2181.3200000000002</v>
      </c>
      <c r="N124" s="1613">
        <f t="shared" si="36"/>
        <v>-2181.3200000000002</v>
      </c>
      <c r="O124" s="1652">
        <f t="shared" si="48"/>
        <v>0</v>
      </c>
      <c r="P124" s="1653">
        <f t="shared" si="49"/>
        <v>0</v>
      </c>
      <c r="Q124" s="1653">
        <f t="shared" si="50"/>
        <v>0</v>
      </c>
      <c r="R124" s="1653">
        <f t="shared" si="51"/>
        <v>0</v>
      </c>
      <c r="S124" s="1653">
        <f t="shared" si="52"/>
        <v>0</v>
      </c>
      <c r="T124" s="1653">
        <f t="shared" si="37"/>
        <v>0</v>
      </c>
      <c r="U124" s="1653">
        <f t="shared" si="38"/>
        <v>0</v>
      </c>
      <c r="V124" s="1653">
        <f t="shared" si="39"/>
        <v>0</v>
      </c>
      <c r="W124" s="1653">
        <f t="shared" si="40"/>
        <v>0</v>
      </c>
      <c r="X124" s="1653">
        <f t="shared" si="41"/>
        <v>0</v>
      </c>
      <c r="Y124" s="1653">
        <f t="shared" si="42"/>
        <v>0</v>
      </c>
    </row>
    <row r="125" spans="1:25" ht="15" hidden="1" outlineLevel="1">
      <c r="A125" s="1615">
        <v>117</v>
      </c>
      <c r="C125" s="1651" t="s">
        <v>2602</v>
      </c>
      <c r="D125" s="1651" t="s">
        <v>2557</v>
      </c>
      <c r="E125" s="1613">
        <v>2229.48</v>
      </c>
      <c r="F125" s="1613">
        <v>-2229.48</v>
      </c>
      <c r="G125" s="1613">
        <f t="shared" si="43"/>
        <v>0</v>
      </c>
      <c r="H125" s="1578">
        <v>2007</v>
      </c>
      <c r="I125" s="1662">
        <f t="shared" si="44"/>
        <v>8.5</v>
      </c>
      <c r="J125" s="1663">
        <v>36</v>
      </c>
      <c r="K125" s="1664">
        <f t="shared" si="45"/>
        <v>0.33333333333333331</v>
      </c>
      <c r="L125" s="1613">
        <f t="shared" si="46"/>
        <v>0</v>
      </c>
      <c r="M125" s="1613">
        <f t="shared" si="47"/>
        <v>2229.48</v>
      </c>
      <c r="N125" s="1613">
        <f t="shared" si="36"/>
        <v>-2229.48</v>
      </c>
      <c r="O125" s="1652">
        <f t="shared" si="48"/>
        <v>0</v>
      </c>
      <c r="P125" s="1653">
        <f t="shared" si="49"/>
        <v>0</v>
      </c>
      <c r="Q125" s="1653">
        <f t="shared" si="50"/>
        <v>0</v>
      </c>
      <c r="R125" s="1653">
        <f t="shared" si="51"/>
        <v>0</v>
      </c>
      <c r="S125" s="1653">
        <f t="shared" si="52"/>
        <v>0</v>
      </c>
      <c r="T125" s="1653">
        <f t="shared" si="37"/>
        <v>0</v>
      </c>
      <c r="U125" s="1653">
        <f t="shared" si="38"/>
        <v>0</v>
      </c>
      <c r="V125" s="1653">
        <f t="shared" si="39"/>
        <v>0</v>
      </c>
      <c r="W125" s="1653">
        <f t="shared" si="40"/>
        <v>0</v>
      </c>
      <c r="X125" s="1653">
        <f t="shared" si="41"/>
        <v>0</v>
      </c>
      <c r="Y125" s="1653">
        <f t="shared" si="42"/>
        <v>0</v>
      </c>
    </row>
    <row r="126" spans="1:25" ht="15" hidden="1" outlineLevel="1">
      <c r="A126" s="1615">
        <v>118</v>
      </c>
      <c r="C126" s="1651" t="s">
        <v>2603</v>
      </c>
      <c r="D126" s="1651" t="s">
        <v>2557</v>
      </c>
      <c r="E126" s="1613">
        <v>2454.6999999999998</v>
      </c>
      <c r="F126" s="1613">
        <v>-2454.6999999999998</v>
      </c>
      <c r="G126" s="1613">
        <f t="shared" si="43"/>
        <v>0</v>
      </c>
      <c r="H126" s="1578">
        <v>2007</v>
      </c>
      <c r="I126" s="1662">
        <f t="shared" si="44"/>
        <v>8.5</v>
      </c>
      <c r="J126" s="1663">
        <v>36</v>
      </c>
      <c r="K126" s="1664">
        <f t="shared" si="45"/>
        <v>0.33333333333333331</v>
      </c>
      <c r="L126" s="1613">
        <f t="shared" si="46"/>
        <v>0</v>
      </c>
      <c r="M126" s="1613">
        <f t="shared" si="47"/>
        <v>2454.6999999999998</v>
      </c>
      <c r="N126" s="1613">
        <f t="shared" si="36"/>
        <v>-2454.6999999999998</v>
      </c>
      <c r="O126" s="1652">
        <f t="shared" si="48"/>
        <v>0</v>
      </c>
      <c r="P126" s="1653">
        <f t="shared" si="49"/>
        <v>0</v>
      </c>
      <c r="Q126" s="1653">
        <f t="shared" si="50"/>
        <v>0</v>
      </c>
      <c r="R126" s="1653">
        <f t="shared" si="51"/>
        <v>0</v>
      </c>
      <c r="S126" s="1653">
        <f t="shared" si="52"/>
        <v>0</v>
      </c>
      <c r="T126" s="1653">
        <f t="shared" si="37"/>
        <v>0</v>
      </c>
      <c r="U126" s="1653">
        <f t="shared" si="38"/>
        <v>0</v>
      </c>
      <c r="V126" s="1653">
        <f t="shared" si="39"/>
        <v>0</v>
      </c>
      <c r="W126" s="1653">
        <f t="shared" si="40"/>
        <v>0</v>
      </c>
      <c r="X126" s="1653">
        <f t="shared" si="41"/>
        <v>0</v>
      </c>
      <c r="Y126" s="1653">
        <f t="shared" si="42"/>
        <v>0</v>
      </c>
    </row>
    <row r="127" spans="1:25" ht="15" hidden="1" outlineLevel="1">
      <c r="A127" s="1615">
        <v>119</v>
      </c>
      <c r="C127" s="1651" t="s">
        <v>2604</v>
      </c>
      <c r="D127" s="1651" t="s">
        <v>2543</v>
      </c>
      <c r="E127" s="1613">
        <v>2569.9</v>
      </c>
      <c r="F127" s="1613">
        <v>-2569.9</v>
      </c>
      <c r="G127" s="1613">
        <f t="shared" si="43"/>
        <v>0</v>
      </c>
      <c r="H127" s="1578">
        <v>2007</v>
      </c>
      <c r="I127" s="1662">
        <f t="shared" si="44"/>
        <v>8.5</v>
      </c>
      <c r="J127" s="1663">
        <v>36</v>
      </c>
      <c r="K127" s="1664">
        <f t="shared" si="45"/>
        <v>0.33333333333333331</v>
      </c>
      <c r="L127" s="1613">
        <f t="shared" si="46"/>
        <v>0</v>
      </c>
      <c r="M127" s="1613">
        <f t="shared" si="47"/>
        <v>2569.9</v>
      </c>
      <c r="N127" s="1613">
        <f t="shared" si="36"/>
        <v>-2569.9</v>
      </c>
      <c r="O127" s="1652">
        <f t="shared" si="48"/>
        <v>0</v>
      </c>
      <c r="P127" s="1653">
        <f t="shared" si="49"/>
        <v>0</v>
      </c>
      <c r="Q127" s="1653">
        <f t="shared" si="50"/>
        <v>0</v>
      </c>
      <c r="R127" s="1653">
        <f t="shared" si="51"/>
        <v>0</v>
      </c>
      <c r="S127" s="1653">
        <f t="shared" si="52"/>
        <v>0</v>
      </c>
      <c r="T127" s="1653">
        <f t="shared" si="37"/>
        <v>0</v>
      </c>
      <c r="U127" s="1653">
        <f t="shared" si="38"/>
        <v>0</v>
      </c>
      <c r="V127" s="1653">
        <f t="shared" si="39"/>
        <v>0</v>
      </c>
      <c r="W127" s="1653">
        <f t="shared" si="40"/>
        <v>0</v>
      </c>
      <c r="X127" s="1653">
        <f t="shared" si="41"/>
        <v>0</v>
      </c>
      <c r="Y127" s="1653">
        <f t="shared" si="42"/>
        <v>0</v>
      </c>
    </row>
    <row r="128" spans="1:25" ht="15" hidden="1" outlineLevel="1">
      <c r="A128" s="1615">
        <v>120</v>
      </c>
      <c r="C128" s="1651" t="s">
        <v>2605</v>
      </c>
      <c r="D128" s="1651" t="s">
        <v>2557</v>
      </c>
      <c r="E128" s="1613">
        <v>2725.29</v>
      </c>
      <c r="F128" s="1613">
        <v>-2725.29</v>
      </c>
      <c r="G128" s="1613">
        <f t="shared" si="43"/>
        <v>0</v>
      </c>
      <c r="H128" s="1578">
        <v>2007</v>
      </c>
      <c r="I128" s="1662">
        <f t="shared" si="44"/>
        <v>8.5</v>
      </c>
      <c r="J128" s="1663">
        <v>36</v>
      </c>
      <c r="K128" s="1664">
        <f t="shared" si="45"/>
        <v>0.33333333333333331</v>
      </c>
      <c r="L128" s="1613">
        <f t="shared" si="46"/>
        <v>0</v>
      </c>
      <c r="M128" s="1613">
        <f t="shared" si="47"/>
        <v>2725.29</v>
      </c>
      <c r="N128" s="1613">
        <f t="shared" si="36"/>
        <v>-2725.29</v>
      </c>
      <c r="O128" s="1652">
        <f t="shared" si="48"/>
        <v>0</v>
      </c>
      <c r="P128" s="1653">
        <f t="shared" si="49"/>
        <v>0</v>
      </c>
      <c r="Q128" s="1653">
        <f t="shared" si="50"/>
        <v>0</v>
      </c>
      <c r="R128" s="1653">
        <f t="shared" si="51"/>
        <v>0</v>
      </c>
      <c r="S128" s="1653">
        <f t="shared" si="52"/>
        <v>0</v>
      </c>
      <c r="T128" s="1653">
        <f t="shared" si="37"/>
        <v>0</v>
      </c>
      <c r="U128" s="1653">
        <f t="shared" si="38"/>
        <v>0</v>
      </c>
      <c r="V128" s="1653">
        <f t="shared" si="39"/>
        <v>0</v>
      </c>
      <c r="W128" s="1653">
        <f t="shared" si="40"/>
        <v>0</v>
      </c>
      <c r="X128" s="1653">
        <f t="shared" si="41"/>
        <v>0</v>
      </c>
      <c r="Y128" s="1653">
        <f t="shared" si="42"/>
        <v>0</v>
      </c>
    </row>
    <row r="129" spans="1:25" ht="15" hidden="1" outlineLevel="1">
      <c r="A129" s="1615">
        <v>121</v>
      </c>
      <c r="C129" s="1651" t="s">
        <v>2606</v>
      </c>
      <c r="D129" s="1651" t="s">
        <v>2490</v>
      </c>
      <c r="E129" s="1613">
        <v>2856.73</v>
      </c>
      <c r="F129" s="1613">
        <v>-2856.73</v>
      </c>
      <c r="G129" s="1613">
        <f t="shared" si="43"/>
        <v>0</v>
      </c>
      <c r="H129" s="1578">
        <v>2007</v>
      </c>
      <c r="I129" s="1662">
        <f t="shared" si="44"/>
        <v>8.5</v>
      </c>
      <c r="J129" s="1663">
        <v>36</v>
      </c>
      <c r="K129" s="1664">
        <f t="shared" si="45"/>
        <v>0.33333333333333331</v>
      </c>
      <c r="L129" s="1613">
        <f t="shared" si="46"/>
        <v>0</v>
      </c>
      <c r="M129" s="1613">
        <f t="shared" si="47"/>
        <v>2856.73</v>
      </c>
      <c r="N129" s="1613">
        <f t="shared" si="36"/>
        <v>-2856.73</v>
      </c>
      <c r="O129" s="1652">
        <f t="shared" si="48"/>
        <v>0</v>
      </c>
      <c r="P129" s="1653">
        <f t="shared" si="49"/>
        <v>0</v>
      </c>
      <c r="Q129" s="1653">
        <f t="shared" si="50"/>
        <v>0</v>
      </c>
      <c r="R129" s="1653">
        <f t="shared" si="51"/>
        <v>0</v>
      </c>
      <c r="S129" s="1653">
        <f t="shared" si="52"/>
        <v>0</v>
      </c>
      <c r="T129" s="1653">
        <f t="shared" si="37"/>
        <v>0</v>
      </c>
      <c r="U129" s="1653">
        <f t="shared" si="38"/>
        <v>0</v>
      </c>
      <c r="V129" s="1653">
        <f t="shared" si="39"/>
        <v>0</v>
      </c>
      <c r="W129" s="1653">
        <f t="shared" si="40"/>
        <v>0</v>
      </c>
      <c r="X129" s="1653">
        <f t="shared" si="41"/>
        <v>0</v>
      </c>
      <c r="Y129" s="1653">
        <f t="shared" si="42"/>
        <v>0</v>
      </c>
    </row>
    <row r="130" spans="1:25" ht="15" hidden="1" outlineLevel="1">
      <c r="A130" s="1615">
        <v>122</v>
      </c>
      <c r="C130" s="1651" t="s">
        <v>2607</v>
      </c>
      <c r="D130" s="1651" t="s">
        <v>2529</v>
      </c>
      <c r="E130" s="1613">
        <v>3193.05</v>
      </c>
      <c r="F130" s="1613">
        <v>-3193.05</v>
      </c>
      <c r="G130" s="1613">
        <f t="shared" si="43"/>
        <v>0</v>
      </c>
      <c r="H130" s="1578">
        <v>2007</v>
      </c>
      <c r="I130" s="1662">
        <f t="shared" si="44"/>
        <v>8.5</v>
      </c>
      <c r="J130" s="1663">
        <v>36</v>
      </c>
      <c r="K130" s="1664">
        <f t="shared" si="45"/>
        <v>0.33333333333333331</v>
      </c>
      <c r="L130" s="1613">
        <f t="shared" si="46"/>
        <v>0</v>
      </c>
      <c r="M130" s="1613">
        <f t="shared" si="47"/>
        <v>3193.05</v>
      </c>
      <c r="N130" s="1613">
        <f t="shared" si="36"/>
        <v>-3193.05</v>
      </c>
      <c r="O130" s="1652">
        <f t="shared" si="48"/>
        <v>0</v>
      </c>
      <c r="P130" s="1653">
        <f t="shared" si="49"/>
        <v>0</v>
      </c>
      <c r="Q130" s="1653">
        <f t="shared" si="50"/>
        <v>0</v>
      </c>
      <c r="R130" s="1653">
        <f t="shared" si="51"/>
        <v>0</v>
      </c>
      <c r="S130" s="1653">
        <f t="shared" si="52"/>
        <v>0</v>
      </c>
      <c r="T130" s="1653">
        <f t="shared" si="37"/>
        <v>0</v>
      </c>
      <c r="U130" s="1653">
        <f t="shared" si="38"/>
        <v>0</v>
      </c>
      <c r="V130" s="1653">
        <f t="shared" si="39"/>
        <v>0</v>
      </c>
      <c r="W130" s="1653">
        <f t="shared" si="40"/>
        <v>0</v>
      </c>
      <c r="X130" s="1653">
        <f t="shared" si="41"/>
        <v>0</v>
      </c>
      <c r="Y130" s="1653">
        <f t="shared" si="42"/>
        <v>0</v>
      </c>
    </row>
    <row r="131" spans="1:25" ht="15" hidden="1" outlineLevel="1">
      <c r="A131" s="1615">
        <v>123</v>
      </c>
      <c r="C131" s="1651" t="s">
        <v>2608</v>
      </c>
      <c r="D131" s="1651" t="s">
        <v>2557</v>
      </c>
      <c r="E131" s="1613">
        <v>3737.19</v>
      </c>
      <c r="F131" s="1613">
        <v>-3737.19</v>
      </c>
      <c r="G131" s="1613">
        <f t="shared" si="43"/>
        <v>0</v>
      </c>
      <c r="H131" s="1578">
        <v>2007</v>
      </c>
      <c r="I131" s="1662">
        <f t="shared" si="44"/>
        <v>8.5</v>
      </c>
      <c r="J131" s="1663">
        <v>36</v>
      </c>
      <c r="K131" s="1664">
        <f t="shared" si="45"/>
        <v>0.33333333333333331</v>
      </c>
      <c r="L131" s="1613">
        <f t="shared" si="46"/>
        <v>0</v>
      </c>
      <c r="M131" s="1613">
        <f t="shared" si="47"/>
        <v>3737.19</v>
      </c>
      <c r="N131" s="1613">
        <f t="shared" si="36"/>
        <v>-3737.19</v>
      </c>
      <c r="O131" s="1652">
        <f t="shared" si="48"/>
        <v>0</v>
      </c>
      <c r="P131" s="1653">
        <f t="shared" si="49"/>
        <v>0</v>
      </c>
      <c r="Q131" s="1653">
        <f t="shared" si="50"/>
        <v>0</v>
      </c>
      <c r="R131" s="1653">
        <f t="shared" si="51"/>
        <v>0</v>
      </c>
      <c r="S131" s="1653">
        <f t="shared" si="52"/>
        <v>0</v>
      </c>
      <c r="T131" s="1653">
        <f t="shared" si="37"/>
        <v>0</v>
      </c>
      <c r="U131" s="1653">
        <f t="shared" si="38"/>
        <v>0</v>
      </c>
      <c r="V131" s="1653">
        <f t="shared" si="39"/>
        <v>0</v>
      </c>
      <c r="W131" s="1653">
        <f t="shared" si="40"/>
        <v>0</v>
      </c>
      <c r="X131" s="1653">
        <f t="shared" si="41"/>
        <v>0</v>
      </c>
      <c r="Y131" s="1653">
        <f t="shared" si="42"/>
        <v>0</v>
      </c>
    </row>
    <row r="132" spans="1:25" ht="15" hidden="1" outlineLevel="1">
      <c r="A132" s="1615">
        <v>124</v>
      </c>
      <c r="C132" s="1651" t="s">
        <v>2609</v>
      </c>
      <c r="D132" s="1651" t="s">
        <v>2561</v>
      </c>
      <c r="E132" s="1613">
        <v>3972.7</v>
      </c>
      <c r="F132" s="1613">
        <v>-3972.7</v>
      </c>
      <c r="G132" s="1613">
        <f t="shared" si="43"/>
        <v>0</v>
      </c>
      <c r="H132" s="1578">
        <v>2007</v>
      </c>
      <c r="I132" s="1662">
        <f t="shared" si="44"/>
        <v>8.5</v>
      </c>
      <c r="J132" s="1663">
        <v>36</v>
      </c>
      <c r="K132" s="1664">
        <f t="shared" si="45"/>
        <v>0.33333333333333331</v>
      </c>
      <c r="L132" s="1613">
        <f t="shared" si="46"/>
        <v>0</v>
      </c>
      <c r="M132" s="1613">
        <f t="shared" si="47"/>
        <v>3972.7</v>
      </c>
      <c r="N132" s="1613">
        <f t="shared" si="36"/>
        <v>-3972.7</v>
      </c>
      <c r="O132" s="1652">
        <f t="shared" si="48"/>
        <v>0</v>
      </c>
      <c r="P132" s="1653">
        <f t="shared" si="49"/>
        <v>0</v>
      </c>
      <c r="Q132" s="1653">
        <f t="shared" si="50"/>
        <v>0</v>
      </c>
      <c r="R132" s="1653">
        <f t="shared" si="51"/>
        <v>0</v>
      </c>
      <c r="S132" s="1653">
        <f t="shared" si="52"/>
        <v>0</v>
      </c>
      <c r="T132" s="1653">
        <f t="shared" si="37"/>
        <v>0</v>
      </c>
      <c r="U132" s="1653">
        <f t="shared" si="38"/>
        <v>0</v>
      </c>
      <c r="V132" s="1653">
        <f t="shared" si="39"/>
        <v>0</v>
      </c>
      <c r="W132" s="1653">
        <f t="shared" si="40"/>
        <v>0</v>
      </c>
      <c r="X132" s="1653">
        <f t="shared" si="41"/>
        <v>0</v>
      </c>
      <c r="Y132" s="1653">
        <f t="shared" si="42"/>
        <v>0</v>
      </c>
    </row>
    <row r="133" spans="1:25" ht="15" hidden="1" outlineLevel="1">
      <c r="A133" s="1615">
        <v>125</v>
      </c>
      <c r="C133" s="1651" t="s">
        <v>2610</v>
      </c>
      <c r="D133" s="1651" t="s">
        <v>2529</v>
      </c>
      <c r="E133" s="1613">
        <v>4492</v>
      </c>
      <c r="F133" s="1613">
        <v>-4492</v>
      </c>
      <c r="G133" s="1613">
        <f t="shared" si="43"/>
        <v>0</v>
      </c>
      <c r="H133" s="1578">
        <v>2007</v>
      </c>
      <c r="I133" s="1662">
        <f t="shared" si="44"/>
        <v>8.5</v>
      </c>
      <c r="J133" s="1663">
        <v>36</v>
      </c>
      <c r="K133" s="1664">
        <f t="shared" si="45"/>
        <v>0.33333333333333331</v>
      </c>
      <c r="L133" s="1613">
        <f t="shared" si="46"/>
        <v>0</v>
      </c>
      <c r="M133" s="1613">
        <f t="shared" si="47"/>
        <v>4492</v>
      </c>
      <c r="N133" s="1613">
        <f t="shared" si="36"/>
        <v>-4492</v>
      </c>
      <c r="O133" s="1652">
        <f t="shared" si="48"/>
        <v>0</v>
      </c>
      <c r="P133" s="1653">
        <f t="shared" si="49"/>
        <v>0</v>
      </c>
      <c r="Q133" s="1653">
        <f t="shared" si="50"/>
        <v>0</v>
      </c>
      <c r="R133" s="1653">
        <f t="shared" si="51"/>
        <v>0</v>
      </c>
      <c r="S133" s="1653">
        <f t="shared" si="52"/>
        <v>0</v>
      </c>
      <c r="T133" s="1653">
        <f t="shared" si="37"/>
        <v>0</v>
      </c>
      <c r="U133" s="1653">
        <f t="shared" si="38"/>
        <v>0</v>
      </c>
      <c r="V133" s="1653">
        <f t="shared" si="39"/>
        <v>0</v>
      </c>
      <c r="W133" s="1653">
        <f t="shared" si="40"/>
        <v>0</v>
      </c>
      <c r="X133" s="1653">
        <f t="shared" si="41"/>
        <v>0</v>
      </c>
      <c r="Y133" s="1653">
        <f t="shared" si="42"/>
        <v>0</v>
      </c>
    </row>
    <row r="134" spans="1:25" ht="15" hidden="1" outlineLevel="1">
      <c r="A134" s="1615">
        <v>126</v>
      </c>
      <c r="C134" s="1651" t="s">
        <v>2611</v>
      </c>
      <c r="D134" s="1651" t="s">
        <v>2499</v>
      </c>
      <c r="E134" s="1613">
        <v>6754.31</v>
      </c>
      <c r="F134" s="1613">
        <v>-6754.31</v>
      </c>
      <c r="G134" s="1613">
        <f t="shared" si="43"/>
        <v>0</v>
      </c>
      <c r="H134" s="1578">
        <v>2007</v>
      </c>
      <c r="I134" s="1662">
        <f t="shared" si="44"/>
        <v>8.5</v>
      </c>
      <c r="J134" s="1663">
        <v>36</v>
      </c>
      <c r="K134" s="1664">
        <f t="shared" si="45"/>
        <v>0.33333333333333331</v>
      </c>
      <c r="L134" s="1613">
        <f t="shared" si="46"/>
        <v>0</v>
      </c>
      <c r="M134" s="1613">
        <f t="shared" si="47"/>
        <v>6754.31</v>
      </c>
      <c r="N134" s="1613">
        <f t="shared" si="36"/>
        <v>-6754.31</v>
      </c>
      <c r="O134" s="1652">
        <f t="shared" si="48"/>
        <v>0</v>
      </c>
      <c r="P134" s="1653">
        <f t="shared" si="49"/>
        <v>0</v>
      </c>
      <c r="Q134" s="1653">
        <f t="shared" si="50"/>
        <v>0</v>
      </c>
      <c r="R134" s="1653">
        <f t="shared" si="51"/>
        <v>0</v>
      </c>
      <c r="S134" s="1653">
        <f t="shared" si="52"/>
        <v>0</v>
      </c>
      <c r="T134" s="1653">
        <f t="shared" si="37"/>
        <v>0</v>
      </c>
      <c r="U134" s="1653">
        <f t="shared" si="38"/>
        <v>0</v>
      </c>
      <c r="V134" s="1653">
        <f t="shared" si="39"/>
        <v>0</v>
      </c>
      <c r="W134" s="1653">
        <f t="shared" si="40"/>
        <v>0</v>
      </c>
      <c r="X134" s="1653">
        <f t="shared" si="41"/>
        <v>0</v>
      </c>
      <c r="Y134" s="1653">
        <f t="shared" si="42"/>
        <v>0</v>
      </c>
    </row>
    <row r="135" spans="1:25" ht="15" hidden="1" outlineLevel="1">
      <c r="A135" s="1615">
        <v>127</v>
      </c>
      <c r="C135" s="1651" t="s">
        <v>2612</v>
      </c>
      <c r="D135" s="1651" t="s">
        <v>2561</v>
      </c>
      <c r="E135" s="1613">
        <v>16908.53</v>
      </c>
      <c r="F135" s="1613">
        <v>-16908.53</v>
      </c>
      <c r="G135" s="1613">
        <f t="shared" si="43"/>
        <v>0</v>
      </c>
      <c r="H135" s="1578">
        <v>2007</v>
      </c>
      <c r="I135" s="1662">
        <f t="shared" si="44"/>
        <v>8.5</v>
      </c>
      <c r="J135" s="1663">
        <v>36</v>
      </c>
      <c r="K135" s="1664">
        <f t="shared" si="45"/>
        <v>0.33333333333333331</v>
      </c>
      <c r="L135" s="1613">
        <f t="shared" si="46"/>
        <v>0</v>
      </c>
      <c r="M135" s="1613">
        <f t="shared" si="47"/>
        <v>16908.53</v>
      </c>
      <c r="N135" s="1613">
        <f t="shared" si="36"/>
        <v>-16908.53</v>
      </c>
      <c r="O135" s="1652">
        <f t="shared" si="48"/>
        <v>0</v>
      </c>
      <c r="P135" s="1653">
        <f t="shared" si="49"/>
        <v>0</v>
      </c>
      <c r="Q135" s="1653">
        <f t="shared" si="50"/>
        <v>0</v>
      </c>
      <c r="R135" s="1653">
        <f t="shared" si="51"/>
        <v>0</v>
      </c>
      <c r="S135" s="1653">
        <f t="shared" si="52"/>
        <v>0</v>
      </c>
      <c r="T135" s="1653">
        <f t="shared" si="37"/>
        <v>0</v>
      </c>
      <c r="U135" s="1653">
        <f t="shared" si="38"/>
        <v>0</v>
      </c>
      <c r="V135" s="1653">
        <f t="shared" si="39"/>
        <v>0</v>
      </c>
      <c r="W135" s="1653">
        <f t="shared" si="40"/>
        <v>0</v>
      </c>
      <c r="X135" s="1653">
        <f t="shared" si="41"/>
        <v>0</v>
      </c>
      <c r="Y135" s="1653">
        <f t="shared" si="42"/>
        <v>0</v>
      </c>
    </row>
    <row r="136" spans="1:25" ht="15" hidden="1" outlineLevel="1">
      <c r="A136" s="1615">
        <v>128</v>
      </c>
      <c r="C136" s="1651" t="s">
        <v>2613</v>
      </c>
      <c r="D136" s="1651" t="s">
        <v>2499</v>
      </c>
      <c r="E136" s="1613">
        <v>21066.240000000002</v>
      </c>
      <c r="F136" s="1613">
        <v>-21066.240000000002</v>
      </c>
      <c r="G136" s="1613">
        <f t="shared" si="43"/>
        <v>0</v>
      </c>
      <c r="H136" s="1578">
        <v>2007</v>
      </c>
      <c r="I136" s="1662">
        <f t="shared" si="44"/>
        <v>8.5</v>
      </c>
      <c r="J136" s="1663">
        <v>36</v>
      </c>
      <c r="K136" s="1664">
        <f t="shared" si="45"/>
        <v>0.33333333333333331</v>
      </c>
      <c r="L136" s="1613">
        <f t="shared" si="46"/>
        <v>0</v>
      </c>
      <c r="M136" s="1613">
        <f t="shared" si="47"/>
        <v>21066.240000000002</v>
      </c>
      <c r="N136" s="1613">
        <f t="shared" si="36"/>
        <v>-21066.240000000002</v>
      </c>
      <c r="O136" s="1652">
        <f t="shared" si="48"/>
        <v>0</v>
      </c>
      <c r="P136" s="1653">
        <f t="shared" si="49"/>
        <v>0</v>
      </c>
      <c r="Q136" s="1653">
        <f t="shared" si="50"/>
        <v>0</v>
      </c>
      <c r="R136" s="1653">
        <f t="shared" si="51"/>
        <v>0</v>
      </c>
      <c r="S136" s="1653">
        <f t="shared" si="52"/>
        <v>0</v>
      </c>
      <c r="T136" s="1653">
        <f t="shared" si="37"/>
        <v>0</v>
      </c>
      <c r="U136" s="1653">
        <f t="shared" si="38"/>
        <v>0</v>
      </c>
      <c r="V136" s="1653">
        <f t="shared" si="39"/>
        <v>0</v>
      </c>
      <c r="W136" s="1653">
        <f t="shared" si="40"/>
        <v>0</v>
      </c>
      <c r="X136" s="1653">
        <f t="shared" si="41"/>
        <v>0</v>
      </c>
      <c r="Y136" s="1653">
        <f t="shared" si="42"/>
        <v>0</v>
      </c>
    </row>
    <row r="137" spans="1:25" ht="15" hidden="1" outlineLevel="1">
      <c r="A137" s="1615">
        <v>129</v>
      </c>
      <c r="C137" s="1651" t="s">
        <v>2614</v>
      </c>
      <c r="D137" s="1651" t="s">
        <v>2615</v>
      </c>
      <c r="E137" s="1613">
        <v>1705</v>
      </c>
      <c r="F137" s="1613">
        <v>-1705</v>
      </c>
      <c r="G137" s="1613">
        <f t="shared" si="43"/>
        <v>0</v>
      </c>
      <c r="H137" s="1578">
        <v>2008</v>
      </c>
      <c r="I137" s="1662">
        <f t="shared" si="44"/>
        <v>7.5</v>
      </c>
      <c r="J137" s="1663">
        <v>36</v>
      </c>
      <c r="K137" s="1664">
        <f t="shared" si="45"/>
        <v>0.33333333333333331</v>
      </c>
      <c r="L137" s="1613">
        <f t="shared" si="46"/>
        <v>0</v>
      </c>
      <c r="M137" s="1613">
        <f t="shared" si="47"/>
        <v>1705</v>
      </c>
      <c r="N137" s="1613">
        <f t="shared" si="36"/>
        <v>-1705</v>
      </c>
      <c r="O137" s="1652">
        <f t="shared" si="48"/>
        <v>0</v>
      </c>
      <c r="P137" s="1653">
        <f t="shared" si="49"/>
        <v>0</v>
      </c>
      <c r="Q137" s="1653">
        <f t="shared" si="50"/>
        <v>0</v>
      </c>
      <c r="R137" s="1653">
        <f t="shared" si="51"/>
        <v>0</v>
      </c>
      <c r="S137" s="1653">
        <f t="shared" si="52"/>
        <v>0</v>
      </c>
      <c r="T137" s="1653">
        <f t="shared" si="37"/>
        <v>0</v>
      </c>
      <c r="U137" s="1653">
        <f t="shared" si="38"/>
        <v>0</v>
      </c>
      <c r="V137" s="1653">
        <f t="shared" si="39"/>
        <v>0</v>
      </c>
      <c r="W137" s="1653">
        <f t="shared" si="40"/>
        <v>0</v>
      </c>
      <c r="X137" s="1653">
        <f t="shared" si="41"/>
        <v>0</v>
      </c>
      <c r="Y137" s="1653">
        <f t="shared" si="42"/>
        <v>0</v>
      </c>
    </row>
    <row r="138" spans="1:25" ht="15" hidden="1" outlineLevel="1">
      <c r="A138" s="1615">
        <v>130</v>
      </c>
      <c r="C138" s="1651" t="s">
        <v>2616</v>
      </c>
      <c r="D138" s="1651" t="s">
        <v>2615</v>
      </c>
      <c r="E138" s="1613">
        <v>2155</v>
      </c>
      <c r="F138" s="1613">
        <v>-2155</v>
      </c>
      <c r="G138" s="1613">
        <f t="shared" si="43"/>
        <v>0</v>
      </c>
      <c r="H138" s="1578">
        <v>2008</v>
      </c>
      <c r="I138" s="1662">
        <f t="shared" si="44"/>
        <v>7.5</v>
      </c>
      <c r="J138" s="1663">
        <v>36</v>
      </c>
      <c r="K138" s="1664">
        <f t="shared" si="45"/>
        <v>0.33333333333333331</v>
      </c>
      <c r="L138" s="1613">
        <f t="shared" si="46"/>
        <v>0</v>
      </c>
      <c r="M138" s="1613">
        <f t="shared" si="47"/>
        <v>2155</v>
      </c>
      <c r="N138" s="1613">
        <f t="shared" si="36"/>
        <v>-2155</v>
      </c>
      <c r="O138" s="1652">
        <f t="shared" si="48"/>
        <v>0</v>
      </c>
      <c r="P138" s="1653">
        <f t="shared" si="49"/>
        <v>0</v>
      </c>
      <c r="Q138" s="1653">
        <f t="shared" si="50"/>
        <v>0</v>
      </c>
      <c r="R138" s="1653">
        <f t="shared" si="51"/>
        <v>0</v>
      </c>
      <c r="S138" s="1653">
        <f t="shared" si="52"/>
        <v>0</v>
      </c>
      <c r="T138" s="1653">
        <f t="shared" si="37"/>
        <v>0</v>
      </c>
      <c r="U138" s="1653">
        <f t="shared" si="38"/>
        <v>0</v>
      </c>
      <c r="V138" s="1653">
        <f t="shared" si="39"/>
        <v>0</v>
      </c>
      <c r="W138" s="1653">
        <f t="shared" si="40"/>
        <v>0</v>
      </c>
      <c r="X138" s="1653">
        <f t="shared" si="41"/>
        <v>0</v>
      </c>
      <c r="Y138" s="1653">
        <f t="shared" si="42"/>
        <v>0</v>
      </c>
    </row>
    <row r="139" spans="1:25" ht="15" hidden="1" outlineLevel="1">
      <c r="A139" s="1615">
        <v>131</v>
      </c>
      <c r="C139" s="1651" t="s">
        <v>2617</v>
      </c>
      <c r="D139" s="1651" t="s">
        <v>2618</v>
      </c>
      <c r="E139" s="1613">
        <v>3385</v>
      </c>
      <c r="F139" s="1613">
        <v>-3385</v>
      </c>
      <c r="G139" s="1613">
        <f t="shared" si="43"/>
        <v>0</v>
      </c>
      <c r="H139" s="1578">
        <v>2008</v>
      </c>
      <c r="I139" s="1662">
        <f t="shared" si="44"/>
        <v>7.5</v>
      </c>
      <c r="J139" s="1663">
        <v>36</v>
      </c>
      <c r="K139" s="1664">
        <f t="shared" si="45"/>
        <v>0.33333333333333331</v>
      </c>
      <c r="L139" s="1613">
        <f t="shared" si="46"/>
        <v>0</v>
      </c>
      <c r="M139" s="1613">
        <f t="shared" si="47"/>
        <v>3385</v>
      </c>
      <c r="N139" s="1613">
        <f t="shared" si="36"/>
        <v>-3385</v>
      </c>
      <c r="O139" s="1652">
        <f t="shared" si="48"/>
        <v>0</v>
      </c>
      <c r="P139" s="1653">
        <f t="shared" si="49"/>
        <v>0</v>
      </c>
      <c r="Q139" s="1653">
        <f t="shared" si="50"/>
        <v>0</v>
      </c>
      <c r="R139" s="1653">
        <f t="shared" si="51"/>
        <v>0</v>
      </c>
      <c r="S139" s="1653">
        <f t="shared" si="52"/>
        <v>0</v>
      </c>
      <c r="T139" s="1653">
        <f t="shared" si="37"/>
        <v>0</v>
      </c>
      <c r="U139" s="1653">
        <f t="shared" si="38"/>
        <v>0</v>
      </c>
      <c r="V139" s="1653">
        <f t="shared" si="39"/>
        <v>0</v>
      </c>
      <c r="W139" s="1653">
        <f t="shared" si="40"/>
        <v>0</v>
      </c>
      <c r="X139" s="1653">
        <f t="shared" si="41"/>
        <v>0</v>
      </c>
      <c r="Y139" s="1653">
        <f t="shared" si="42"/>
        <v>0</v>
      </c>
    </row>
    <row r="140" spans="1:25" ht="15" hidden="1" outlineLevel="1">
      <c r="A140" s="1615">
        <v>132</v>
      </c>
      <c r="C140" s="1651" t="s">
        <v>2619</v>
      </c>
      <c r="D140" s="1651" t="s">
        <v>2465</v>
      </c>
      <c r="E140" s="1613">
        <v>3728.71</v>
      </c>
      <c r="F140" s="1613">
        <v>-3728.71</v>
      </c>
      <c r="G140" s="1613">
        <f t="shared" si="43"/>
        <v>0</v>
      </c>
      <c r="H140" s="1578">
        <v>2008</v>
      </c>
      <c r="I140" s="1662">
        <f t="shared" si="44"/>
        <v>7.5</v>
      </c>
      <c r="J140" s="1663">
        <v>36</v>
      </c>
      <c r="K140" s="1664">
        <f t="shared" si="45"/>
        <v>0.33333333333333331</v>
      </c>
      <c r="L140" s="1613">
        <f t="shared" si="46"/>
        <v>0</v>
      </c>
      <c r="M140" s="1613">
        <f t="shared" si="47"/>
        <v>3728.71</v>
      </c>
      <c r="N140" s="1613">
        <f t="shared" si="36"/>
        <v>-3728.71</v>
      </c>
      <c r="O140" s="1652">
        <f t="shared" si="48"/>
        <v>0</v>
      </c>
      <c r="P140" s="1653">
        <f t="shared" si="49"/>
        <v>0</v>
      </c>
      <c r="Q140" s="1653">
        <f t="shared" si="50"/>
        <v>0</v>
      </c>
      <c r="R140" s="1653">
        <f t="shared" si="51"/>
        <v>0</v>
      </c>
      <c r="S140" s="1653">
        <f t="shared" si="52"/>
        <v>0</v>
      </c>
      <c r="T140" s="1653">
        <f t="shared" si="37"/>
        <v>0</v>
      </c>
      <c r="U140" s="1653">
        <f t="shared" si="38"/>
        <v>0</v>
      </c>
      <c r="V140" s="1653">
        <f t="shared" si="39"/>
        <v>0</v>
      </c>
      <c r="W140" s="1653">
        <f t="shared" si="40"/>
        <v>0</v>
      </c>
      <c r="X140" s="1653">
        <f t="shared" si="41"/>
        <v>0</v>
      </c>
      <c r="Y140" s="1653">
        <f t="shared" si="42"/>
        <v>0</v>
      </c>
    </row>
    <row r="141" spans="1:25" ht="15" hidden="1" outlineLevel="1">
      <c r="A141" s="1615">
        <v>133</v>
      </c>
      <c r="C141" s="1651" t="s">
        <v>2620</v>
      </c>
      <c r="D141" s="1651" t="s">
        <v>2465</v>
      </c>
      <c r="E141" s="1613">
        <v>1055.94</v>
      </c>
      <c r="F141" s="1613">
        <v>-1055.94</v>
      </c>
      <c r="G141" s="1613">
        <f t="shared" si="43"/>
        <v>0</v>
      </c>
      <c r="H141" s="1578">
        <v>2008</v>
      </c>
      <c r="I141" s="1662">
        <f t="shared" si="44"/>
        <v>7.5</v>
      </c>
      <c r="J141" s="1663">
        <v>36</v>
      </c>
      <c r="K141" s="1664">
        <f t="shared" si="45"/>
        <v>0.33333333333333331</v>
      </c>
      <c r="L141" s="1613">
        <f t="shared" si="46"/>
        <v>0</v>
      </c>
      <c r="M141" s="1613">
        <f t="shared" si="47"/>
        <v>1055.94</v>
      </c>
      <c r="N141" s="1613">
        <f t="shared" si="36"/>
        <v>-1055.94</v>
      </c>
      <c r="O141" s="1652">
        <f t="shared" si="48"/>
        <v>0</v>
      </c>
      <c r="P141" s="1653">
        <f t="shared" si="49"/>
        <v>0</v>
      </c>
      <c r="Q141" s="1653">
        <f t="shared" si="50"/>
        <v>0</v>
      </c>
      <c r="R141" s="1653">
        <f t="shared" si="51"/>
        <v>0</v>
      </c>
      <c r="S141" s="1653">
        <f t="shared" si="52"/>
        <v>0</v>
      </c>
      <c r="T141" s="1653">
        <f t="shared" si="37"/>
        <v>0</v>
      </c>
      <c r="U141" s="1653">
        <f t="shared" si="38"/>
        <v>0</v>
      </c>
      <c r="V141" s="1653">
        <f t="shared" si="39"/>
        <v>0</v>
      </c>
      <c r="W141" s="1653">
        <f t="shared" si="40"/>
        <v>0</v>
      </c>
      <c r="X141" s="1653">
        <f t="shared" si="41"/>
        <v>0</v>
      </c>
      <c r="Y141" s="1653">
        <f t="shared" si="42"/>
        <v>0</v>
      </c>
    </row>
    <row r="142" spans="1:25" ht="15" hidden="1" outlineLevel="1">
      <c r="A142" s="1615">
        <v>134</v>
      </c>
      <c r="C142" s="1651" t="s">
        <v>2621</v>
      </c>
      <c r="D142" s="1651" t="s">
        <v>2465</v>
      </c>
      <c r="E142" s="1613">
        <v>150</v>
      </c>
      <c r="F142" s="1613">
        <v>-150</v>
      </c>
      <c r="G142" s="1613">
        <f t="shared" si="43"/>
        <v>0</v>
      </c>
      <c r="H142" s="1578">
        <v>2008</v>
      </c>
      <c r="I142" s="1662">
        <f t="shared" si="44"/>
        <v>7.5</v>
      </c>
      <c r="J142" s="1663">
        <v>36</v>
      </c>
      <c r="K142" s="1664">
        <f t="shared" si="45"/>
        <v>0.33333333333333331</v>
      </c>
      <c r="L142" s="1613">
        <f t="shared" si="46"/>
        <v>0</v>
      </c>
      <c r="M142" s="1613">
        <f t="shared" si="47"/>
        <v>150</v>
      </c>
      <c r="N142" s="1613">
        <f t="shared" si="36"/>
        <v>-150</v>
      </c>
      <c r="O142" s="1652">
        <f t="shared" si="48"/>
        <v>0</v>
      </c>
      <c r="P142" s="1653">
        <f t="shared" si="49"/>
        <v>0</v>
      </c>
      <c r="Q142" s="1653">
        <f t="shared" si="50"/>
        <v>0</v>
      </c>
      <c r="R142" s="1653">
        <f t="shared" si="51"/>
        <v>0</v>
      </c>
      <c r="S142" s="1653">
        <f t="shared" si="52"/>
        <v>0</v>
      </c>
      <c r="T142" s="1653">
        <f t="shared" si="37"/>
        <v>0</v>
      </c>
      <c r="U142" s="1653">
        <f t="shared" si="38"/>
        <v>0</v>
      </c>
      <c r="V142" s="1653">
        <f t="shared" si="39"/>
        <v>0</v>
      </c>
      <c r="W142" s="1653">
        <f t="shared" si="40"/>
        <v>0</v>
      </c>
      <c r="X142" s="1653">
        <f t="shared" si="41"/>
        <v>0</v>
      </c>
      <c r="Y142" s="1653">
        <f t="shared" si="42"/>
        <v>0</v>
      </c>
    </row>
    <row r="143" spans="1:25" ht="15" hidden="1" outlineLevel="1">
      <c r="A143" s="1615">
        <v>135</v>
      </c>
      <c r="C143" s="1651" t="s">
        <v>2622</v>
      </c>
      <c r="D143" s="1651" t="s">
        <v>2465</v>
      </c>
      <c r="E143" s="1613">
        <v>152.62</v>
      </c>
      <c r="F143" s="1613">
        <v>-152.62</v>
      </c>
      <c r="G143" s="1613">
        <f t="shared" si="43"/>
        <v>0</v>
      </c>
      <c r="H143" s="1578">
        <v>2008</v>
      </c>
      <c r="I143" s="1662">
        <f t="shared" si="44"/>
        <v>7.5</v>
      </c>
      <c r="J143" s="1663">
        <v>36</v>
      </c>
      <c r="K143" s="1664">
        <f t="shared" si="45"/>
        <v>0.33333333333333331</v>
      </c>
      <c r="L143" s="1613">
        <f t="shared" si="46"/>
        <v>0</v>
      </c>
      <c r="M143" s="1613">
        <f t="shared" si="47"/>
        <v>152.62</v>
      </c>
      <c r="N143" s="1613">
        <f t="shared" si="36"/>
        <v>-152.62</v>
      </c>
      <c r="O143" s="1652">
        <f t="shared" si="48"/>
        <v>0</v>
      </c>
      <c r="P143" s="1653">
        <f t="shared" si="49"/>
        <v>0</v>
      </c>
      <c r="Q143" s="1653">
        <f t="shared" si="50"/>
        <v>0</v>
      </c>
      <c r="R143" s="1653">
        <f t="shared" si="51"/>
        <v>0</v>
      </c>
      <c r="S143" s="1653">
        <f t="shared" si="52"/>
        <v>0</v>
      </c>
      <c r="T143" s="1653">
        <f t="shared" si="37"/>
        <v>0</v>
      </c>
      <c r="U143" s="1653">
        <f t="shared" si="38"/>
        <v>0</v>
      </c>
      <c r="V143" s="1653">
        <f t="shared" si="39"/>
        <v>0</v>
      </c>
      <c r="W143" s="1653">
        <f t="shared" si="40"/>
        <v>0</v>
      </c>
      <c r="X143" s="1653">
        <f t="shared" si="41"/>
        <v>0</v>
      </c>
      <c r="Y143" s="1653">
        <f t="shared" si="42"/>
        <v>0</v>
      </c>
    </row>
    <row r="144" spans="1:25" ht="15" hidden="1" outlineLevel="1">
      <c r="A144" s="1615">
        <v>136</v>
      </c>
      <c r="C144" s="1651" t="s">
        <v>2623</v>
      </c>
      <c r="D144" s="1651" t="s">
        <v>2618</v>
      </c>
      <c r="E144" s="1613">
        <v>1691.67</v>
      </c>
      <c r="F144" s="1613">
        <v>-1691.67</v>
      </c>
      <c r="G144" s="1613">
        <f t="shared" si="43"/>
        <v>0</v>
      </c>
      <c r="H144" s="1578">
        <v>2008</v>
      </c>
      <c r="I144" s="1662">
        <f t="shared" si="44"/>
        <v>7.5</v>
      </c>
      <c r="J144" s="1663">
        <v>36</v>
      </c>
      <c r="K144" s="1664">
        <f t="shared" si="45"/>
        <v>0.33333333333333331</v>
      </c>
      <c r="L144" s="1613">
        <f t="shared" si="46"/>
        <v>0</v>
      </c>
      <c r="M144" s="1613">
        <f t="shared" si="47"/>
        <v>1691.67</v>
      </c>
      <c r="N144" s="1613">
        <f t="shared" si="36"/>
        <v>-1691.67</v>
      </c>
      <c r="O144" s="1652">
        <f t="shared" si="48"/>
        <v>0</v>
      </c>
      <c r="P144" s="1653">
        <f t="shared" si="49"/>
        <v>0</v>
      </c>
      <c r="Q144" s="1653">
        <f t="shared" si="50"/>
        <v>0</v>
      </c>
      <c r="R144" s="1653">
        <f t="shared" si="51"/>
        <v>0</v>
      </c>
      <c r="S144" s="1653">
        <f t="shared" si="52"/>
        <v>0</v>
      </c>
      <c r="T144" s="1653">
        <f t="shared" si="37"/>
        <v>0</v>
      </c>
      <c r="U144" s="1653">
        <f t="shared" si="38"/>
        <v>0</v>
      </c>
      <c r="V144" s="1653">
        <f t="shared" si="39"/>
        <v>0</v>
      </c>
      <c r="W144" s="1653">
        <f t="shared" si="40"/>
        <v>0</v>
      </c>
      <c r="X144" s="1653">
        <f t="shared" si="41"/>
        <v>0</v>
      </c>
      <c r="Y144" s="1653">
        <f t="shared" si="42"/>
        <v>0</v>
      </c>
    </row>
    <row r="145" spans="1:25" ht="15" hidden="1" outlineLevel="1">
      <c r="A145" s="1615">
        <v>137</v>
      </c>
      <c r="C145" s="1651" t="s">
        <v>2624</v>
      </c>
      <c r="D145" s="1651" t="s">
        <v>2618</v>
      </c>
      <c r="E145" s="1613">
        <v>1691.66</v>
      </c>
      <c r="F145" s="1613">
        <v>-1691.66</v>
      </c>
      <c r="G145" s="1613">
        <f t="shared" si="43"/>
        <v>0</v>
      </c>
      <c r="H145" s="1578">
        <v>2008</v>
      </c>
      <c r="I145" s="1662">
        <f t="shared" si="44"/>
        <v>7.5</v>
      </c>
      <c r="J145" s="1663">
        <v>36</v>
      </c>
      <c r="K145" s="1664">
        <f t="shared" si="45"/>
        <v>0.33333333333333331</v>
      </c>
      <c r="L145" s="1613">
        <f t="shared" si="46"/>
        <v>0</v>
      </c>
      <c r="M145" s="1613">
        <f t="shared" si="47"/>
        <v>1691.66</v>
      </c>
      <c r="N145" s="1613">
        <f t="shared" si="36"/>
        <v>-1691.66</v>
      </c>
      <c r="O145" s="1652">
        <f t="shared" si="48"/>
        <v>0</v>
      </c>
      <c r="P145" s="1653">
        <f t="shared" si="49"/>
        <v>0</v>
      </c>
      <c r="Q145" s="1653">
        <f t="shared" si="50"/>
        <v>0</v>
      </c>
      <c r="R145" s="1653">
        <f t="shared" si="51"/>
        <v>0</v>
      </c>
      <c r="S145" s="1653">
        <f t="shared" si="52"/>
        <v>0</v>
      </c>
      <c r="T145" s="1653">
        <f t="shared" si="37"/>
        <v>0</v>
      </c>
      <c r="U145" s="1653">
        <f t="shared" si="38"/>
        <v>0</v>
      </c>
      <c r="V145" s="1653">
        <f t="shared" si="39"/>
        <v>0</v>
      </c>
      <c r="W145" s="1653">
        <f t="shared" si="40"/>
        <v>0</v>
      </c>
      <c r="X145" s="1653">
        <f t="shared" si="41"/>
        <v>0</v>
      </c>
      <c r="Y145" s="1653">
        <f t="shared" si="42"/>
        <v>0</v>
      </c>
    </row>
    <row r="146" spans="1:25" ht="15" hidden="1" outlineLevel="1">
      <c r="A146" s="1615">
        <v>138</v>
      </c>
      <c r="C146" s="1651" t="s">
        <v>2625</v>
      </c>
      <c r="D146" s="1651" t="s">
        <v>2626</v>
      </c>
      <c r="E146" s="1613">
        <v>1695</v>
      </c>
      <c r="F146" s="1613">
        <v>-1695</v>
      </c>
      <c r="G146" s="1613">
        <f t="shared" si="43"/>
        <v>0</v>
      </c>
      <c r="H146" s="1578">
        <v>2008</v>
      </c>
      <c r="I146" s="1662">
        <f t="shared" si="44"/>
        <v>7.5</v>
      </c>
      <c r="J146" s="1663">
        <v>36</v>
      </c>
      <c r="K146" s="1664">
        <f t="shared" si="45"/>
        <v>0.33333333333333331</v>
      </c>
      <c r="L146" s="1613">
        <f t="shared" si="46"/>
        <v>0</v>
      </c>
      <c r="M146" s="1613">
        <f t="shared" si="47"/>
        <v>1695</v>
      </c>
      <c r="N146" s="1613">
        <f t="shared" si="36"/>
        <v>-1695</v>
      </c>
      <c r="O146" s="1652">
        <f t="shared" si="48"/>
        <v>0</v>
      </c>
      <c r="P146" s="1653">
        <f t="shared" si="49"/>
        <v>0</v>
      </c>
      <c r="Q146" s="1653">
        <f t="shared" si="50"/>
        <v>0</v>
      </c>
      <c r="R146" s="1653">
        <f t="shared" si="51"/>
        <v>0</v>
      </c>
      <c r="S146" s="1653">
        <f t="shared" si="52"/>
        <v>0</v>
      </c>
      <c r="T146" s="1653">
        <f t="shared" si="37"/>
        <v>0</v>
      </c>
      <c r="U146" s="1653">
        <f t="shared" si="38"/>
        <v>0</v>
      </c>
      <c r="V146" s="1653">
        <f t="shared" si="39"/>
        <v>0</v>
      </c>
      <c r="W146" s="1653">
        <f t="shared" si="40"/>
        <v>0</v>
      </c>
      <c r="X146" s="1653">
        <f t="shared" si="41"/>
        <v>0</v>
      </c>
      <c r="Y146" s="1653">
        <f t="shared" si="42"/>
        <v>0</v>
      </c>
    </row>
    <row r="147" spans="1:25" ht="15" hidden="1" outlineLevel="1">
      <c r="A147" s="1615">
        <v>139</v>
      </c>
      <c r="C147" s="1651" t="s">
        <v>2627</v>
      </c>
      <c r="D147" s="1651" t="s">
        <v>2465</v>
      </c>
      <c r="E147" s="1613">
        <v>2166.42</v>
      </c>
      <c r="F147" s="1613">
        <v>-2166.42</v>
      </c>
      <c r="G147" s="1613">
        <f t="shared" si="43"/>
        <v>0</v>
      </c>
      <c r="H147" s="1578">
        <v>2008</v>
      </c>
      <c r="I147" s="1662">
        <f t="shared" si="44"/>
        <v>7.5</v>
      </c>
      <c r="J147" s="1663">
        <v>36</v>
      </c>
      <c r="K147" s="1664">
        <f t="shared" si="45"/>
        <v>0.33333333333333331</v>
      </c>
      <c r="L147" s="1613">
        <f t="shared" si="46"/>
        <v>0</v>
      </c>
      <c r="M147" s="1613">
        <f t="shared" si="47"/>
        <v>2166.42</v>
      </c>
      <c r="N147" s="1613">
        <f t="shared" si="36"/>
        <v>-2166.42</v>
      </c>
      <c r="O147" s="1652">
        <f t="shared" si="48"/>
        <v>0</v>
      </c>
      <c r="P147" s="1653">
        <f t="shared" si="49"/>
        <v>0</v>
      </c>
      <c r="Q147" s="1653">
        <f t="shared" si="50"/>
        <v>0</v>
      </c>
      <c r="R147" s="1653">
        <f t="shared" si="51"/>
        <v>0</v>
      </c>
      <c r="S147" s="1653">
        <f t="shared" si="52"/>
        <v>0</v>
      </c>
      <c r="T147" s="1653">
        <f t="shared" si="37"/>
        <v>0</v>
      </c>
      <c r="U147" s="1653">
        <f t="shared" si="38"/>
        <v>0</v>
      </c>
      <c r="V147" s="1653">
        <f t="shared" si="39"/>
        <v>0</v>
      </c>
      <c r="W147" s="1653">
        <f t="shared" si="40"/>
        <v>0</v>
      </c>
      <c r="X147" s="1653">
        <f t="shared" si="41"/>
        <v>0</v>
      </c>
      <c r="Y147" s="1653">
        <f t="shared" si="42"/>
        <v>0</v>
      </c>
    </row>
    <row r="148" spans="1:25" ht="15" hidden="1" outlineLevel="1">
      <c r="A148" s="1615">
        <v>140</v>
      </c>
      <c r="C148" s="1651" t="s">
        <v>2628</v>
      </c>
      <c r="D148" s="1651" t="s">
        <v>2465</v>
      </c>
      <c r="E148" s="1613">
        <v>1173.02</v>
      </c>
      <c r="F148" s="1613">
        <v>-1173.02</v>
      </c>
      <c r="G148" s="1613">
        <f t="shared" si="43"/>
        <v>0</v>
      </c>
      <c r="H148" s="1578">
        <v>2008</v>
      </c>
      <c r="I148" s="1662">
        <f t="shared" si="44"/>
        <v>7.5</v>
      </c>
      <c r="J148" s="1663">
        <v>36</v>
      </c>
      <c r="K148" s="1664">
        <f t="shared" si="45"/>
        <v>0.33333333333333331</v>
      </c>
      <c r="L148" s="1613">
        <f t="shared" si="46"/>
        <v>0</v>
      </c>
      <c r="M148" s="1613">
        <f t="shared" si="47"/>
        <v>1173.02</v>
      </c>
      <c r="N148" s="1613">
        <f t="shared" si="36"/>
        <v>-1173.02</v>
      </c>
      <c r="O148" s="1652">
        <f t="shared" si="48"/>
        <v>0</v>
      </c>
      <c r="P148" s="1653">
        <f t="shared" si="49"/>
        <v>0</v>
      </c>
      <c r="Q148" s="1653">
        <f t="shared" si="50"/>
        <v>0</v>
      </c>
      <c r="R148" s="1653">
        <f t="shared" si="51"/>
        <v>0</v>
      </c>
      <c r="S148" s="1653">
        <f t="shared" si="52"/>
        <v>0</v>
      </c>
      <c r="T148" s="1653">
        <f t="shared" si="37"/>
        <v>0</v>
      </c>
      <c r="U148" s="1653">
        <f t="shared" si="38"/>
        <v>0</v>
      </c>
      <c r="V148" s="1653">
        <f t="shared" si="39"/>
        <v>0</v>
      </c>
      <c r="W148" s="1653">
        <f t="shared" si="40"/>
        <v>0</v>
      </c>
      <c r="X148" s="1653">
        <f t="shared" si="41"/>
        <v>0</v>
      </c>
      <c r="Y148" s="1653">
        <f t="shared" si="42"/>
        <v>0</v>
      </c>
    </row>
    <row r="149" spans="1:25" ht="15" hidden="1" outlineLevel="1">
      <c r="A149" s="1615">
        <v>141</v>
      </c>
      <c r="C149" s="1651" t="s">
        <v>2629</v>
      </c>
      <c r="D149" s="1651" t="s">
        <v>2465</v>
      </c>
      <c r="E149" s="1613">
        <v>1173.02</v>
      </c>
      <c r="F149" s="1613">
        <v>-1173.02</v>
      </c>
      <c r="G149" s="1613">
        <f t="shared" si="43"/>
        <v>0</v>
      </c>
      <c r="H149" s="1578">
        <v>2008</v>
      </c>
      <c r="I149" s="1662">
        <f t="shared" si="44"/>
        <v>7.5</v>
      </c>
      <c r="J149" s="1663">
        <v>36</v>
      </c>
      <c r="K149" s="1664">
        <f t="shared" si="45"/>
        <v>0.33333333333333331</v>
      </c>
      <c r="L149" s="1613">
        <f t="shared" si="46"/>
        <v>0</v>
      </c>
      <c r="M149" s="1613">
        <f t="shared" si="47"/>
        <v>1173.02</v>
      </c>
      <c r="N149" s="1613">
        <f t="shared" si="36"/>
        <v>-1173.02</v>
      </c>
      <c r="O149" s="1652">
        <f t="shared" si="48"/>
        <v>0</v>
      </c>
      <c r="P149" s="1653">
        <f t="shared" si="49"/>
        <v>0</v>
      </c>
      <c r="Q149" s="1653">
        <f t="shared" si="50"/>
        <v>0</v>
      </c>
      <c r="R149" s="1653">
        <f t="shared" si="51"/>
        <v>0</v>
      </c>
      <c r="S149" s="1653">
        <f t="shared" si="52"/>
        <v>0</v>
      </c>
      <c r="T149" s="1653">
        <f t="shared" si="37"/>
        <v>0</v>
      </c>
      <c r="U149" s="1653">
        <f t="shared" si="38"/>
        <v>0</v>
      </c>
      <c r="V149" s="1653">
        <f t="shared" si="39"/>
        <v>0</v>
      </c>
      <c r="W149" s="1653">
        <f t="shared" si="40"/>
        <v>0</v>
      </c>
      <c r="X149" s="1653">
        <f t="shared" si="41"/>
        <v>0</v>
      </c>
      <c r="Y149" s="1653">
        <f t="shared" si="42"/>
        <v>0</v>
      </c>
    </row>
    <row r="150" spans="1:25" ht="15" hidden="1" outlineLevel="1">
      <c r="A150" s="1615">
        <v>142</v>
      </c>
      <c r="C150" s="1651" t="s">
        <v>2630</v>
      </c>
      <c r="D150" s="1651" t="s">
        <v>2465</v>
      </c>
      <c r="E150" s="1613">
        <v>1291.21</v>
      </c>
      <c r="F150" s="1613">
        <v>-1291.21</v>
      </c>
      <c r="G150" s="1613">
        <f t="shared" si="43"/>
        <v>0</v>
      </c>
      <c r="H150" s="1578">
        <v>2008</v>
      </c>
      <c r="I150" s="1662">
        <f t="shared" si="44"/>
        <v>7.5</v>
      </c>
      <c r="J150" s="1663">
        <v>36</v>
      </c>
      <c r="K150" s="1664">
        <f t="shared" si="45"/>
        <v>0.33333333333333331</v>
      </c>
      <c r="L150" s="1613">
        <f t="shared" si="46"/>
        <v>0</v>
      </c>
      <c r="M150" s="1613">
        <f t="shared" si="47"/>
        <v>1291.21</v>
      </c>
      <c r="N150" s="1613">
        <f t="shared" si="36"/>
        <v>-1291.21</v>
      </c>
      <c r="O150" s="1652">
        <f t="shared" si="48"/>
        <v>0</v>
      </c>
      <c r="P150" s="1653">
        <f t="shared" si="49"/>
        <v>0</v>
      </c>
      <c r="Q150" s="1653">
        <f t="shared" si="50"/>
        <v>0</v>
      </c>
      <c r="R150" s="1653">
        <f t="shared" si="51"/>
        <v>0</v>
      </c>
      <c r="S150" s="1653">
        <f t="shared" si="52"/>
        <v>0</v>
      </c>
      <c r="T150" s="1653">
        <f t="shared" si="37"/>
        <v>0</v>
      </c>
      <c r="U150" s="1653">
        <f t="shared" si="38"/>
        <v>0</v>
      </c>
      <c r="V150" s="1653">
        <f t="shared" si="39"/>
        <v>0</v>
      </c>
      <c r="W150" s="1653">
        <f t="shared" si="40"/>
        <v>0</v>
      </c>
      <c r="X150" s="1653">
        <f t="shared" si="41"/>
        <v>0</v>
      </c>
      <c r="Y150" s="1653">
        <f t="shared" si="42"/>
        <v>0</v>
      </c>
    </row>
    <row r="151" spans="1:25" ht="15" hidden="1" outlineLevel="1">
      <c r="A151" s="1615">
        <v>143</v>
      </c>
      <c r="C151" s="1651" t="s">
        <v>2631</v>
      </c>
      <c r="D151" s="1651" t="s">
        <v>2465</v>
      </c>
      <c r="E151" s="1613">
        <v>23.07</v>
      </c>
      <c r="F151" s="1613">
        <v>-23.07</v>
      </c>
      <c r="G151" s="1613">
        <f t="shared" si="43"/>
        <v>0</v>
      </c>
      <c r="H151" s="1578">
        <v>2008</v>
      </c>
      <c r="I151" s="1662">
        <f t="shared" si="44"/>
        <v>7.5</v>
      </c>
      <c r="J151" s="1663">
        <v>36</v>
      </c>
      <c r="K151" s="1664">
        <f t="shared" si="45"/>
        <v>0.33333333333333331</v>
      </c>
      <c r="L151" s="1613">
        <f t="shared" si="46"/>
        <v>0</v>
      </c>
      <c r="M151" s="1613">
        <f t="shared" si="47"/>
        <v>23.07</v>
      </c>
      <c r="N151" s="1613">
        <f t="shared" si="36"/>
        <v>-23.07</v>
      </c>
      <c r="O151" s="1652">
        <f t="shared" si="48"/>
        <v>0</v>
      </c>
      <c r="P151" s="1653">
        <f t="shared" si="49"/>
        <v>0</v>
      </c>
      <c r="Q151" s="1653">
        <f t="shared" si="50"/>
        <v>0</v>
      </c>
      <c r="R151" s="1653">
        <f t="shared" si="51"/>
        <v>0</v>
      </c>
      <c r="S151" s="1653">
        <f t="shared" si="52"/>
        <v>0</v>
      </c>
      <c r="T151" s="1653">
        <f t="shared" si="37"/>
        <v>0</v>
      </c>
      <c r="U151" s="1653">
        <f t="shared" si="38"/>
        <v>0</v>
      </c>
      <c r="V151" s="1653">
        <f t="shared" si="39"/>
        <v>0</v>
      </c>
      <c r="W151" s="1653">
        <f t="shared" si="40"/>
        <v>0</v>
      </c>
      <c r="X151" s="1653">
        <f t="shared" si="41"/>
        <v>0</v>
      </c>
      <c r="Y151" s="1653">
        <f t="shared" si="42"/>
        <v>0</v>
      </c>
    </row>
    <row r="152" spans="1:25" ht="15" hidden="1" outlineLevel="1">
      <c r="A152" s="1615">
        <v>144</v>
      </c>
      <c r="C152" s="1651" t="s">
        <v>2632</v>
      </c>
      <c r="D152" s="1651" t="s">
        <v>2633</v>
      </c>
      <c r="E152" s="1613">
        <v>1705</v>
      </c>
      <c r="F152" s="1613">
        <v>-1705</v>
      </c>
      <c r="G152" s="1613">
        <f t="shared" si="43"/>
        <v>0</v>
      </c>
      <c r="H152" s="1578">
        <v>2008</v>
      </c>
      <c r="I152" s="1662">
        <f t="shared" si="44"/>
        <v>7.5</v>
      </c>
      <c r="J152" s="1663">
        <v>36</v>
      </c>
      <c r="K152" s="1664">
        <f t="shared" si="45"/>
        <v>0.33333333333333331</v>
      </c>
      <c r="L152" s="1613">
        <f t="shared" si="46"/>
        <v>0</v>
      </c>
      <c r="M152" s="1613">
        <f t="shared" si="47"/>
        <v>1705</v>
      </c>
      <c r="N152" s="1613">
        <f t="shared" ref="N152:N215" si="53">-IF(I152+0.5&lt;(J152/12),M152*(I152+0.5)*K152,M152)</f>
        <v>-1705</v>
      </c>
      <c r="O152" s="1652">
        <f t="shared" si="48"/>
        <v>0</v>
      </c>
      <c r="P152" s="1653">
        <f t="shared" si="49"/>
        <v>0</v>
      </c>
      <c r="Q152" s="1653">
        <f t="shared" si="50"/>
        <v>0</v>
      </c>
      <c r="R152" s="1653">
        <f t="shared" si="51"/>
        <v>0</v>
      </c>
      <c r="S152" s="1653">
        <f t="shared" si="52"/>
        <v>0</v>
      </c>
      <c r="T152" s="1653">
        <f t="shared" ref="T152:T215" si="54">IF(S152&gt;0,IF(S152&lt;$K152,-$L152,R152-$K152),S152)</f>
        <v>0</v>
      </c>
      <c r="U152" s="1653">
        <f t="shared" ref="U152:U215" si="55">IF(T152&lt;0,$L152+T152,S152)</f>
        <v>0</v>
      </c>
      <c r="V152" s="1653">
        <f t="shared" ref="V152:V215" si="56">IF(U152&gt;0,IF(U152&lt;$K152,-$L152,T152-$K152),U152)</f>
        <v>0</v>
      </c>
      <c r="W152" s="1653">
        <f t="shared" ref="W152:W215" si="57">IF(V152&lt;0,$L152+V152,U152)</f>
        <v>0</v>
      </c>
      <c r="X152" s="1653">
        <f t="shared" ref="X152:X215" si="58">IF(W152&gt;0,IF(W152&lt;$K152,-$L152,V152-$K152),W152)</f>
        <v>0</v>
      </c>
      <c r="Y152" s="1653">
        <f t="shared" ref="Y152:Y215" si="59">IF(X152&lt;0,$L152+X152,W152)</f>
        <v>0</v>
      </c>
    </row>
    <row r="153" spans="1:25" ht="15" hidden="1" outlineLevel="1">
      <c r="A153" s="1615">
        <v>145</v>
      </c>
      <c r="C153" s="1651" t="s">
        <v>2634</v>
      </c>
      <c r="D153" s="1651" t="s">
        <v>2635</v>
      </c>
      <c r="E153" s="1613">
        <v>111.79</v>
      </c>
      <c r="F153" s="1613">
        <v>-111.79</v>
      </c>
      <c r="G153" s="1613">
        <f t="shared" ref="G153:G216" si="60">E153+F153</f>
        <v>0</v>
      </c>
      <c r="H153" s="1578">
        <v>2008</v>
      </c>
      <c r="I153" s="1662">
        <f t="shared" ref="I153:I216" si="61">IF(H153=2015,0.5,2015.5-H153)</f>
        <v>7.5</v>
      </c>
      <c r="J153" s="1663">
        <v>36</v>
      </c>
      <c r="K153" s="1664">
        <f t="shared" ref="K153:K216" si="62">1/J153*12</f>
        <v>0.33333333333333331</v>
      </c>
      <c r="L153" s="1613">
        <f t="shared" ref="L153:L216" si="63">IF(I153&lt;(J153/12),E153*K153,0)</f>
        <v>0</v>
      </c>
      <c r="M153" s="1613">
        <f t="shared" ref="M153:M216" si="64">E153</f>
        <v>111.79</v>
      </c>
      <c r="N153" s="1613">
        <f t="shared" si="53"/>
        <v>-111.79</v>
      </c>
      <c r="O153" s="1652">
        <f t="shared" ref="O153:O216" si="65">M153+N153</f>
        <v>0</v>
      </c>
      <c r="P153" s="1653">
        <f t="shared" ref="P153:P216" si="66">IF(O153&gt;0,IF(O153&lt;$K153,-$L153,N153-$K153),O153)</f>
        <v>0</v>
      </c>
      <c r="Q153" s="1653">
        <f t="shared" ref="Q153:Q216" si="67">IF(P153&lt;0,$L153+P153,O153)</f>
        <v>0</v>
      </c>
      <c r="R153" s="1653">
        <f t="shared" ref="R153:R216" si="68">IF(Q153&gt;0,IF(Q153&lt;$K153,-$L153,P153-$K153),Q153)</f>
        <v>0</v>
      </c>
      <c r="S153" s="1653">
        <f t="shared" ref="S153:S216" si="69">IF(R153&lt;0,$L153+R153,Q153)</f>
        <v>0</v>
      </c>
      <c r="T153" s="1653">
        <f t="shared" si="54"/>
        <v>0</v>
      </c>
      <c r="U153" s="1653">
        <f t="shared" si="55"/>
        <v>0</v>
      </c>
      <c r="V153" s="1653">
        <f t="shared" si="56"/>
        <v>0</v>
      </c>
      <c r="W153" s="1653">
        <f t="shared" si="57"/>
        <v>0</v>
      </c>
      <c r="X153" s="1653">
        <f t="shared" si="58"/>
        <v>0</v>
      </c>
      <c r="Y153" s="1653">
        <f t="shared" si="59"/>
        <v>0</v>
      </c>
    </row>
    <row r="154" spans="1:25" ht="15" hidden="1" outlineLevel="1">
      <c r="A154" s="1615">
        <v>146</v>
      </c>
      <c r="C154" s="1651" t="s">
        <v>2636</v>
      </c>
      <c r="D154" s="1651" t="s">
        <v>2635</v>
      </c>
      <c r="E154" s="1613">
        <v>6745</v>
      </c>
      <c r="F154" s="1613">
        <v>-6745</v>
      </c>
      <c r="G154" s="1613">
        <f t="shared" si="60"/>
        <v>0</v>
      </c>
      <c r="H154" s="1578">
        <v>2008</v>
      </c>
      <c r="I154" s="1662">
        <f t="shared" si="61"/>
        <v>7.5</v>
      </c>
      <c r="J154" s="1663">
        <v>36</v>
      </c>
      <c r="K154" s="1664">
        <f t="shared" si="62"/>
        <v>0.33333333333333331</v>
      </c>
      <c r="L154" s="1613">
        <f t="shared" si="63"/>
        <v>0</v>
      </c>
      <c r="M154" s="1613">
        <f t="shared" si="64"/>
        <v>6745</v>
      </c>
      <c r="N154" s="1613">
        <f t="shared" si="53"/>
        <v>-6745</v>
      </c>
      <c r="O154" s="1652">
        <f t="shared" si="65"/>
        <v>0</v>
      </c>
      <c r="P154" s="1653">
        <f t="shared" si="66"/>
        <v>0</v>
      </c>
      <c r="Q154" s="1653">
        <f t="shared" si="67"/>
        <v>0</v>
      </c>
      <c r="R154" s="1653">
        <f t="shared" si="68"/>
        <v>0</v>
      </c>
      <c r="S154" s="1653">
        <f t="shared" si="69"/>
        <v>0</v>
      </c>
      <c r="T154" s="1653">
        <f t="shared" si="54"/>
        <v>0</v>
      </c>
      <c r="U154" s="1653">
        <f t="shared" si="55"/>
        <v>0</v>
      </c>
      <c r="V154" s="1653">
        <f t="shared" si="56"/>
        <v>0</v>
      </c>
      <c r="W154" s="1653">
        <f t="shared" si="57"/>
        <v>0</v>
      </c>
      <c r="X154" s="1653">
        <f t="shared" si="58"/>
        <v>0</v>
      </c>
      <c r="Y154" s="1653">
        <f t="shared" si="59"/>
        <v>0</v>
      </c>
    </row>
    <row r="155" spans="1:25" ht="15" hidden="1" outlineLevel="1">
      <c r="A155" s="1615">
        <v>147</v>
      </c>
      <c r="C155" s="1651" t="s">
        <v>2637</v>
      </c>
      <c r="D155" s="1651" t="s">
        <v>2618</v>
      </c>
      <c r="E155" s="1613">
        <v>3385</v>
      </c>
      <c r="F155" s="1613">
        <v>-3385</v>
      </c>
      <c r="G155" s="1613">
        <f t="shared" si="60"/>
        <v>0</v>
      </c>
      <c r="H155" s="1578">
        <v>2008</v>
      </c>
      <c r="I155" s="1662">
        <f t="shared" si="61"/>
        <v>7.5</v>
      </c>
      <c r="J155" s="1663">
        <v>36</v>
      </c>
      <c r="K155" s="1664">
        <f t="shared" si="62"/>
        <v>0.33333333333333331</v>
      </c>
      <c r="L155" s="1613">
        <f t="shared" si="63"/>
        <v>0</v>
      </c>
      <c r="M155" s="1613">
        <f t="shared" si="64"/>
        <v>3385</v>
      </c>
      <c r="N155" s="1613">
        <f t="shared" si="53"/>
        <v>-3385</v>
      </c>
      <c r="O155" s="1652">
        <f t="shared" si="65"/>
        <v>0</v>
      </c>
      <c r="P155" s="1653">
        <f t="shared" si="66"/>
        <v>0</v>
      </c>
      <c r="Q155" s="1653">
        <f t="shared" si="67"/>
        <v>0</v>
      </c>
      <c r="R155" s="1653">
        <f t="shared" si="68"/>
        <v>0</v>
      </c>
      <c r="S155" s="1653">
        <f t="shared" si="69"/>
        <v>0</v>
      </c>
      <c r="T155" s="1653">
        <f t="shared" si="54"/>
        <v>0</v>
      </c>
      <c r="U155" s="1653">
        <f t="shared" si="55"/>
        <v>0</v>
      </c>
      <c r="V155" s="1653">
        <f t="shared" si="56"/>
        <v>0</v>
      </c>
      <c r="W155" s="1653">
        <f t="shared" si="57"/>
        <v>0</v>
      </c>
      <c r="X155" s="1653">
        <f t="shared" si="58"/>
        <v>0</v>
      </c>
      <c r="Y155" s="1653">
        <f t="shared" si="59"/>
        <v>0</v>
      </c>
    </row>
    <row r="156" spans="1:25" ht="15" hidden="1" outlineLevel="1">
      <c r="A156" s="1615">
        <v>148</v>
      </c>
      <c r="C156" s="1651" t="s">
        <v>2638</v>
      </c>
      <c r="D156" s="1651" t="s">
        <v>2639</v>
      </c>
      <c r="E156" s="1613">
        <v>3385</v>
      </c>
      <c r="F156" s="1613">
        <v>-3385</v>
      </c>
      <c r="G156" s="1613">
        <f t="shared" si="60"/>
        <v>0</v>
      </c>
      <c r="H156" s="1578">
        <v>2008</v>
      </c>
      <c r="I156" s="1662">
        <f t="shared" si="61"/>
        <v>7.5</v>
      </c>
      <c r="J156" s="1663">
        <v>36</v>
      </c>
      <c r="K156" s="1664">
        <f t="shared" si="62"/>
        <v>0.33333333333333331</v>
      </c>
      <c r="L156" s="1613">
        <f t="shared" si="63"/>
        <v>0</v>
      </c>
      <c r="M156" s="1613">
        <f t="shared" si="64"/>
        <v>3385</v>
      </c>
      <c r="N156" s="1613">
        <f t="shared" si="53"/>
        <v>-3385</v>
      </c>
      <c r="O156" s="1652">
        <f t="shared" si="65"/>
        <v>0</v>
      </c>
      <c r="P156" s="1653">
        <f t="shared" si="66"/>
        <v>0</v>
      </c>
      <c r="Q156" s="1653">
        <f t="shared" si="67"/>
        <v>0</v>
      </c>
      <c r="R156" s="1653">
        <f t="shared" si="68"/>
        <v>0</v>
      </c>
      <c r="S156" s="1653">
        <f t="shared" si="69"/>
        <v>0</v>
      </c>
      <c r="T156" s="1653">
        <f t="shared" si="54"/>
        <v>0</v>
      </c>
      <c r="U156" s="1653">
        <f t="shared" si="55"/>
        <v>0</v>
      </c>
      <c r="V156" s="1653">
        <f t="shared" si="56"/>
        <v>0</v>
      </c>
      <c r="W156" s="1653">
        <f t="shared" si="57"/>
        <v>0</v>
      </c>
      <c r="X156" s="1653">
        <f t="shared" si="58"/>
        <v>0</v>
      </c>
      <c r="Y156" s="1653">
        <f t="shared" si="59"/>
        <v>0</v>
      </c>
    </row>
    <row r="157" spans="1:25" ht="15" hidden="1" outlineLevel="1">
      <c r="A157" s="1615">
        <v>149</v>
      </c>
      <c r="C157" s="1651" t="s">
        <v>2640</v>
      </c>
      <c r="D157" s="1651" t="s">
        <v>2639</v>
      </c>
      <c r="E157" s="1613">
        <v>3385</v>
      </c>
      <c r="F157" s="1613">
        <v>-3385</v>
      </c>
      <c r="G157" s="1613">
        <f t="shared" si="60"/>
        <v>0</v>
      </c>
      <c r="H157" s="1578">
        <v>2008</v>
      </c>
      <c r="I157" s="1662">
        <f t="shared" si="61"/>
        <v>7.5</v>
      </c>
      <c r="J157" s="1663">
        <v>36</v>
      </c>
      <c r="K157" s="1664">
        <f t="shared" si="62"/>
        <v>0.33333333333333331</v>
      </c>
      <c r="L157" s="1613">
        <f t="shared" si="63"/>
        <v>0</v>
      </c>
      <c r="M157" s="1613">
        <f t="shared" si="64"/>
        <v>3385</v>
      </c>
      <c r="N157" s="1613">
        <f t="shared" si="53"/>
        <v>-3385</v>
      </c>
      <c r="O157" s="1652">
        <f t="shared" si="65"/>
        <v>0</v>
      </c>
      <c r="P157" s="1653">
        <f t="shared" si="66"/>
        <v>0</v>
      </c>
      <c r="Q157" s="1653">
        <f t="shared" si="67"/>
        <v>0</v>
      </c>
      <c r="R157" s="1653">
        <f t="shared" si="68"/>
        <v>0</v>
      </c>
      <c r="S157" s="1653">
        <f t="shared" si="69"/>
        <v>0</v>
      </c>
      <c r="T157" s="1653">
        <f t="shared" si="54"/>
        <v>0</v>
      </c>
      <c r="U157" s="1653">
        <f t="shared" si="55"/>
        <v>0</v>
      </c>
      <c r="V157" s="1653">
        <f t="shared" si="56"/>
        <v>0</v>
      </c>
      <c r="W157" s="1653">
        <f t="shared" si="57"/>
        <v>0</v>
      </c>
      <c r="X157" s="1653">
        <f t="shared" si="58"/>
        <v>0</v>
      </c>
      <c r="Y157" s="1653">
        <f t="shared" si="59"/>
        <v>0</v>
      </c>
    </row>
    <row r="158" spans="1:25" ht="15" hidden="1" outlineLevel="1">
      <c r="A158" s="1615">
        <v>150</v>
      </c>
      <c r="C158" s="1651" t="s">
        <v>2641</v>
      </c>
      <c r="D158" s="1651" t="s">
        <v>2639</v>
      </c>
      <c r="E158" s="1613">
        <v>3385</v>
      </c>
      <c r="F158" s="1613">
        <v>-3385</v>
      </c>
      <c r="G158" s="1613">
        <f t="shared" si="60"/>
        <v>0</v>
      </c>
      <c r="H158" s="1578">
        <v>2008</v>
      </c>
      <c r="I158" s="1662">
        <f t="shared" si="61"/>
        <v>7.5</v>
      </c>
      <c r="J158" s="1663">
        <v>36</v>
      </c>
      <c r="K158" s="1664">
        <f t="shared" si="62"/>
        <v>0.33333333333333331</v>
      </c>
      <c r="L158" s="1613">
        <f t="shared" si="63"/>
        <v>0</v>
      </c>
      <c r="M158" s="1613">
        <f t="shared" si="64"/>
        <v>3385</v>
      </c>
      <c r="N158" s="1613">
        <f t="shared" si="53"/>
        <v>-3385</v>
      </c>
      <c r="O158" s="1652">
        <f t="shared" si="65"/>
        <v>0</v>
      </c>
      <c r="P158" s="1653">
        <f t="shared" si="66"/>
        <v>0</v>
      </c>
      <c r="Q158" s="1653">
        <f t="shared" si="67"/>
        <v>0</v>
      </c>
      <c r="R158" s="1653">
        <f t="shared" si="68"/>
        <v>0</v>
      </c>
      <c r="S158" s="1653">
        <f t="shared" si="69"/>
        <v>0</v>
      </c>
      <c r="T158" s="1653">
        <f t="shared" si="54"/>
        <v>0</v>
      </c>
      <c r="U158" s="1653">
        <f t="shared" si="55"/>
        <v>0</v>
      </c>
      <c r="V158" s="1653">
        <f t="shared" si="56"/>
        <v>0</v>
      </c>
      <c r="W158" s="1653">
        <f t="shared" si="57"/>
        <v>0</v>
      </c>
      <c r="X158" s="1653">
        <f t="shared" si="58"/>
        <v>0</v>
      </c>
      <c r="Y158" s="1653">
        <f t="shared" si="59"/>
        <v>0</v>
      </c>
    </row>
    <row r="159" spans="1:25" ht="15" hidden="1" outlineLevel="1">
      <c r="A159" s="1615">
        <v>151</v>
      </c>
      <c r="C159" s="1651" t="s">
        <v>2642</v>
      </c>
      <c r="D159" s="1651" t="s">
        <v>2643</v>
      </c>
      <c r="E159" s="1613">
        <v>5235</v>
      </c>
      <c r="F159" s="1613">
        <v>-5235</v>
      </c>
      <c r="G159" s="1613">
        <f t="shared" si="60"/>
        <v>0</v>
      </c>
      <c r="H159" s="1578">
        <v>2008</v>
      </c>
      <c r="I159" s="1662">
        <f t="shared" si="61"/>
        <v>7.5</v>
      </c>
      <c r="J159" s="1663">
        <v>36</v>
      </c>
      <c r="K159" s="1664">
        <f t="shared" si="62"/>
        <v>0.33333333333333331</v>
      </c>
      <c r="L159" s="1613">
        <f t="shared" si="63"/>
        <v>0</v>
      </c>
      <c r="M159" s="1613">
        <f t="shared" si="64"/>
        <v>5235</v>
      </c>
      <c r="N159" s="1613">
        <f t="shared" si="53"/>
        <v>-5235</v>
      </c>
      <c r="O159" s="1652">
        <f t="shared" si="65"/>
        <v>0</v>
      </c>
      <c r="P159" s="1653">
        <f t="shared" si="66"/>
        <v>0</v>
      </c>
      <c r="Q159" s="1653">
        <f t="shared" si="67"/>
        <v>0</v>
      </c>
      <c r="R159" s="1653">
        <f t="shared" si="68"/>
        <v>0</v>
      </c>
      <c r="S159" s="1653">
        <f t="shared" si="69"/>
        <v>0</v>
      </c>
      <c r="T159" s="1653">
        <f t="shared" si="54"/>
        <v>0</v>
      </c>
      <c r="U159" s="1653">
        <f t="shared" si="55"/>
        <v>0</v>
      </c>
      <c r="V159" s="1653">
        <f t="shared" si="56"/>
        <v>0</v>
      </c>
      <c r="W159" s="1653">
        <f t="shared" si="57"/>
        <v>0</v>
      </c>
      <c r="X159" s="1653">
        <f t="shared" si="58"/>
        <v>0</v>
      </c>
      <c r="Y159" s="1653">
        <f t="shared" si="59"/>
        <v>0</v>
      </c>
    </row>
    <row r="160" spans="1:25" ht="15" hidden="1" outlineLevel="1">
      <c r="A160" s="1615">
        <v>152</v>
      </c>
      <c r="C160" s="1651" t="s">
        <v>2644</v>
      </c>
      <c r="D160" s="1651" t="s">
        <v>2002</v>
      </c>
      <c r="E160" s="1613">
        <v>1705</v>
      </c>
      <c r="F160" s="1613">
        <v>-1705</v>
      </c>
      <c r="G160" s="1613">
        <f t="shared" si="60"/>
        <v>0</v>
      </c>
      <c r="H160" s="1578">
        <v>2008</v>
      </c>
      <c r="I160" s="1662">
        <f t="shared" si="61"/>
        <v>7.5</v>
      </c>
      <c r="J160" s="1663">
        <v>36</v>
      </c>
      <c r="K160" s="1664">
        <f t="shared" si="62"/>
        <v>0.33333333333333331</v>
      </c>
      <c r="L160" s="1613">
        <f t="shared" si="63"/>
        <v>0</v>
      </c>
      <c r="M160" s="1613">
        <f t="shared" si="64"/>
        <v>1705</v>
      </c>
      <c r="N160" s="1613">
        <f t="shared" si="53"/>
        <v>-1705</v>
      </c>
      <c r="O160" s="1652">
        <f t="shared" si="65"/>
        <v>0</v>
      </c>
      <c r="P160" s="1653">
        <f t="shared" si="66"/>
        <v>0</v>
      </c>
      <c r="Q160" s="1653">
        <f t="shared" si="67"/>
        <v>0</v>
      </c>
      <c r="R160" s="1653">
        <f t="shared" si="68"/>
        <v>0</v>
      </c>
      <c r="S160" s="1653">
        <f t="shared" si="69"/>
        <v>0</v>
      </c>
      <c r="T160" s="1653">
        <f t="shared" si="54"/>
        <v>0</v>
      </c>
      <c r="U160" s="1653">
        <f t="shared" si="55"/>
        <v>0</v>
      </c>
      <c r="V160" s="1653">
        <f t="shared" si="56"/>
        <v>0</v>
      </c>
      <c r="W160" s="1653">
        <f t="shared" si="57"/>
        <v>0</v>
      </c>
      <c r="X160" s="1653">
        <f t="shared" si="58"/>
        <v>0</v>
      </c>
      <c r="Y160" s="1653">
        <f t="shared" si="59"/>
        <v>0</v>
      </c>
    </row>
    <row r="161" spans="1:25" ht="15" hidden="1" outlineLevel="1">
      <c r="A161" s="1615">
        <v>153</v>
      </c>
      <c r="C161" s="1651" t="s">
        <v>2645</v>
      </c>
      <c r="D161" s="1651" t="s">
        <v>2002</v>
      </c>
      <c r="E161" s="1613">
        <v>1402.63</v>
      </c>
      <c r="F161" s="1613">
        <v>-1402.63</v>
      </c>
      <c r="G161" s="1613">
        <f t="shared" si="60"/>
        <v>0</v>
      </c>
      <c r="H161" s="1578">
        <v>2008</v>
      </c>
      <c r="I161" s="1662">
        <f t="shared" si="61"/>
        <v>7.5</v>
      </c>
      <c r="J161" s="1663">
        <v>36</v>
      </c>
      <c r="K161" s="1664">
        <f t="shared" si="62"/>
        <v>0.33333333333333331</v>
      </c>
      <c r="L161" s="1613">
        <f t="shared" si="63"/>
        <v>0</v>
      </c>
      <c r="M161" s="1613">
        <f t="shared" si="64"/>
        <v>1402.63</v>
      </c>
      <c r="N161" s="1613">
        <f t="shared" si="53"/>
        <v>-1402.63</v>
      </c>
      <c r="O161" s="1652">
        <f t="shared" si="65"/>
        <v>0</v>
      </c>
      <c r="P161" s="1653">
        <f t="shared" si="66"/>
        <v>0</v>
      </c>
      <c r="Q161" s="1653">
        <f t="shared" si="67"/>
        <v>0</v>
      </c>
      <c r="R161" s="1653">
        <f t="shared" si="68"/>
        <v>0</v>
      </c>
      <c r="S161" s="1653">
        <f t="shared" si="69"/>
        <v>0</v>
      </c>
      <c r="T161" s="1653">
        <f t="shared" si="54"/>
        <v>0</v>
      </c>
      <c r="U161" s="1653">
        <f t="shared" si="55"/>
        <v>0</v>
      </c>
      <c r="V161" s="1653">
        <f t="shared" si="56"/>
        <v>0</v>
      </c>
      <c r="W161" s="1653">
        <f t="shared" si="57"/>
        <v>0</v>
      </c>
      <c r="X161" s="1653">
        <f t="shared" si="58"/>
        <v>0</v>
      </c>
      <c r="Y161" s="1653">
        <f t="shared" si="59"/>
        <v>0</v>
      </c>
    </row>
    <row r="162" spans="1:25" ht="15" hidden="1" outlineLevel="1">
      <c r="A162" s="1615">
        <v>154</v>
      </c>
      <c r="C162" s="1651" t="s">
        <v>2646</v>
      </c>
      <c r="D162" s="1651" t="s">
        <v>2003</v>
      </c>
      <c r="E162" s="1613">
        <v>420.73</v>
      </c>
      <c r="F162" s="1613">
        <v>-420.73</v>
      </c>
      <c r="G162" s="1613">
        <f t="shared" si="60"/>
        <v>0</v>
      </c>
      <c r="H162" s="1578">
        <v>2008</v>
      </c>
      <c r="I162" s="1662">
        <f t="shared" si="61"/>
        <v>7.5</v>
      </c>
      <c r="J162" s="1663">
        <v>36</v>
      </c>
      <c r="K162" s="1664">
        <f t="shared" si="62"/>
        <v>0.33333333333333331</v>
      </c>
      <c r="L162" s="1613">
        <f t="shared" si="63"/>
        <v>0</v>
      </c>
      <c r="M162" s="1613">
        <f t="shared" si="64"/>
        <v>420.73</v>
      </c>
      <c r="N162" s="1613">
        <f t="shared" si="53"/>
        <v>-420.73</v>
      </c>
      <c r="O162" s="1652">
        <f t="shared" si="65"/>
        <v>0</v>
      </c>
      <c r="P162" s="1653">
        <f t="shared" si="66"/>
        <v>0</v>
      </c>
      <c r="Q162" s="1653">
        <f t="shared" si="67"/>
        <v>0</v>
      </c>
      <c r="R162" s="1653">
        <f t="shared" si="68"/>
        <v>0</v>
      </c>
      <c r="S162" s="1653">
        <f t="shared" si="69"/>
        <v>0</v>
      </c>
      <c r="T162" s="1653">
        <f t="shared" si="54"/>
        <v>0</v>
      </c>
      <c r="U162" s="1653">
        <f t="shared" si="55"/>
        <v>0</v>
      </c>
      <c r="V162" s="1653">
        <f t="shared" si="56"/>
        <v>0</v>
      </c>
      <c r="W162" s="1653">
        <f t="shared" si="57"/>
        <v>0</v>
      </c>
      <c r="X162" s="1653">
        <f t="shared" si="58"/>
        <v>0</v>
      </c>
      <c r="Y162" s="1653">
        <f t="shared" si="59"/>
        <v>0</v>
      </c>
    </row>
    <row r="163" spans="1:25" ht="15" hidden="1" outlineLevel="1">
      <c r="A163" s="1615">
        <v>155</v>
      </c>
      <c r="C163" s="1651" t="s">
        <v>2647</v>
      </c>
      <c r="D163" s="1651" t="s">
        <v>2002</v>
      </c>
      <c r="E163" s="1613">
        <v>2313.8000000000002</v>
      </c>
      <c r="F163" s="1613">
        <v>-2313.8000000000002</v>
      </c>
      <c r="G163" s="1613">
        <f t="shared" si="60"/>
        <v>0</v>
      </c>
      <c r="H163" s="1578">
        <v>2008</v>
      </c>
      <c r="I163" s="1662">
        <f t="shared" si="61"/>
        <v>7.5</v>
      </c>
      <c r="J163" s="1663">
        <v>36</v>
      </c>
      <c r="K163" s="1664">
        <f t="shared" si="62"/>
        <v>0.33333333333333331</v>
      </c>
      <c r="L163" s="1613">
        <f t="shared" si="63"/>
        <v>0</v>
      </c>
      <c r="M163" s="1613">
        <f t="shared" si="64"/>
        <v>2313.8000000000002</v>
      </c>
      <c r="N163" s="1613">
        <f t="shared" si="53"/>
        <v>-2313.8000000000002</v>
      </c>
      <c r="O163" s="1652">
        <f t="shared" si="65"/>
        <v>0</v>
      </c>
      <c r="P163" s="1653">
        <f t="shared" si="66"/>
        <v>0</v>
      </c>
      <c r="Q163" s="1653">
        <f t="shared" si="67"/>
        <v>0</v>
      </c>
      <c r="R163" s="1653">
        <f t="shared" si="68"/>
        <v>0</v>
      </c>
      <c r="S163" s="1653">
        <f t="shared" si="69"/>
        <v>0</v>
      </c>
      <c r="T163" s="1653">
        <f t="shared" si="54"/>
        <v>0</v>
      </c>
      <c r="U163" s="1653">
        <f t="shared" si="55"/>
        <v>0</v>
      </c>
      <c r="V163" s="1653">
        <f t="shared" si="56"/>
        <v>0</v>
      </c>
      <c r="W163" s="1653">
        <f t="shared" si="57"/>
        <v>0</v>
      </c>
      <c r="X163" s="1653">
        <f t="shared" si="58"/>
        <v>0</v>
      </c>
      <c r="Y163" s="1653">
        <f t="shared" si="59"/>
        <v>0</v>
      </c>
    </row>
    <row r="164" spans="1:25" ht="15" hidden="1" outlineLevel="1">
      <c r="A164" s="1615">
        <v>156</v>
      </c>
      <c r="C164" s="1651" t="s">
        <v>2648</v>
      </c>
      <c r="D164" s="1651" t="s">
        <v>2002</v>
      </c>
      <c r="E164" s="1613">
        <v>1500</v>
      </c>
      <c r="F164" s="1613">
        <v>-1500</v>
      </c>
      <c r="G164" s="1613">
        <f t="shared" si="60"/>
        <v>0</v>
      </c>
      <c r="H164" s="1578">
        <v>2008</v>
      </c>
      <c r="I164" s="1662">
        <f t="shared" si="61"/>
        <v>7.5</v>
      </c>
      <c r="J164" s="1663">
        <v>36</v>
      </c>
      <c r="K164" s="1664">
        <f t="shared" si="62"/>
        <v>0.33333333333333331</v>
      </c>
      <c r="L164" s="1613">
        <f t="shared" si="63"/>
        <v>0</v>
      </c>
      <c r="M164" s="1613">
        <f t="shared" si="64"/>
        <v>1500</v>
      </c>
      <c r="N164" s="1613">
        <f t="shared" si="53"/>
        <v>-1500</v>
      </c>
      <c r="O164" s="1652">
        <f t="shared" si="65"/>
        <v>0</v>
      </c>
      <c r="P164" s="1653">
        <f t="shared" si="66"/>
        <v>0</v>
      </c>
      <c r="Q164" s="1653">
        <f t="shared" si="67"/>
        <v>0</v>
      </c>
      <c r="R164" s="1653">
        <f t="shared" si="68"/>
        <v>0</v>
      </c>
      <c r="S164" s="1653">
        <f t="shared" si="69"/>
        <v>0</v>
      </c>
      <c r="T164" s="1653">
        <f t="shared" si="54"/>
        <v>0</v>
      </c>
      <c r="U164" s="1653">
        <f t="shared" si="55"/>
        <v>0</v>
      </c>
      <c r="V164" s="1653">
        <f t="shared" si="56"/>
        <v>0</v>
      </c>
      <c r="W164" s="1653">
        <f t="shared" si="57"/>
        <v>0</v>
      </c>
      <c r="X164" s="1653">
        <f t="shared" si="58"/>
        <v>0</v>
      </c>
      <c r="Y164" s="1653">
        <f t="shared" si="59"/>
        <v>0</v>
      </c>
    </row>
    <row r="165" spans="1:25" ht="15" hidden="1" outlineLevel="1">
      <c r="A165" s="1615">
        <v>157</v>
      </c>
      <c r="C165" s="1651" t="s">
        <v>2649</v>
      </c>
      <c r="D165" s="1651" t="s">
        <v>2618</v>
      </c>
      <c r="E165" s="1613">
        <v>2600</v>
      </c>
      <c r="F165" s="1613">
        <v>-2600</v>
      </c>
      <c r="G165" s="1613">
        <f t="shared" si="60"/>
        <v>0</v>
      </c>
      <c r="H165" s="1578">
        <v>2008</v>
      </c>
      <c r="I165" s="1662">
        <f t="shared" si="61"/>
        <v>7.5</v>
      </c>
      <c r="J165" s="1663">
        <v>36</v>
      </c>
      <c r="K165" s="1664">
        <f t="shared" si="62"/>
        <v>0.33333333333333331</v>
      </c>
      <c r="L165" s="1613">
        <f t="shared" si="63"/>
        <v>0</v>
      </c>
      <c r="M165" s="1613">
        <f t="shared" si="64"/>
        <v>2600</v>
      </c>
      <c r="N165" s="1613">
        <f t="shared" si="53"/>
        <v>-2600</v>
      </c>
      <c r="O165" s="1652">
        <f t="shared" si="65"/>
        <v>0</v>
      </c>
      <c r="P165" s="1653">
        <f t="shared" si="66"/>
        <v>0</v>
      </c>
      <c r="Q165" s="1653">
        <f t="shared" si="67"/>
        <v>0</v>
      </c>
      <c r="R165" s="1653">
        <f t="shared" si="68"/>
        <v>0</v>
      </c>
      <c r="S165" s="1653">
        <f t="shared" si="69"/>
        <v>0</v>
      </c>
      <c r="T165" s="1653">
        <f t="shared" si="54"/>
        <v>0</v>
      </c>
      <c r="U165" s="1653">
        <f t="shared" si="55"/>
        <v>0</v>
      </c>
      <c r="V165" s="1653">
        <f t="shared" si="56"/>
        <v>0</v>
      </c>
      <c r="W165" s="1653">
        <f t="shared" si="57"/>
        <v>0</v>
      </c>
      <c r="X165" s="1653">
        <f t="shared" si="58"/>
        <v>0</v>
      </c>
      <c r="Y165" s="1653">
        <f t="shared" si="59"/>
        <v>0</v>
      </c>
    </row>
    <row r="166" spans="1:25" ht="15" hidden="1" outlineLevel="1">
      <c r="A166" s="1615">
        <v>158</v>
      </c>
      <c r="C166" s="1651" t="s">
        <v>2650</v>
      </c>
      <c r="D166" s="1651" t="s">
        <v>2651</v>
      </c>
      <c r="E166" s="1613">
        <v>313.43</v>
      </c>
      <c r="F166" s="1613">
        <v>-313.43</v>
      </c>
      <c r="G166" s="1613">
        <f t="shared" si="60"/>
        <v>0</v>
      </c>
      <c r="H166" s="1578">
        <v>2008</v>
      </c>
      <c r="I166" s="1662">
        <f t="shared" si="61"/>
        <v>7.5</v>
      </c>
      <c r="J166" s="1663">
        <v>36</v>
      </c>
      <c r="K166" s="1664">
        <f t="shared" si="62"/>
        <v>0.33333333333333331</v>
      </c>
      <c r="L166" s="1613">
        <f t="shared" si="63"/>
        <v>0</v>
      </c>
      <c r="M166" s="1613">
        <f t="shared" si="64"/>
        <v>313.43</v>
      </c>
      <c r="N166" s="1613">
        <f t="shared" si="53"/>
        <v>-313.43</v>
      </c>
      <c r="O166" s="1652">
        <f t="shared" si="65"/>
        <v>0</v>
      </c>
      <c r="P166" s="1653">
        <f t="shared" si="66"/>
        <v>0</v>
      </c>
      <c r="Q166" s="1653">
        <f t="shared" si="67"/>
        <v>0</v>
      </c>
      <c r="R166" s="1653">
        <f t="shared" si="68"/>
        <v>0</v>
      </c>
      <c r="S166" s="1653">
        <f t="shared" si="69"/>
        <v>0</v>
      </c>
      <c r="T166" s="1653">
        <f t="shared" si="54"/>
        <v>0</v>
      </c>
      <c r="U166" s="1653">
        <f t="shared" si="55"/>
        <v>0</v>
      </c>
      <c r="V166" s="1653">
        <f t="shared" si="56"/>
        <v>0</v>
      </c>
      <c r="W166" s="1653">
        <f t="shared" si="57"/>
        <v>0</v>
      </c>
      <c r="X166" s="1653">
        <f t="shared" si="58"/>
        <v>0</v>
      </c>
      <c r="Y166" s="1653">
        <f t="shared" si="59"/>
        <v>0</v>
      </c>
    </row>
    <row r="167" spans="1:25" ht="15" hidden="1" outlineLevel="1">
      <c r="A167" s="1615">
        <v>159</v>
      </c>
      <c r="C167" s="1651" t="s">
        <v>2652</v>
      </c>
      <c r="D167" s="1651" t="s">
        <v>2002</v>
      </c>
      <c r="E167" s="1613">
        <v>2085.6999999999998</v>
      </c>
      <c r="F167" s="1613">
        <v>-2085.6999999999998</v>
      </c>
      <c r="G167" s="1613">
        <f t="shared" si="60"/>
        <v>0</v>
      </c>
      <c r="H167" s="1578">
        <v>2009</v>
      </c>
      <c r="I167" s="1662">
        <f t="shared" si="61"/>
        <v>6.5</v>
      </c>
      <c r="J167" s="1663">
        <v>36</v>
      </c>
      <c r="K167" s="1664">
        <f t="shared" si="62"/>
        <v>0.33333333333333331</v>
      </c>
      <c r="L167" s="1613">
        <f t="shared" si="63"/>
        <v>0</v>
      </c>
      <c r="M167" s="1613">
        <f t="shared" si="64"/>
        <v>2085.6999999999998</v>
      </c>
      <c r="N167" s="1613">
        <f t="shared" si="53"/>
        <v>-2085.6999999999998</v>
      </c>
      <c r="O167" s="1652">
        <f t="shared" si="65"/>
        <v>0</v>
      </c>
      <c r="P167" s="1653">
        <f t="shared" si="66"/>
        <v>0</v>
      </c>
      <c r="Q167" s="1653">
        <f t="shared" si="67"/>
        <v>0</v>
      </c>
      <c r="R167" s="1653">
        <f t="shared" si="68"/>
        <v>0</v>
      </c>
      <c r="S167" s="1653">
        <f t="shared" si="69"/>
        <v>0</v>
      </c>
      <c r="T167" s="1653">
        <f t="shared" si="54"/>
        <v>0</v>
      </c>
      <c r="U167" s="1653">
        <f t="shared" si="55"/>
        <v>0</v>
      </c>
      <c r="V167" s="1653">
        <f t="shared" si="56"/>
        <v>0</v>
      </c>
      <c r="W167" s="1653">
        <f t="shared" si="57"/>
        <v>0</v>
      </c>
      <c r="X167" s="1653">
        <f t="shared" si="58"/>
        <v>0</v>
      </c>
      <c r="Y167" s="1653">
        <f t="shared" si="59"/>
        <v>0</v>
      </c>
    </row>
    <row r="168" spans="1:25" ht="15" hidden="1" outlineLevel="1">
      <c r="A168" s="1615">
        <v>160</v>
      </c>
      <c r="C168" s="1651" t="s">
        <v>2653</v>
      </c>
      <c r="D168" s="1651" t="s">
        <v>2618</v>
      </c>
      <c r="E168" s="1613">
        <v>1705</v>
      </c>
      <c r="F168" s="1613">
        <v>-1705</v>
      </c>
      <c r="G168" s="1613">
        <f t="shared" si="60"/>
        <v>0</v>
      </c>
      <c r="H168" s="1578">
        <v>2009</v>
      </c>
      <c r="I168" s="1662">
        <f t="shared" si="61"/>
        <v>6.5</v>
      </c>
      <c r="J168" s="1663">
        <v>36</v>
      </c>
      <c r="K168" s="1664">
        <f t="shared" si="62"/>
        <v>0.33333333333333331</v>
      </c>
      <c r="L168" s="1613">
        <f t="shared" si="63"/>
        <v>0</v>
      </c>
      <c r="M168" s="1613">
        <f t="shared" si="64"/>
        <v>1705</v>
      </c>
      <c r="N168" s="1613">
        <f t="shared" si="53"/>
        <v>-1705</v>
      </c>
      <c r="O168" s="1652">
        <f t="shared" si="65"/>
        <v>0</v>
      </c>
      <c r="P168" s="1653">
        <f t="shared" si="66"/>
        <v>0</v>
      </c>
      <c r="Q168" s="1653">
        <f t="shared" si="67"/>
        <v>0</v>
      </c>
      <c r="R168" s="1653">
        <f t="shared" si="68"/>
        <v>0</v>
      </c>
      <c r="S168" s="1653">
        <f t="shared" si="69"/>
        <v>0</v>
      </c>
      <c r="T168" s="1653">
        <f t="shared" si="54"/>
        <v>0</v>
      </c>
      <c r="U168" s="1653">
        <f t="shared" si="55"/>
        <v>0</v>
      </c>
      <c r="V168" s="1653">
        <f t="shared" si="56"/>
        <v>0</v>
      </c>
      <c r="W168" s="1653">
        <f t="shared" si="57"/>
        <v>0</v>
      </c>
      <c r="X168" s="1653">
        <f t="shared" si="58"/>
        <v>0</v>
      </c>
      <c r="Y168" s="1653">
        <f t="shared" si="59"/>
        <v>0</v>
      </c>
    </row>
    <row r="169" spans="1:25" ht="15" hidden="1" outlineLevel="1">
      <c r="A169" s="1615">
        <v>161</v>
      </c>
      <c r="C169" s="1651" t="s">
        <v>2654</v>
      </c>
      <c r="D169" s="1651" t="s">
        <v>2635</v>
      </c>
      <c r="E169" s="1613">
        <v>3385</v>
      </c>
      <c r="F169" s="1613">
        <v>-3385</v>
      </c>
      <c r="G169" s="1613">
        <f t="shared" si="60"/>
        <v>0</v>
      </c>
      <c r="H169" s="1578">
        <v>2009</v>
      </c>
      <c r="I169" s="1662">
        <f t="shared" si="61"/>
        <v>6.5</v>
      </c>
      <c r="J169" s="1663">
        <v>36</v>
      </c>
      <c r="K169" s="1664">
        <f t="shared" si="62"/>
        <v>0.33333333333333331</v>
      </c>
      <c r="L169" s="1613">
        <f t="shared" si="63"/>
        <v>0</v>
      </c>
      <c r="M169" s="1613">
        <f t="shared" si="64"/>
        <v>3385</v>
      </c>
      <c r="N169" s="1613">
        <f t="shared" si="53"/>
        <v>-3385</v>
      </c>
      <c r="O169" s="1652">
        <f t="shared" si="65"/>
        <v>0</v>
      </c>
      <c r="P169" s="1653">
        <f t="shared" si="66"/>
        <v>0</v>
      </c>
      <c r="Q169" s="1653">
        <f t="shared" si="67"/>
        <v>0</v>
      </c>
      <c r="R169" s="1653">
        <f t="shared" si="68"/>
        <v>0</v>
      </c>
      <c r="S169" s="1653">
        <f t="shared" si="69"/>
        <v>0</v>
      </c>
      <c r="T169" s="1653">
        <f t="shared" si="54"/>
        <v>0</v>
      </c>
      <c r="U169" s="1653">
        <f t="shared" si="55"/>
        <v>0</v>
      </c>
      <c r="V169" s="1653">
        <f t="shared" si="56"/>
        <v>0</v>
      </c>
      <c r="W169" s="1653">
        <f t="shared" si="57"/>
        <v>0</v>
      </c>
      <c r="X169" s="1653">
        <f t="shared" si="58"/>
        <v>0</v>
      </c>
      <c r="Y169" s="1653">
        <f t="shared" si="59"/>
        <v>0</v>
      </c>
    </row>
    <row r="170" spans="1:25" ht="15" hidden="1" outlineLevel="1">
      <c r="A170" s="1615">
        <v>162</v>
      </c>
      <c r="C170" s="1651" t="s">
        <v>2655</v>
      </c>
      <c r="D170" s="1651" t="s">
        <v>2465</v>
      </c>
      <c r="E170" s="1613">
        <v>1400.52</v>
      </c>
      <c r="F170" s="1613">
        <v>-1400.52</v>
      </c>
      <c r="G170" s="1613">
        <f t="shared" si="60"/>
        <v>0</v>
      </c>
      <c r="H170" s="1578">
        <v>2009</v>
      </c>
      <c r="I170" s="1662">
        <f t="shared" si="61"/>
        <v>6.5</v>
      </c>
      <c r="J170" s="1663">
        <v>36</v>
      </c>
      <c r="K170" s="1664">
        <f t="shared" si="62"/>
        <v>0.33333333333333331</v>
      </c>
      <c r="L170" s="1613">
        <f t="shared" si="63"/>
        <v>0</v>
      </c>
      <c r="M170" s="1613">
        <f t="shared" si="64"/>
        <v>1400.52</v>
      </c>
      <c r="N170" s="1613">
        <f t="shared" si="53"/>
        <v>-1400.52</v>
      </c>
      <c r="O170" s="1652">
        <f t="shared" si="65"/>
        <v>0</v>
      </c>
      <c r="P170" s="1653">
        <f t="shared" si="66"/>
        <v>0</v>
      </c>
      <c r="Q170" s="1653">
        <f t="shared" si="67"/>
        <v>0</v>
      </c>
      <c r="R170" s="1653">
        <f t="shared" si="68"/>
        <v>0</v>
      </c>
      <c r="S170" s="1653">
        <f t="shared" si="69"/>
        <v>0</v>
      </c>
      <c r="T170" s="1653">
        <f t="shared" si="54"/>
        <v>0</v>
      </c>
      <c r="U170" s="1653">
        <f t="shared" si="55"/>
        <v>0</v>
      </c>
      <c r="V170" s="1653">
        <f t="shared" si="56"/>
        <v>0</v>
      </c>
      <c r="W170" s="1653">
        <f t="shared" si="57"/>
        <v>0</v>
      </c>
      <c r="X170" s="1653">
        <f t="shared" si="58"/>
        <v>0</v>
      </c>
      <c r="Y170" s="1653">
        <f t="shared" si="59"/>
        <v>0</v>
      </c>
    </row>
    <row r="171" spans="1:25" ht="15" hidden="1" outlineLevel="1">
      <c r="A171" s="1615">
        <v>163</v>
      </c>
      <c r="C171" s="1651" t="s">
        <v>2656</v>
      </c>
      <c r="D171" s="1651" t="s">
        <v>2465</v>
      </c>
      <c r="E171" s="1613">
        <v>1369.48</v>
      </c>
      <c r="F171" s="1613">
        <v>-1369.48</v>
      </c>
      <c r="G171" s="1613">
        <f t="shared" si="60"/>
        <v>0</v>
      </c>
      <c r="H171" s="1578">
        <v>2009</v>
      </c>
      <c r="I171" s="1662">
        <f t="shared" si="61"/>
        <v>6.5</v>
      </c>
      <c r="J171" s="1663">
        <v>36</v>
      </c>
      <c r="K171" s="1664">
        <f t="shared" si="62"/>
        <v>0.33333333333333331</v>
      </c>
      <c r="L171" s="1613">
        <f t="shared" si="63"/>
        <v>0</v>
      </c>
      <c r="M171" s="1613">
        <f t="shared" si="64"/>
        <v>1369.48</v>
      </c>
      <c r="N171" s="1613">
        <f t="shared" si="53"/>
        <v>-1369.48</v>
      </c>
      <c r="O171" s="1652">
        <f t="shared" si="65"/>
        <v>0</v>
      </c>
      <c r="P171" s="1653">
        <f t="shared" si="66"/>
        <v>0</v>
      </c>
      <c r="Q171" s="1653">
        <f t="shared" si="67"/>
        <v>0</v>
      </c>
      <c r="R171" s="1653">
        <f t="shared" si="68"/>
        <v>0</v>
      </c>
      <c r="S171" s="1653">
        <f t="shared" si="69"/>
        <v>0</v>
      </c>
      <c r="T171" s="1653">
        <f t="shared" si="54"/>
        <v>0</v>
      </c>
      <c r="U171" s="1653">
        <f t="shared" si="55"/>
        <v>0</v>
      </c>
      <c r="V171" s="1653">
        <f t="shared" si="56"/>
        <v>0</v>
      </c>
      <c r="W171" s="1653">
        <f t="shared" si="57"/>
        <v>0</v>
      </c>
      <c r="X171" s="1653">
        <f t="shared" si="58"/>
        <v>0</v>
      </c>
      <c r="Y171" s="1653">
        <f t="shared" si="59"/>
        <v>0</v>
      </c>
    </row>
    <row r="172" spans="1:25" ht="15" hidden="1" outlineLevel="1">
      <c r="A172" s="1615">
        <v>164</v>
      </c>
      <c r="C172" s="1651" t="s">
        <v>2657</v>
      </c>
      <c r="D172" s="1651" t="s">
        <v>2465</v>
      </c>
      <c r="E172" s="1613">
        <v>1340.73</v>
      </c>
      <c r="F172" s="1613">
        <v>-1340.73</v>
      </c>
      <c r="G172" s="1613">
        <f t="shared" si="60"/>
        <v>0</v>
      </c>
      <c r="H172" s="1578">
        <v>2009</v>
      </c>
      <c r="I172" s="1662">
        <f t="shared" si="61"/>
        <v>6.5</v>
      </c>
      <c r="J172" s="1663">
        <v>36</v>
      </c>
      <c r="K172" s="1664">
        <f t="shared" si="62"/>
        <v>0.33333333333333331</v>
      </c>
      <c r="L172" s="1613">
        <f t="shared" si="63"/>
        <v>0</v>
      </c>
      <c r="M172" s="1613">
        <f t="shared" si="64"/>
        <v>1340.73</v>
      </c>
      <c r="N172" s="1613">
        <f t="shared" si="53"/>
        <v>-1340.73</v>
      </c>
      <c r="O172" s="1652">
        <f t="shared" si="65"/>
        <v>0</v>
      </c>
      <c r="P172" s="1653">
        <f t="shared" si="66"/>
        <v>0</v>
      </c>
      <c r="Q172" s="1653">
        <f t="shared" si="67"/>
        <v>0</v>
      </c>
      <c r="R172" s="1653">
        <f t="shared" si="68"/>
        <v>0</v>
      </c>
      <c r="S172" s="1653">
        <f t="shared" si="69"/>
        <v>0</v>
      </c>
      <c r="T172" s="1653">
        <f t="shared" si="54"/>
        <v>0</v>
      </c>
      <c r="U172" s="1653">
        <f t="shared" si="55"/>
        <v>0</v>
      </c>
      <c r="V172" s="1653">
        <f t="shared" si="56"/>
        <v>0</v>
      </c>
      <c r="W172" s="1653">
        <f t="shared" si="57"/>
        <v>0</v>
      </c>
      <c r="X172" s="1653">
        <f t="shared" si="58"/>
        <v>0</v>
      </c>
      <c r="Y172" s="1653">
        <f t="shared" si="59"/>
        <v>0</v>
      </c>
    </row>
    <row r="173" spans="1:25" ht="15" hidden="1" outlineLevel="1">
      <c r="A173" s="1615">
        <v>165</v>
      </c>
      <c r="C173" s="1651" t="s">
        <v>2658</v>
      </c>
      <c r="D173" s="1651" t="s">
        <v>2465</v>
      </c>
      <c r="E173" s="1613">
        <v>1352.62</v>
      </c>
      <c r="F173" s="1613">
        <v>-1352.62</v>
      </c>
      <c r="G173" s="1613">
        <f t="shared" si="60"/>
        <v>0</v>
      </c>
      <c r="H173" s="1578">
        <v>2009</v>
      </c>
      <c r="I173" s="1662">
        <f t="shared" si="61"/>
        <v>6.5</v>
      </c>
      <c r="J173" s="1663">
        <v>36</v>
      </c>
      <c r="K173" s="1664">
        <f t="shared" si="62"/>
        <v>0.33333333333333331</v>
      </c>
      <c r="L173" s="1613">
        <f t="shared" si="63"/>
        <v>0</v>
      </c>
      <c r="M173" s="1613">
        <f t="shared" si="64"/>
        <v>1352.62</v>
      </c>
      <c r="N173" s="1613">
        <f t="shared" si="53"/>
        <v>-1352.62</v>
      </c>
      <c r="O173" s="1652">
        <f t="shared" si="65"/>
        <v>0</v>
      </c>
      <c r="P173" s="1653">
        <f t="shared" si="66"/>
        <v>0</v>
      </c>
      <c r="Q173" s="1653">
        <f t="shared" si="67"/>
        <v>0</v>
      </c>
      <c r="R173" s="1653">
        <f t="shared" si="68"/>
        <v>0</v>
      </c>
      <c r="S173" s="1653">
        <f t="shared" si="69"/>
        <v>0</v>
      </c>
      <c r="T173" s="1653">
        <f t="shared" si="54"/>
        <v>0</v>
      </c>
      <c r="U173" s="1653">
        <f t="shared" si="55"/>
        <v>0</v>
      </c>
      <c r="V173" s="1653">
        <f t="shared" si="56"/>
        <v>0</v>
      </c>
      <c r="W173" s="1653">
        <f t="shared" si="57"/>
        <v>0</v>
      </c>
      <c r="X173" s="1653">
        <f t="shared" si="58"/>
        <v>0</v>
      </c>
      <c r="Y173" s="1653">
        <f t="shared" si="59"/>
        <v>0</v>
      </c>
    </row>
    <row r="174" spans="1:25" ht="15" hidden="1" outlineLevel="1">
      <c r="A174" s="1615">
        <v>166</v>
      </c>
      <c r="C174" s="1651" t="s">
        <v>2659</v>
      </c>
      <c r="D174" s="1651" t="s">
        <v>2465</v>
      </c>
      <c r="E174" s="1613">
        <v>1391.38</v>
      </c>
      <c r="F174" s="1613">
        <v>-1391.38</v>
      </c>
      <c r="G174" s="1613">
        <f t="shared" si="60"/>
        <v>0</v>
      </c>
      <c r="H174" s="1578">
        <v>2009</v>
      </c>
      <c r="I174" s="1662">
        <f t="shared" si="61"/>
        <v>6.5</v>
      </c>
      <c r="J174" s="1663">
        <v>36</v>
      </c>
      <c r="K174" s="1664">
        <f t="shared" si="62"/>
        <v>0.33333333333333331</v>
      </c>
      <c r="L174" s="1613">
        <f t="shared" si="63"/>
        <v>0</v>
      </c>
      <c r="M174" s="1613">
        <f t="shared" si="64"/>
        <v>1391.38</v>
      </c>
      <c r="N174" s="1613">
        <f t="shared" si="53"/>
        <v>-1391.38</v>
      </c>
      <c r="O174" s="1652">
        <f t="shared" si="65"/>
        <v>0</v>
      </c>
      <c r="P174" s="1653">
        <f t="shared" si="66"/>
        <v>0</v>
      </c>
      <c r="Q174" s="1653">
        <f t="shared" si="67"/>
        <v>0</v>
      </c>
      <c r="R174" s="1653">
        <f t="shared" si="68"/>
        <v>0</v>
      </c>
      <c r="S174" s="1653">
        <f t="shared" si="69"/>
        <v>0</v>
      </c>
      <c r="T174" s="1653">
        <f t="shared" si="54"/>
        <v>0</v>
      </c>
      <c r="U174" s="1653">
        <f t="shared" si="55"/>
        <v>0</v>
      </c>
      <c r="V174" s="1653">
        <f t="shared" si="56"/>
        <v>0</v>
      </c>
      <c r="W174" s="1653">
        <f t="shared" si="57"/>
        <v>0</v>
      </c>
      <c r="X174" s="1653">
        <f t="shared" si="58"/>
        <v>0</v>
      </c>
      <c r="Y174" s="1653">
        <f t="shared" si="59"/>
        <v>0</v>
      </c>
    </row>
    <row r="175" spans="1:25" ht="15" hidden="1" outlineLevel="1">
      <c r="A175" s="1615">
        <v>167</v>
      </c>
      <c r="C175" s="1651" t="s">
        <v>2660</v>
      </c>
      <c r="D175" s="1651" t="s">
        <v>2465</v>
      </c>
      <c r="E175" s="1613">
        <v>1400</v>
      </c>
      <c r="F175" s="1613">
        <v>-1400</v>
      </c>
      <c r="G175" s="1613">
        <f t="shared" si="60"/>
        <v>0</v>
      </c>
      <c r="H175" s="1578">
        <v>2009</v>
      </c>
      <c r="I175" s="1662">
        <f t="shared" si="61"/>
        <v>6.5</v>
      </c>
      <c r="J175" s="1663">
        <v>36</v>
      </c>
      <c r="K175" s="1664">
        <f t="shared" si="62"/>
        <v>0.33333333333333331</v>
      </c>
      <c r="L175" s="1613">
        <f t="shared" si="63"/>
        <v>0</v>
      </c>
      <c r="M175" s="1613">
        <f t="shared" si="64"/>
        <v>1400</v>
      </c>
      <c r="N175" s="1613">
        <f t="shared" si="53"/>
        <v>-1400</v>
      </c>
      <c r="O175" s="1652">
        <f t="shared" si="65"/>
        <v>0</v>
      </c>
      <c r="P175" s="1653">
        <f t="shared" si="66"/>
        <v>0</v>
      </c>
      <c r="Q175" s="1653">
        <f t="shared" si="67"/>
        <v>0</v>
      </c>
      <c r="R175" s="1653">
        <f t="shared" si="68"/>
        <v>0</v>
      </c>
      <c r="S175" s="1653">
        <f t="shared" si="69"/>
        <v>0</v>
      </c>
      <c r="T175" s="1653">
        <f t="shared" si="54"/>
        <v>0</v>
      </c>
      <c r="U175" s="1653">
        <f t="shared" si="55"/>
        <v>0</v>
      </c>
      <c r="V175" s="1653">
        <f t="shared" si="56"/>
        <v>0</v>
      </c>
      <c r="W175" s="1653">
        <f t="shared" si="57"/>
        <v>0</v>
      </c>
      <c r="X175" s="1653">
        <f t="shared" si="58"/>
        <v>0</v>
      </c>
      <c r="Y175" s="1653">
        <f t="shared" si="59"/>
        <v>0</v>
      </c>
    </row>
    <row r="176" spans="1:25" ht="15" hidden="1" outlineLevel="1">
      <c r="A176" s="1615">
        <v>168</v>
      </c>
      <c r="C176" s="1651" t="s">
        <v>2661</v>
      </c>
      <c r="D176" s="1651" t="s">
        <v>2002</v>
      </c>
      <c r="E176" s="1613">
        <v>1319.78</v>
      </c>
      <c r="F176" s="1613">
        <v>-1319.78</v>
      </c>
      <c r="G176" s="1613">
        <f t="shared" si="60"/>
        <v>0</v>
      </c>
      <c r="H176" s="1578">
        <v>2009</v>
      </c>
      <c r="I176" s="1662">
        <f t="shared" si="61"/>
        <v>6.5</v>
      </c>
      <c r="J176" s="1663">
        <v>36</v>
      </c>
      <c r="K176" s="1664">
        <f t="shared" si="62"/>
        <v>0.33333333333333331</v>
      </c>
      <c r="L176" s="1613">
        <f t="shared" si="63"/>
        <v>0</v>
      </c>
      <c r="M176" s="1613">
        <f t="shared" si="64"/>
        <v>1319.78</v>
      </c>
      <c r="N176" s="1613">
        <f t="shared" si="53"/>
        <v>-1319.78</v>
      </c>
      <c r="O176" s="1652">
        <f t="shared" si="65"/>
        <v>0</v>
      </c>
      <c r="P176" s="1653">
        <f t="shared" si="66"/>
        <v>0</v>
      </c>
      <c r="Q176" s="1653">
        <f t="shared" si="67"/>
        <v>0</v>
      </c>
      <c r="R176" s="1653">
        <f t="shared" si="68"/>
        <v>0</v>
      </c>
      <c r="S176" s="1653">
        <f t="shared" si="69"/>
        <v>0</v>
      </c>
      <c r="T176" s="1653">
        <f t="shared" si="54"/>
        <v>0</v>
      </c>
      <c r="U176" s="1653">
        <f t="shared" si="55"/>
        <v>0</v>
      </c>
      <c r="V176" s="1653">
        <f t="shared" si="56"/>
        <v>0</v>
      </c>
      <c r="W176" s="1653">
        <f t="shared" si="57"/>
        <v>0</v>
      </c>
      <c r="X176" s="1653">
        <f t="shared" si="58"/>
        <v>0</v>
      </c>
      <c r="Y176" s="1653">
        <f t="shared" si="59"/>
        <v>0</v>
      </c>
    </row>
    <row r="177" spans="1:25" ht="15" hidden="1" outlineLevel="1">
      <c r="A177" s="1615">
        <v>169</v>
      </c>
      <c r="C177" s="1651" t="s">
        <v>2662</v>
      </c>
      <c r="D177" s="1651" t="s">
        <v>2002</v>
      </c>
      <c r="E177" s="1613">
        <v>1312.02</v>
      </c>
      <c r="F177" s="1613">
        <v>-1312.02</v>
      </c>
      <c r="G177" s="1613">
        <f t="shared" si="60"/>
        <v>0</v>
      </c>
      <c r="H177" s="1578">
        <v>2009</v>
      </c>
      <c r="I177" s="1662">
        <f t="shared" si="61"/>
        <v>6.5</v>
      </c>
      <c r="J177" s="1663">
        <v>36</v>
      </c>
      <c r="K177" s="1664">
        <f t="shared" si="62"/>
        <v>0.33333333333333331</v>
      </c>
      <c r="L177" s="1613">
        <f t="shared" si="63"/>
        <v>0</v>
      </c>
      <c r="M177" s="1613">
        <f t="shared" si="64"/>
        <v>1312.02</v>
      </c>
      <c r="N177" s="1613">
        <f t="shared" si="53"/>
        <v>-1312.02</v>
      </c>
      <c r="O177" s="1652">
        <f t="shared" si="65"/>
        <v>0</v>
      </c>
      <c r="P177" s="1653">
        <f t="shared" si="66"/>
        <v>0</v>
      </c>
      <c r="Q177" s="1653">
        <f t="shared" si="67"/>
        <v>0</v>
      </c>
      <c r="R177" s="1653">
        <f t="shared" si="68"/>
        <v>0</v>
      </c>
      <c r="S177" s="1653">
        <f t="shared" si="69"/>
        <v>0</v>
      </c>
      <c r="T177" s="1653">
        <f t="shared" si="54"/>
        <v>0</v>
      </c>
      <c r="U177" s="1653">
        <f t="shared" si="55"/>
        <v>0</v>
      </c>
      <c r="V177" s="1653">
        <f t="shared" si="56"/>
        <v>0</v>
      </c>
      <c r="W177" s="1653">
        <f t="shared" si="57"/>
        <v>0</v>
      </c>
      <c r="X177" s="1653">
        <f t="shared" si="58"/>
        <v>0</v>
      </c>
      <c r="Y177" s="1653">
        <f t="shared" si="59"/>
        <v>0</v>
      </c>
    </row>
    <row r="178" spans="1:25" ht="15" hidden="1" outlineLevel="1">
      <c r="A178" s="1615">
        <v>170</v>
      </c>
      <c r="C178" s="1651" t="s">
        <v>2663</v>
      </c>
      <c r="D178" s="1651" t="s">
        <v>2664</v>
      </c>
      <c r="E178" s="1613">
        <v>1723.94</v>
      </c>
      <c r="F178" s="1613">
        <v>-1723.94</v>
      </c>
      <c r="G178" s="1613">
        <f t="shared" si="60"/>
        <v>0</v>
      </c>
      <c r="H178" s="1578">
        <v>2009</v>
      </c>
      <c r="I178" s="1662">
        <f t="shared" si="61"/>
        <v>6.5</v>
      </c>
      <c r="J178" s="1663">
        <v>36</v>
      </c>
      <c r="K178" s="1664">
        <f t="shared" si="62"/>
        <v>0.33333333333333331</v>
      </c>
      <c r="L178" s="1613">
        <f t="shared" si="63"/>
        <v>0</v>
      </c>
      <c r="M178" s="1613">
        <f t="shared" si="64"/>
        <v>1723.94</v>
      </c>
      <c r="N178" s="1613">
        <f t="shared" si="53"/>
        <v>-1723.94</v>
      </c>
      <c r="O178" s="1652">
        <f t="shared" si="65"/>
        <v>0</v>
      </c>
      <c r="P178" s="1653">
        <f t="shared" si="66"/>
        <v>0</v>
      </c>
      <c r="Q178" s="1653">
        <f t="shared" si="67"/>
        <v>0</v>
      </c>
      <c r="R178" s="1653">
        <f t="shared" si="68"/>
        <v>0</v>
      </c>
      <c r="S178" s="1653">
        <f t="shared" si="69"/>
        <v>0</v>
      </c>
      <c r="T178" s="1653">
        <f t="shared" si="54"/>
        <v>0</v>
      </c>
      <c r="U178" s="1653">
        <f t="shared" si="55"/>
        <v>0</v>
      </c>
      <c r="V178" s="1653">
        <f t="shared" si="56"/>
        <v>0</v>
      </c>
      <c r="W178" s="1653">
        <f t="shared" si="57"/>
        <v>0</v>
      </c>
      <c r="X178" s="1653">
        <f t="shared" si="58"/>
        <v>0</v>
      </c>
      <c r="Y178" s="1653">
        <f t="shared" si="59"/>
        <v>0</v>
      </c>
    </row>
    <row r="179" spans="1:25" ht="15" hidden="1" outlineLevel="1">
      <c r="A179" s="1615">
        <v>171</v>
      </c>
      <c r="C179" s="1651" t="s">
        <v>2665</v>
      </c>
      <c r="D179" s="1651" t="s">
        <v>2002</v>
      </c>
      <c r="E179" s="1613">
        <v>1200</v>
      </c>
      <c r="F179" s="1613">
        <v>-1200</v>
      </c>
      <c r="G179" s="1613">
        <f t="shared" si="60"/>
        <v>0</v>
      </c>
      <c r="H179" s="1578">
        <v>2009</v>
      </c>
      <c r="I179" s="1662">
        <f t="shared" si="61"/>
        <v>6.5</v>
      </c>
      <c r="J179" s="1663">
        <v>36</v>
      </c>
      <c r="K179" s="1664">
        <f t="shared" si="62"/>
        <v>0.33333333333333331</v>
      </c>
      <c r="L179" s="1613">
        <f t="shared" si="63"/>
        <v>0</v>
      </c>
      <c r="M179" s="1613">
        <f t="shared" si="64"/>
        <v>1200</v>
      </c>
      <c r="N179" s="1613">
        <f t="shared" si="53"/>
        <v>-1200</v>
      </c>
      <c r="O179" s="1652">
        <f t="shared" si="65"/>
        <v>0</v>
      </c>
      <c r="P179" s="1653">
        <f t="shared" si="66"/>
        <v>0</v>
      </c>
      <c r="Q179" s="1653">
        <f t="shared" si="67"/>
        <v>0</v>
      </c>
      <c r="R179" s="1653">
        <f t="shared" si="68"/>
        <v>0</v>
      </c>
      <c r="S179" s="1653">
        <f t="shared" si="69"/>
        <v>0</v>
      </c>
      <c r="T179" s="1653">
        <f t="shared" si="54"/>
        <v>0</v>
      </c>
      <c r="U179" s="1653">
        <f t="shared" si="55"/>
        <v>0</v>
      </c>
      <c r="V179" s="1653">
        <f t="shared" si="56"/>
        <v>0</v>
      </c>
      <c r="W179" s="1653">
        <f t="shared" si="57"/>
        <v>0</v>
      </c>
      <c r="X179" s="1653">
        <f t="shared" si="58"/>
        <v>0</v>
      </c>
      <c r="Y179" s="1653">
        <f t="shared" si="59"/>
        <v>0</v>
      </c>
    </row>
    <row r="180" spans="1:25" ht="15" hidden="1" outlineLevel="1">
      <c r="A180" s="1615">
        <v>172</v>
      </c>
      <c r="C180" s="1651" t="s">
        <v>2666</v>
      </c>
      <c r="D180" s="1651" t="s">
        <v>2002</v>
      </c>
      <c r="E180" s="1613">
        <v>3514.47</v>
      </c>
      <c r="F180" s="1613">
        <v>-3514.47</v>
      </c>
      <c r="G180" s="1613">
        <f t="shared" si="60"/>
        <v>0</v>
      </c>
      <c r="H180" s="1578">
        <v>2009</v>
      </c>
      <c r="I180" s="1662">
        <f t="shared" si="61"/>
        <v>6.5</v>
      </c>
      <c r="J180" s="1663">
        <v>36</v>
      </c>
      <c r="K180" s="1664">
        <f t="shared" si="62"/>
        <v>0.33333333333333331</v>
      </c>
      <c r="L180" s="1613">
        <f t="shared" si="63"/>
        <v>0</v>
      </c>
      <c r="M180" s="1613">
        <f t="shared" si="64"/>
        <v>3514.47</v>
      </c>
      <c r="N180" s="1613">
        <f t="shared" si="53"/>
        <v>-3514.47</v>
      </c>
      <c r="O180" s="1652">
        <f t="shared" si="65"/>
        <v>0</v>
      </c>
      <c r="P180" s="1653">
        <f t="shared" si="66"/>
        <v>0</v>
      </c>
      <c r="Q180" s="1653">
        <f t="shared" si="67"/>
        <v>0</v>
      </c>
      <c r="R180" s="1653">
        <f t="shared" si="68"/>
        <v>0</v>
      </c>
      <c r="S180" s="1653">
        <f t="shared" si="69"/>
        <v>0</v>
      </c>
      <c r="T180" s="1653">
        <f t="shared" si="54"/>
        <v>0</v>
      </c>
      <c r="U180" s="1653">
        <f t="shared" si="55"/>
        <v>0</v>
      </c>
      <c r="V180" s="1653">
        <f t="shared" si="56"/>
        <v>0</v>
      </c>
      <c r="W180" s="1653">
        <f t="shared" si="57"/>
        <v>0</v>
      </c>
      <c r="X180" s="1653">
        <f t="shared" si="58"/>
        <v>0</v>
      </c>
      <c r="Y180" s="1653">
        <f t="shared" si="59"/>
        <v>0</v>
      </c>
    </row>
    <row r="181" spans="1:25" ht="15" hidden="1" outlineLevel="1">
      <c r="A181" s="1615">
        <v>173</v>
      </c>
      <c r="C181" s="1651" t="s">
        <v>2667</v>
      </c>
      <c r="D181" s="1651" t="s">
        <v>2664</v>
      </c>
      <c r="E181" s="1613">
        <v>1300</v>
      </c>
      <c r="F181" s="1613">
        <v>-1300</v>
      </c>
      <c r="G181" s="1613">
        <f t="shared" si="60"/>
        <v>0</v>
      </c>
      <c r="H181" s="1578">
        <v>2009</v>
      </c>
      <c r="I181" s="1662">
        <f t="shared" si="61"/>
        <v>6.5</v>
      </c>
      <c r="J181" s="1663">
        <v>36</v>
      </c>
      <c r="K181" s="1664">
        <f t="shared" si="62"/>
        <v>0.33333333333333331</v>
      </c>
      <c r="L181" s="1613">
        <f t="shared" si="63"/>
        <v>0</v>
      </c>
      <c r="M181" s="1613">
        <f t="shared" si="64"/>
        <v>1300</v>
      </c>
      <c r="N181" s="1613">
        <f t="shared" si="53"/>
        <v>-1300</v>
      </c>
      <c r="O181" s="1652">
        <f t="shared" si="65"/>
        <v>0</v>
      </c>
      <c r="P181" s="1653">
        <f t="shared" si="66"/>
        <v>0</v>
      </c>
      <c r="Q181" s="1653">
        <f t="shared" si="67"/>
        <v>0</v>
      </c>
      <c r="R181" s="1653">
        <f t="shared" si="68"/>
        <v>0</v>
      </c>
      <c r="S181" s="1653">
        <f t="shared" si="69"/>
        <v>0</v>
      </c>
      <c r="T181" s="1653">
        <f t="shared" si="54"/>
        <v>0</v>
      </c>
      <c r="U181" s="1653">
        <f t="shared" si="55"/>
        <v>0</v>
      </c>
      <c r="V181" s="1653">
        <f t="shared" si="56"/>
        <v>0</v>
      </c>
      <c r="W181" s="1653">
        <f t="shared" si="57"/>
        <v>0</v>
      </c>
      <c r="X181" s="1653">
        <f t="shared" si="58"/>
        <v>0</v>
      </c>
      <c r="Y181" s="1653">
        <f t="shared" si="59"/>
        <v>0</v>
      </c>
    </row>
    <row r="182" spans="1:25" ht="15" hidden="1" outlineLevel="1">
      <c r="A182" s="1615">
        <v>174</v>
      </c>
      <c r="C182" s="1651" t="s">
        <v>2668</v>
      </c>
      <c r="D182" s="1651" t="s">
        <v>2618</v>
      </c>
      <c r="E182" s="1613">
        <v>6745</v>
      </c>
      <c r="F182" s="1613">
        <v>-6745</v>
      </c>
      <c r="G182" s="1613">
        <f t="shared" si="60"/>
        <v>0</v>
      </c>
      <c r="H182" s="1578">
        <v>2009</v>
      </c>
      <c r="I182" s="1662">
        <f t="shared" si="61"/>
        <v>6.5</v>
      </c>
      <c r="J182" s="1663">
        <v>36</v>
      </c>
      <c r="K182" s="1664">
        <f t="shared" si="62"/>
        <v>0.33333333333333331</v>
      </c>
      <c r="L182" s="1613">
        <f t="shared" si="63"/>
        <v>0</v>
      </c>
      <c r="M182" s="1613">
        <f t="shared" si="64"/>
        <v>6745</v>
      </c>
      <c r="N182" s="1613">
        <f t="shared" si="53"/>
        <v>-6745</v>
      </c>
      <c r="O182" s="1652">
        <f t="shared" si="65"/>
        <v>0</v>
      </c>
      <c r="P182" s="1653">
        <f t="shared" si="66"/>
        <v>0</v>
      </c>
      <c r="Q182" s="1653">
        <f t="shared" si="67"/>
        <v>0</v>
      </c>
      <c r="R182" s="1653">
        <f t="shared" si="68"/>
        <v>0</v>
      </c>
      <c r="S182" s="1653">
        <f t="shared" si="69"/>
        <v>0</v>
      </c>
      <c r="T182" s="1653">
        <f t="shared" si="54"/>
        <v>0</v>
      </c>
      <c r="U182" s="1653">
        <f t="shared" si="55"/>
        <v>0</v>
      </c>
      <c r="V182" s="1653">
        <f t="shared" si="56"/>
        <v>0</v>
      </c>
      <c r="W182" s="1653">
        <f t="shared" si="57"/>
        <v>0</v>
      </c>
      <c r="X182" s="1653">
        <f t="shared" si="58"/>
        <v>0</v>
      </c>
      <c r="Y182" s="1653">
        <f t="shared" si="59"/>
        <v>0</v>
      </c>
    </row>
    <row r="183" spans="1:25" ht="15" hidden="1" outlineLevel="1">
      <c r="A183" s="1615">
        <v>175</v>
      </c>
      <c r="C183" s="1651" t="s">
        <v>2669</v>
      </c>
      <c r="D183" s="1651" t="s">
        <v>2670</v>
      </c>
      <c r="E183" s="1613">
        <v>1250</v>
      </c>
      <c r="F183" s="1613">
        <v>-1250</v>
      </c>
      <c r="G183" s="1613">
        <f t="shared" si="60"/>
        <v>0</v>
      </c>
      <c r="H183" s="1578">
        <v>2009</v>
      </c>
      <c r="I183" s="1662">
        <f t="shared" si="61"/>
        <v>6.5</v>
      </c>
      <c r="J183" s="1663">
        <v>36</v>
      </c>
      <c r="K183" s="1664">
        <f t="shared" si="62"/>
        <v>0.33333333333333331</v>
      </c>
      <c r="L183" s="1613">
        <f t="shared" si="63"/>
        <v>0</v>
      </c>
      <c r="M183" s="1613">
        <f t="shared" si="64"/>
        <v>1250</v>
      </c>
      <c r="N183" s="1613">
        <f t="shared" si="53"/>
        <v>-1250</v>
      </c>
      <c r="O183" s="1652">
        <f t="shared" si="65"/>
        <v>0</v>
      </c>
      <c r="P183" s="1653">
        <f t="shared" si="66"/>
        <v>0</v>
      </c>
      <c r="Q183" s="1653">
        <f t="shared" si="67"/>
        <v>0</v>
      </c>
      <c r="R183" s="1653">
        <f t="shared" si="68"/>
        <v>0</v>
      </c>
      <c r="S183" s="1653">
        <f t="shared" si="69"/>
        <v>0</v>
      </c>
      <c r="T183" s="1653">
        <f t="shared" si="54"/>
        <v>0</v>
      </c>
      <c r="U183" s="1653">
        <f t="shared" si="55"/>
        <v>0</v>
      </c>
      <c r="V183" s="1653">
        <f t="shared" si="56"/>
        <v>0</v>
      </c>
      <c r="W183" s="1653">
        <f t="shared" si="57"/>
        <v>0</v>
      </c>
      <c r="X183" s="1653">
        <f t="shared" si="58"/>
        <v>0</v>
      </c>
      <c r="Y183" s="1653">
        <f t="shared" si="59"/>
        <v>0</v>
      </c>
    </row>
    <row r="184" spans="1:25" ht="15" hidden="1" outlineLevel="1">
      <c r="A184" s="1615">
        <v>176</v>
      </c>
      <c r="C184" s="1651" t="s">
        <v>2671</v>
      </c>
      <c r="D184" s="1651" t="s">
        <v>2672</v>
      </c>
      <c r="E184" s="1613">
        <v>4980.59</v>
      </c>
      <c r="F184" s="1613">
        <v>-4980.59</v>
      </c>
      <c r="G184" s="1613">
        <f t="shared" si="60"/>
        <v>0</v>
      </c>
      <c r="H184" s="1578">
        <v>2009</v>
      </c>
      <c r="I184" s="1662">
        <f t="shared" si="61"/>
        <v>6.5</v>
      </c>
      <c r="J184" s="1663">
        <v>36</v>
      </c>
      <c r="K184" s="1664">
        <f t="shared" si="62"/>
        <v>0.33333333333333331</v>
      </c>
      <c r="L184" s="1613">
        <f t="shared" si="63"/>
        <v>0</v>
      </c>
      <c r="M184" s="1613">
        <f t="shared" si="64"/>
        <v>4980.59</v>
      </c>
      <c r="N184" s="1613">
        <f t="shared" si="53"/>
        <v>-4980.59</v>
      </c>
      <c r="O184" s="1652">
        <f t="shared" si="65"/>
        <v>0</v>
      </c>
      <c r="P184" s="1653">
        <f t="shared" si="66"/>
        <v>0</v>
      </c>
      <c r="Q184" s="1653">
        <f t="shared" si="67"/>
        <v>0</v>
      </c>
      <c r="R184" s="1653">
        <f t="shared" si="68"/>
        <v>0</v>
      </c>
      <c r="S184" s="1653">
        <f t="shared" si="69"/>
        <v>0</v>
      </c>
      <c r="T184" s="1653">
        <f t="shared" si="54"/>
        <v>0</v>
      </c>
      <c r="U184" s="1653">
        <f t="shared" si="55"/>
        <v>0</v>
      </c>
      <c r="V184" s="1653">
        <f t="shared" si="56"/>
        <v>0</v>
      </c>
      <c r="W184" s="1653">
        <f t="shared" si="57"/>
        <v>0</v>
      </c>
      <c r="X184" s="1653">
        <f t="shared" si="58"/>
        <v>0</v>
      </c>
      <c r="Y184" s="1653">
        <f t="shared" si="59"/>
        <v>0</v>
      </c>
    </row>
    <row r="185" spans="1:25" ht="15" hidden="1" outlineLevel="1">
      <c r="A185" s="1615">
        <v>177</v>
      </c>
      <c r="C185" s="1651" t="s">
        <v>2673</v>
      </c>
      <c r="D185" s="1651" t="s">
        <v>2674</v>
      </c>
      <c r="E185" s="1613">
        <v>3900</v>
      </c>
      <c r="F185" s="1613">
        <v>-3900</v>
      </c>
      <c r="G185" s="1613">
        <f t="shared" si="60"/>
        <v>0</v>
      </c>
      <c r="H185" s="1578">
        <v>2009</v>
      </c>
      <c r="I185" s="1662">
        <f t="shared" si="61"/>
        <v>6.5</v>
      </c>
      <c r="J185" s="1663">
        <v>36</v>
      </c>
      <c r="K185" s="1664">
        <f t="shared" si="62"/>
        <v>0.33333333333333331</v>
      </c>
      <c r="L185" s="1613">
        <f t="shared" si="63"/>
        <v>0</v>
      </c>
      <c r="M185" s="1613">
        <f t="shared" si="64"/>
        <v>3900</v>
      </c>
      <c r="N185" s="1613">
        <f t="shared" si="53"/>
        <v>-3900</v>
      </c>
      <c r="O185" s="1652">
        <f t="shared" si="65"/>
        <v>0</v>
      </c>
      <c r="P185" s="1653">
        <f t="shared" si="66"/>
        <v>0</v>
      </c>
      <c r="Q185" s="1653">
        <f t="shared" si="67"/>
        <v>0</v>
      </c>
      <c r="R185" s="1653">
        <f t="shared" si="68"/>
        <v>0</v>
      </c>
      <c r="S185" s="1653">
        <f t="shared" si="69"/>
        <v>0</v>
      </c>
      <c r="T185" s="1653">
        <f t="shared" si="54"/>
        <v>0</v>
      </c>
      <c r="U185" s="1653">
        <f t="shared" si="55"/>
        <v>0</v>
      </c>
      <c r="V185" s="1653">
        <f t="shared" si="56"/>
        <v>0</v>
      </c>
      <c r="W185" s="1653">
        <f t="shared" si="57"/>
        <v>0</v>
      </c>
      <c r="X185" s="1653">
        <f t="shared" si="58"/>
        <v>0</v>
      </c>
      <c r="Y185" s="1653">
        <f t="shared" si="59"/>
        <v>0</v>
      </c>
    </row>
    <row r="186" spans="1:25" ht="15" hidden="1" outlineLevel="1">
      <c r="A186" s="1615">
        <v>178</v>
      </c>
      <c r="C186" s="1651" t="s">
        <v>2675</v>
      </c>
      <c r="D186" s="1651" t="s">
        <v>2676</v>
      </c>
      <c r="E186" s="1613">
        <v>14877.79</v>
      </c>
      <c r="F186" s="1613">
        <v>-14877.79</v>
      </c>
      <c r="G186" s="1613">
        <f t="shared" si="60"/>
        <v>0</v>
      </c>
      <c r="H186" s="1578">
        <v>2009</v>
      </c>
      <c r="I186" s="1662">
        <f t="shared" si="61"/>
        <v>6.5</v>
      </c>
      <c r="J186" s="1663">
        <v>36</v>
      </c>
      <c r="K186" s="1664">
        <f t="shared" si="62"/>
        <v>0.33333333333333331</v>
      </c>
      <c r="L186" s="1613">
        <f t="shared" si="63"/>
        <v>0</v>
      </c>
      <c r="M186" s="1613">
        <f t="shared" si="64"/>
        <v>14877.79</v>
      </c>
      <c r="N186" s="1613">
        <f t="shared" si="53"/>
        <v>-14877.79</v>
      </c>
      <c r="O186" s="1652">
        <f t="shared" si="65"/>
        <v>0</v>
      </c>
      <c r="P186" s="1653">
        <f t="shared" si="66"/>
        <v>0</v>
      </c>
      <c r="Q186" s="1653">
        <f t="shared" si="67"/>
        <v>0</v>
      </c>
      <c r="R186" s="1653">
        <f t="shared" si="68"/>
        <v>0</v>
      </c>
      <c r="S186" s="1653">
        <f t="shared" si="69"/>
        <v>0</v>
      </c>
      <c r="T186" s="1653">
        <f t="shared" si="54"/>
        <v>0</v>
      </c>
      <c r="U186" s="1653">
        <f t="shared" si="55"/>
        <v>0</v>
      </c>
      <c r="V186" s="1653">
        <f t="shared" si="56"/>
        <v>0</v>
      </c>
      <c r="W186" s="1653">
        <f t="shared" si="57"/>
        <v>0</v>
      </c>
      <c r="X186" s="1653">
        <f t="shared" si="58"/>
        <v>0</v>
      </c>
      <c r="Y186" s="1653">
        <f t="shared" si="59"/>
        <v>0</v>
      </c>
    </row>
    <row r="187" spans="1:25" ht="15" hidden="1" outlineLevel="1">
      <c r="A187" s="1615">
        <v>179</v>
      </c>
      <c r="C187" s="1651" t="s">
        <v>2677</v>
      </c>
      <c r="D187" s="1651" t="s">
        <v>2678</v>
      </c>
      <c r="E187" s="1613">
        <v>1544.11</v>
      </c>
      <c r="F187" s="1613">
        <v>-1544.11</v>
      </c>
      <c r="G187" s="1613">
        <f t="shared" si="60"/>
        <v>0</v>
      </c>
      <c r="H187" s="1578">
        <v>2009</v>
      </c>
      <c r="I187" s="1662">
        <f t="shared" si="61"/>
        <v>6.5</v>
      </c>
      <c r="J187" s="1663">
        <v>36</v>
      </c>
      <c r="K187" s="1664">
        <f t="shared" si="62"/>
        <v>0.33333333333333331</v>
      </c>
      <c r="L187" s="1613">
        <f t="shared" si="63"/>
        <v>0</v>
      </c>
      <c r="M187" s="1613">
        <f t="shared" si="64"/>
        <v>1544.11</v>
      </c>
      <c r="N187" s="1613">
        <f t="shared" si="53"/>
        <v>-1544.11</v>
      </c>
      <c r="O187" s="1652">
        <f t="shared" si="65"/>
        <v>0</v>
      </c>
      <c r="P187" s="1653">
        <f t="shared" si="66"/>
        <v>0</v>
      </c>
      <c r="Q187" s="1653">
        <f t="shared" si="67"/>
        <v>0</v>
      </c>
      <c r="R187" s="1653">
        <f t="shared" si="68"/>
        <v>0</v>
      </c>
      <c r="S187" s="1653">
        <f t="shared" si="69"/>
        <v>0</v>
      </c>
      <c r="T187" s="1653">
        <f t="shared" si="54"/>
        <v>0</v>
      </c>
      <c r="U187" s="1653">
        <f t="shared" si="55"/>
        <v>0</v>
      </c>
      <c r="V187" s="1653">
        <f t="shared" si="56"/>
        <v>0</v>
      </c>
      <c r="W187" s="1653">
        <f t="shared" si="57"/>
        <v>0</v>
      </c>
      <c r="X187" s="1653">
        <f t="shared" si="58"/>
        <v>0</v>
      </c>
      <c r="Y187" s="1653">
        <f t="shared" si="59"/>
        <v>0</v>
      </c>
    </row>
    <row r="188" spans="1:25" ht="15" hidden="1" outlineLevel="1">
      <c r="A188" s="1615">
        <v>180</v>
      </c>
      <c r="C188" s="1651" t="s">
        <v>2679</v>
      </c>
      <c r="D188" s="1651" t="s">
        <v>2680</v>
      </c>
      <c r="E188" s="1613">
        <v>1246</v>
      </c>
      <c r="F188" s="1613">
        <v>-1246</v>
      </c>
      <c r="G188" s="1613">
        <f t="shared" si="60"/>
        <v>0</v>
      </c>
      <c r="H188" s="1578">
        <v>2009</v>
      </c>
      <c r="I188" s="1662">
        <f t="shared" si="61"/>
        <v>6.5</v>
      </c>
      <c r="J188" s="1663">
        <v>36</v>
      </c>
      <c r="K188" s="1664">
        <f t="shared" si="62"/>
        <v>0.33333333333333331</v>
      </c>
      <c r="L188" s="1613">
        <f t="shared" si="63"/>
        <v>0</v>
      </c>
      <c r="M188" s="1613">
        <f t="shared" si="64"/>
        <v>1246</v>
      </c>
      <c r="N188" s="1613">
        <f t="shared" si="53"/>
        <v>-1246</v>
      </c>
      <c r="O188" s="1652">
        <f t="shared" si="65"/>
        <v>0</v>
      </c>
      <c r="P188" s="1653">
        <f t="shared" si="66"/>
        <v>0</v>
      </c>
      <c r="Q188" s="1653">
        <f t="shared" si="67"/>
        <v>0</v>
      </c>
      <c r="R188" s="1653">
        <f t="shared" si="68"/>
        <v>0</v>
      </c>
      <c r="S188" s="1653">
        <f t="shared" si="69"/>
        <v>0</v>
      </c>
      <c r="T188" s="1653">
        <f t="shared" si="54"/>
        <v>0</v>
      </c>
      <c r="U188" s="1653">
        <f t="shared" si="55"/>
        <v>0</v>
      </c>
      <c r="V188" s="1653">
        <f t="shared" si="56"/>
        <v>0</v>
      </c>
      <c r="W188" s="1653">
        <f t="shared" si="57"/>
        <v>0</v>
      </c>
      <c r="X188" s="1653">
        <f t="shared" si="58"/>
        <v>0</v>
      </c>
      <c r="Y188" s="1653">
        <f t="shared" si="59"/>
        <v>0</v>
      </c>
    </row>
    <row r="189" spans="1:25" ht="15" hidden="1" outlineLevel="1">
      <c r="A189" s="1615">
        <v>181</v>
      </c>
      <c r="C189" s="1651" t="s">
        <v>2681</v>
      </c>
      <c r="D189" s="1651" t="s">
        <v>2002</v>
      </c>
      <c r="E189" s="1613">
        <v>6002.18</v>
      </c>
      <c r="F189" s="1613">
        <v>-6002.18</v>
      </c>
      <c r="G189" s="1613">
        <f t="shared" si="60"/>
        <v>0</v>
      </c>
      <c r="H189" s="1578">
        <v>2010</v>
      </c>
      <c r="I189" s="1662">
        <f t="shared" si="61"/>
        <v>5.5</v>
      </c>
      <c r="J189" s="1663">
        <v>36</v>
      </c>
      <c r="K189" s="1664">
        <f t="shared" si="62"/>
        <v>0.33333333333333331</v>
      </c>
      <c r="L189" s="1613">
        <f t="shared" si="63"/>
        <v>0</v>
      </c>
      <c r="M189" s="1613">
        <f t="shared" si="64"/>
        <v>6002.18</v>
      </c>
      <c r="N189" s="1613">
        <f t="shared" si="53"/>
        <v>-6002.18</v>
      </c>
      <c r="O189" s="1652">
        <f t="shared" si="65"/>
        <v>0</v>
      </c>
      <c r="P189" s="1653">
        <f t="shared" si="66"/>
        <v>0</v>
      </c>
      <c r="Q189" s="1653">
        <f t="shared" si="67"/>
        <v>0</v>
      </c>
      <c r="R189" s="1653">
        <f t="shared" si="68"/>
        <v>0</v>
      </c>
      <c r="S189" s="1653">
        <f t="shared" si="69"/>
        <v>0</v>
      </c>
      <c r="T189" s="1653">
        <f t="shared" si="54"/>
        <v>0</v>
      </c>
      <c r="U189" s="1653">
        <f t="shared" si="55"/>
        <v>0</v>
      </c>
      <c r="V189" s="1653">
        <f t="shared" si="56"/>
        <v>0</v>
      </c>
      <c r="W189" s="1653">
        <f t="shared" si="57"/>
        <v>0</v>
      </c>
      <c r="X189" s="1653">
        <f t="shared" si="58"/>
        <v>0</v>
      </c>
      <c r="Y189" s="1653">
        <f t="shared" si="59"/>
        <v>0</v>
      </c>
    </row>
    <row r="190" spans="1:25" ht="15" hidden="1" outlineLevel="1">
      <c r="A190" s="1615">
        <v>182</v>
      </c>
      <c r="C190" s="1651" t="s">
        <v>2682</v>
      </c>
      <c r="D190" s="1651" t="s">
        <v>2002</v>
      </c>
      <c r="E190" s="1613">
        <v>4996.2700000000004</v>
      </c>
      <c r="F190" s="1613">
        <v>-4996.2700000000004</v>
      </c>
      <c r="G190" s="1613">
        <f t="shared" si="60"/>
        <v>0</v>
      </c>
      <c r="H190" s="1578">
        <v>2010</v>
      </c>
      <c r="I190" s="1662">
        <f t="shared" si="61"/>
        <v>5.5</v>
      </c>
      <c r="J190" s="1663">
        <v>36</v>
      </c>
      <c r="K190" s="1664">
        <f t="shared" si="62"/>
        <v>0.33333333333333331</v>
      </c>
      <c r="L190" s="1613">
        <f t="shared" si="63"/>
        <v>0</v>
      </c>
      <c r="M190" s="1613">
        <f t="shared" si="64"/>
        <v>4996.2700000000004</v>
      </c>
      <c r="N190" s="1613">
        <f t="shared" si="53"/>
        <v>-4996.2700000000004</v>
      </c>
      <c r="O190" s="1652">
        <f t="shared" si="65"/>
        <v>0</v>
      </c>
      <c r="P190" s="1653">
        <f t="shared" si="66"/>
        <v>0</v>
      </c>
      <c r="Q190" s="1653">
        <f t="shared" si="67"/>
        <v>0</v>
      </c>
      <c r="R190" s="1653">
        <f t="shared" si="68"/>
        <v>0</v>
      </c>
      <c r="S190" s="1653">
        <f t="shared" si="69"/>
        <v>0</v>
      </c>
      <c r="T190" s="1653">
        <f t="shared" si="54"/>
        <v>0</v>
      </c>
      <c r="U190" s="1653">
        <f t="shared" si="55"/>
        <v>0</v>
      </c>
      <c r="V190" s="1653">
        <f t="shared" si="56"/>
        <v>0</v>
      </c>
      <c r="W190" s="1653">
        <f t="shared" si="57"/>
        <v>0</v>
      </c>
      <c r="X190" s="1653">
        <f t="shared" si="58"/>
        <v>0</v>
      </c>
      <c r="Y190" s="1653">
        <f t="shared" si="59"/>
        <v>0</v>
      </c>
    </row>
    <row r="191" spans="1:25" ht="15" hidden="1" outlineLevel="1">
      <c r="A191" s="1615">
        <v>183</v>
      </c>
      <c r="C191" s="1651" t="s">
        <v>2683</v>
      </c>
      <c r="D191" s="1651" t="s">
        <v>2618</v>
      </c>
      <c r="E191" s="1613">
        <v>5065</v>
      </c>
      <c r="F191" s="1613">
        <v>-5065</v>
      </c>
      <c r="G191" s="1613">
        <f t="shared" si="60"/>
        <v>0</v>
      </c>
      <c r="H191" s="1578">
        <v>2010</v>
      </c>
      <c r="I191" s="1662">
        <f t="shared" si="61"/>
        <v>5.5</v>
      </c>
      <c r="J191" s="1663">
        <v>36</v>
      </c>
      <c r="K191" s="1664">
        <f t="shared" si="62"/>
        <v>0.33333333333333331</v>
      </c>
      <c r="L191" s="1613">
        <f t="shared" si="63"/>
        <v>0</v>
      </c>
      <c r="M191" s="1613">
        <f t="shared" si="64"/>
        <v>5065</v>
      </c>
      <c r="N191" s="1613">
        <f t="shared" si="53"/>
        <v>-5065</v>
      </c>
      <c r="O191" s="1652">
        <f t="shared" si="65"/>
        <v>0</v>
      </c>
      <c r="P191" s="1653">
        <f t="shared" si="66"/>
        <v>0</v>
      </c>
      <c r="Q191" s="1653">
        <f t="shared" si="67"/>
        <v>0</v>
      </c>
      <c r="R191" s="1653">
        <f t="shared" si="68"/>
        <v>0</v>
      </c>
      <c r="S191" s="1653">
        <f t="shared" si="69"/>
        <v>0</v>
      </c>
      <c r="T191" s="1653">
        <f t="shared" si="54"/>
        <v>0</v>
      </c>
      <c r="U191" s="1653">
        <f t="shared" si="55"/>
        <v>0</v>
      </c>
      <c r="V191" s="1653">
        <f t="shared" si="56"/>
        <v>0</v>
      </c>
      <c r="W191" s="1653">
        <f t="shared" si="57"/>
        <v>0</v>
      </c>
      <c r="X191" s="1653">
        <f t="shared" si="58"/>
        <v>0</v>
      </c>
      <c r="Y191" s="1653">
        <f t="shared" si="59"/>
        <v>0</v>
      </c>
    </row>
    <row r="192" spans="1:25" ht="15" hidden="1" outlineLevel="1">
      <c r="A192" s="1615">
        <v>184</v>
      </c>
      <c r="C192" s="1651" t="s">
        <v>2684</v>
      </c>
      <c r="D192" s="1651" t="s">
        <v>2002</v>
      </c>
      <c r="E192" s="1613">
        <v>1550</v>
      </c>
      <c r="F192" s="1613">
        <v>-1550</v>
      </c>
      <c r="G192" s="1613">
        <f t="shared" si="60"/>
        <v>0</v>
      </c>
      <c r="H192" s="1578">
        <v>2010</v>
      </c>
      <c r="I192" s="1662">
        <f t="shared" si="61"/>
        <v>5.5</v>
      </c>
      <c r="J192" s="1663">
        <v>36</v>
      </c>
      <c r="K192" s="1664">
        <f t="shared" si="62"/>
        <v>0.33333333333333331</v>
      </c>
      <c r="L192" s="1613">
        <f t="shared" si="63"/>
        <v>0</v>
      </c>
      <c r="M192" s="1613">
        <f t="shared" si="64"/>
        <v>1550</v>
      </c>
      <c r="N192" s="1613">
        <f t="shared" si="53"/>
        <v>-1550</v>
      </c>
      <c r="O192" s="1652">
        <f t="shared" si="65"/>
        <v>0</v>
      </c>
      <c r="P192" s="1653">
        <f t="shared" si="66"/>
        <v>0</v>
      </c>
      <c r="Q192" s="1653">
        <f t="shared" si="67"/>
        <v>0</v>
      </c>
      <c r="R192" s="1653">
        <f t="shared" si="68"/>
        <v>0</v>
      </c>
      <c r="S192" s="1653">
        <f t="shared" si="69"/>
        <v>0</v>
      </c>
      <c r="T192" s="1653">
        <f t="shared" si="54"/>
        <v>0</v>
      </c>
      <c r="U192" s="1653">
        <f t="shared" si="55"/>
        <v>0</v>
      </c>
      <c r="V192" s="1653">
        <f t="shared" si="56"/>
        <v>0</v>
      </c>
      <c r="W192" s="1653">
        <f t="shared" si="57"/>
        <v>0</v>
      </c>
      <c r="X192" s="1653">
        <f t="shared" si="58"/>
        <v>0</v>
      </c>
      <c r="Y192" s="1653">
        <f t="shared" si="59"/>
        <v>0</v>
      </c>
    </row>
    <row r="193" spans="1:25" ht="15" hidden="1" outlineLevel="1">
      <c r="A193" s="1615">
        <v>185</v>
      </c>
      <c r="C193" s="1651" t="s">
        <v>2685</v>
      </c>
      <c r="D193" s="1651" t="s">
        <v>2686</v>
      </c>
      <c r="E193" s="1613">
        <v>5193.32</v>
      </c>
      <c r="F193" s="1613">
        <v>-5193.32</v>
      </c>
      <c r="G193" s="1613">
        <f t="shared" si="60"/>
        <v>0</v>
      </c>
      <c r="H193" s="1578">
        <v>2010</v>
      </c>
      <c r="I193" s="1662">
        <f t="shared" si="61"/>
        <v>5.5</v>
      </c>
      <c r="J193" s="1663">
        <v>36</v>
      </c>
      <c r="K193" s="1664">
        <f t="shared" si="62"/>
        <v>0.33333333333333331</v>
      </c>
      <c r="L193" s="1613">
        <f t="shared" si="63"/>
        <v>0</v>
      </c>
      <c r="M193" s="1613">
        <f t="shared" si="64"/>
        <v>5193.32</v>
      </c>
      <c r="N193" s="1613">
        <f t="shared" si="53"/>
        <v>-5193.32</v>
      </c>
      <c r="O193" s="1652">
        <f t="shared" si="65"/>
        <v>0</v>
      </c>
      <c r="P193" s="1653">
        <f t="shared" si="66"/>
        <v>0</v>
      </c>
      <c r="Q193" s="1653">
        <f t="shared" si="67"/>
        <v>0</v>
      </c>
      <c r="R193" s="1653">
        <f t="shared" si="68"/>
        <v>0</v>
      </c>
      <c r="S193" s="1653">
        <f t="shared" si="69"/>
        <v>0</v>
      </c>
      <c r="T193" s="1653">
        <f t="shared" si="54"/>
        <v>0</v>
      </c>
      <c r="U193" s="1653">
        <f t="shared" si="55"/>
        <v>0</v>
      </c>
      <c r="V193" s="1653">
        <f t="shared" si="56"/>
        <v>0</v>
      </c>
      <c r="W193" s="1653">
        <f t="shared" si="57"/>
        <v>0</v>
      </c>
      <c r="X193" s="1653">
        <f t="shared" si="58"/>
        <v>0</v>
      </c>
      <c r="Y193" s="1653">
        <f t="shared" si="59"/>
        <v>0</v>
      </c>
    </row>
    <row r="194" spans="1:25" ht="15" hidden="1" outlineLevel="1">
      <c r="A194" s="1615">
        <v>186</v>
      </c>
      <c r="C194" s="1651" t="s">
        <v>2687</v>
      </c>
      <c r="D194" s="1651" t="s">
        <v>2465</v>
      </c>
      <c r="E194" s="1613">
        <v>1228.45</v>
      </c>
      <c r="F194" s="1613">
        <v>-1228.45</v>
      </c>
      <c r="G194" s="1613">
        <f t="shared" si="60"/>
        <v>0</v>
      </c>
      <c r="H194" s="1578">
        <v>2010</v>
      </c>
      <c r="I194" s="1662">
        <f t="shared" si="61"/>
        <v>5.5</v>
      </c>
      <c r="J194" s="1663">
        <v>36</v>
      </c>
      <c r="K194" s="1664">
        <f t="shared" si="62"/>
        <v>0.33333333333333331</v>
      </c>
      <c r="L194" s="1613">
        <f t="shared" si="63"/>
        <v>0</v>
      </c>
      <c r="M194" s="1613">
        <f t="shared" si="64"/>
        <v>1228.45</v>
      </c>
      <c r="N194" s="1613">
        <f t="shared" si="53"/>
        <v>-1228.45</v>
      </c>
      <c r="O194" s="1652">
        <f t="shared" si="65"/>
        <v>0</v>
      </c>
      <c r="P194" s="1653">
        <f t="shared" si="66"/>
        <v>0</v>
      </c>
      <c r="Q194" s="1653">
        <f t="shared" si="67"/>
        <v>0</v>
      </c>
      <c r="R194" s="1653">
        <f t="shared" si="68"/>
        <v>0</v>
      </c>
      <c r="S194" s="1653">
        <f t="shared" si="69"/>
        <v>0</v>
      </c>
      <c r="T194" s="1653">
        <f t="shared" si="54"/>
        <v>0</v>
      </c>
      <c r="U194" s="1653">
        <f t="shared" si="55"/>
        <v>0</v>
      </c>
      <c r="V194" s="1653">
        <f t="shared" si="56"/>
        <v>0</v>
      </c>
      <c r="W194" s="1653">
        <f t="shared" si="57"/>
        <v>0</v>
      </c>
      <c r="X194" s="1653">
        <f t="shared" si="58"/>
        <v>0</v>
      </c>
      <c r="Y194" s="1653">
        <f t="shared" si="59"/>
        <v>0</v>
      </c>
    </row>
    <row r="195" spans="1:25" ht="15" hidden="1" outlineLevel="1">
      <c r="A195" s="1615">
        <v>187</v>
      </c>
      <c r="C195" s="1651" t="s">
        <v>2688</v>
      </c>
      <c r="D195" s="1651" t="s">
        <v>2465</v>
      </c>
      <c r="E195" s="1613">
        <v>900.9</v>
      </c>
      <c r="F195" s="1613">
        <v>-900.9</v>
      </c>
      <c r="G195" s="1613">
        <f t="shared" si="60"/>
        <v>0</v>
      </c>
      <c r="H195" s="1578">
        <v>2010</v>
      </c>
      <c r="I195" s="1662">
        <f t="shared" si="61"/>
        <v>5.5</v>
      </c>
      <c r="J195" s="1663">
        <v>36</v>
      </c>
      <c r="K195" s="1664">
        <f t="shared" si="62"/>
        <v>0.33333333333333331</v>
      </c>
      <c r="L195" s="1613">
        <f t="shared" si="63"/>
        <v>0</v>
      </c>
      <c r="M195" s="1613">
        <f t="shared" si="64"/>
        <v>900.9</v>
      </c>
      <c r="N195" s="1613">
        <f t="shared" si="53"/>
        <v>-900.9</v>
      </c>
      <c r="O195" s="1652">
        <f t="shared" si="65"/>
        <v>0</v>
      </c>
      <c r="P195" s="1653">
        <f t="shared" si="66"/>
        <v>0</v>
      </c>
      <c r="Q195" s="1653">
        <f t="shared" si="67"/>
        <v>0</v>
      </c>
      <c r="R195" s="1653">
        <f t="shared" si="68"/>
        <v>0</v>
      </c>
      <c r="S195" s="1653">
        <f t="shared" si="69"/>
        <v>0</v>
      </c>
      <c r="T195" s="1653">
        <f t="shared" si="54"/>
        <v>0</v>
      </c>
      <c r="U195" s="1653">
        <f t="shared" si="55"/>
        <v>0</v>
      </c>
      <c r="V195" s="1653">
        <f t="shared" si="56"/>
        <v>0</v>
      </c>
      <c r="W195" s="1653">
        <f t="shared" si="57"/>
        <v>0</v>
      </c>
      <c r="X195" s="1653">
        <f t="shared" si="58"/>
        <v>0</v>
      </c>
      <c r="Y195" s="1653">
        <f t="shared" si="59"/>
        <v>0</v>
      </c>
    </row>
    <row r="196" spans="1:25" ht="15" hidden="1" outlineLevel="1">
      <c r="A196" s="1615">
        <v>188</v>
      </c>
      <c r="C196" s="1651" t="s">
        <v>2689</v>
      </c>
      <c r="D196" s="1651" t="s">
        <v>2690</v>
      </c>
      <c r="E196" s="1613">
        <v>1193.8900000000001</v>
      </c>
      <c r="F196" s="1613">
        <v>-1193.8900000000001</v>
      </c>
      <c r="G196" s="1613">
        <f t="shared" si="60"/>
        <v>0</v>
      </c>
      <c r="H196" s="1578">
        <v>2010</v>
      </c>
      <c r="I196" s="1662">
        <f t="shared" si="61"/>
        <v>5.5</v>
      </c>
      <c r="J196" s="1663">
        <v>36</v>
      </c>
      <c r="K196" s="1664">
        <f t="shared" si="62"/>
        <v>0.33333333333333331</v>
      </c>
      <c r="L196" s="1613">
        <f t="shared" si="63"/>
        <v>0</v>
      </c>
      <c r="M196" s="1613">
        <f t="shared" si="64"/>
        <v>1193.8900000000001</v>
      </c>
      <c r="N196" s="1613">
        <f t="shared" si="53"/>
        <v>-1193.8900000000001</v>
      </c>
      <c r="O196" s="1652">
        <f t="shared" si="65"/>
        <v>0</v>
      </c>
      <c r="P196" s="1653">
        <f t="shared" si="66"/>
        <v>0</v>
      </c>
      <c r="Q196" s="1653">
        <f t="shared" si="67"/>
        <v>0</v>
      </c>
      <c r="R196" s="1653">
        <f t="shared" si="68"/>
        <v>0</v>
      </c>
      <c r="S196" s="1653">
        <f t="shared" si="69"/>
        <v>0</v>
      </c>
      <c r="T196" s="1653">
        <f t="shared" si="54"/>
        <v>0</v>
      </c>
      <c r="U196" s="1653">
        <f t="shared" si="55"/>
        <v>0</v>
      </c>
      <c r="V196" s="1653">
        <f t="shared" si="56"/>
        <v>0</v>
      </c>
      <c r="W196" s="1653">
        <f t="shared" si="57"/>
        <v>0</v>
      </c>
      <c r="X196" s="1653">
        <f t="shared" si="58"/>
        <v>0</v>
      </c>
      <c r="Y196" s="1653">
        <f t="shared" si="59"/>
        <v>0</v>
      </c>
    </row>
    <row r="197" spans="1:25" ht="15" hidden="1" outlineLevel="1">
      <c r="A197" s="1615">
        <v>189</v>
      </c>
      <c r="C197" s="1651" t="s">
        <v>2691</v>
      </c>
      <c r="D197" s="1651" t="s">
        <v>2465</v>
      </c>
      <c r="E197" s="1613">
        <v>6455.4</v>
      </c>
      <c r="F197" s="1613">
        <v>-6455.4</v>
      </c>
      <c r="G197" s="1613">
        <f t="shared" si="60"/>
        <v>0</v>
      </c>
      <c r="H197" s="1578">
        <v>2010</v>
      </c>
      <c r="I197" s="1662">
        <f t="shared" si="61"/>
        <v>5.5</v>
      </c>
      <c r="J197" s="1663">
        <v>36</v>
      </c>
      <c r="K197" s="1664">
        <f t="shared" si="62"/>
        <v>0.33333333333333331</v>
      </c>
      <c r="L197" s="1613">
        <f t="shared" si="63"/>
        <v>0</v>
      </c>
      <c r="M197" s="1613">
        <f t="shared" si="64"/>
        <v>6455.4</v>
      </c>
      <c r="N197" s="1613">
        <f t="shared" si="53"/>
        <v>-6455.4</v>
      </c>
      <c r="O197" s="1652">
        <f t="shared" si="65"/>
        <v>0</v>
      </c>
      <c r="P197" s="1653">
        <f t="shared" si="66"/>
        <v>0</v>
      </c>
      <c r="Q197" s="1653">
        <f t="shared" si="67"/>
        <v>0</v>
      </c>
      <c r="R197" s="1653">
        <f t="shared" si="68"/>
        <v>0</v>
      </c>
      <c r="S197" s="1653">
        <f t="shared" si="69"/>
        <v>0</v>
      </c>
      <c r="T197" s="1653">
        <f t="shared" si="54"/>
        <v>0</v>
      </c>
      <c r="U197" s="1653">
        <f t="shared" si="55"/>
        <v>0</v>
      </c>
      <c r="V197" s="1653">
        <f t="shared" si="56"/>
        <v>0</v>
      </c>
      <c r="W197" s="1653">
        <f t="shared" si="57"/>
        <v>0</v>
      </c>
      <c r="X197" s="1653">
        <f t="shared" si="58"/>
        <v>0</v>
      </c>
      <c r="Y197" s="1653">
        <f t="shared" si="59"/>
        <v>0</v>
      </c>
    </row>
    <row r="198" spans="1:25" ht="15" hidden="1" outlineLevel="1">
      <c r="A198" s="1615">
        <v>190</v>
      </c>
      <c r="C198" s="1651" t="s">
        <v>2692</v>
      </c>
      <c r="D198" s="1651" t="s">
        <v>2465</v>
      </c>
      <c r="E198" s="1613">
        <v>4028.67</v>
      </c>
      <c r="F198" s="1613">
        <v>-4028.67</v>
      </c>
      <c r="G198" s="1613">
        <f t="shared" si="60"/>
        <v>0</v>
      </c>
      <c r="H198" s="1578">
        <v>2010</v>
      </c>
      <c r="I198" s="1662">
        <f t="shared" si="61"/>
        <v>5.5</v>
      </c>
      <c r="J198" s="1663">
        <v>36</v>
      </c>
      <c r="K198" s="1664">
        <f t="shared" si="62"/>
        <v>0.33333333333333331</v>
      </c>
      <c r="L198" s="1613">
        <f t="shared" si="63"/>
        <v>0</v>
      </c>
      <c r="M198" s="1613">
        <f t="shared" si="64"/>
        <v>4028.67</v>
      </c>
      <c r="N198" s="1613">
        <f t="shared" si="53"/>
        <v>-4028.67</v>
      </c>
      <c r="O198" s="1652">
        <f t="shared" si="65"/>
        <v>0</v>
      </c>
      <c r="P198" s="1653">
        <f t="shared" si="66"/>
        <v>0</v>
      </c>
      <c r="Q198" s="1653">
        <f t="shared" si="67"/>
        <v>0</v>
      </c>
      <c r="R198" s="1653">
        <f t="shared" si="68"/>
        <v>0</v>
      </c>
      <c r="S198" s="1653">
        <f t="shared" si="69"/>
        <v>0</v>
      </c>
      <c r="T198" s="1653">
        <f t="shared" si="54"/>
        <v>0</v>
      </c>
      <c r="U198" s="1653">
        <f t="shared" si="55"/>
        <v>0</v>
      </c>
      <c r="V198" s="1653">
        <f t="shared" si="56"/>
        <v>0</v>
      </c>
      <c r="W198" s="1653">
        <f t="shared" si="57"/>
        <v>0</v>
      </c>
      <c r="X198" s="1653">
        <f t="shared" si="58"/>
        <v>0</v>
      </c>
      <c r="Y198" s="1653">
        <f t="shared" si="59"/>
        <v>0</v>
      </c>
    </row>
    <row r="199" spans="1:25" ht="15" hidden="1" outlineLevel="1">
      <c r="A199" s="1615">
        <v>191</v>
      </c>
      <c r="C199" s="1651" t="s">
        <v>2693</v>
      </c>
      <c r="D199" s="1651" t="s">
        <v>2694</v>
      </c>
      <c r="E199" s="1613">
        <v>13364.87</v>
      </c>
      <c r="F199" s="1613">
        <v>-13364.87</v>
      </c>
      <c r="G199" s="1613">
        <f t="shared" si="60"/>
        <v>0</v>
      </c>
      <c r="H199" s="1578">
        <v>2010</v>
      </c>
      <c r="I199" s="1662">
        <f t="shared" si="61"/>
        <v>5.5</v>
      </c>
      <c r="J199" s="1663">
        <v>36</v>
      </c>
      <c r="K199" s="1664">
        <f t="shared" si="62"/>
        <v>0.33333333333333331</v>
      </c>
      <c r="L199" s="1613">
        <f t="shared" si="63"/>
        <v>0</v>
      </c>
      <c r="M199" s="1613">
        <f t="shared" si="64"/>
        <v>13364.87</v>
      </c>
      <c r="N199" s="1613">
        <f t="shared" si="53"/>
        <v>-13364.87</v>
      </c>
      <c r="O199" s="1652">
        <f t="shared" si="65"/>
        <v>0</v>
      </c>
      <c r="P199" s="1653">
        <f t="shared" si="66"/>
        <v>0</v>
      </c>
      <c r="Q199" s="1653">
        <f t="shared" si="67"/>
        <v>0</v>
      </c>
      <c r="R199" s="1653">
        <f t="shared" si="68"/>
        <v>0</v>
      </c>
      <c r="S199" s="1653">
        <f t="shared" si="69"/>
        <v>0</v>
      </c>
      <c r="T199" s="1653">
        <f t="shared" si="54"/>
        <v>0</v>
      </c>
      <c r="U199" s="1653">
        <f t="shared" si="55"/>
        <v>0</v>
      </c>
      <c r="V199" s="1653">
        <f t="shared" si="56"/>
        <v>0</v>
      </c>
      <c r="W199" s="1653">
        <f t="shared" si="57"/>
        <v>0</v>
      </c>
      <c r="X199" s="1653">
        <f t="shared" si="58"/>
        <v>0</v>
      </c>
      <c r="Y199" s="1653">
        <f t="shared" si="59"/>
        <v>0</v>
      </c>
    </row>
    <row r="200" spans="1:25" ht="15" hidden="1" outlineLevel="1">
      <c r="A200" s="1615">
        <v>192</v>
      </c>
      <c r="C200" s="1651" t="s">
        <v>2695</v>
      </c>
      <c r="D200" s="1651" t="s">
        <v>2696</v>
      </c>
      <c r="E200" s="1613">
        <v>1350.93</v>
      </c>
      <c r="F200" s="1613">
        <v>-1350.93</v>
      </c>
      <c r="G200" s="1613">
        <f t="shared" si="60"/>
        <v>0</v>
      </c>
      <c r="H200" s="1578">
        <v>2010</v>
      </c>
      <c r="I200" s="1662">
        <f t="shared" si="61"/>
        <v>5.5</v>
      </c>
      <c r="J200" s="1663">
        <v>36</v>
      </c>
      <c r="K200" s="1664">
        <f t="shared" si="62"/>
        <v>0.33333333333333331</v>
      </c>
      <c r="L200" s="1613">
        <f t="shared" si="63"/>
        <v>0</v>
      </c>
      <c r="M200" s="1613">
        <f t="shared" si="64"/>
        <v>1350.93</v>
      </c>
      <c r="N200" s="1613">
        <f t="shared" si="53"/>
        <v>-1350.93</v>
      </c>
      <c r="O200" s="1652">
        <f t="shared" si="65"/>
        <v>0</v>
      </c>
      <c r="P200" s="1653">
        <f t="shared" si="66"/>
        <v>0</v>
      </c>
      <c r="Q200" s="1653">
        <f t="shared" si="67"/>
        <v>0</v>
      </c>
      <c r="R200" s="1653">
        <f t="shared" si="68"/>
        <v>0</v>
      </c>
      <c r="S200" s="1653">
        <f t="shared" si="69"/>
        <v>0</v>
      </c>
      <c r="T200" s="1653">
        <f t="shared" si="54"/>
        <v>0</v>
      </c>
      <c r="U200" s="1653">
        <f t="shared" si="55"/>
        <v>0</v>
      </c>
      <c r="V200" s="1653">
        <f t="shared" si="56"/>
        <v>0</v>
      </c>
      <c r="W200" s="1653">
        <f t="shared" si="57"/>
        <v>0</v>
      </c>
      <c r="X200" s="1653">
        <f t="shared" si="58"/>
        <v>0</v>
      </c>
      <c r="Y200" s="1653">
        <f t="shared" si="59"/>
        <v>0</v>
      </c>
    </row>
    <row r="201" spans="1:25" ht="15" hidden="1" outlineLevel="1">
      <c r="A201" s="1615">
        <v>193</v>
      </c>
      <c r="C201" s="1651" t="s">
        <v>2697</v>
      </c>
      <c r="D201" s="1651" t="s">
        <v>2698</v>
      </c>
      <c r="E201" s="1613">
        <v>5619.97</v>
      </c>
      <c r="F201" s="1613">
        <v>-5619.97</v>
      </c>
      <c r="G201" s="1613">
        <f t="shared" si="60"/>
        <v>0</v>
      </c>
      <c r="H201" s="1578">
        <v>2010</v>
      </c>
      <c r="I201" s="1662">
        <f t="shared" si="61"/>
        <v>5.5</v>
      </c>
      <c r="J201" s="1663">
        <v>36</v>
      </c>
      <c r="K201" s="1664">
        <f t="shared" si="62"/>
        <v>0.33333333333333331</v>
      </c>
      <c r="L201" s="1613">
        <f t="shared" si="63"/>
        <v>0</v>
      </c>
      <c r="M201" s="1613">
        <f t="shared" si="64"/>
        <v>5619.97</v>
      </c>
      <c r="N201" s="1613">
        <f t="shared" si="53"/>
        <v>-5619.97</v>
      </c>
      <c r="O201" s="1652">
        <f t="shared" si="65"/>
        <v>0</v>
      </c>
      <c r="P201" s="1653">
        <f t="shared" si="66"/>
        <v>0</v>
      </c>
      <c r="Q201" s="1653">
        <f t="shared" si="67"/>
        <v>0</v>
      </c>
      <c r="R201" s="1653">
        <f t="shared" si="68"/>
        <v>0</v>
      </c>
      <c r="S201" s="1653">
        <f t="shared" si="69"/>
        <v>0</v>
      </c>
      <c r="T201" s="1653">
        <f t="shared" si="54"/>
        <v>0</v>
      </c>
      <c r="U201" s="1653">
        <f t="shared" si="55"/>
        <v>0</v>
      </c>
      <c r="V201" s="1653">
        <f t="shared" si="56"/>
        <v>0</v>
      </c>
      <c r="W201" s="1653">
        <f t="shared" si="57"/>
        <v>0</v>
      </c>
      <c r="X201" s="1653">
        <f t="shared" si="58"/>
        <v>0</v>
      </c>
      <c r="Y201" s="1653">
        <f t="shared" si="59"/>
        <v>0</v>
      </c>
    </row>
    <row r="202" spans="1:25" ht="15" hidden="1" outlineLevel="1">
      <c r="A202" s="1615">
        <v>194</v>
      </c>
      <c r="C202" s="1651" t="s">
        <v>2699</v>
      </c>
      <c r="D202" s="1651" t="s">
        <v>2700</v>
      </c>
      <c r="E202" s="1613">
        <v>2362.7399999999998</v>
      </c>
      <c r="F202" s="1613">
        <v>-2362.7399999999998</v>
      </c>
      <c r="G202" s="1613">
        <f t="shared" si="60"/>
        <v>0</v>
      </c>
      <c r="H202" s="1578">
        <v>2010</v>
      </c>
      <c r="I202" s="1662">
        <f t="shared" si="61"/>
        <v>5.5</v>
      </c>
      <c r="J202" s="1663">
        <v>36</v>
      </c>
      <c r="K202" s="1664">
        <f t="shared" si="62"/>
        <v>0.33333333333333331</v>
      </c>
      <c r="L202" s="1613">
        <f t="shared" si="63"/>
        <v>0</v>
      </c>
      <c r="M202" s="1613">
        <f t="shared" si="64"/>
        <v>2362.7399999999998</v>
      </c>
      <c r="N202" s="1613">
        <f t="shared" si="53"/>
        <v>-2362.7399999999998</v>
      </c>
      <c r="O202" s="1652">
        <f t="shared" si="65"/>
        <v>0</v>
      </c>
      <c r="P202" s="1653">
        <f t="shared" si="66"/>
        <v>0</v>
      </c>
      <c r="Q202" s="1653">
        <f t="shared" si="67"/>
        <v>0</v>
      </c>
      <c r="R202" s="1653">
        <f t="shared" si="68"/>
        <v>0</v>
      </c>
      <c r="S202" s="1653">
        <f t="shared" si="69"/>
        <v>0</v>
      </c>
      <c r="T202" s="1653">
        <f t="shared" si="54"/>
        <v>0</v>
      </c>
      <c r="U202" s="1653">
        <f t="shared" si="55"/>
        <v>0</v>
      </c>
      <c r="V202" s="1653">
        <f t="shared" si="56"/>
        <v>0</v>
      </c>
      <c r="W202" s="1653">
        <f t="shared" si="57"/>
        <v>0</v>
      </c>
      <c r="X202" s="1653">
        <f t="shared" si="58"/>
        <v>0</v>
      </c>
      <c r="Y202" s="1653">
        <f t="shared" si="59"/>
        <v>0</v>
      </c>
    </row>
    <row r="203" spans="1:25" ht="15" hidden="1" outlineLevel="1">
      <c r="A203" s="1615">
        <v>195</v>
      </c>
      <c r="C203" s="1651" t="s">
        <v>2701</v>
      </c>
      <c r="D203" s="1651" t="s">
        <v>2702</v>
      </c>
      <c r="E203" s="1613">
        <v>10177.07</v>
      </c>
      <c r="F203" s="1613">
        <v>-10177.07</v>
      </c>
      <c r="G203" s="1613">
        <f t="shared" si="60"/>
        <v>0</v>
      </c>
      <c r="H203" s="1578">
        <v>2010</v>
      </c>
      <c r="I203" s="1662">
        <f t="shared" si="61"/>
        <v>5.5</v>
      </c>
      <c r="J203" s="1663">
        <v>36</v>
      </c>
      <c r="K203" s="1664">
        <f t="shared" si="62"/>
        <v>0.33333333333333331</v>
      </c>
      <c r="L203" s="1613">
        <f t="shared" si="63"/>
        <v>0</v>
      </c>
      <c r="M203" s="1613">
        <f t="shared" si="64"/>
        <v>10177.07</v>
      </c>
      <c r="N203" s="1613">
        <f t="shared" si="53"/>
        <v>-10177.07</v>
      </c>
      <c r="O203" s="1652">
        <f t="shared" si="65"/>
        <v>0</v>
      </c>
      <c r="P203" s="1653">
        <f t="shared" si="66"/>
        <v>0</v>
      </c>
      <c r="Q203" s="1653">
        <f t="shared" si="67"/>
        <v>0</v>
      </c>
      <c r="R203" s="1653">
        <f t="shared" si="68"/>
        <v>0</v>
      </c>
      <c r="S203" s="1653">
        <f t="shared" si="69"/>
        <v>0</v>
      </c>
      <c r="T203" s="1653">
        <f t="shared" si="54"/>
        <v>0</v>
      </c>
      <c r="U203" s="1653">
        <f t="shared" si="55"/>
        <v>0</v>
      </c>
      <c r="V203" s="1653">
        <f t="shared" si="56"/>
        <v>0</v>
      </c>
      <c r="W203" s="1653">
        <f t="shared" si="57"/>
        <v>0</v>
      </c>
      <c r="X203" s="1653">
        <f t="shared" si="58"/>
        <v>0</v>
      </c>
      <c r="Y203" s="1653">
        <f t="shared" si="59"/>
        <v>0</v>
      </c>
    </row>
    <row r="204" spans="1:25" ht="15" hidden="1" outlineLevel="1">
      <c r="A204" s="1615">
        <v>196</v>
      </c>
      <c r="C204" s="1651" t="s">
        <v>2703</v>
      </c>
      <c r="D204" s="1651" t="s">
        <v>2465</v>
      </c>
      <c r="E204" s="1613">
        <v>2411.16</v>
      </c>
      <c r="F204" s="1613">
        <v>-2411.16</v>
      </c>
      <c r="G204" s="1613">
        <f t="shared" si="60"/>
        <v>0</v>
      </c>
      <c r="H204" s="1578">
        <v>2010</v>
      </c>
      <c r="I204" s="1662">
        <f t="shared" si="61"/>
        <v>5.5</v>
      </c>
      <c r="J204" s="1663">
        <v>36</v>
      </c>
      <c r="K204" s="1664">
        <f t="shared" si="62"/>
        <v>0.33333333333333331</v>
      </c>
      <c r="L204" s="1613">
        <f t="shared" si="63"/>
        <v>0</v>
      </c>
      <c r="M204" s="1613">
        <f t="shared" si="64"/>
        <v>2411.16</v>
      </c>
      <c r="N204" s="1613">
        <f t="shared" si="53"/>
        <v>-2411.16</v>
      </c>
      <c r="O204" s="1652">
        <f t="shared" si="65"/>
        <v>0</v>
      </c>
      <c r="P204" s="1653">
        <f t="shared" si="66"/>
        <v>0</v>
      </c>
      <c r="Q204" s="1653">
        <f t="shared" si="67"/>
        <v>0</v>
      </c>
      <c r="R204" s="1653">
        <f t="shared" si="68"/>
        <v>0</v>
      </c>
      <c r="S204" s="1653">
        <f t="shared" si="69"/>
        <v>0</v>
      </c>
      <c r="T204" s="1653">
        <f t="shared" si="54"/>
        <v>0</v>
      </c>
      <c r="U204" s="1653">
        <f t="shared" si="55"/>
        <v>0</v>
      </c>
      <c r="V204" s="1653">
        <f t="shared" si="56"/>
        <v>0</v>
      </c>
      <c r="W204" s="1653">
        <f t="shared" si="57"/>
        <v>0</v>
      </c>
      <c r="X204" s="1653">
        <f t="shared" si="58"/>
        <v>0</v>
      </c>
      <c r="Y204" s="1653">
        <f t="shared" si="59"/>
        <v>0</v>
      </c>
    </row>
    <row r="205" spans="1:25" ht="15" hidden="1" outlineLevel="1">
      <c r="A205" s="1615">
        <v>197</v>
      </c>
      <c r="C205" s="1651" t="s">
        <v>2704</v>
      </c>
      <c r="D205" s="1651" t="s">
        <v>2705</v>
      </c>
      <c r="E205" s="1613">
        <v>2712.53</v>
      </c>
      <c r="F205" s="1613">
        <v>-2712.53</v>
      </c>
      <c r="G205" s="1613">
        <f t="shared" si="60"/>
        <v>0</v>
      </c>
      <c r="H205" s="1578">
        <v>2010</v>
      </c>
      <c r="I205" s="1662">
        <f t="shared" si="61"/>
        <v>5.5</v>
      </c>
      <c r="J205" s="1663">
        <v>36</v>
      </c>
      <c r="K205" s="1664">
        <f t="shared" si="62"/>
        <v>0.33333333333333331</v>
      </c>
      <c r="L205" s="1613">
        <f t="shared" si="63"/>
        <v>0</v>
      </c>
      <c r="M205" s="1613">
        <f t="shared" si="64"/>
        <v>2712.53</v>
      </c>
      <c r="N205" s="1613">
        <f t="shared" si="53"/>
        <v>-2712.53</v>
      </c>
      <c r="O205" s="1652">
        <f t="shared" si="65"/>
        <v>0</v>
      </c>
      <c r="P205" s="1653">
        <f t="shared" si="66"/>
        <v>0</v>
      </c>
      <c r="Q205" s="1653">
        <f t="shared" si="67"/>
        <v>0</v>
      </c>
      <c r="R205" s="1653">
        <f t="shared" si="68"/>
        <v>0</v>
      </c>
      <c r="S205" s="1653">
        <f t="shared" si="69"/>
        <v>0</v>
      </c>
      <c r="T205" s="1653">
        <f t="shared" si="54"/>
        <v>0</v>
      </c>
      <c r="U205" s="1653">
        <f t="shared" si="55"/>
        <v>0</v>
      </c>
      <c r="V205" s="1653">
        <f t="shared" si="56"/>
        <v>0</v>
      </c>
      <c r="W205" s="1653">
        <f t="shared" si="57"/>
        <v>0</v>
      </c>
      <c r="X205" s="1653">
        <f t="shared" si="58"/>
        <v>0</v>
      </c>
      <c r="Y205" s="1653">
        <f t="shared" si="59"/>
        <v>0</v>
      </c>
    </row>
    <row r="206" spans="1:25" ht="15" hidden="1" outlineLevel="1">
      <c r="A206" s="1615">
        <v>198</v>
      </c>
      <c r="C206" s="1651" t="s">
        <v>2706</v>
      </c>
      <c r="D206" s="1651" t="s">
        <v>2465</v>
      </c>
      <c r="E206" s="1613">
        <v>505</v>
      </c>
      <c r="F206" s="1613">
        <v>-505</v>
      </c>
      <c r="G206" s="1613">
        <f t="shared" si="60"/>
        <v>0</v>
      </c>
      <c r="H206" s="1578">
        <v>2010</v>
      </c>
      <c r="I206" s="1662">
        <f t="shared" si="61"/>
        <v>5.5</v>
      </c>
      <c r="J206" s="1663">
        <v>36</v>
      </c>
      <c r="K206" s="1664">
        <f t="shared" si="62"/>
        <v>0.33333333333333331</v>
      </c>
      <c r="L206" s="1613">
        <f t="shared" si="63"/>
        <v>0</v>
      </c>
      <c r="M206" s="1613">
        <f t="shared" si="64"/>
        <v>505</v>
      </c>
      <c r="N206" s="1613">
        <f t="shared" si="53"/>
        <v>-505</v>
      </c>
      <c r="O206" s="1652">
        <f t="shared" si="65"/>
        <v>0</v>
      </c>
      <c r="P206" s="1653">
        <f t="shared" si="66"/>
        <v>0</v>
      </c>
      <c r="Q206" s="1653">
        <f t="shared" si="67"/>
        <v>0</v>
      </c>
      <c r="R206" s="1653">
        <f t="shared" si="68"/>
        <v>0</v>
      </c>
      <c r="S206" s="1653">
        <f t="shared" si="69"/>
        <v>0</v>
      </c>
      <c r="T206" s="1653">
        <f t="shared" si="54"/>
        <v>0</v>
      </c>
      <c r="U206" s="1653">
        <f t="shared" si="55"/>
        <v>0</v>
      </c>
      <c r="V206" s="1653">
        <f t="shared" si="56"/>
        <v>0</v>
      </c>
      <c r="W206" s="1653">
        <f t="shared" si="57"/>
        <v>0</v>
      </c>
      <c r="X206" s="1653">
        <f t="shared" si="58"/>
        <v>0</v>
      </c>
      <c r="Y206" s="1653">
        <f t="shared" si="59"/>
        <v>0</v>
      </c>
    </row>
    <row r="207" spans="1:25" ht="15" hidden="1" outlineLevel="1">
      <c r="A207" s="1615">
        <v>199</v>
      </c>
      <c r="C207" s="1651" t="s">
        <v>2707</v>
      </c>
      <c r="D207" s="1651" t="s">
        <v>2465</v>
      </c>
      <c r="E207" s="1613">
        <v>4156.9799999999996</v>
      </c>
      <c r="F207" s="1613">
        <v>-4156.9799999999996</v>
      </c>
      <c r="G207" s="1613">
        <f t="shared" si="60"/>
        <v>0</v>
      </c>
      <c r="H207" s="1578">
        <v>2010</v>
      </c>
      <c r="I207" s="1662">
        <f t="shared" si="61"/>
        <v>5.5</v>
      </c>
      <c r="J207" s="1663">
        <v>36</v>
      </c>
      <c r="K207" s="1664">
        <f t="shared" si="62"/>
        <v>0.33333333333333331</v>
      </c>
      <c r="L207" s="1613">
        <f t="shared" si="63"/>
        <v>0</v>
      </c>
      <c r="M207" s="1613">
        <f t="shared" si="64"/>
        <v>4156.9799999999996</v>
      </c>
      <c r="N207" s="1613">
        <f t="shared" si="53"/>
        <v>-4156.9799999999996</v>
      </c>
      <c r="O207" s="1652">
        <f t="shared" si="65"/>
        <v>0</v>
      </c>
      <c r="P207" s="1653">
        <f t="shared" si="66"/>
        <v>0</v>
      </c>
      <c r="Q207" s="1653">
        <f t="shared" si="67"/>
        <v>0</v>
      </c>
      <c r="R207" s="1653">
        <f t="shared" si="68"/>
        <v>0</v>
      </c>
      <c r="S207" s="1653">
        <f t="shared" si="69"/>
        <v>0</v>
      </c>
      <c r="T207" s="1653">
        <f t="shared" si="54"/>
        <v>0</v>
      </c>
      <c r="U207" s="1653">
        <f t="shared" si="55"/>
        <v>0</v>
      </c>
      <c r="V207" s="1653">
        <f t="shared" si="56"/>
        <v>0</v>
      </c>
      <c r="W207" s="1653">
        <f t="shared" si="57"/>
        <v>0</v>
      </c>
      <c r="X207" s="1653">
        <f t="shared" si="58"/>
        <v>0</v>
      </c>
      <c r="Y207" s="1653">
        <f t="shared" si="59"/>
        <v>0</v>
      </c>
    </row>
    <row r="208" spans="1:25" ht="15" hidden="1" outlineLevel="1">
      <c r="A208" s="1615">
        <v>200</v>
      </c>
      <c r="C208" s="1651" t="s">
        <v>2708</v>
      </c>
      <c r="D208" s="1651" t="s">
        <v>2709</v>
      </c>
      <c r="E208" s="1613">
        <v>4594.9399999999996</v>
      </c>
      <c r="F208" s="1613">
        <v>-4594.9399999999996</v>
      </c>
      <c r="G208" s="1613">
        <f t="shared" si="60"/>
        <v>0</v>
      </c>
      <c r="H208" s="1578">
        <v>2010</v>
      </c>
      <c r="I208" s="1662">
        <f t="shared" si="61"/>
        <v>5.5</v>
      </c>
      <c r="J208" s="1663">
        <v>36</v>
      </c>
      <c r="K208" s="1664">
        <f t="shared" si="62"/>
        <v>0.33333333333333331</v>
      </c>
      <c r="L208" s="1613">
        <f t="shared" si="63"/>
        <v>0</v>
      </c>
      <c r="M208" s="1613">
        <f t="shared" si="64"/>
        <v>4594.9399999999996</v>
      </c>
      <c r="N208" s="1613">
        <f t="shared" si="53"/>
        <v>-4594.9399999999996</v>
      </c>
      <c r="O208" s="1652">
        <f t="shared" si="65"/>
        <v>0</v>
      </c>
      <c r="P208" s="1653">
        <f t="shared" si="66"/>
        <v>0</v>
      </c>
      <c r="Q208" s="1653">
        <f t="shared" si="67"/>
        <v>0</v>
      </c>
      <c r="R208" s="1653">
        <f t="shared" si="68"/>
        <v>0</v>
      </c>
      <c r="S208" s="1653">
        <f t="shared" si="69"/>
        <v>0</v>
      </c>
      <c r="T208" s="1653">
        <f t="shared" si="54"/>
        <v>0</v>
      </c>
      <c r="U208" s="1653">
        <f t="shared" si="55"/>
        <v>0</v>
      </c>
      <c r="V208" s="1653">
        <f t="shared" si="56"/>
        <v>0</v>
      </c>
      <c r="W208" s="1653">
        <f t="shared" si="57"/>
        <v>0</v>
      </c>
      <c r="X208" s="1653">
        <f t="shared" si="58"/>
        <v>0</v>
      </c>
      <c r="Y208" s="1653">
        <f t="shared" si="59"/>
        <v>0</v>
      </c>
    </row>
    <row r="209" spans="1:25" ht="15" hidden="1" outlineLevel="1">
      <c r="A209" s="1615">
        <v>201</v>
      </c>
      <c r="C209" s="1651" t="s">
        <v>2710</v>
      </c>
      <c r="D209" s="1651" t="s">
        <v>2711</v>
      </c>
      <c r="E209" s="1613">
        <v>1025.3900000000001</v>
      </c>
      <c r="F209" s="1613">
        <v>-1025.3900000000001</v>
      </c>
      <c r="G209" s="1613">
        <f t="shared" si="60"/>
        <v>0</v>
      </c>
      <c r="H209" s="1578">
        <v>2010</v>
      </c>
      <c r="I209" s="1662">
        <f t="shared" si="61"/>
        <v>5.5</v>
      </c>
      <c r="J209" s="1663">
        <v>36</v>
      </c>
      <c r="K209" s="1664">
        <f t="shared" si="62"/>
        <v>0.33333333333333331</v>
      </c>
      <c r="L209" s="1613">
        <f t="shared" si="63"/>
        <v>0</v>
      </c>
      <c r="M209" s="1613">
        <f t="shared" si="64"/>
        <v>1025.3900000000001</v>
      </c>
      <c r="N209" s="1613">
        <f t="shared" si="53"/>
        <v>-1025.3900000000001</v>
      </c>
      <c r="O209" s="1652">
        <f t="shared" si="65"/>
        <v>0</v>
      </c>
      <c r="P209" s="1653">
        <f t="shared" si="66"/>
        <v>0</v>
      </c>
      <c r="Q209" s="1653">
        <f t="shared" si="67"/>
        <v>0</v>
      </c>
      <c r="R209" s="1653">
        <f t="shared" si="68"/>
        <v>0</v>
      </c>
      <c r="S209" s="1653">
        <f t="shared" si="69"/>
        <v>0</v>
      </c>
      <c r="T209" s="1653">
        <f t="shared" si="54"/>
        <v>0</v>
      </c>
      <c r="U209" s="1653">
        <f t="shared" si="55"/>
        <v>0</v>
      </c>
      <c r="V209" s="1653">
        <f t="shared" si="56"/>
        <v>0</v>
      </c>
      <c r="W209" s="1653">
        <f t="shared" si="57"/>
        <v>0</v>
      </c>
      <c r="X209" s="1653">
        <f t="shared" si="58"/>
        <v>0</v>
      </c>
      <c r="Y209" s="1653">
        <f t="shared" si="59"/>
        <v>0</v>
      </c>
    </row>
    <row r="210" spans="1:25" ht="15" hidden="1" outlineLevel="1">
      <c r="A210" s="1615">
        <v>202</v>
      </c>
      <c r="C210" s="1651" t="s">
        <v>2712</v>
      </c>
      <c r="D210" s="1651" t="s">
        <v>2713</v>
      </c>
      <c r="E210" s="1613">
        <v>485.84</v>
      </c>
      <c r="F210" s="1613">
        <v>-485.84</v>
      </c>
      <c r="G210" s="1613">
        <f t="shared" si="60"/>
        <v>0</v>
      </c>
      <c r="H210" s="1578">
        <v>2010</v>
      </c>
      <c r="I210" s="1662">
        <f t="shared" si="61"/>
        <v>5.5</v>
      </c>
      <c r="J210" s="1663">
        <v>36</v>
      </c>
      <c r="K210" s="1664">
        <f t="shared" si="62"/>
        <v>0.33333333333333331</v>
      </c>
      <c r="L210" s="1613">
        <f t="shared" si="63"/>
        <v>0</v>
      </c>
      <c r="M210" s="1613">
        <f t="shared" si="64"/>
        <v>485.84</v>
      </c>
      <c r="N210" s="1613">
        <f t="shared" si="53"/>
        <v>-485.84</v>
      </c>
      <c r="O210" s="1652">
        <f t="shared" si="65"/>
        <v>0</v>
      </c>
      <c r="P210" s="1653">
        <f t="shared" si="66"/>
        <v>0</v>
      </c>
      <c r="Q210" s="1653">
        <f t="shared" si="67"/>
        <v>0</v>
      </c>
      <c r="R210" s="1653">
        <f t="shared" si="68"/>
        <v>0</v>
      </c>
      <c r="S210" s="1653">
        <f t="shared" si="69"/>
        <v>0</v>
      </c>
      <c r="T210" s="1653">
        <f t="shared" si="54"/>
        <v>0</v>
      </c>
      <c r="U210" s="1653">
        <f t="shared" si="55"/>
        <v>0</v>
      </c>
      <c r="V210" s="1653">
        <f t="shared" si="56"/>
        <v>0</v>
      </c>
      <c r="W210" s="1653">
        <f t="shared" si="57"/>
        <v>0</v>
      </c>
      <c r="X210" s="1653">
        <f t="shared" si="58"/>
        <v>0</v>
      </c>
      <c r="Y210" s="1653">
        <f t="shared" si="59"/>
        <v>0</v>
      </c>
    </row>
    <row r="211" spans="1:25" ht="15" hidden="1" outlineLevel="1">
      <c r="A211" s="1615">
        <v>203</v>
      </c>
      <c r="C211" s="1651" t="s">
        <v>2714</v>
      </c>
      <c r="D211" s="1651" t="s">
        <v>2715</v>
      </c>
      <c r="E211" s="1613">
        <v>487.59</v>
      </c>
      <c r="F211" s="1613">
        <v>-487.59</v>
      </c>
      <c r="G211" s="1613">
        <f t="shared" si="60"/>
        <v>0</v>
      </c>
      <c r="H211" s="1578">
        <v>2010</v>
      </c>
      <c r="I211" s="1662">
        <f t="shared" si="61"/>
        <v>5.5</v>
      </c>
      <c r="J211" s="1663">
        <v>36</v>
      </c>
      <c r="K211" s="1664">
        <f t="shared" si="62"/>
        <v>0.33333333333333331</v>
      </c>
      <c r="L211" s="1613">
        <f t="shared" si="63"/>
        <v>0</v>
      </c>
      <c r="M211" s="1613">
        <f t="shared" si="64"/>
        <v>487.59</v>
      </c>
      <c r="N211" s="1613">
        <f t="shared" si="53"/>
        <v>-487.59</v>
      </c>
      <c r="O211" s="1652">
        <f t="shared" si="65"/>
        <v>0</v>
      </c>
      <c r="P211" s="1653">
        <f t="shared" si="66"/>
        <v>0</v>
      </c>
      <c r="Q211" s="1653">
        <f t="shared" si="67"/>
        <v>0</v>
      </c>
      <c r="R211" s="1653">
        <f t="shared" si="68"/>
        <v>0</v>
      </c>
      <c r="S211" s="1653">
        <f t="shared" si="69"/>
        <v>0</v>
      </c>
      <c r="T211" s="1653">
        <f t="shared" si="54"/>
        <v>0</v>
      </c>
      <c r="U211" s="1653">
        <f t="shared" si="55"/>
        <v>0</v>
      </c>
      <c r="V211" s="1653">
        <f t="shared" si="56"/>
        <v>0</v>
      </c>
      <c r="W211" s="1653">
        <f t="shared" si="57"/>
        <v>0</v>
      </c>
      <c r="X211" s="1653">
        <f t="shared" si="58"/>
        <v>0</v>
      </c>
      <c r="Y211" s="1653">
        <f t="shared" si="59"/>
        <v>0</v>
      </c>
    </row>
    <row r="212" spans="1:25" ht="15" hidden="1" outlineLevel="1">
      <c r="A212" s="1615">
        <v>204</v>
      </c>
      <c r="C212" s="1651" t="s">
        <v>2716</v>
      </c>
      <c r="D212" s="1651" t="s">
        <v>2717</v>
      </c>
      <c r="E212" s="1613">
        <v>509.1</v>
      </c>
      <c r="F212" s="1613">
        <v>-509.1</v>
      </c>
      <c r="G212" s="1613">
        <f t="shared" si="60"/>
        <v>0</v>
      </c>
      <c r="H212" s="1578">
        <v>2010</v>
      </c>
      <c r="I212" s="1662">
        <f t="shared" si="61"/>
        <v>5.5</v>
      </c>
      <c r="J212" s="1663">
        <v>36</v>
      </c>
      <c r="K212" s="1664">
        <f t="shared" si="62"/>
        <v>0.33333333333333331</v>
      </c>
      <c r="L212" s="1613">
        <f t="shared" si="63"/>
        <v>0</v>
      </c>
      <c r="M212" s="1613">
        <f t="shared" si="64"/>
        <v>509.1</v>
      </c>
      <c r="N212" s="1613">
        <f t="shared" si="53"/>
        <v>-509.1</v>
      </c>
      <c r="O212" s="1652">
        <f t="shared" si="65"/>
        <v>0</v>
      </c>
      <c r="P212" s="1653">
        <f t="shared" si="66"/>
        <v>0</v>
      </c>
      <c r="Q212" s="1653">
        <f t="shared" si="67"/>
        <v>0</v>
      </c>
      <c r="R212" s="1653">
        <f t="shared" si="68"/>
        <v>0</v>
      </c>
      <c r="S212" s="1653">
        <f t="shared" si="69"/>
        <v>0</v>
      </c>
      <c r="T212" s="1653">
        <f t="shared" si="54"/>
        <v>0</v>
      </c>
      <c r="U212" s="1653">
        <f t="shared" si="55"/>
        <v>0</v>
      </c>
      <c r="V212" s="1653">
        <f t="shared" si="56"/>
        <v>0</v>
      </c>
      <c r="W212" s="1653">
        <f t="shared" si="57"/>
        <v>0</v>
      </c>
      <c r="X212" s="1653">
        <f t="shared" si="58"/>
        <v>0</v>
      </c>
      <c r="Y212" s="1653">
        <f t="shared" si="59"/>
        <v>0</v>
      </c>
    </row>
    <row r="213" spans="1:25" ht="15" hidden="1" outlineLevel="1">
      <c r="A213" s="1615">
        <v>205</v>
      </c>
      <c r="C213" s="1651" t="s">
        <v>2718</v>
      </c>
      <c r="D213" s="1651" t="s">
        <v>2719</v>
      </c>
      <c r="E213" s="1613">
        <v>600</v>
      </c>
      <c r="F213" s="1613">
        <v>-600</v>
      </c>
      <c r="G213" s="1613">
        <f t="shared" si="60"/>
        <v>0</v>
      </c>
      <c r="H213" s="1578">
        <v>2010</v>
      </c>
      <c r="I213" s="1662">
        <f t="shared" si="61"/>
        <v>5.5</v>
      </c>
      <c r="J213" s="1663">
        <v>36</v>
      </c>
      <c r="K213" s="1664">
        <f t="shared" si="62"/>
        <v>0.33333333333333331</v>
      </c>
      <c r="L213" s="1613">
        <f t="shared" si="63"/>
        <v>0</v>
      </c>
      <c r="M213" s="1613">
        <f t="shared" si="64"/>
        <v>600</v>
      </c>
      <c r="N213" s="1613">
        <f t="shared" si="53"/>
        <v>-600</v>
      </c>
      <c r="O213" s="1652">
        <f t="shared" si="65"/>
        <v>0</v>
      </c>
      <c r="P213" s="1653">
        <f t="shared" si="66"/>
        <v>0</v>
      </c>
      <c r="Q213" s="1653">
        <f t="shared" si="67"/>
        <v>0</v>
      </c>
      <c r="R213" s="1653">
        <f t="shared" si="68"/>
        <v>0</v>
      </c>
      <c r="S213" s="1653">
        <f t="shared" si="69"/>
        <v>0</v>
      </c>
      <c r="T213" s="1653">
        <f t="shared" si="54"/>
        <v>0</v>
      </c>
      <c r="U213" s="1653">
        <f t="shared" si="55"/>
        <v>0</v>
      </c>
      <c r="V213" s="1653">
        <f t="shared" si="56"/>
        <v>0</v>
      </c>
      <c r="W213" s="1653">
        <f t="shared" si="57"/>
        <v>0</v>
      </c>
      <c r="X213" s="1653">
        <f t="shared" si="58"/>
        <v>0</v>
      </c>
      <c r="Y213" s="1653">
        <f t="shared" si="59"/>
        <v>0</v>
      </c>
    </row>
    <row r="214" spans="1:25" ht="15" hidden="1" outlineLevel="1">
      <c r="A214" s="1615">
        <v>206</v>
      </c>
      <c r="C214" s="1651" t="s">
        <v>2720</v>
      </c>
      <c r="D214" s="1651" t="s">
        <v>2721</v>
      </c>
      <c r="E214" s="1613">
        <v>711.38</v>
      </c>
      <c r="F214" s="1613">
        <v>-711.38</v>
      </c>
      <c r="G214" s="1613">
        <f t="shared" si="60"/>
        <v>0</v>
      </c>
      <c r="H214" s="1578">
        <v>2010</v>
      </c>
      <c r="I214" s="1662">
        <f t="shared" si="61"/>
        <v>5.5</v>
      </c>
      <c r="J214" s="1663">
        <v>36</v>
      </c>
      <c r="K214" s="1664">
        <f t="shared" si="62"/>
        <v>0.33333333333333331</v>
      </c>
      <c r="L214" s="1613">
        <f t="shared" si="63"/>
        <v>0</v>
      </c>
      <c r="M214" s="1613">
        <f t="shared" si="64"/>
        <v>711.38</v>
      </c>
      <c r="N214" s="1613">
        <f t="shared" si="53"/>
        <v>-711.38</v>
      </c>
      <c r="O214" s="1652">
        <f t="shared" si="65"/>
        <v>0</v>
      </c>
      <c r="P214" s="1653">
        <f t="shared" si="66"/>
        <v>0</v>
      </c>
      <c r="Q214" s="1653">
        <f t="shared" si="67"/>
        <v>0</v>
      </c>
      <c r="R214" s="1653">
        <f t="shared" si="68"/>
        <v>0</v>
      </c>
      <c r="S214" s="1653">
        <f t="shared" si="69"/>
        <v>0</v>
      </c>
      <c r="T214" s="1653">
        <f t="shared" si="54"/>
        <v>0</v>
      </c>
      <c r="U214" s="1653">
        <f t="shared" si="55"/>
        <v>0</v>
      </c>
      <c r="V214" s="1653">
        <f t="shared" si="56"/>
        <v>0</v>
      </c>
      <c r="W214" s="1653">
        <f t="shared" si="57"/>
        <v>0</v>
      </c>
      <c r="X214" s="1653">
        <f t="shared" si="58"/>
        <v>0</v>
      </c>
      <c r="Y214" s="1653">
        <f t="shared" si="59"/>
        <v>0</v>
      </c>
    </row>
    <row r="215" spans="1:25" ht="15" hidden="1" outlineLevel="1">
      <c r="A215" s="1615">
        <v>207</v>
      </c>
      <c r="C215" s="1651" t="s">
        <v>2722</v>
      </c>
      <c r="D215" s="1651" t="s">
        <v>2723</v>
      </c>
      <c r="E215" s="1613">
        <v>762.66</v>
      </c>
      <c r="F215" s="1613">
        <v>-762.66</v>
      </c>
      <c r="G215" s="1613">
        <f t="shared" si="60"/>
        <v>0</v>
      </c>
      <c r="H215" s="1578">
        <v>2010</v>
      </c>
      <c r="I215" s="1662">
        <f t="shared" si="61"/>
        <v>5.5</v>
      </c>
      <c r="J215" s="1663">
        <v>36</v>
      </c>
      <c r="K215" s="1664">
        <f t="shared" si="62"/>
        <v>0.33333333333333331</v>
      </c>
      <c r="L215" s="1613">
        <f t="shared" si="63"/>
        <v>0</v>
      </c>
      <c r="M215" s="1613">
        <f t="shared" si="64"/>
        <v>762.66</v>
      </c>
      <c r="N215" s="1613">
        <f t="shared" si="53"/>
        <v>-762.66</v>
      </c>
      <c r="O215" s="1652">
        <f t="shared" si="65"/>
        <v>0</v>
      </c>
      <c r="P215" s="1653">
        <f t="shared" si="66"/>
        <v>0</v>
      </c>
      <c r="Q215" s="1653">
        <f t="shared" si="67"/>
        <v>0</v>
      </c>
      <c r="R215" s="1653">
        <f t="shared" si="68"/>
        <v>0</v>
      </c>
      <c r="S215" s="1653">
        <f t="shared" si="69"/>
        <v>0</v>
      </c>
      <c r="T215" s="1653">
        <f t="shared" si="54"/>
        <v>0</v>
      </c>
      <c r="U215" s="1653">
        <f t="shared" si="55"/>
        <v>0</v>
      </c>
      <c r="V215" s="1653">
        <f t="shared" si="56"/>
        <v>0</v>
      </c>
      <c r="W215" s="1653">
        <f t="shared" si="57"/>
        <v>0</v>
      </c>
      <c r="X215" s="1653">
        <f t="shared" si="58"/>
        <v>0</v>
      </c>
      <c r="Y215" s="1653">
        <f t="shared" si="59"/>
        <v>0</v>
      </c>
    </row>
    <row r="216" spans="1:25" ht="15" hidden="1" outlineLevel="1">
      <c r="A216" s="1615">
        <v>208</v>
      </c>
      <c r="C216" s="1651" t="s">
        <v>2724</v>
      </c>
      <c r="D216" s="1651" t="s">
        <v>2725</v>
      </c>
      <c r="E216" s="1613">
        <v>845</v>
      </c>
      <c r="F216" s="1613">
        <v>-845</v>
      </c>
      <c r="G216" s="1613">
        <f t="shared" si="60"/>
        <v>0</v>
      </c>
      <c r="H216" s="1578">
        <v>2010</v>
      </c>
      <c r="I216" s="1662">
        <f t="shared" si="61"/>
        <v>5.5</v>
      </c>
      <c r="J216" s="1663">
        <v>36</v>
      </c>
      <c r="K216" s="1664">
        <f t="shared" si="62"/>
        <v>0.33333333333333331</v>
      </c>
      <c r="L216" s="1613">
        <f t="shared" si="63"/>
        <v>0</v>
      </c>
      <c r="M216" s="1613">
        <f t="shared" si="64"/>
        <v>845</v>
      </c>
      <c r="N216" s="1613">
        <f t="shared" ref="N216:N279" si="70">-IF(I216+0.5&lt;(J216/12),M216*(I216+0.5)*K216,M216)</f>
        <v>-845</v>
      </c>
      <c r="O216" s="1652">
        <f t="shared" si="65"/>
        <v>0</v>
      </c>
      <c r="P216" s="1653">
        <f t="shared" si="66"/>
        <v>0</v>
      </c>
      <c r="Q216" s="1653">
        <f t="shared" si="67"/>
        <v>0</v>
      </c>
      <c r="R216" s="1653">
        <f t="shared" si="68"/>
        <v>0</v>
      </c>
      <c r="S216" s="1653">
        <f t="shared" si="69"/>
        <v>0</v>
      </c>
      <c r="T216" s="1653">
        <f t="shared" ref="T216:T279" si="71">IF(S216&gt;0,IF(S216&lt;$K216,-$L216,R216-$K216),S216)</f>
        <v>0</v>
      </c>
      <c r="U216" s="1653">
        <f t="shared" ref="U216:U279" si="72">IF(T216&lt;0,$L216+T216,S216)</f>
        <v>0</v>
      </c>
      <c r="V216" s="1653">
        <f t="shared" ref="V216:V279" si="73">IF(U216&gt;0,IF(U216&lt;$K216,-$L216,T216-$K216),U216)</f>
        <v>0</v>
      </c>
      <c r="W216" s="1653">
        <f t="shared" ref="W216:W279" si="74">IF(V216&lt;0,$L216+V216,U216)</f>
        <v>0</v>
      </c>
      <c r="X216" s="1653">
        <f t="shared" ref="X216:X279" si="75">IF(W216&gt;0,IF(W216&lt;$K216,-$L216,V216-$K216),W216)</f>
        <v>0</v>
      </c>
      <c r="Y216" s="1653">
        <f t="shared" ref="Y216:Y279" si="76">IF(X216&lt;0,$L216+X216,W216)</f>
        <v>0</v>
      </c>
    </row>
    <row r="217" spans="1:25" ht="15" hidden="1" outlineLevel="1">
      <c r="A217" s="1615">
        <v>209</v>
      </c>
      <c r="C217" s="1651" t="s">
        <v>2726</v>
      </c>
      <c r="D217" s="1651" t="s">
        <v>2727</v>
      </c>
      <c r="E217" s="1613">
        <v>971.68</v>
      </c>
      <c r="F217" s="1613">
        <v>-971.68</v>
      </c>
      <c r="G217" s="1613">
        <f t="shared" ref="G217:G280" si="77">E217+F217</f>
        <v>0</v>
      </c>
      <c r="H217" s="1578">
        <v>2010</v>
      </c>
      <c r="I217" s="1662">
        <f t="shared" ref="I217:I280" si="78">IF(H217=2015,0.5,2015.5-H217)</f>
        <v>5.5</v>
      </c>
      <c r="J217" s="1663">
        <v>36</v>
      </c>
      <c r="K217" s="1664">
        <f t="shared" ref="K217:K280" si="79">1/J217*12</f>
        <v>0.33333333333333331</v>
      </c>
      <c r="L217" s="1613">
        <f t="shared" ref="L217:L280" si="80">IF(I217&lt;(J217/12),E217*K217,0)</f>
        <v>0</v>
      </c>
      <c r="M217" s="1613">
        <f t="shared" ref="M217:M280" si="81">E217</f>
        <v>971.68</v>
      </c>
      <c r="N217" s="1613">
        <f t="shared" si="70"/>
        <v>-971.68</v>
      </c>
      <c r="O217" s="1652">
        <f t="shared" ref="O217:O280" si="82">M217+N217</f>
        <v>0</v>
      </c>
      <c r="P217" s="1653">
        <f t="shared" ref="P217:P280" si="83">IF(O217&gt;0,IF(O217&lt;$K217,-$L217,N217-$K217),O217)</f>
        <v>0</v>
      </c>
      <c r="Q217" s="1653">
        <f t="shared" ref="Q217:Q280" si="84">IF(P217&lt;0,$L217+P217,O217)</f>
        <v>0</v>
      </c>
      <c r="R217" s="1653">
        <f t="shared" ref="R217:R280" si="85">IF(Q217&gt;0,IF(Q217&lt;$K217,-$L217,P217-$K217),Q217)</f>
        <v>0</v>
      </c>
      <c r="S217" s="1653">
        <f t="shared" ref="S217:S280" si="86">IF(R217&lt;0,$L217+R217,Q217)</f>
        <v>0</v>
      </c>
      <c r="T217" s="1653">
        <f t="shared" si="71"/>
        <v>0</v>
      </c>
      <c r="U217" s="1653">
        <f t="shared" si="72"/>
        <v>0</v>
      </c>
      <c r="V217" s="1653">
        <f t="shared" si="73"/>
        <v>0</v>
      </c>
      <c r="W217" s="1653">
        <f t="shared" si="74"/>
        <v>0</v>
      </c>
      <c r="X217" s="1653">
        <f t="shared" si="75"/>
        <v>0</v>
      </c>
      <c r="Y217" s="1653">
        <f t="shared" si="76"/>
        <v>0</v>
      </c>
    </row>
    <row r="218" spans="1:25" ht="15" hidden="1" outlineLevel="1">
      <c r="A218" s="1615">
        <v>210</v>
      </c>
      <c r="C218" s="1651" t="s">
        <v>2728</v>
      </c>
      <c r="D218" s="1651" t="s">
        <v>2729</v>
      </c>
      <c r="E218" s="1613">
        <v>971.68</v>
      </c>
      <c r="F218" s="1613">
        <v>-971.68</v>
      </c>
      <c r="G218" s="1613">
        <f t="shared" si="77"/>
        <v>0</v>
      </c>
      <c r="H218" s="1578">
        <v>2010</v>
      </c>
      <c r="I218" s="1662">
        <f t="shared" si="78"/>
        <v>5.5</v>
      </c>
      <c r="J218" s="1663">
        <v>36</v>
      </c>
      <c r="K218" s="1664">
        <f t="shared" si="79"/>
        <v>0.33333333333333331</v>
      </c>
      <c r="L218" s="1613">
        <f t="shared" si="80"/>
        <v>0</v>
      </c>
      <c r="M218" s="1613">
        <f t="shared" si="81"/>
        <v>971.68</v>
      </c>
      <c r="N218" s="1613">
        <f t="shared" si="70"/>
        <v>-971.68</v>
      </c>
      <c r="O218" s="1652">
        <f t="shared" si="82"/>
        <v>0</v>
      </c>
      <c r="P218" s="1653">
        <f t="shared" si="83"/>
        <v>0</v>
      </c>
      <c r="Q218" s="1653">
        <f t="shared" si="84"/>
        <v>0</v>
      </c>
      <c r="R218" s="1653">
        <f t="shared" si="85"/>
        <v>0</v>
      </c>
      <c r="S218" s="1653">
        <f t="shared" si="86"/>
        <v>0</v>
      </c>
      <c r="T218" s="1653">
        <f t="shared" si="71"/>
        <v>0</v>
      </c>
      <c r="U218" s="1653">
        <f t="shared" si="72"/>
        <v>0</v>
      </c>
      <c r="V218" s="1653">
        <f t="shared" si="73"/>
        <v>0</v>
      </c>
      <c r="W218" s="1653">
        <f t="shared" si="74"/>
        <v>0</v>
      </c>
      <c r="X218" s="1653">
        <f t="shared" si="75"/>
        <v>0</v>
      </c>
      <c r="Y218" s="1653">
        <f t="shared" si="76"/>
        <v>0</v>
      </c>
    </row>
    <row r="219" spans="1:25" ht="15" hidden="1" outlineLevel="1">
      <c r="A219" s="1615">
        <v>211</v>
      </c>
      <c r="C219" s="1651" t="s">
        <v>2730</v>
      </c>
      <c r="D219" s="1651" t="s">
        <v>2731</v>
      </c>
      <c r="E219" s="1613">
        <v>1167.45</v>
      </c>
      <c r="F219" s="1613">
        <v>-1167.45</v>
      </c>
      <c r="G219" s="1613">
        <f t="shared" si="77"/>
        <v>0</v>
      </c>
      <c r="H219" s="1578">
        <v>2010</v>
      </c>
      <c r="I219" s="1662">
        <f t="shared" si="78"/>
        <v>5.5</v>
      </c>
      <c r="J219" s="1663">
        <v>36</v>
      </c>
      <c r="K219" s="1664">
        <f t="shared" si="79"/>
        <v>0.33333333333333331</v>
      </c>
      <c r="L219" s="1613">
        <f t="shared" si="80"/>
        <v>0</v>
      </c>
      <c r="M219" s="1613">
        <f t="shared" si="81"/>
        <v>1167.45</v>
      </c>
      <c r="N219" s="1613">
        <f t="shared" si="70"/>
        <v>-1167.45</v>
      </c>
      <c r="O219" s="1652">
        <f t="shared" si="82"/>
        <v>0</v>
      </c>
      <c r="P219" s="1653">
        <f t="shared" si="83"/>
        <v>0</v>
      </c>
      <c r="Q219" s="1653">
        <f t="shared" si="84"/>
        <v>0</v>
      </c>
      <c r="R219" s="1653">
        <f t="shared" si="85"/>
        <v>0</v>
      </c>
      <c r="S219" s="1653">
        <f t="shared" si="86"/>
        <v>0</v>
      </c>
      <c r="T219" s="1653">
        <f t="shared" si="71"/>
        <v>0</v>
      </c>
      <c r="U219" s="1653">
        <f t="shared" si="72"/>
        <v>0</v>
      </c>
      <c r="V219" s="1653">
        <f t="shared" si="73"/>
        <v>0</v>
      </c>
      <c r="W219" s="1653">
        <f t="shared" si="74"/>
        <v>0</v>
      </c>
      <c r="X219" s="1653">
        <f t="shared" si="75"/>
        <v>0</v>
      </c>
      <c r="Y219" s="1653">
        <f t="shared" si="76"/>
        <v>0</v>
      </c>
    </row>
    <row r="220" spans="1:25" ht="15" hidden="1" outlineLevel="1">
      <c r="A220" s="1615">
        <v>212</v>
      </c>
      <c r="C220" s="1651" t="s">
        <v>2732</v>
      </c>
      <c r="D220" s="1651" t="s">
        <v>2733</v>
      </c>
      <c r="E220" s="1613">
        <v>1194.72</v>
      </c>
      <c r="F220" s="1613">
        <v>-1194.72</v>
      </c>
      <c r="G220" s="1613">
        <f t="shared" si="77"/>
        <v>0</v>
      </c>
      <c r="H220" s="1578">
        <v>2010</v>
      </c>
      <c r="I220" s="1662">
        <f t="shared" si="78"/>
        <v>5.5</v>
      </c>
      <c r="J220" s="1663">
        <v>36</v>
      </c>
      <c r="K220" s="1664">
        <f t="shared" si="79"/>
        <v>0.33333333333333331</v>
      </c>
      <c r="L220" s="1613">
        <f t="shared" si="80"/>
        <v>0</v>
      </c>
      <c r="M220" s="1613">
        <f t="shared" si="81"/>
        <v>1194.72</v>
      </c>
      <c r="N220" s="1613">
        <f t="shared" si="70"/>
        <v>-1194.72</v>
      </c>
      <c r="O220" s="1652">
        <f t="shared" si="82"/>
        <v>0</v>
      </c>
      <c r="P220" s="1653">
        <f t="shared" si="83"/>
        <v>0</v>
      </c>
      <c r="Q220" s="1653">
        <f t="shared" si="84"/>
        <v>0</v>
      </c>
      <c r="R220" s="1653">
        <f t="shared" si="85"/>
        <v>0</v>
      </c>
      <c r="S220" s="1653">
        <f t="shared" si="86"/>
        <v>0</v>
      </c>
      <c r="T220" s="1653">
        <f t="shared" si="71"/>
        <v>0</v>
      </c>
      <c r="U220" s="1653">
        <f t="shared" si="72"/>
        <v>0</v>
      </c>
      <c r="V220" s="1653">
        <f t="shared" si="73"/>
        <v>0</v>
      </c>
      <c r="W220" s="1653">
        <f t="shared" si="74"/>
        <v>0</v>
      </c>
      <c r="X220" s="1653">
        <f t="shared" si="75"/>
        <v>0</v>
      </c>
      <c r="Y220" s="1653">
        <f t="shared" si="76"/>
        <v>0</v>
      </c>
    </row>
    <row r="221" spans="1:25" ht="15" hidden="1" outlineLevel="1">
      <c r="A221" s="1615">
        <v>213</v>
      </c>
      <c r="C221" s="1651" t="s">
        <v>2734</v>
      </c>
      <c r="D221" s="1651" t="s">
        <v>2733</v>
      </c>
      <c r="E221" s="1613">
        <v>1293.3399999999999</v>
      </c>
      <c r="F221" s="1613">
        <v>-1293.3399999999999</v>
      </c>
      <c r="G221" s="1613">
        <f t="shared" si="77"/>
        <v>0</v>
      </c>
      <c r="H221" s="1578">
        <v>2010</v>
      </c>
      <c r="I221" s="1662">
        <f t="shared" si="78"/>
        <v>5.5</v>
      </c>
      <c r="J221" s="1663">
        <v>36</v>
      </c>
      <c r="K221" s="1664">
        <f t="shared" si="79"/>
        <v>0.33333333333333331</v>
      </c>
      <c r="L221" s="1613">
        <f t="shared" si="80"/>
        <v>0</v>
      </c>
      <c r="M221" s="1613">
        <f t="shared" si="81"/>
        <v>1293.3399999999999</v>
      </c>
      <c r="N221" s="1613">
        <f t="shared" si="70"/>
        <v>-1293.3399999999999</v>
      </c>
      <c r="O221" s="1652">
        <f t="shared" si="82"/>
        <v>0</v>
      </c>
      <c r="P221" s="1653">
        <f t="shared" si="83"/>
        <v>0</v>
      </c>
      <c r="Q221" s="1653">
        <f t="shared" si="84"/>
        <v>0</v>
      </c>
      <c r="R221" s="1653">
        <f t="shared" si="85"/>
        <v>0</v>
      </c>
      <c r="S221" s="1653">
        <f t="shared" si="86"/>
        <v>0</v>
      </c>
      <c r="T221" s="1653">
        <f t="shared" si="71"/>
        <v>0</v>
      </c>
      <c r="U221" s="1653">
        <f t="shared" si="72"/>
        <v>0</v>
      </c>
      <c r="V221" s="1653">
        <f t="shared" si="73"/>
        <v>0</v>
      </c>
      <c r="W221" s="1653">
        <f t="shared" si="74"/>
        <v>0</v>
      </c>
      <c r="X221" s="1653">
        <f t="shared" si="75"/>
        <v>0</v>
      </c>
      <c r="Y221" s="1653">
        <f t="shared" si="76"/>
        <v>0</v>
      </c>
    </row>
    <row r="222" spans="1:25" ht="15" hidden="1" outlineLevel="1">
      <c r="A222" s="1615">
        <v>214</v>
      </c>
      <c r="C222" s="1651" t="s">
        <v>2735</v>
      </c>
      <c r="D222" s="1651" t="s">
        <v>2736</v>
      </c>
      <c r="E222" s="1613">
        <v>2489.58</v>
      </c>
      <c r="F222" s="1613">
        <v>-2489.58</v>
      </c>
      <c r="G222" s="1613">
        <f t="shared" si="77"/>
        <v>0</v>
      </c>
      <c r="H222" s="1578">
        <v>2010</v>
      </c>
      <c r="I222" s="1662">
        <f t="shared" si="78"/>
        <v>5.5</v>
      </c>
      <c r="J222" s="1663">
        <v>36</v>
      </c>
      <c r="K222" s="1664">
        <f t="shared" si="79"/>
        <v>0.33333333333333331</v>
      </c>
      <c r="L222" s="1613">
        <f t="shared" si="80"/>
        <v>0</v>
      </c>
      <c r="M222" s="1613">
        <f t="shared" si="81"/>
        <v>2489.58</v>
      </c>
      <c r="N222" s="1613">
        <f t="shared" si="70"/>
        <v>-2489.58</v>
      </c>
      <c r="O222" s="1652">
        <f t="shared" si="82"/>
        <v>0</v>
      </c>
      <c r="P222" s="1653">
        <f t="shared" si="83"/>
        <v>0</v>
      </c>
      <c r="Q222" s="1653">
        <f t="shared" si="84"/>
        <v>0</v>
      </c>
      <c r="R222" s="1653">
        <f t="shared" si="85"/>
        <v>0</v>
      </c>
      <c r="S222" s="1653">
        <f t="shared" si="86"/>
        <v>0</v>
      </c>
      <c r="T222" s="1653">
        <f t="shared" si="71"/>
        <v>0</v>
      </c>
      <c r="U222" s="1653">
        <f t="shared" si="72"/>
        <v>0</v>
      </c>
      <c r="V222" s="1653">
        <f t="shared" si="73"/>
        <v>0</v>
      </c>
      <c r="W222" s="1653">
        <f t="shared" si="74"/>
        <v>0</v>
      </c>
      <c r="X222" s="1653">
        <f t="shared" si="75"/>
        <v>0</v>
      </c>
      <c r="Y222" s="1653">
        <f t="shared" si="76"/>
        <v>0</v>
      </c>
    </row>
    <row r="223" spans="1:25" ht="15" hidden="1" outlineLevel="1">
      <c r="A223" s="1615">
        <v>215</v>
      </c>
      <c r="C223" s="1651" t="s">
        <v>2737</v>
      </c>
      <c r="D223" s="1651" t="s">
        <v>2465</v>
      </c>
      <c r="E223" s="1613">
        <v>1320.12</v>
      </c>
      <c r="F223" s="1613">
        <v>-1320.12</v>
      </c>
      <c r="G223" s="1613">
        <f t="shared" si="77"/>
        <v>0</v>
      </c>
      <c r="H223" s="1578">
        <v>2011</v>
      </c>
      <c r="I223" s="1662">
        <f t="shared" si="78"/>
        <v>4.5</v>
      </c>
      <c r="J223" s="1663">
        <v>36</v>
      </c>
      <c r="K223" s="1664">
        <f t="shared" si="79"/>
        <v>0.33333333333333331</v>
      </c>
      <c r="L223" s="1613">
        <f t="shared" si="80"/>
        <v>0</v>
      </c>
      <c r="M223" s="1613">
        <f t="shared" si="81"/>
        <v>1320.12</v>
      </c>
      <c r="N223" s="1613">
        <f t="shared" si="70"/>
        <v>-1320.12</v>
      </c>
      <c r="O223" s="1652">
        <f t="shared" si="82"/>
        <v>0</v>
      </c>
      <c r="P223" s="1653">
        <f t="shared" si="83"/>
        <v>0</v>
      </c>
      <c r="Q223" s="1653">
        <f t="shared" si="84"/>
        <v>0</v>
      </c>
      <c r="R223" s="1653">
        <f t="shared" si="85"/>
        <v>0</v>
      </c>
      <c r="S223" s="1653">
        <f t="shared" si="86"/>
        <v>0</v>
      </c>
      <c r="T223" s="1653">
        <f t="shared" si="71"/>
        <v>0</v>
      </c>
      <c r="U223" s="1653">
        <f t="shared" si="72"/>
        <v>0</v>
      </c>
      <c r="V223" s="1653">
        <f t="shared" si="73"/>
        <v>0</v>
      </c>
      <c r="W223" s="1653">
        <f t="shared" si="74"/>
        <v>0</v>
      </c>
      <c r="X223" s="1653">
        <f t="shared" si="75"/>
        <v>0</v>
      </c>
      <c r="Y223" s="1653">
        <f t="shared" si="76"/>
        <v>0</v>
      </c>
    </row>
    <row r="224" spans="1:25" ht="15" hidden="1" outlineLevel="1">
      <c r="A224" s="1615">
        <v>216</v>
      </c>
      <c r="C224" s="1651" t="s">
        <v>2738</v>
      </c>
      <c r="D224" s="1651" t="s">
        <v>2739</v>
      </c>
      <c r="E224" s="1613">
        <v>5200</v>
      </c>
      <c r="F224" s="1613">
        <v>-5200</v>
      </c>
      <c r="G224" s="1613">
        <f t="shared" si="77"/>
        <v>0</v>
      </c>
      <c r="H224" s="1578">
        <v>2011</v>
      </c>
      <c r="I224" s="1662">
        <f t="shared" si="78"/>
        <v>4.5</v>
      </c>
      <c r="J224" s="1663">
        <v>36</v>
      </c>
      <c r="K224" s="1664">
        <f t="shared" si="79"/>
        <v>0.33333333333333331</v>
      </c>
      <c r="L224" s="1613">
        <f t="shared" si="80"/>
        <v>0</v>
      </c>
      <c r="M224" s="1613">
        <f t="shared" si="81"/>
        <v>5200</v>
      </c>
      <c r="N224" s="1613">
        <f t="shared" si="70"/>
        <v>-5200</v>
      </c>
      <c r="O224" s="1652">
        <f t="shared" si="82"/>
        <v>0</v>
      </c>
      <c r="P224" s="1653">
        <f t="shared" si="83"/>
        <v>0</v>
      </c>
      <c r="Q224" s="1653">
        <f t="shared" si="84"/>
        <v>0</v>
      </c>
      <c r="R224" s="1653">
        <f t="shared" si="85"/>
        <v>0</v>
      </c>
      <c r="S224" s="1653">
        <f t="shared" si="86"/>
        <v>0</v>
      </c>
      <c r="T224" s="1653">
        <f t="shared" si="71"/>
        <v>0</v>
      </c>
      <c r="U224" s="1653">
        <f t="shared" si="72"/>
        <v>0</v>
      </c>
      <c r="V224" s="1653">
        <f t="shared" si="73"/>
        <v>0</v>
      </c>
      <c r="W224" s="1653">
        <f t="shared" si="74"/>
        <v>0</v>
      </c>
      <c r="X224" s="1653">
        <f t="shared" si="75"/>
        <v>0</v>
      </c>
      <c r="Y224" s="1653">
        <f t="shared" si="76"/>
        <v>0</v>
      </c>
    </row>
    <row r="225" spans="1:25" ht="15" hidden="1" outlineLevel="1">
      <c r="A225" s="1615">
        <v>217</v>
      </c>
      <c r="C225" s="1651" t="s">
        <v>2740</v>
      </c>
      <c r="D225" s="1651" t="s">
        <v>2618</v>
      </c>
      <c r="E225" s="1613">
        <v>1375</v>
      </c>
      <c r="F225" s="1613">
        <v>-1375</v>
      </c>
      <c r="G225" s="1613">
        <f t="shared" si="77"/>
        <v>0</v>
      </c>
      <c r="H225" s="1578">
        <v>2011</v>
      </c>
      <c r="I225" s="1662">
        <f t="shared" si="78"/>
        <v>4.5</v>
      </c>
      <c r="J225" s="1663">
        <v>36</v>
      </c>
      <c r="K225" s="1664">
        <f t="shared" si="79"/>
        <v>0.33333333333333331</v>
      </c>
      <c r="L225" s="1613">
        <f t="shared" si="80"/>
        <v>0</v>
      </c>
      <c r="M225" s="1613">
        <f t="shared" si="81"/>
        <v>1375</v>
      </c>
      <c r="N225" s="1613">
        <f t="shared" si="70"/>
        <v>-1375</v>
      </c>
      <c r="O225" s="1652">
        <f t="shared" si="82"/>
        <v>0</v>
      </c>
      <c r="P225" s="1653">
        <f t="shared" si="83"/>
        <v>0</v>
      </c>
      <c r="Q225" s="1653">
        <f t="shared" si="84"/>
        <v>0</v>
      </c>
      <c r="R225" s="1653">
        <f t="shared" si="85"/>
        <v>0</v>
      </c>
      <c r="S225" s="1653">
        <f t="shared" si="86"/>
        <v>0</v>
      </c>
      <c r="T225" s="1653">
        <f t="shared" si="71"/>
        <v>0</v>
      </c>
      <c r="U225" s="1653">
        <f t="shared" si="72"/>
        <v>0</v>
      </c>
      <c r="V225" s="1653">
        <f t="shared" si="73"/>
        <v>0</v>
      </c>
      <c r="W225" s="1653">
        <f t="shared" si="74"/>
        <v>0</v>
      </c>
      <c r="X225" s="1653">
        <f t="shared" si="75"/>
        <v>0</v>
      </c>
      <c r="Y225" s="1653">
        <f t="shared" si="76"/>
        <v>0</v>
      </c>
    </row>
    <row r="226" spans="1:25" ht="15" hidden="1" outlineLevel="1">
      <c r="A226" s="1615">
        <v>218</v>
      </c>
      <c r="C226" s="1651" t="s">
        <v>2741</v>
      </c>
      <c r="D226" s="1651" t="s">
        <v>2742</v>
      </c>
      <c r="E226" s="1613">
        <v>2641.37</v>
      </c>
      <c r="F226" s="1613">
        <v>-2641.37</v>
      </c>
      <c r="G226" s="1613">
        <f t="shared" si="77"/>
        <v>0</v>
      </c>
      <c r="H226" s="1578">
        <v>2011</v>
      </c>
      <c r="I226" s="1662">
        <f t="shared" si="78"/>
        <v>4.5</v>
      </c>
      <c r="J226" s="1663">
        <v>36</v>
      </c>
      <c r="K226" s="1664">
        <f t="shared" si="79"/>
        <v>0.33333333333333331</v>
      </c>
      <c r="L226" s="1613">
        <f t="shared" si="80"/>
        <v>0</v>
      </c>
      <c r="M226" s="1613">
        <f t="shared" si="81"/>
        <v>2641.37</v>
      </c>
      <c r="N226" s="1613">
        <f t="shared" si="70"/>
        <v>-2641.37</v>
      </c>
      <c r="O226" s="1652">
        <f t="shared" si="82"/>
        <v>0</v>
      </c>
      <c r="P226" s="1653">
        <f t="shared" si="83"/>
        <v>0</v>
      </c>
      <c r="Q226" s="1653">
        <f t="shared" si="84"/>
        <v>0</v>
      </c>
      <c r="R226" s="1653">
        <f t="shared" si="85"/>
        <v>0</v>
      </c>
      <c r="S226" s="1653">
        <f t="shared" si="86"/>
        <v>0</v>
      </c>
      <c r="T226" s="1653">
        <f t="shared" si="71"/>
        <v>0</v>
      </c>
      <c r="U226" s="1653">
        <f t="shared" si="72"/>
        <v>0</v>
      </c>
      <c r="V226" s="1653">
        <f t="shared" si="73"/>
        <v>0</v>
      </c>
      <c r="W226" s="1653">
        <f t="shared" si="74"/>
        <v>0</v>
      </c>
      <c r="X226" s="1653">
        <f t="shared" si="75"/>
        <v>0</v>
      </c>
      <c r="Y226" s="1653">
        <f t="shared" si="76"/>
        <v>0</v>
      </c>
    </row>
    <row r="227" spans="1:25" ht="15" hidden="1" outlineLevel="1">
      <c r="A227" s="1615">
        <v>219</v>
      </c>
      <c r="C227" s="1651" t="s">
        <v>2743</v>
      </c>
      <c r="D227" s="1651" t="s">
        <v>2742</v>
      </c>
      <c r="E227" s="1613">
        <v>1315.12</v>
      </c>
      <c r="F227" s="1613">
        <v>-1315.12</v>
      </c>
      <c r="G227" s="1613">
        <f t="shared" si="77"/>
        <v>0</v>
      </c>
      <c r="H227" s="1578">
        <v>2011</v>
      </c>
      <c r="I227" s="1662">
        <f t="shared" si="78"/>
        <v>4.5</v>
      </c>
      <c r="J227" s="1663">
        <v>36</v>
      </c>
      <c r="K227" s="1664">
        <f t="shared" si="79"/>
        <v>0.33333333333333331</v>
      </c>
      <c r="L227" s="1613">
        <f t="shared" si="80"/>
        <v>0</v>
      </c>
      <c r="M227" s="1613">
        <f t="shared" si="81"/>
        <v>1315.12</v>
      </c>
      <c r="N227" s="1613">
        <f t="shared" si="70"/>
        <v>-1315.12</v>
      </c>
      <c r="O227" s="1652">
        <f t="shared" si="82"/>
        <v>0</v>
      </c>
      <c r="P227" s="1653">
        <f t="shared" si="83"/>
        <v>0</v>
      </c>
      <c r="Q227" s="1653">
        <f t="shared" si="84"/>
        <v>0</v>
      </c>
      <c r="R227" s="1653">
        <f t="shared" si="85"/>
        <v>0</v>
      </c>
      <c r="S227" s="1653">
        <f t="shared" si="86"/>
        <v>0</v>
      </c>
      <c r="T227" s="1653">
        <f t="shared" si="71"/>
        <v>0</v>
      </c>
      <c r="U227" s="1653">
        <f t="shared" si="72"/>
        <v>0</v>
      </c>
      <c r="V227" s="1653">
        <f t="shared" si="73"/>
        <v>0</v>
      </c>
      <c r="W227" s="1653">
        <f t="shared" si="74"/>
        <v>0</v>
      </c>
      <c r="X227" s="1653">
        <f t="shared" si="75"/>
        <v>0</v>
      </c>
      <c r="Y227" s="1653">
        <f t="shared" si="76"/>
        <v>0</v>
      </c>
    </row>
    <row r="228" spans="1:25" ht="15" hidden="1" outlineLevel="1">
      <c r="A228" s="1615">
        <v>220</v>
      </c>
      <c r="C228" s="1651" t="s">
        <v>2744</v>
      </c>
      <c r="D228" s="1651" t="s">
        <v>2745</v>
      </c>
      <c r="E228" s="1613">
        <v>1363.33</v>
      </c>
      <c r="F228" s="1613">
        <v>-1363.33</v>
      </c>
      <c r="G228" s="1613">
        <f t="shared" si="77"/>
        <v>0</v>
      </c>
      <c r="H228" s="1578">
        <v>2011</v>
      </c>
      <c r="I228" s="1662">
        <f t="shared" si="78"/>
        <v>4.5</v>
      </c>
      <c r="J228" s="1663">
        <v>36</v>
      </c>
      <c r="K228" s="1664">
        <f t="shared" si="79"/>
        <v>0.33333333333333331</v>
      </c>
      <c r="L228" s="1613">
        <f t="shared" si="80"/>
        <v>0</v>
      </c>
      <c r="M228" s="1613">
        <f t="shared" si="81"/>
        <v>1363.33</v>
      </c>
      <c r="N228" s="1613">
        <f t="shared" si="70"/>
        <v>-1363.33</v>
      </c>
      <c r="O228" s="1652">
        <f t="shared" si="82"/>
        <v>0</v>
      </c>
      <c r="P228" s="1653">
        <f t="shared" si="83"/>
        <v>0</v>
      </c>
      <c r="Q228" s="1653">
        <f t="shared" si="84"/>
        <v>0</v>
      </c>
      <c r="R228" s="1653">
        <f t="shared" si="85"/>
        <v>0</v>
      </c>
      <c r="S228" s="1653">
        <f t="shared" si="86"/>
        <v>0</v>
      </c>
      <c r="T228" s="1653">
        <f t="shared" si="71"/>
        <v>0</v>
      </c>
      <c r="U228" s="1653">
        <f t="shared" si="72"/>
        <v>0</v>
      </c>
      <c r="V228" s="1653">
        <f t="shared" si="73"/>
        <v>0</v>
      </c>
      <c r="W228" s="1653">
        <f t="shared" si="74"/>
        <v>0</v>
      </c>
      <c r="X228" s="1653">
        <f t="shared" si="75"/>
        <v>0</v>
      </c>
      <c r="Y228" s="1653">
        <f t="shared" si="76"/>
        <v>0</v>
      </c>
    </row>
    <row r="229" spans="1:25" ht="15" hidden="1" outlineLevel="1">
      <c r="A229" s="1615">
        <v>221</v>
      </c>
      <c r="C229" s="1651" t="s">
        <v>2746</v>
      </c>
      <c r="D229" s="1651" t="s">
        <v>2745</v>
      </c>
      <c r="E229" s="1613">
        <v>1365.12</v>
      </c>
      <c r="F229" s="1613">
        <v>-1365.12</v>
      </c>
      <c r="G229" s="1613">
        <f t="shared" si="77"/>
        <v>0</v>
      </c>
      <c r="H229" s="1578">
        <v>2011</v>
      </c>
      <c r="I229" s="1662">
        <f t="shared" si="78"/>
        <v>4.5</v>
      </c>
      <c r="J229" s="1663">
        <v>36</v>
      </c>
      <c r="K229" s="1664">
        <f t="shared" si="79"/>
        <v>0.33333333333333331</v>
      </c>
      <c r="L229" s="1613">
        <f t="shared" si="80"/>
        <v>0</v>
      </c>
      <c r="M229" s="1613">
        <f t="shared" si="81"/>
        <v>1365.12</v>
      </c>
      <c r="N229" s="1613">
        <f t="shared" si="70"/>
        <v>-1365.12</v>
      </c>
      <c r="O229" s="1652">
        <f t="shared" si="82"/>
        <v>0</v>
      </c>
      <c r="P229" s="1653">
        <f t="shared" si="83"/>
        <v>0</v>
      </c>
      <c r="Q229" s="1653">
        <f t="shared" si="84"/>
        <v>0</v>
      </c>
      <c r="R229" s="1653">
        <f t="shared" si="85"/>
        <v>0</v>
      </c>
      <c r="S229" s="1653">
        <f t="shared" si="86"/>
        <v>0</v>
      </c>
      <c r="T229" s="1653">
        <f t="shared" si="71"/>
        <v>0</v>
      </c>
      <c r="U229" s="1653">
        <f t="shared" si="72"/>
        <v>0</v>
      </c>
      <c r="V229" s="1653">
        <f t="shared" si="73"/>
        <v>0</v>
      </c>
      <c r="W229" s="1653">
        <f t="shared" si="74"/>
        <v>0</v>
      </c>
      <c r="X229" s="1653">
        <f t="shared" si="75"/>
        <v>0</v>
      </c>
      <c r="Y229" s="1653">
        <f t="shared" si="76"/>
        <v>0</v>
      </c>
    </row>
    <row r="230" spans="1:25" ht="15" hidden="1" outlineLevel="1">
      <c r="A230" s="1615">
        <v>222</v>
      </c>
      <c r="C230" s="1651" t="s">
        <v>2747</v>
      </c>
      <c r="D230" s="1651" t="s">
        <v>2748</v>
      </c>
      <c r="E230" s="1613">
        <v>2649.56</v>
      </c>
      <c r="F230" s="1613">
        <v>-2649.56</v>
      </c>
      <c r="G230" s="1613">
        <f t="shared" si="77"/>
        <v>0</v>
      </c>
      <c r="H230" s="1578">
        <v>2011</v>
      </c>
      <c r="I230" s="1662">
        <f t="shared" si="78"/>
        <v>4.5</v>
      </c>
      <c r="J230" s="1663">
        <v>36</v>
      </c>
      <c r="K230" s="1664">
        <f t="shared" si="79"/>
        <v>0.33333333333333331</v>
      </c>
      <c r="L230" s="1613">
        <f t="shared" si="80"/>
        <v>0</v>
      </c>
      <c r="M230" s="1613">
        <f t="shared" si="81"/>
        <v>2649.56</v>
      </c>
      <c r="N230" s="1613">
        <f t="shared" si="70"/>
        <v>-2649.56</v>
      </c>
      <c r="O230" s="1652">
        <f t="shared" si="82"/>
        <v>0</v>
      </c>
      <c r="P230" s="1653">
        <f t="shared" si="83"/>
        <v>0</v>
      </c>
      <c r="Q230" s="1653">
        <f t="shared" si="84"/>
        <v>0</v>
      </c>
      <c r="R230" s="1653">
        <f t="shared" si="85"/>
        <v>0</v>
      </c>
      <c r="S230" s="1653">
        <f t="shared" si="86"/>
        <v>0</v>
      </c>
      <c r="T230" s="1653">
        <f t="shared" si="71"/>
        <v>0</v>
      </c>
      <c r="U230" s="1653">
        <f t="shared" si="72"/>
        <v>0</v>
      </c>
      <c r="V230" s="1653">
        <f t="shared" si="73"/>
        <v>0</v>
      </c>
      <c r="W230" s="1653">
        <f t="shared" si="74"/>
        <v>0</v>
      </c>
      <c r="X230" s="1653">
        <f t="shared" si="75"/>
        <v>0</v>
      </c>
      <c r="Y230" s="1653">
        <f t="shared" si="76"/>
        <v>0</v>
      </c>
    </row>
    <row r="231" spans="1:25" ht="15" hidden="1" outlineLevel="1">
      <c r="A231" s="1615">
        <v>223</v>
      </c>
      <c r="C231" s="1651" t="s">
        <v>2749</v>
      </c>
      <c r="D231" s="1651" t="s">
        <v>2750</v>
      </c>
      <c r="E231" s="1613">
        <v>1375</v>
      </c>
      <c r="F231" s="1613">
        <v>-1375</v>
      </c>
      <c r="G231" s="1613">
        <f t="shared" si="77"/>
        <v>0</v>
      </c>
      <c r="H231" s="1578">
        <v>2011</v>
      </c>
      <c r="I231" s="1662">
        <f t="shared" si="78"/>
        <v>4.5</v>
      </c>
      <c r="J231" s="1663">
        <v>36</v>
      </c>
      <c r="K231" s="1664">
        <f t="shared" si="79"/>
        <v>0.33333333333333331</v>
      </c>
      <c r="L231" s="1613">
        <f t="shared" si="80"/>
        <v>0</v>
      </c>
      <c r="M231" s="1613">
        <f t="shared" si="81"/>
        <v>1375</v>
      </c>
      <c r="N231" s="1613">
        <f t="shared" si="70"/>
        <v>-1375</v>
      </c>
      <c r="O231" s="1652">
        <f t="shared" si="82"/>
        <v>0</v>
      </c>
      <c r="P231" s="1653">
        <f t="shared" si="83"/>
        <v>0</v>
      </c>
      <c r="Q231" s="1653">
        <f t="shared" si="84"/>
        <v>0</v>
      </c>
      <c r="R231" s="1653">
        <f t="shared" si="85"/>
        <v>0</v>
      </c>
      <c r="S231" s="1653">
        <f t="shared" si="86"/>
        <v>0</v>
      </c>
      <c r="T231" s="1653">
        <f t="shared" si="71"/>
        <v>0</v>
      </c>
      <c r="U231" s="1653">
        <f t="shared" si="72"/>
        <v>0</v>
      </c>
      <c r="V231" s="1653">
        <f t="shared" si="73"/>
        <v>0</v>
      </c>
      <c r="W231" s="1653">
        <f t="shared" si="74"/>
        <v>0</v>
      </c>
      <c r="X231" s="1653">
        <f t="shared" si="75"/>
        <v>0</v>
      </c>
      <c r="Y231" s="1653">
        <f t="shared" si="76"/>
        <v>0</v>
      </c>
    </row>
    <row r="232" spans="1:25" ht="15" hidden="1" outlineLevel="1">
      <c r="A232" s="1615">
        <v>224</v>
      </c>
      <c r="C232" s="1651" t="s">
        <v>2751</v>
      </c>
      <c r="D232" s="1651" t="s">
        <v>2752</v>
      </c>
      <c r="E232" s="1613">
        <v>1242.44</v>
      </c>
      <c r="F232" s="1613">
        <v>-1242.44</v>
      </c>
      <c r="G232" s="1613">
        <f t="shared" si="77"/>
        <v>0</v>
      </c>
      <c r="H232" s="1578">
        <v>2011</v>
      </c>
      <c r="I232" s="1662">
        <f t="shared" si="78"/>
        <v>4.5</v>
      </c>
      <c r="J232" s="1663">
        <v>36</v>
      </c>
      <c r="K232" s="1664">
        <f t="shared" si="79"/>
        <v>0.33333333333333331</v>
      </c>
      <c r="L232" s="1613">
        <f t="shared" si="80"/>
        <v>0</v>
      </c>
      <c r="M232" s="1613">
        <f t="shared" si="81"/>
        <v>1242.44</v>
      </c>
      <c r="N232" s="1613">
        <f t="shared" si="70"/>
        <v>-1242.44</v>
      </c>
      <c r="O232" s="1652">
        <f t="shared" si="82"/>
        <v>0</v>
      </c>
      <c r="P232" s="1653">
        <f t="shared" si="83"/>
        <v>0</v>
      </c>
      <c r="Q232" s="1653">
        <f t="shared" si="84"/>
        <v>0</v>
      </c>
      <c r="R232" s="1653">
        <f t="shared" si="85"/>
        <v>0</v>
      </c>
      <c r="S232" s="1653">
        <f t="shared" si="86"/>
        <v>0</v>
      </c>
      <c r="T232" s="1653">
        <f t="shared" si="71"/>
        <v>0</v>
      </c>
      <c r="U232" s="1653">
        <f t="shared" si="72"/>
        <v>0</v>
      </c>
      <c r="V232" s="1653">
        <f t="shared" si="73"/>
        <v>0</v>
      </c>
      <c r="W232" s="1653">
        <f t="shared" si="74"/>
        <v>0</v>
      </c>
      <c r="X232" s="1653">
        <f t="shared" si="75"/>
        <v>0</v>
      </c>
      <c r="Y232" s="1653">
        <f t="shared" si="76"/>
        <v>0</v>
      </c>
    </row>
    <row r="233" spans="1:25" ht="15" hidden="1" outlineLevel="1">
      <c r="A233" s="1615">
        <v>225</v>
      </c>
      <c r="C233" s="1651" t="s">
        <v>2753</v>
      </c>
      <c r="D233" s="1651" t="s">
        <v>2754</v>
      </c>
      <c r="E233" s="1613">
        <v>1266.8399999999999</v>
      </c>
      <c r="F233" s="1613">
        <v>-1266.8399999999999</v>
      </c>
      <c r="G233" s="1613">
        <f t="shared" si="77"/>
        <v>0</v>
      </c>
      <c r="H233" s="1578">
        <v>2011</v>
      </c>
      <c r="I233" s="1662">
        <f t="shared" si="78"/>
        <v>4.5</v>
      </c>
      <c r="J233" s="1663">
        <v>36</v>
      </c>
      <c r="K233" s="1664">
        <f t="shared" si="79"/>
        <v>0.33333333333333331</v>
      </c>
      <c r="L233" s="1613">
        <f t="shared" si="80"/>
        <v>0</v>
      </c>
      <c r="M233" s="1613">
        <f t="shared" si="81"/>
        <v>1266.8399999999999</v>
      </c>
      <c r="N233" s="1613">
        <f t="shared" si="70"/>
        <v>-1266.8399999999999</v>
      </c>
      <c r="O233" s="1652">
        <f t="shared" si="82"/>
        <v>0</v>
      </c>
      <c r="P233" s="1653">
        <f t="shared" si="83"/>
        <v>0</v>
      </c>
      <c r="Q233" s="1653">
        <f t="shared" si="84"/>
        <v>0</v>
      </c>
      <c r="R233" s="1653">
        <f t="shared" si="85"/>
        <v>0</v>
      </c>
      <c r="S233" s="1653">
        <f t="shared" si="86"/>
        <v>0</v>
      </c>
      <c r="T233" s="1653">
        <f t="shared" si="71"/>
        <v>0</v>
      </c>
      <c r="U233" s="1653">
        <f t="shared" si="72"/>
        <v>0</v>
      </c>
      <c r="V233" s="1653">
        <f t="shared" si="73"/>
        <v>0</v>
      </c>
      <c r="W233" s="1653">
        <f t="shared" si="74"/>
        <v>0</v>
      </c>
      <c r="X233" s="1653">
        <f t="shared" si="75"/>
        <v>0</v>
      </c>
      <c r="Y233" s="1653">
        <f t="shared" si="76"/>
        <v>0</v>
      </c>
    </row>
    <row r="234" spans="1:25" ht="15" hidden="1" outlineLevel="1">
      <c r="A234" s="1615">
        <v>226</v>
      </c>
      <c r="C234" s="1651" t="s">
        <v>2755</v>
      </c>
      <c r="D234" s="1651" t="s">
        <v>2756</v>
      </c>
      <c r="E234" s="1613">
        <v>2552.59</v>
      </c>
      <c r="F234" s="1613">
        <v>-2552.59</v>
      </c>
      <c r="G234" s="1613">
        <f t="shared" si="77"/>
        <v>0</v>
      </c>
      <c r="H234" s="1578">
        <v>2011</v>
      </c>
      <c r="I234" s="1662">
        <f t="shared" si="78"/>
        <v>4.5</v>
      </c>
      <c r="J234" s="1663">
        <v>36</v>
      </c>
      <c r="K234" s="1664">
        <f t="shared" si="79"/>
        <v>0.33333333333333331</v>
      </c>
      <c r="L234" s="1613">
        <f t="shared" si="80"/>
        <v>0</v>
      </c>
      <c r="M234" s="1613">
        <f t="shared" si="81"/>
        <v>2552.59</v>
      </c>
      <c r="N234" s="1613">
        <f t="shared" si="70"/>
        <v>-2552.59</v>
      </c>
      <c r="O234" s="1652">
        <f t="shared" si="82"/>
        <v>0</v>
      </c>
      <c r="P234" s="1653">
        <f t="shared" si="83"/>
        <v>0</v>
      </c>
      <c r="Q234" s="1653">
        <f t="shared" si="84"/>
        <v>0</v>
      </c>
      <c r="R234" s="1653">
        <f t="shared" si="85"/>
        <v>0</v>
      </c>
      <c r="S234" s="1653">
        <f t="shared" si="86"/>
        <v>0</v>
      </c>
      <c r="T234" s="1653">
        <f t="shared" si="71"/>
        <v>0</v>
      </c>
      <c r="U234" s="1653">
        <f t="shared" si="72"/>
        <v>0</v>
      </c>
      <c r="V234" s="1653">
        <f t="shared" si="73"/>
        <v>0</v>
      </c>
      <c r="W234" s="1653">
        <f t="shared" si="74"/>
        <v>0</v>
      </c>
      <c r="X234" s="1653">
        <f t="shared" si="75"/>
        <v>0</v>
      </c>
      <c r="Y234" s="1653">
        <f t="shared" si="76"/>
        <v>0</v>
      </c>
    </row>
    <row r="235" spans="1:25" ht="15" hidden="1" outlineLevel="1">
      <c r="A235" s="1615">
        <v>227</v>
      </c>
      <c r="C235" s="1651" t="s">
        <v>2757</v>
      </c>
      <c r="D235" s="1651" t="s">
        <v>2758</v>
      </c>
      <c r="E235" s="1613">
        <v>6847.73</v>
      </c>
      <c r="F235" s="1613">
        <v>-6847.73</v>
      </c>
      <c r="G235" s="1613">
        <f t="shared" si="77"/>
        <v>0</v>
      </c>
      <c r="H235" s="1578">
        <v>2011</v>
      </c>
      <c r="I235" s="1662">
        <f t="shared" si="78"/>
        <v>4.5</v>
      </c>
      <c r="J235" s="1663">
        <v>36</v>
      </c>
      <c r="K235" s="1664">
        <f t="shared" si="79"/>
        <v>0.33333333333333331</v>
      </c>
      <c r="L235" s="1613">
        <f t="shared" si="80"/>
        <v>0</v>
      </c>
      <c r="M235" s="1613">
        <f t="shared" si="81"/>
        <v>6847.73</v>
      </c>
      <c r="N235" s="1613">
        <f t="shared" si="70"/>
        <v>-6847.73</v>
      </c>
      <c r="O235" s="1652">
        <f t="shared" si="82"/>
        <v>0</v>
      </c>
      <c r="P235" s="1653">
        <f t="shared" si="83"/>
        <v>0</v>
      </c>
      <c r="Q235" s="1653">
        <f t="shared" si="84"/>
        <v>0</v>
      </c>
      <c r="R235" s="1653">
        <f t="shared" si="85"/>
        <v>0</v>
      </c>
      <c r="S235" s="1653">
        <f t="shared" si="86"/>
        <v>0</v>
      </c>
      <c r="T235" s="1653">
        <f t="shared" si="71"/>
        <v>0</v>
      </c>
      <c r="U235" s="1653">
        <f t="shared" si="72"/>
        <v>0</v>
      </c>
      <c r="V235" s="1653">
        <f t="shared" si="73"/>
        <v>0</v>
      </c>
      <c r="W235" s="1653">
        <f t="shared" si="74"/>
        <v>0</v>
      </c>
      <c r="X235" s="1653">
        <f t="shared" si="75"/>
        <v>0</v>
      </c>
      <c r="Y235" s="1653">
        <f t="shared" si="76"/>
        <v>0</v>
      </c>
    </row>
    <row r="236" spans="1:25" ht="15" hidden="1" outlineLevel="1">
      <c r="A236" s="1615">
        <v>228</v>
      </c>
      <c r="C236" s="1651" t="s">
        <v>2759</v>
      </c>
      <c r="D236" s="1651" t="s">
        <v>2760</v>
      </c>
      <c r="E236" s="1613">
        <v>3702.63</v>
      </c>
      <c r="F236" s="1613">
        <v>-3702.63</v>
      </c>
      <c r="G236" s="1613">
        <f t="shared" si="77"/>
        <v>0</v>
      </c>
      <c r="H236" s="1578">
        <v>2011</v>
      </c>
      <c r="I236" s="1662">
        <f t="shared" si="78"/>
        <v>4.5</v>
      </c>
      <c r="J236" s="1663">
        <v>36</v>
      </c>
      <c r="K236" s="1664">
        <f t="shared" si="79"/>
        <v>0.33333333333333331</v>
      </c>
      <c r="L236" s="1613">
        <f t="shared" si="80"/>
        <v>0</v>
      </c>
      <c r="M236" s="1613">
        <f t="shared" si="81"/>
        <v>3702.63</v>
      </c>
      <c r="N236" s="1613">
        <f t="shared" si="70"/>
        <v>-3702.63</v>
      </c>
      <c r="O236" s="1652">
        <f t="shared" si="82"/>
        <v>0</v>
      </c>
      <c r="P236" s="1653">
        <f t="shared" si="83"/>
        <v>0</v>
      </c>
      <c r="Q236" s="1653">
        <f t="shared" si="84"/>
        <v>0</v>
      </c>
      <c r="R236" s="1653">
        <f t="shared" si="85"/>
        <v>0</v>
      </c>
      <c r="S236" s="1653">
        <f t="shared" si="86"/>
        <v>0</v>
      </c>
      <c r="T236" s="1653">
        <f t="shared" si="71"/>
        <v>0</v>
      </c>
      <c r="U236" s="1653">
        <f t="shared" si="72"/>
        <v>0</v>
      </c>
      <c r="V236" s="1653">
        <f t="shared" si="73"/>
        <v>0</v>
      </c>
      <c r="W236" s="1653">
        <f t="shared" si="74"/>
        <v>0</v>
      </c>
      <c r="X236" s="1653">
        <f t="shared" si="75"/>
        <v>0</v>
      </c>
      <c r="Y236" s="1653">
        <f t="shared" si="76"/>
        <v>0</v>
      </c>
    </row>
    <row r="237" spans="1:25" ht="15" hidden="1" outlineLevel="1">
      <c r="A237" s="1615">
        <v>229</v>
      </c>
      <c r="C237" s="1651" t="s">
        <v>2761</v>
      </c>
      <c r="D237" s="1651" t="s">
        <v>2762</v>
      </c>
      <c r="E237" s="1613">
        <v>1462.87</v>
      </c>
      <c r="F237" s="1613">
        <v>-1462.87</v>
      </c>
      <c r="G237" s="1613">
        <f t="shared" si="77"/>
        <v>0</v>
      </c>
      <c r="H237" s="1578">
        <v>2011</v>
      </c>
      <c r="I237" s="1662">
        <f t="shared" si="78"/>
        <v>4.5</v>
      </c>
      <c r="J237" s="1663">
        <v>36</v>
      </c>
      <c r="K237" s="1664">
        <f t="shared" si="79"/>
        <v>0.33333333333333331</v>
      </c>
      <c r="L237" s="1613">
        <f t="shared" si="80"/>
        <v>0</v>
      </c>
      <c r="M237" s="1613">
        <f t="shared" si="81"/>
        <v>1462.87</v>
      </c>
      <c r="N237" s="1613">
        <f t="shared" si="70"/>
        <v>-1462.87</v>
      </c>
      <c r="O237" s="1652">
        <f t="shared" si="82"/>
        <v>0</v>
      </c>
      <c r="P237" s="1653">
        <f t="shared" si="83"/>
        <v>0</v>
      </c>
      <c r="Q237" s="1653">
        <f t="shared" si="84"/>
        <v>0</v>
      </c>
      <c r="R237" s="1653">
        <f t="shared" si="85"/>
        <v>0</v>
      </c>
      <c r="S237" s="1653">
        <f t="shared" si="86"/>
        <v>0</v>
      </c>
      <c r="T237" s="1653">
        <f t="shared" si="71"/>
        <v>0</v>
      </c>
      <c r="U237" s="1653">
        <f t="shared" si="72"/>
        <v>0</v>
      </c>
      <c r="V237" s="1653">
        <f t="shared" si="73"/>
        <v>0</v>
      </c>
      <c r="W237" s="1653">
        <f t="shared" si="74"/>
        <v>0</v>
      </c>
      <c r="X237" s="1653">
        <f t="shared" si="75"/>
        <v>0</v>
      </c>
      <c r="Y237" s="1653">
        <f t="shared" si="76"/>
        <v>0</v>
      </c>
    </row>
    <row r="238" spans="1:25" ht="15" hidden="1" outlineLevel="1">
      <c r="A238" s="1615">
        <v>230</v>
      </c>
      <c r="C238" s="1651" t="s">
        <v>2763</v>
      </c>
      <c r="D238" s="1651" t="s">
        <v>2764</v>
      </c>
      <c r="E238" s="1613">
        <v>2448.59</v>
      </c>
      <c r="F238" s="1613">
        <v>-2448.59</v>
      </c>
      <c r="G238" s="1613">
        <f t="shared" si="77"/>
        <v>0</v>
      </c>
      <c r="H238" s="1578">
        <v>2011</v>
      </c>
      <c r="I238" s="1662">
        <f t="shared" si="78"/>
        <v>4.5</v>
      </c>
      <c r="J238" s="1663">
        <v>36</v>
      </c>
      <c r="K238" s="1664">
        <f t="shared" si="79"/>
        <v>0.33333333333333331</v>
      </c>
      <c r="L238" s="1613">
        <f t="shared" si="80"/>
        <v>0</v>
      </c>
      <c r="M238" s="1613">
        <f t="shared" si="81"/>
        <v>2448.59</v>
      </c>
      <c r="N238" s="1613">
        <f t="shared" si="70"/>
        <v>-2448.59</v>
      </c>
      <c r="O238" s="1652">
        <f t="shared" si="82"/>
        <v>0</v>
      </c>
      <c r="P238" s="1653">
        <f t="shared" si="83"/>
        <v>0</v>
      </c>
      <c r="Q238" s="1653">
        <f t="shared" si="84"/>
        <v>0</v>
      </c>
      <c r="R238" s="1653">
        <f t="shared" si="85"/>
        <v>0</v>
      </c>
      <c r="S238" s="1653">
        <f t="shared" si="86"/>
        <v>0</v>
      </c>
      <c r="T238" s="1653">
        <f t="shared" si="71"/>
        <v>0</v>
      </c>
      <c r="U238" s="1653">
        <f t="shared" si="72"/>
        <v>0</v>
      </c>
      <c r="V238" s="1653">
        <f t="shared" si="73"/>
        <v>0</v>
      </c>
      <c r="W238" s="1653">
        <f t="shared" si="74"/>
        <v>0</v>
      </c>
      <c r="X238" s="1653">
        <f t="shared" si="75"/>
        <v>0</v>
      </c>
      <c r="Y238" s="1653">
        <f t="shared" si="76"/>
        <v>0</v>
      </c>
    </row>
    <row r="239" spans="1:25" ht="15" hidden="1" outlineLevel="1">
      <c r="A239" s="1615">
        <v>231</v>
      </c>
      <c r="C239" s="1651" t="s">
        <v>2765</v>
      </c>
      <c r="D239" s="1651" t="s">
        <v>2766</v>
      </c>
      <c r="E239" s="1613">
        <v>3118.88</v>
      </c>
      <c r="F239" s="1613">
        <v>-3118.88</v>
      </c>
      <c r="G239" s="1613">
        <f t="shared" si="77"/>
        <v>0</v>
      </c>
      <c r="H239" s="1578">
        <v>2011</v>
      </c>
      <c r="I239" s="1662">
        <f t="shared" si="78"/>
        <v>4.5</v>
      </c>
      <c r="J239" s="1663">
        <v>36</v>
      </c>
      <c r="K239" s="1664">
        <f t="shared" si="79"/>
        <v>0.33333333333333331</v>
      </c>
      <c r="L239" s="1613">
        <f t="shared" si="80"/>
        <v>0</v>
      </c>
      <c r="M239" s="1613">
        <f t="shared" si="81"/>
        <v>3118.88</v>
      </c>
      <c r="N239" s="1613">
        <f t="shared" si="70"/>
        <v>-3118.88</v>
      </c>
      <c r="O239" s="1652">
        <f t="shared" si="82"/>
        <v>0</v>
      </c>
      <c r="P239" s="1653">
        <f t="shared" si="83"/>
        <v>0</v>
      </c>
      <c r="Q239" s="1653">
        <f t="shared" si="84"/>
        <v>0</v>
      </c>
      <c r="R239" s="1653">
        <f t="shared" si="85"/>
        <v>0</v>
      </c>
      <c r="S239" s="1653">
        <f t="shared" si="86"/>
        <v>0</v>
      </c>
      <c r="T239" s="1653">
        <f t="shared" si="71"/>
        <v>0</v>
      </c>
      <c r="U239" s="1653">
        <f t="shared" si="72"/>
        <v>0</v>
      </c>
      <c r="V239" s="1653">
        <f t="shared" si="73"/>
        <v>0</v>
      </c>
      <c r="W239" s="1653">
        <f t="shared" si="74"/>
        <v>0</v>
      </c>
      <c r="X239" s="1653">
        <f t="shared" si="75"/>
        <v>0</v>
      </c>
      <c r="Y239" s="1653">
        <f t="shared" si="76"/>
        <v>0</v>
      </c>
    </row>
    <row r="240" spans="1:25" ht="15" hidden="1" outlineLevel="1">
      <c r="A240" s="1615">
        <v>232</v>
      </c>
      <c r="C240" s="1651" t="s">
        <v>2767</v>
      </c>
      <c r="D240" s="1651" t="s">
        <v>2768</v>
      </c>
      <c r="E240" s="1613">
        <v>990.98</v>
      </c>
      <c r="F240" s="1613">
        <v>-990.98</v>
      </c>
      <c r="G240" s="1613">
        <f t="shared" si="77"/>
        <v>0</v>
      </c>
      <c r="H240" s="1578">
        <v>2011</v>
      </c>
      <c r="I240" s="1662">
        <f t="shared" si="78"/>
        <v>4.5</v>
      </c>
      <c r="J240" s="1663">
        <v>36</v>
      </c>
      <c r="K240" s="1664">
        <f t="shared" si="79"/>
        <v>0.33333333333333331</v>
      </c>
      <c r="L240" s="1613">
        <f t="shared" si="80"/>
        <v>0</v>
      </c>
      <c r="M240" s="1613">
        <f t="shared" si="81"/>
        <v>990.98</v>
      </c>
      <c r="N240" s="1613">
        <f t="shared" si="70"/>
        <v>-990.98</v>
      </c>
      <c r="O240" s="1652">
        <f t="shared" si="82"/>
        <v>0</v>
      </c>
      <c r="P240" s="1653">
        <f t="shared" si="83"/>
        <v>0</v>
      </c>
      <c r="Q240" s="1653">
        <f t="shared" si="84"/>
        <v>0</v>
      </c>
      <c r="R240" s="1653">
        <f t="shared" si="85"/>
        <v>0</v>
      </c>
      <c r="S240" s="1653">
        <f t="shared" si="86"/>
        <v>0</v>
      </c>
      <c r="T240" s="1653">
        <f t="shared" si="71"/>
        <v>0</v>
      </c>
      <c r="U240" s="1653">
        <f t="shared" si="72"/>
        <v>0</v>
      </c>
      <c r="V240" s="1653">
        <f t="shared" si="73"/>
        <v>0</v>
      </c>
      <c r="W240" s="1653">
        <f t="shared" si="74"/>
        <v>0</v>
      </c>
      <c r="X240" s="1653">
        <f t="shared" si="75"/>
        <v>0</v>
      </c>
      <c r="Y240" s="1653">
        <f t="shared" si="76"/>
        <v>0</v>
      </c>
    </row>
    <row r="241" spans="1:25" ht="15" hidden="1" outlineLevel="1">
      <c r="A241" s="1615">
        <v>233</v>
      </c>
      <c r="C241" s="1651" t="s">
        <v>2769</v>
      </c>
      <c r="D241" s="1651" t="s">
        <v>2770</v>
      </c>
      <c r="E241" s="1613">
        <v>857.7</v>
      </c>
      <c r="F241" s="1613">
        <v>-857.7</v>
      </c>
      <c r="G241" s="1613">
        <f t="shared" si="77"/>
        <v>0</v>
      </c>
      <c r="H241" s="1578">
        <v>2011</v>
      </c>
      <c r="I241" s="1662">
        <f t="shared" si="78"/>
        <v>4.5</v>
      </c>
      <c r="J241" s="1663">
        <v>36</v>
      </c>
      <c r="K241" s="1664">
        <f t="shared" si="79"/>
        <v>0.33333333333333331</v>
      </c>
      <c r="L241" s="1613">
        <f t="shared" si="80"/>
        <v>0</v>
      </c>
      <c r="M241" s="1613">
        <f t="shared" si="81"/>
        <v>857.7</v>
      </c>
      <c r="N241" s="1613">
        <f t="shared" si="70"/>
        <v>-857.7</v>
      </c>
      <c r="O241" s="1652">
        <f t="shared" si="82"/>
        <v>0</v>
      </c>
      <c r="P241" s="1653">
        <f t="shared" si="83"/>
        <v>0</v>
      </c>
      <c r="Q241" s="1653">
        <f t="shared" si="84"/>
        <v>0</v>
      </c>
      <c r="R241" s="1653">
        <f t="shared" si="85"/>
        <v>0</v>
      </c>
      <c r="S241" s="1653">
        <f t="shared" si="86"/>
        <v>0</v>
      </c>
      <c r="T241" s="1653">
        <f t="shared" si="71"/>
        <v>0</v>
      </c>
      <c r="U241" s="1653">
        <f t="shared" si="72"/>
        <v>0</v>
      </c>
      <c r="V241" s="1653">
        <f t="shared" si="73"/>
        <v>0</v>
      </c>
      <c r="W241" s="1653">
        <f t="shared" si="74"/>
        <v>0</v>
      </c>
      <c r="X241" s="1653">
        <f t="shared" si="75"/>
        <v>0</v>
      </c>
      <c r="Y241" s="1653">
        <f t="shared" si="76"/>
        <v>0</v>
      </c>
    </row>
    <row r="242" spans="1:25" ht="15" hidden="1" outlineLevel="1">
      <c r="A242" s="1615">
        <v>234</v>
      </c>
      <c r="C242" s="1651" t="s">
        <v>2771</v>
      </c>
      <c r="D242" s="1651" t="s">
        <v>2772</v>
      </c>
      <c r="E242" s="1613">
        <v>123.29</v>
      </c>
      <c r="F242" s="1613">
        <v>-123.29</v>
      </c>
      <c r="G242" s="1613">
        <f t="shared" si="77"/>
        <v>0</v>
      </c>
      <c r="H242" s="1578">
        <v>2011</v>
      </c>
      <c r="I242" s="1662">
        <f t="shared" si="78"/>
        <v>4.5</v>
      </c>
      <c r="J242" s="1663">
        <v>36</v>
      </c>
      <c r="K242" s="1664">
        <f t="shared" si="79"/>
        <v>0.33333333333333331</v>
      </c>
      <c r="L242" s="1613">
        <f t="shared" si="80"/>
        <v>0</v>
      </c>
      <c r="M242" s="1613">
        <f t="shared" si="81"/>
        <v>123.29</v>
      </c>
      <c r="N242" s="1613">
        <f t="shared" si="70"/>
        <v>-123.29</v>
      </c>
      <c r="O242" s="1652">
        <f t="shared" si="82"/>
        <v>0</v>
      </c>
      <c r="P242" s="1653">
        <f t="shared" si="83"/>
        <v>0</v>
      </c>
      <c r="Q242" s="1653">
        <f t="shared" si="84"/>
        <v>0</v>
      </c>
      <c r="R242" s="1653">
        <f t="shared" si="85"/>
        <v>0</v>
      </c>
      <c r="S242" s="1653">
        <f t="shared" si="86"/>
        <v>0</v>
      </c>
      <c r="T242" s="1653">
        <f t="shared" si="71"/>
        <v>0</v>
      </c>
      <c r="U242" s="1653">
        <f t="shared" si="72"/>
        <v>0</v>
      </c>
      <c r="V242" s="1653">
        <f t="shared" si="73"/>
        <v>0</v>
      </c>
      <c r="W242" s="1653">
        <f t="shared" si="74"/>
        <v>0</v>
      </c>
      <c r="X242" s="1653">
        <f t="shared" si="75"/>
        <v>0</v>
      </c>
      <c r="Y242" s="1653">
        <f t="shared" si="76"/>
        <v>0</v>
      </c>
    </row>
    <row r="243" spans="1:25" ht="15" hidden="1" outlineLevel="1">
      <c r="A243" s="1615">
        <v>235</v>
      </c>
      <c r="C243" s="1651" t="s">
        <v>2773</v>
      </c>
      <c r="D243" s="1651" t="s">
        <v>2774</v>
      </c>
      <c r="E243" s="1613">
        <v>644.14</v>
      </c>
      <c r="F243" s="1613">
        <v>-644.14</v>
      </c>
      <c r="G243" s="1613">
        <f t="shared" si="77"/>
        <v>0</v>
      </c>
      <c r="H243" s="1578">
        <v>2011</v>
      </c>
      <c r="I243" s="1662">
        <f t="shared" si="78"/>
        <v>4.5</v>
      </c>
      <c r="J243" s="1663">
        <v>36</v>
      </c>
      <c r="K243" s="1664">
        <f t="shared" si="79"/>
        <v>0.33333333333333331</v>
      </c>
      <c r="L243" s="1613">
        <f t="shared" si="80"/>
        <v>0</v>
      </c>
      <c r="M243" s="1613">
        <f t="shared" si="81"/>
        <v>644.14</v>
      </c>
      <c r="N243" s="1613">
        <f t="shared" si="70"/>
        <v>-644.14</v>
      </c>
      <c r="O243" s="1652">
        <f t="shared" si="82"/>
        <v>0</v>
      </c>
      <c r="P243" s="1653">
        <f t="shared" si="83"/>
        <v>0</v>
      </c>
      <c r="Q243" s="1653">
        <f t="shared" si="84"/>
        <v>0</v>
      </c>
      <c r="R243" s="1653">
        <f t="shared" si="85"/>
        <v>0</v>
      </c>
      <c r="S243" s="1653">
        <f t="shared" si="86"/>
        <v>0</v>
      </c>
      <c r="T243" s="1653">
        <f t="shared" si="71"/>
        <v>0</v>
      </c>
      <c r="U243" s="1653">
        <f t="shared" si="72"/>
        <v>0</v>
      </c>
      <c r="V243" s="1653">
        <f t="shared" si="73"/>
        <v>0</v>
      </c>
      <c r="W243" s="1653">
        <f t="shared" si="74"/>
        <v>0</v>
      </c>
      <c r="X243" s="1653">
        <f t="shared" si="75"/>
        <v>0</v>
      </c>
      <c r="Y243" s="1653">
        <f t="shared" si="76"/>
        <v>0</v>
      </c>
    </row>
    <row r="244" spans="1:25" ht="15" hidden="1" outlineLevel="1">
      <c r="A244" s="1615">
        <v>236</v>
      </c>
      <c r="C244" s="1651" t="s">
        <v>2775</v>
      </c>
      <c r="D244" s="1651" t="s">
        <v>2467</v>
      </c>
      <c r="E244" s="1613">
        <v>128.6</v>
      </c>
      <c r="F244" s="1613">
        <v>-128.6</v>
      </c>
      <c r="G244" s="1613">
        <f t="shared" si="77"/>
        <v>0</v>
      </c>
      <c r="H244" s="1578">
        <v>2011</v>
      </c>
      <c r="I244" s="1662">
        <f t="shared" si="78"/>
        <v>4.5</v>
      </c>
      <c r="J244" s="1663">
        <v>36</v>
      </c>
      <c r="K244" s="1664">
        <f t="shared" si="79"/>
        <v>0.33333333333333331</v>
      </c>
      <c r="L244" s="1613">
        <f t="shared" si="80"/>
        <v>0</v>
      </c>
      <c r="M244" s="1613">
        <f t="shared" si="81"/>
        <v>128.6</v>
      </c>
      <c r="N244" s="1613">
        <f t="shared" si="70"/>
        <v>-128.6</v>
      </c>
      <c r="O244" s="1652">
        <f t="shared" si="82"/>
        <v>0</v>
      </c>
      <c r="P244" s="1653">
        <f t="shared" si="83"/>
        <v>0</v>
      </c>
      <c r="Q244" s="1653">
        <f t="shared" si="84"/>
        <v>0</v>
      </c>
      <c r="R244" s="1653">
        <f t="shared" si="85"/>
        <v>0</v>
      </c>
      <c r="S244" s="1653">
        <f t="shared" si="86"/>
        <v>0</v>
      </c>
      <c r="T244" s="1653">
        <f t="shared" si="71"/>
        <v>0</v>
      </c>
      <c r="U244" s="1653">
        <f t="shared" si="72"/>
        <v>0</v>
      </c>
      <c r="V244" s="1653">
        <f t="shared" si="73"/>
        <v>0</v>
      </c>
      <c r="W244" s="1653">
        <f t="shared" si="74"/>
        <v>0</v>
      </c>
      <c r="X244" s="1653">
        <f t="shared" si="75"/>
        <v>0</v>
      </c>
      <c r="Y244" s="1653">
        <f t="shared" si="76"/>
        <v>0</v>
      </c>
    </row>
    <row r="245" spans="1:25" ht="15" hidden="1" outlineLevel="1">
      <c r="A245" s="1615">
        <v>237</v>
      </c>
      <c r="C245" s="1651" t="s">
        <v>2776</v>
      </c>
      <c r="D245" s="1651" t="s">
        <v>2764</v>
      </c>
      <c r="E245" s="1613">
        <v>1316.8</v>
      </c>
      <c r="F245" s="1613">
        <v>-1316.8</v>
      </c>
      <c r="G245" s="1613">
        <f t="shared" si="77"/>
        <v>0</v>
      </c>
      <c r="H245" s="1578">
        <v>2011</v>
      </c>
      <c r="I245" s="1662">
        <f t="shared" si="78"/>
        <v>4.5</v>
      </c>
      <c r="J245" s="1663">
        <v>36</v>
      </c>
      <c r="K245" s="1664">
        <f t="shared" si="79"/>
        <v>0.33333333333333331</v>
      </c>
      <c r="L245" s="1613">
        <f t="shared" si="80"/>
        <v>0</v>
      </c>
      <c r="M245" s="1613">
        <f t="shared" si="81"/>
        <v>1316.8</v>
      </c>
      <c r="N245" s="1613">
        <f t="shared" si="70"/>
        <v>-1316.8</v>
      </c>
      <c r="O245" s="1652">
        <f t="shared" si="82"/>
        <v>0</v>
      </c>
      <c r="P245" s="1653">
        <f t="shared" si="83"/>
        <v>0</v>
      </c>
      <c r="Q245" s="1653">
        <f t="shared" si="84"/>
        <v>0</v>
      </c>
      <c r="R245" s="1653">
        <f t="shared" si="85"/>
        <v>0</v>
      </c>
      <c r="S245" s="1653">
        <f t="shared" si="86"/>
        <v>0</v>
      </c>
      <c r="T245" s="1653">
        <f t="shared" si="71"/>
        <v>0</v>
      </c>
      <c r="U245" s="1653">
        <f t="shared" si="72"/>
        <v>0</v>
      </c>
      <c r="V245" s="1653">
        <f t="shared" si="73"/>
        <v>0</v>
      </c>
      <c r="W245" s="1653">
        <f t="shared" si="74"/>
        <v>0</v>
      </c>
      <c r="X245" s="1653">
        <f t="shared" si="75"/>
        <v>0</v>
      </c>
      <c r="Y245" s="1653">
        <f t="shared" si="76"/>
        <v>0</v>
      </c>
    </row>
    <row r="246" spans="1:25" ht="15" hidden="1" outlineLevel="1">
      <c r="A246" s="1615">
        <v>238</v>
      </c>
      <c r="C246" s="1651" t="s">
        <v>2777</v>
      </c>
      <c r="D246" s="1651" t="s">
        <v>2764</v>
      </c>
      <c r="E246" s="1613">
        <v>1230.96</v>
      </c>
      <c r="F246" s="1613">
        <v>-1230.96</v>
      </c>
      <c r="G246" s="1613">
        <f t="shared" si="77"/>
        <v>0</v>
      </c>
      <c r="H246" s="1578">
        <v>2011</v>
      </c>
      <c r="I246" s="1662">
        <f t="shared" si="78"/>
        <v>4.5</v>
      </c>
      <c r="J246" s="1663">
        <v>36</v>
      </c>
      <c r="K246" s="1664">
        <f t="shared" si="79"/>
        <v>0.33333333333333331</v>
      </c>
      <c r="L246" s="1613">
        <f t="shared" si="80"/>
        <v>0</v>
      </c>
      <c r="M246" s="1613">
        <f t="shared" si="81"/>
        <v>1230.96</v>
      </c>
      <c r="N246" s="1613">
        <f t="shared" si="70"/>
        <v>-1230.96</v>
      </c>
      <c r="O246" s="1652">
        <f t="shared" si="82"/>
        <v>0</v>
      </c>
      <c r="P246" s="1653">
        <f t="shared" si="83"/>
        <v>0</v>
      </c>
      <c r="Q246" s="1653">
        <f t="shared" si="84"/>
        <v>0</v>
      </c>
      <c r="R246" s="1653">
        <f t="shared" si="85"/>
        <v>0</v>
      </c>
      <c r="S246" s="1653">
        <f t="shared" si="86"/>
        <v>0</v>
      </c>
      <c r="T246" s="1653">
        <f t="shared" si="71"/>
        <v>0</v>
      </c>
      <c r="U246" s="1653">
        <f t="shared" si="72"/>
        <v>0</v>
      </c>
      <c r="V246" s="1653">
        <f t="shared" si="73"/>
        <v>0</v>
      </c>
      <c r="W246" s="1653">
        <f t="shared" si="74"/>
        <v>0</v>
      </c>
      <c r="X246" s="1653">
        <f t="shared" si="75"/>
        <v>0</v>
      </c>
      <c r="Y246" s="1653">
        <f t="shared" si="76"/>
        <v>0</v>
      </c>
    </row>
    <row r="247" spans="1:25" ht="15" hidden="1" outlineLevel="1">
      <c r="A247" s="1615">
        <v>239</v>
      </c>
      <c r="C247" s="1651" t="s">
        <v>2778</v>
      </c>
      <c r="D247" s="1651" t="s">
        <v>2764</v>
      </c>
      <c r="E247" s="1613">
        <v>1288.43</v>
      </c>
      <c r="F247" s="1613">
        <v>-1288.43</v>
      </c>
      <c r="G247" s="1613">
        <f t="shared" si="77"/>
        <v>0</v>
      </c>
      <c r="H247" s="1578">
        <v>2011</v>
      </c>
      <c r="I247" s="1662">
        <f t="shared" si="78"/>
        <v>4.5</v>
      </c>
      <c r="J247" s="1663">
        <v>36</v>
      </c>
      <c r="K247" s="1664">
        <f t="shared" si="79"/>
        <v>0.33333333333333331</v>
      </c>
      <c r="L247" s="1613">
        <f t="shared" si="80"/>
        <v>0</v>
      </c>
      <c r="M247" s="1613">
        <f t="shared" si="81"/>
        <v>1288.43</v>
      </c>
      <c r="N247" s="1613">
        <f t="shared" si="70"/>
        <v>-1288.43</v>
      </c>
      <c r="O247" s="1652">
        <f t="shared" si="82"/>
        <v>0</v>
      </c>
      <c r="P247" s="1653">
        <f t="shared" si="83"/>
        <v>0</v>
      </c>
      <c r="Q247" s="1653">
        <f t="shared" si="84"/>
        <v>0</v>
      </c>
      <c r="R247" s="1653">
        <f t="shared" si="85"/>
        <v>0</v>
      </c>
      <c r="S247" s="1653">
        <f t="shared" si="86"/>
        <v>0</v>
      </c>
      <c r="T247" s="1653">
        <f t="shared" si="71"/>
        <v>0</v>
      </c>
      <c r="U247" s="1653">
        <f t="shared" si="72"/>
        <v>0</v>
      </c>
      <c r="V247" s="1653">
        <f t="shared" si="73"/>
        <v>0</v>
      </c>
      <c r="W247" s="1653">
        <f t="shared" si="74"/>
        <v>0</v>
      </c>
      <c r="X247" s="1653">
        <f t="shared" si="75"/>
        <v>0</v>
      </c>
      <c r="Y247" s="1653">
        <f t="shared" si="76"/>
        <v>0</v>
      </c>
    </row>
    <row r="248" spans="1:25" ht="15" hidden="1" outlineLevel="1">
      <c r="A248" s="1615">
        <v>240</v>
      </c>
      <c r="C248" s="1651" t="s">
        <v>2779</v>
      </c>
      <c r="D248" s="1651" t="s">
        <v>2780</v>
      </c>
      <c r="E248" s="1613">
        <v>1128.3399999999999</v>
      </c>
      <c r="F248" s="1613">
        <v>-1128.3399999999999</v>
      </c>
      <c r="G248" s="1613">
        <f t="shared" si="77"/>
        <v>0</v>
      </c>
      <c r="H248" s="1578">
        <v>2011</v>
      </c>
      <c r="I248" s="1662">
        <f t="shared" si="78"/>
        <v>4.5</v>
      </c>
      <c r="J248" s="1663">
        <v>36</v>
      </c>
      <c r="K248" s="1664">
        <f t="shared" si="79"/>
        <v>0.33333333333333331</v>
      </c>
      <c r="L248" s="1613">
        <f t="shared" si="80"/>
        <v>0</v>
      </c>
      <c r="M248" s="1613">
        <f t="shared" si="81"/>
        <v>1128.3399999999999</v>
      </c>
      <c r="N248" s="1613">
        <f t="shared" si="70"/>
        <v>-1128.3399999999999</v>
      </c>
      <c r="O248" s="1652">
        <f t="shared" si="82"/>
        <v>0</v>
      </c>
      <c r="P248" s="1653">
        <f t="shared" si="83"/>
        <v>0</v>
      </c>
      <c r="Q248" s="1653">
        <f t="shared" si="84"/>
        <v>0</v>
      </c>
      <c r="R248" s="1653">
        <f t="shared" si="85"/>
        <v>0</v>
      </c>
      <c r="S248" s="1653">
        <f t="shared" si="86"/>
        <v>0</v>
      </c>
      <c r="T248" s="1653">
        <f t="shared" si="71"/>
        <v>0</v>
      </c>
      <c r="U248" s="1653">
        <f t="shared" si="72"/>
        <v>0</v>
      </c>
      <c r="V248" s="1653">
        <f t="shared" si="73"/>
        <v>0</v>
      </c>
      <c r="W248" s="1653">
        <f t="shared" si="74"/>
        <v>0</v>
      </c>
      <c r="X248" s="1653">
        <f t="shared" si="75"/>
        <v>0</v>
      </c>
      <c r="Y248" s="1653">
        <f t="shared" si="76"/>
        <v>0</v>
      </c>
    </row>
    <row r="249" spans="1:25" ht="15" hidden="1" outlineLevel="1">
      <c r="A249" s="1615">
        <v>241</v>
      </c>
      <c r="C249" s="1651" t="s">
        <v>2781</v>
      </c>
      <c r="D249" s="1651" t="s">
        <v>2764</v>
      </c>
      <c r="E249" s="1613">
        <v>1315.31</v>
      </c>
      <c r="F249" s="1613">
        <v>-1315.31</v>
      </c>
      <c r="G249" s="1613">
        <f t="shared" si="77"/>
        <v>0</v>
      </c>
      <c r="H249" s="1578">
        <v>2011</v>
      </c>
      <c r="I249" s="1662">
        <f t="shared" si="78"/>
        <v>4.5</v>
      </c>
      <c r="J249" s="1663">
        <v>36</v>
      </c>
      <c r="K249" s="1664">
        <f t="shared" si="79"/>
        <v>0.33333333333333331</v>
      </c>
      <c r="L249" s="1613">
        <f t="shared" si="80"/>
        <v>0</v>
      </c>
      <c r="M249" s="1613">
        <f t="shared" si="81"/>
        <v>1315.31</v>
      </c>
      <c r="N249" s="1613">
        <f t="shared" si="70"/>
        <v>-1315.31</v>
      </c>
      <c r="O249" s="1652">
        <f t="shared" si="82"/>
        <v>0</v>
      </c>
      <c r="P249" s="1653">
        <f t="shared" si="83"/>
        <v>0</v>
      </c>
      <c r="Q249" s="1653">
        <f t="shared" si="84"/>
        <v>0</v>
      </c>
      <c r="R249" s="1653">
        <f t="shared" si="85"/>
        <v>0</v>
      </c>
      <c r="S249" s="1653">
        <f t="shared" si="86"/>
        <v>0</v>
      </c>
      <c r="T249" s="1653">
        <f t="shared" si="71"/>
        <v>0</v>
      </c>
      <c r="U249" s="1653">
        <f t="shared" si="72"/>
        <v>0</v>
      </c>
      <c r="V249" s="1653">
        <f t="shared" si="73"/>
        <v>0</v>
      </c>
      <c r="W249" s="1653">
        <f t="shared" si="74"/>
        <v>0</v>
      </c>
      <c r="X249" s="1653">
        <f t="shared" si="75"/>
        <v>0</v>
      </c>
      <c r="Y249" s="1653">
        <f t="shared" si="76"/>
        <v>0</v>
      </c>
    </row>
    <row r="250" spans="1:25" ht="15" hidden="1" outlineLevel="1">
      <c r="A250" s="1615">
        <v>242</v>
      </c>
      <c r="C250" s="1651" t="s">
        <v>2782</v>
      </c>
      <c r="D250" s="1651" t="s">
        <v>2783</v>
      </c>
      <c r="E250" s="1613">
        <v>2064.73</v>
      </c>
      <c r="F250" s="1613">
        <v>-2064.73</v>
      </c>
      <c r="G250" s="1613">
        <f t="shared" si="77"/>
        <v>0</v>
      </c>
      <c r="H250" s="1578">
        <v>2011</v>
      </c>
      <c r="I250" s="1662">
        <f t="shared" si="78"/>
        <v>4.5</v>
      </c>
      <c r="J250" s="1663">
        <v>36</v>
      </c>
      <c r="K250" s="1664">
        <f t="shared" si="79"/>
        <v>0.33333333333333331</v>
      </c>
      <c r="L250" s="1613">
        <f t="shared" si="80"/>
        <v>0</v>
      </c>
      <c r="M250" s="1613">
        <f t="shared" si="81"/>
        <v>2064.73</v>
      </c>
      <c r="N250" s="1613">
        <f t="shared" si="70"/>
        <v>-2064.73</v>
      </c>
      <c r="O250" s="1652">
        <f t="shared" si="82"/>
        <v>0</v>
      </c>
      <c r="P250" s="1653">
        <f t="shared" si="83"/>
        <v>0</v>
      </c>
      <c r="Q250" s="1653">
        <f t="shared" si="84"/>
        <v>0</v>
      </c>
      <c r="R250" s="1653">
        <f t="shared" si="85"/>
        <v>0</v>
      </c>
      <c r="S250" s="1653">
        <f t="shared" si="86"/>
        <v>0</v>
      </c>
      <c r="T250" s="1653">
        <f t="shared" si="71"/>
        <v>0</v>
      </c>
      <c r="U250" s="1653">
        <f t="shared" si="72"/>
        <v>0</v>
      </c>
      <c r="V250" s="1653">
        <f t="shared" si="73"/>
        <v>0</v>
      </c>
      <c r="W250" s="1653">
        <f t="shared" si="74"/>
        <v>0</v>
      </c>
      <c r="X250" s="1653">
        <f t="shared" si="75"/>
        <v>0</v>
      </c>
      <c r="Y250" s="1653">
        <f t="shared" si="76"/>
        <v>0</v>
      </c>
    </row>
    <row r="251" spans="1:25" ht="15" hidden="1" outlineLevel="1">
      <c r="A251" s="1615">
        <v>243</v>
      </c>
      <c r="C251" s="1651" t="s">
        <v>2784</v>
      </c>
      <c r="D251" s="1651" t="s">
        <v>2783</v>
      </c>
      <c r="E251" s="1613">
        <v>2096.52</v>
      </c>
      <c r="F251" s="1613">
        <v>-2096.52</v>
      </c>
      <c r="G251" s="1613">
        <f t="shared" si="77"/>
        <v>0</v>
      </c>
      <c r="H251" s="1578">
        <v>2011</v>
      </c>
      <c r="I251" s="1662">
        <f t="shared" si="78"/>
        <v>4.5</v>
      </c>
      <c r="J251" s="1663">
        <v>36</v>
      </c>
      <c r="K251" s="1664">
        <f t="shared" si="79"/>
        <v>0.33333333333333331</v>
      </c>
      <c r="L251" s="1613">
        <f t="shared" si="80"/>
        <v>0</v>
      </c>
      <c r="M251" s="1613">
        <f t="shared" si="81"/>
        <v>2096.52</v>
      </c>
      <c r="N251" s="1613">
        <f t="shared" si="70"/>
        <v>-2096.52</v>
      </c>
      <c r="O251" s="1652">
        <f t="shared" si="82"/>
        <v>0</v>
      </c>
      <c r="P251" s="1653">
        <f t="shared" si="83"/>
        <v>0</v>
      </c>
      <c r="Q251" s="1653">
        <f t="shared" si="84"/>
        <v>0</v>
      </c>
      <c r="R251" s="1653">
        <f t="shared" si="85"/>
        <v>0</v>
      </c>
      <c r="S251" s="1653">
        <f t="shared" si="86"/>
        <v>0</v>
      </c>
      <c r="T251" s="1653">
        <f t="shared" si="71"/>
        <v>0</v>
      </c>
      <c r="U251" s="1653">
        <f t="shared" si="72"/>
        <v>0</v>
      </c>
      <c r="V251" s="1653">
        <f t="shared" si="73"/>
        <v>0</v>
      </c>
      <c r="W251" s="1653">
        <f t="shared" si="74"/>
        <v>0</v>
      </c>
      <c r="X251" s="1653">
        <f t="shared" si="75"/>
        <v>0</v>
      </c>
      <c r="Y251" s="1653">
        <f t="shared" si="76"/>
        <v>0</v>
      </c>
    </row>
    <row r="252" spans="1:25" ht="15" hidden="1" outlineLevel="1">
      <c r="A252" s="1615">
        <v>244</v>
      </c>
      <c r="C252" s="1651" t="s">
        <v>2785</v>
      </c>
      <c r="D252" s="1651" t="s">
        <v>2764</v>
      </c>
      <c r="E252" s="1613">
        <v>2386.3000000000002</v>
      </c>
      <c r="F252" s="1613">
        <v>-2386.3000000000002</v>
      </c>
      <c r="G252" s="1613">
        <f t="shared" si="77"/>
        <v>0</v>
      </c>
      <c r="H252" s="1578">
        <v>2011</v>
      </c>
      <c r="I252" s="1662">
        <f t="shared" si="78"/>
        <v>4.5</v>
      </c>
      <c r="J252" s="1663">
        <v>36</v>
      </c>
      <c r="K252" s="1664">
        <f t="shared" si="79"/>
        <v>0.33333333333333331</v>
      </c>
      <c r="L252" s="1613">
        <f t="shared" si="80"/>
        <v>0</v>
      </c>
      <c r="M252" s="1613">
        <f t="shared" si="81"/>
        <v>2386.3000000000002</v>
      </c>
      <c r="N252" s="1613">
        <f t="shared" si="70"/>
        <v>-2386.3000000000002</v>
      </c>
      <c r="O252" s="1652">
        <f t="shared" si="82"/>
        <v>0</v>
      </c>
      <c r="P252" s="1653">
        <f t="shared" si="83"/>
        <v>0</v>
      </c>
      <c r="Q252" s="1653">
        <f t="shared" si="84"/>
        <v>0</v>
      </c>
      <c r="R252" s="1653">
        <f t="shared" si="85"/>
        <v>0</v>
      </c>
      <c r="S252" s="1653">
        <f t="shared" si="86"/>
        <v>0</v>
      </c>
      <c r="T252" s="1653">
        <f t="shared" si="71"/>
        <v>0</v>
      </c>
      <c r="U252" s="1653">
        <f t="shared" si="72"/>
        <v>0</v>
      </c>
      <c r="V252" s="1653">
        <f t="shared" si="73"/>
        <v>0</v>
      </c>
      <c r="W252" s="1653">
        <f t="shared" si="74"/>
        <v>0</v>
      </c>
      <c r="X252" s="1653">
        <f t="shared" si="75"/>
        <v>0</v>
      </c>
      <c r="Y252" s="1653">
        <f t="shared" si="76"/>
        <v>0</v>
      </c>
    </row>
    <row r="253" spans="1:25" ht="15" hidden="1" outlineLevel="1">
      <c r="A253" s="1615">
        <v>245</v>
      </c>
      <c r="C253" s="1651" t="s">
        <v>2786</v>
      </c>
      <c r="D253" s="1651" t="s">
        <v>2787</v>
      </c>
      <c r="E253" s="1613">
        <v>526.69000000000005</v>
      </c>
      <c r="F253" s="1613">
        <v>-526.69000000000005</v>
      </c>
      <c r="G253" s="1613">
        <f t="shared" si="77"/>
        <v>0</v>
      </c>
      <c r="H253" s="1578">
        <v>2011</v>
      </c>
      <c r="I253" s="1662">
        <f t="shared" si="78"/>
        <v>4.5</v>
      </c>
      <c r="J253" s="1663">
        <v>36</v>
      </c>
      <c r="K253" s="1664">
        <f t="shared" si="79"/>
        <v>0.33333333333333331</v>
      </c>
      <c r="L253" s="1613">
        <f t="shared" si="80"/>
        <v>0</v>
      </c>
      <c r="M253" s="1613">
        <f t="shared" si="81"/>
        <v>526.69000000000005</v>
      </c>
      <c r="N253" s="1613">
        <f t="shared" si="70"/>
        <v>-526.69000000000005</v>
      </c>
      <c r="O253" s="1652">
        <f t="shared" si="82"/>
        <v>0</v>
      </c>
      <c r="P253" s="1653">
        <f t="shared" si="83"/>
        <v>0</v>
      </c>
      <c r="Q253" s="1653">
        <f t="shared" si="84"/>
        <v>0</v>
      </c>
      <c r="R253" s="1653">
        <f t="shared" si="85"/>
        <v>0</v>
      </c>
      <c r="S253" s="1653">
        <f t="shared" si="86"/>
        <v>0</v>
      </c>
      <c r="T253" s="1653">
        <f t="shared" si="71"/>
        <v>0</v>
      </c>
      <c r="U253" s="1653">
        <f t="shared" si="72"/>
        <v>0</v>
      </c>
      <c r="V253" s="1653">
        <f t="shared" si="73"/>
        <v>0</v>
      </c>
      <c r="W253" s="1653">
        <f t="shared" si="74"/>
        <v>0</v>
      </c>
      <c r="X253" s="1653">
        <f t="shared" si="75"/>
        <v>0</v>
      </c>
      <c r="Y253" s="1653">
        <f t="shared" si="76"/>
        <v>0</v>
      </c>
    </row>
    <row r="254" spans="1:25" ht="15" hidden="1" outlineLevel="1">
      <c r="A254" s="1615">
        <v>246</v>
      </c>
      <c r="C254" s="1651" t="s">
        <v>2788</v>
      </c>
      <c r="D254" s="1651" t="s">
        <v>2789</v>
      </c>
      <c r="E254" s="1613">
        <v>13791.55</v>
      </c>
      <c r="F254" s="1613">
        <v>-13791.55</v>
      </c>
      <c r="G254" s="1613">
        <f t="shared" si="77"/>
        <v>0</v>
      </c>
      <c r="H254" s="1578">
        <v>2011</v>
      </c>
      <c r="I254" s="1662">
        <f t="shared" si="78"/>
        <v>4.5</v>
      </c>
      <c r="J254" s="1663">
        <v>36</v>
      </c>
      <c r="K254" s="1664">
        <f t="shared" si="79"/>
        <v>0.33333333333333331</v>
      </c>
      <c r="L254" s="1613">
        <f t="shared" si="80"/>
        <v>0</v>
      </c>
      <c r="M254" s="1613">
        <f t="shared" si="81"/>
        <v>13791.55</v>
      </c>
      <c r="N254" s="1613">
        <f t="shared" si="70"/>
        <v>-13791.55</v>
      </c>
      <c r="O254" s="1652">
        <f t="shared" si="82"/>
        <v>0</v>
      </c>
      <c r="P254" s="1653">
        <f t="shared" si="83"/>
        <v>0</v>
      </c>
      <c r="Q254" s="1653">
        <f t="shared" si="84"/>
        <v>0</v>
      </c>
      <c r="R254" s="1653">
        <f t="shared" si="85"/>
        <v>0</v>
      </c>
      <c r="S254" s="1653">
        <f t="shared" si="86"/>
        <v>0</v>
      </c>
      <c r="T254" s="1653">
        <f t="shared" si="71"/>
        <v>0</v>
      </c>
      <c r="U254" s="1653">
        <f t="shared" si="72"/>
        <v>0</v>
      </c>
      <c r="V254" s="1653">
        <f t="shared" si="73"/>
        <v>0</v>
      </c>
      <c r="W254" s="1653">
        <f t="shared" si="74"/>
        <v>0</v>
      </c>
      <c r="X254" s="1653">
        <f t="shared" si="75"/>
        <v>0</v>
      </c>
      <c r="Y254" s="1653">
        <f t="shared" si="76"/>
        <v>0</v>
      </c>
    </row>
    <row r="255" spans="1:25" ht="15" hidden="1" outlineLevel="1">
      <c r="A255" s="1615">
        <v>247</v>
      </c>
      <c r="C255" s="1651" t="s">
        <v>2790</v>
      </c>
      <c r="D255" s="1651" t="s">
        <v>2791</v>
      </c>
      <c r="E255" s="1613">
        <v>1020.47</v>
      </c>
      <c r="F255" s="1613">
        <v>-1020.47</v>
      </c>
      <c r="G255" s="1613">
        <f t="shared" si="77"/>
        <v>0</v>
      </c>
      <c r="H255" s="1578">
        <v>2011</v>
      </c>
      <c r="I255" s="1662">
        <f t="shared" si="78"/>
        <v>4.5</v>
      </c>
      <c r="J255" s="1663">
        <v>36</v>
      </c>
      <c r="K255" s="1664">
        <f t="shared" si="79"/>
        <v>0.33333333333333331</v>
      </c>
      <c r="L255" s="1613">
        <f t="shared" si="80"/>
        <v>0</v>
      </c>
      <c r="M255" s="1613">
        <f t="shared" si="81"/>
        <v>1020.47</v>
      </c>
      <c r="N255" s="1613">
        <f t="shared" si="70"/>
        <v>-1020.47</v>
      </c>
      <c r="O255" s="1652">
        <f t="shared" si="82"/>
        <v>0</v>
      </c>
      <c r="P255" s="1653">
        <f t="shared" si="83"/>
        <v>0</v>
      </c>
      <c r="Q255" s="1653">
        <f t="shared" si="84"/>
        <v>0</v>
      </c>
      <c r="R255" s="1653">
        <f t="shared" si="85"/>
        <v>0</v>
      </c>
      <c r="S255" s="1653">
        <f t="shared" si="86"/>
        <v>0</v>
      </c>
      <c r="T255" s="1653">
        <f t="shared" si="71"/>
        <v>0</v>
      </c>
      <c r="U255" s="1653">
        <f t="shared" si="72"/>
        <v>0</v>
      </c>
      <c r="V255" s="1653">
        <f t="shared" si="73"/>
        <v>0</v>
      </c>
      <c r="W255" s="1653">
        <f t="shared" si="74"/>
        <v>0</v>
      </c>
      <c r="X255" s="1653">
        <f t="shared" si="75"/>
        <v>0</v>
      </c>
      <c r="Y255" s="1653">
        <f t="shared" si="76"/>
        <v>0</v>
      </c>
    </row>
    <row r="256" spans="1:25" ht="15" hidden="1" outlineLevel="1">
      <c r="A256" s="1615">
        <v>248</v>
      </c>
      <c r="C256" s="1651" t="s">
        <v>2792</v>
      </c>
      <c r="D256" s="1651" t="s">
        <v>2793</v>
      </c>
      <c r="E256" s="1613">
        <v>518.5</v>
      </c>
      <c r="F256" s="1613">
        <v>-518.5</v>
      </c>
      <c r="G256" s="1613">
        <f t="shared" si="77"/>
        <v>0</v>
      </c>
      <c r="H256" s="1578">
        <v>2011</v>
      </c>
      <c r="I256" s="1662">
        <f t="shared" si="78"/>
        <v>4.5</v>
      </c>
      <c r="J256" s="1663">
        <v>36</v>
      </c>
      <c r="K256" s="1664">
        <f t="shared" si="79"/>
        <v>0.33333333333333331</v>
      </c>
      <c r="L256" s="1613">
        <f t="shared" si="80"/>
        <v>0</v>
      </c>
      <c r="M256" s="1613">
        <f t="shared" si="81"/>
        <v>518.5</v>
      </c>
      <c r="N256" s="1613">
        <f t="shared" si="70"/>
        <v>-518.5</v>
      </c>
      <c r="O256" s="1652">
        <f t="shared" si="82"/>
        <v>0</v>
      </c>
      <c r="P256" s="1653">
        <f t="shared" si="83"/>
        <v>0</v>
      </c>
      <c r="Q256" s="1653">
        <f t="shared" si="84"/>
        <v>0</v>
      </c>
      <c r="R256" s="1653">
        <f t="shared" si="85"/>
        <v>0</v>
      </c>
      <c r="S256" s="1653">
        <f t="shared" si="86"/>
        <v>0</v>
      </c>
      <c r="T256" s="1653">
        <f t="shared" si="71"/>
        <v>0</v>
      </c>
      <c r="U256" s="1653">
        <f t="shared" si="72"/>
        <v>0</v>
      </c>
      <c r="V256" s="1653">
        <f t="shared" si="73"/>
        <v>0</v>
      </c>
      <c r="W256" s="1653">
        <f t="shared" si="74"/>
        <v>0</v>
      </c>
      <c r="X256" s="1653">
        <f t="shared" si="75"/>
        <v>0</v>
      </c>
      <c r="Y256" s="1653">
        <f t="shared" si="76"/>
        <v>0</v>
      </c>
    </row>
    <row r="257" spans="1:25" ht="15" hidden="1" outlineLevel="1">
      <c r="A257" s="1615">
        <v>249</v>
      </c>
      <c r="C257" s="1651" t="s">
        <v>2794</v>
      </c>
      <c r="D257" s="1651" t="s">
        <v>2764</v>
      </c>
      <c r="E257" s="1613">
        <v>1288.1500000000001</v>
      </c>
      <c r="F257" s="1613">
        <v>-1288.1500000000001</v>
      </c>
      <c r="G257" s="1613">
        <f t="shared" si="77"/>
        <v>0</v>
      </c>
      <c r="H257" s="1578">
        <v>2011</v>
      </c>
      <c r="I257" s="1662">
        <f t="shared" si="78"/>
        <v>4.5</v>
      </c>
      <c r="J257" s="1663">
        <v>36</v>
      </c>
      <c r="K257" s="1664">
        <f t="shared" si="79"/>
        <v>0.33333333333333331</v>
      </c>
      <c r="L257" s="1613">
        <f t="shared" si="80"/>
        <v>0</v>
      </c>
      <c r="M257" s="1613">
        <f t="shared" si="81"/>
        <v>1288.1500000000001</v>
      </c>
      <c r="N257" s="1613">
        <f t="shared" si="70"/>
        <v>-1288.1500000000001</v>
      </c>
      <c r="O257" s="1652">
        <f t="shared" si="82"/>
        <v>0</v>
      </c>
      <c r="P257" s="1653">
        <f t="shared" si="83"/>
        <v>0</v>
      </c>
      <c r="Q257" s="1653">
        <f t="shared" si="84"/>
        <v>0</v>
      </c>
      <c r="R257" s="1653">
        <f t="shared" si="85"/>
        <v>0</v>
      </c>
      <c r="S257" s="1653">
        <f t="shared" si="86"/>
        <v>0</v>
      </c>
      <c r="T257" s="1653">
        <f t="shared" si="71"/>
        <v>0</v>
      </c>
      <c r="U257" s="1653">
        <f t="shared" si="72"/>
        <v>0</v>
      </c>
      <c r="V257" s="1653">
        <f t="shared" si="73"/>
        <v>0</v>
      </c>
      <c r="W257" s="1653">
        <f t="shared" si="74"/>
        <v>0</v>
      </c>
      <c r="X257" s="1653">
        <f t="shared" si="75"/>
        <v>0</v>
      </c>
      <c r="Y257" s="1653">
        <f t="shared" si="76"/>
        <v>0</v>
      </c>
    </row>
    <row r="258" spans="1:25" ht="15" hidden="1" outlineLevel="1">
      <c r="A258" s="1615">
        <v>250</v>
      </c>
      <c r="C258" s="1651" t="s">
        <v>2795</v>
      </c>
      <c r="D258" s="1651" t="s">
        <v>2633</v>
      </c>
      <c r="E258" s="1613">
        <v>1380</v>
      </c>
      <c r="F258" s="1613">
        <v>-1380</v>
      </c>
      <c r="G258" s="1613">
        <f t="shared" si="77"/>
        <v>0</v>
      </c>
      <c r="H258" s="1578">
        <v>2011</v>
      </c>
      <c r="I258" s="1662">
        <f t="shared" si="78"/>
        <v>4.5</v>
      </c>
      <c r="J258" s="1663">
        <v>36</v>
      </c>
      <c r="K258" s="1664">
        <f t="shared" si="79"/>
        <v>0.33333333333333331</v>
      </c>
      <c r="L258" s="1613">
        <f t="shared" si="80"/>
        <v>0</v>
      </c>
      <c r="M258" s="1613">
        <f t="shared" si="81"/>
        <v>1380</v>
      </c>
      <c r="N258" s="1613">
        <f t="shared" si="70"/>
        <v>-1380</v>
      </c>
      <c r="O258" s="1652">
        <f t="shared" si="82"/>
        <v>0</v>
      </c>
      <c r="P258" s="1653">
        <f t="shared" si="83"/>
        <v>0</v>
      </c>
      <c r="Q258" s="1653">
        <f t="shared" si="84"/>
        <v>0</v>
      </c>
      <c r="R258" s="1653">
        <f t="shared" si="85"/>
        <v>0</v>
      </c>
      <c r="S258" s="1653">
        <f t="shared" si="86"/>
        <v>0</v>
      </c>
      <c r="T258" s="1653">
        <f t="shared" si="71"/>
        <v>0</v>
      </c>
      <c r="U258" s="1653">
        <f t="shared" si="72"/>
        <v>0</v>
      </c>
      <c r="V258" s="1653">
        <f t="shared" si="73"/>
        <v>0</v>
      </c>
      <c r="W258" s="1653">
        <f t="shared" si="74"/>
        <v>0</v>
      </c>
      <c r="X258" s="1653">
        <f t="shared" si="75"/>
        <v>0</v>
      </c>
      <c r="Y258" s="1653">
        <f t="shared" si="76"/>
        <v>0</v>
      </c>
    </row>
    <row r="259" spans="1:25" ht="15" hidden="1" outlineLevel="1">
      <c r="A259" s="1615">
        <v>251</v>
      </c>
      <c r="C259" s="1651" t="s">
        <v>2796</v>
      </c>
      <c r="D259" s="1651" t="s">
        <v>2764</v>
      </c>
      <c r="E259" s="1613">
        <v>1238.1500000000001</v>
      </c>
      <c r="F259" s="1613">
        <v>-1238.1500000000001</v>
      </c>
      <c r="G259" s="1613">
        <f t="shared" si="77"/>
        <v>0</v>
      </c>
      <c r="H259" s="1578">
        <v>2011</v>
      </c>
      <c r="I259" s="1662">
        <f t="shared" si="78"/>
        <v>4.5</v>
      </c>
      <c r="J259" s="1663">
        <v>36</v>
      </c>
      <c r="K259" s="1664">
        <f t="shared" si="79"/>
        <v>0.33333333333333331</v>
      </c>
      <c r="L259" s="1613">
        <f t="shared" si="80"/>
        <v>0</v>
      </c>
      <c r="M259" s="1613">
        <f t="shared" si="81"/>
        <v>1238.1500000000001</v>
      </c>
      <c r="N259" s="1613">
        <f t="shared" si="70"/>
        <v>-1238.1500000000001</v>
      </c>
      <c r="O259" s="1652">
        <f t="shared" si="82"/>
        <v>0</v>
      </c>
      <c r="P259" s="1653">
        <f t="shared" si="83"/>
        <v>0</v>
      </c>
      <c r="Q259" s="1653">
        <f t="shared" si="84"/>
        <v>0</v>
      </c>
      <c r="R259" s="1653">
        <f t="shared" si="85"/>
        <v>0</v>
      </c>
      <c r="S259" s="1653">
        <f t="shared" si="86"/>
        <v>0</v>
      </c>
      <c r="T259" s="1653">
        <f t="shared" si="71"/>
        <v>0</v>
      </c>
      <c r="U259" s="1653">
        <f t="shared" si="72"/>
        <v>0</v>
      </c>
      <c r="V259" s="1653">
        <f t="shared" si="73"/>
        <v>0</v>
      </c>
      <c r="W259" s="1653">
        <f t="shared" si="74"/>
        <v>0</v>
      </c>
      <c r="X259" s="1653">
        <f t="shared" si="75"/>
        <v>0</v>
      </c>
      <c r="Y259" s="1653">
        <f t="shared" si="76"/>
        <v>0</v>
      </c>
    </row>
    <row r="260" spans="1:25" ht="15" hidden="1" outlineLevel="1">
      <c r="A260" s="1615">
        <v>252</v>
      </c>
      <c r="C260" s="1651" t="s">
        <v>2797</v>
      </c>
      <c r="D260" s="1651" t="s">
        <v>2774</v>
      </c>
      <c r="E260" s="1613">
        <v>177.99</v>
      </c>
      <c r="F260" s="1613">
        <v>-177.99</v>
      </c>
      <c r="G260" s="1613">
        <f t="shared" si="77"/>
        <v>0</v>
      </c>
      <c r="H260" s="1578">
        <v>2011</v>
      </c>
      <c r="I260" s="1662">
        <f t="shared" si="78"/>
        <v>4.5</v>
      </c>
      <c r="J260" s="1663">
        <v>36</v>
      </c>
      <c r="K260" s="1664">
        <f t="shared" si="79"/>
        <v>0.33333333333333331</v>
      </c>
      <c r="L260" s="1613">
        <f t="shared" si="80"/>
        <v>0</v>
      </c>
      <c r="M260" s="1613">
        <f t="shared" si="81"/>
        <v>177.99</v>
      </c>
      <c r="N260" s="1613">
        <f t="shared" si="70"/>
        <v>-177.99</v>
      </c>
      <c r="O260" s="1652">
        <f t="shared" si="82"/>
        <v>0</v>
      </c>
      <c r="P260" s="1653">
        <f t="shared" si="83"/>
        <v>0</v>
      </c>
      <c r="Q260" s="1653">
        <f t="shared" si="84"/>
        <v>0</v>
      </c>
      <c r="R260" s="1653">
        <f t="shared" si="85"/>
        <v>0</v>
      </c>
      <c r="S260" s="1653">
        <f t="shared" si="86"/>
        <v>0</v>
      </c>
      <c r="T260" s="1653">
        <f t="shared" si="71"/>
        <v>0</v>
      </c>
      <c r="U260" s="1653">
        <f t="shared" si="72"/>
        <v>0</v>
      </c>
      <c r="V260" s="1653">
        <f t="shared" si="73"/>
        <v>0</v>
      </c>
      <c r="W260" s="1653">
        <f t="shared" si="74"/>
        <v>0</v>
      </c>
      <c r="X260" s="1653">
        <f t="shared" si="75"/>
        <v>0</v>
      </c>
      <c r="Y260" s="1653">
        <f t="shared" si="76"/>
        <v>0</v>
      </c>
    </row>
    <row r="261" spans="1:25" ht="15" hidden="1" outlineLevel="1">
      <c r="A261" s="1615">
        <v>253</v>
      </c>
      <c r="C261" s="1651" t="s">
        <v>2798</v>
      </c>
      <c r="D261" s="1651" t="s">
        <v>2799</v>
      </c>
      <c r="E261" s="1613">
        <v>266.32</v>
      </c>
      <c r="F261" s="1613">
        <v>-266.32</v>
      </c>
      <c r="G261" s="1613">
        <f t="shared" si="77"/>
        <v>0</v>
      </c>
      <c r="H261" s="1578">
        <v>2011</v>
      </c>
      <c r="I261" s="1662">
        <f t="shared" si="78"/>
        <v>4.5</v>
      </c>
      <c r="J261" s="1663">
        <v>36</v>
      </c>
      <c r="K261" s="1664">
        <f t="shared" si="79"/>
        <v>0.33333333333333331</v>
      </c>
      <c r="L261" s="1613">
        <f t="shared" si="80"/>
        <v>0</v>
      </c>
      <c r="M261" s="1613">
        <f t="shared" si="81"/>
        <v>266.32</v>
      </c>
      <c r="N261" s="1613">
        <f t="shared" si="70"/>
        <v>-266.32</v>
      </c>
      <c r="O261" s="1652">
        <f t="shared" si="82"/>
        <v>0</v>
      </c>
      <c r="P261" s="1653">
        <f t="shared" si="83"/>
        <v>0</v>
      </c>
      <c r="Q261" s="1653">
        <f t="shared" si="84"/>
        <v>0</v>
      </c>
      <c r="R261" s="1653">
        <f t="shared" si="85"/>
        <v>0</v>
      </c>
      <c r="S261" s="1653">
        <f t="shared" si="86"/>
        <v>0</v>
      </c>
      <c r="T261" s="1653">
        <f t="shared" si="71"/>
        <v>0</v>
      </c>
      <c r="U261" s="1653">
        <f t="shared" si="72"/>
        <v>0</v>
      </c>
      <c r="V261" s="1653">
        <f t="shared" si="73"/>
        <v>0</v>
      </c>
      <c r="W261" s="1653">
        <f t="shared" si="74"/>
        <v>0</v>
      </c>
      <c r="X261" s="1653">
        <f t="shared" si="75"/>
        <v>0</v>
      </c>
      <c r="Y261" s="1653">
        <f t="shared" si="76"/>
        <v>0</v>
      </c>
    </row>
    <row r="262" spans="1:25" ht="15" hidden="1" outlineLevel="1">
      <c r="A262" s="1615">
        <v>254</v>
      </c>
      <c r="C262" s="1651" t="s">
        <v>2800</v>
      </c>
      <c r="D262" s="1651" t="s">
        <v>2764</v>
      </c>
      <c r="E262" s="1613">
        <v>2930.7</v>
      </c>
      <c r="F262" s="1613">
        <v>-2930.7</v>
      </c>
      <c r="G262" s="1613">
        <f t="shared" si="77"/>
        <v>0</v>
      </c>
      <c r="H262" s="1578">
        <v>2011</v>
      </c>
      <c r="I262" s="1662">
        <f t="shared" si="78"/>
        <v>4.5</v>
      </c>
      <c r="J262" s="1663">
        <v>36</v>
      </c>
      <c r="K262" s="1664">
        <f t="shared" si="79"/>
        <v>0.33333333333333331</v>
      </c>
      <c r="L262" s="1613">
        <f t="shared" si="80"/>
        <v>0</v>
      </c>
      <c r="M262" s="1613">
        <f t="shared" si="81"/>
        <v>2930.7</v>
      </c>
      <c r="N262" s="1613">
        <f t="shared" si="70"/>
        <v>-2930.7</v>
      </c>
      <c r="O262" s="1652">
        <f t="shared" si="82"/>
        <v>0</v>
      </c>
      <c r="P262" s="1653">
        <f t="shared" si="83"/>
        <v>0</v>
      </c>
      <c r="Q262" s="1653">
        <f t="shared" si="84"/>
        <v>0</v>
      </c>
      <c r="R262" s="1653">
        <f t="shared" si="85"/>
        <v>0</v>
      </c>
      <c r="S262" s="1653">
        <f t="shared" si="86"/>
        <v>0</v>
      </c>
      <c r="T262" s="1653">
        <f t="shared" si="71"/>
        <v>0</v>
      </c>
      <c r="U262" s="1653">
        <f t="shared" si="72"/>
        <v>0</v>
      </c>
      <c r="V262" s="1653">
        <f t="shared" si="73"/>
        <v>0</v>
      </c>
      <c r="W262" s="1653">
        <f t="shared" si="74"/>
        <v>0</v>
      </c>
      <c r="X262" s="1653">
        <f t="shared" si="75"/>
        <v>0</v>
      </c>
      <c r="Y262" s="1653">
        <f t="shared" si="76"/>
        <v>0</v>
      </c>
    </row>
    <row r="263" spans="1:25" ht="15" hidden="1" outlineLevel="1">
      <c r="A263" s="1615">
        <v>255</v>
      </c>
      <c r="C263" s="1651" t="s">
        <v>2801</v>
      </c>
      <c r="D263" s="1651" t="s">
        <v>2802</v>
      </c>
      <c r="E263" s="1613">
        <v>212.19</v>
      </c>
      <c r="F263" s="1613">
        <v>-212.19</v>
      </c>
      <c r="G263" s="1613">
        <f t="shared" si="77"/>
        <v>0</v>
      </c>
      <c r="H263" s="1578">
        <v>2011</v>
      </c>
      <c r="I263" s="1662">
        <f t="shared" si="78"/>
        <v>4.5</v>
      </c>
      <c r="J263" s="1663">
        <v>36</v>
      </c>
      <c r="K263" s="1664">
        <f t="shared" si="79"/>
        <v>0.33333333333333331</v>
      </c>
      <c r="L263" s="1613">
        <f t="shared" si="80"/>
        <v>0</v>
      </c>
      <c r="M263" s="1613">
        <f t="shared" si="81"/>
        <v>212.19</v>
      </c>
      <c r="N263" s="1613">
        <f t="shared" si="70"/>
        <v>-212.19</v>
      </c>
      <c r="O263" s="1652">
        <f t="shared" si="82"/>
        <v>0</v>
      </c>
      <c r="P263" s="1653">
        <f t="shared" si="83"/>
        <v>0</v>
      </c>
      <c r="Q263" s="1653">
        <f t="shared" si="84"/>
        <v>0</v>
      </c>
      <c r="R263" s="1653">
        <f t="shared" si="85"/>
        <v>0</v>
      </c>
      <c r="S263" s="1653">
        <f t="shared" si="86"/>
        <v>0</v>
      </c>
      <c r="T263" s="1653">
        <f t="shared" si="71"/>
        <v>0</v>
      </c>
      <c r="U263" s="1653">
        <f t="shared" si="72"/>
        <v>0</v>
      </c>
      <c r="V263" s="1653">
        <f t="shared" si="73"/>
        <v>0</v>
      </c>
      <c r="W263" s="1653">
        <f t="shared" si="74"/>
        <v>0</v>
      </c>
      <c r="X263" s="1653">
        <f t="shared" si="75"/>
        <v>0</v>
      </c>
      <c r="Y263" s="1653">
        <f t="shared" si="76"/>
        <v>0</v>
      </c>
    </row>
    <row r="264" spans="1:25" ht="15" hidden="1" outlineLevel="1">
      <c r="A264" s="1615">
        <v>256</v>
      </c>
      <c r="C264" s="1651" t="s">
        <v>2803</v>
      </c>
      <c r="D264" s="1651" t="s">
        <v>2764</v>
      </c>
      <c r="E264" s="1613">
        <v>3075.14</v>
      </c>
      <c r="F264" s="1613">
        <v>-3075.14</v>
      </c>
      <c r="G264" s="1613">
        <f t="shared" si="77"/>
        <v>0</v>
      </c>
      <c r="H264" s="1578">
        <v>2011</v>
      </c>
      <c r="I264" s="1662">
        <f t="shared" si="78"/>
        <v>4.5</v>
      </c>
      <c r="J264" s="1663">
        <v>36</v>
      </c>
      <c r="K264" s="1664">
        <f t="shared" si="79"/>
        <v>0.33333333333333331</v>
      </c>
      <c r="L264" s="1613">
        <f t="shared" si="80"/>
        <v>0</v>
      </c>
      <c r="M264" s="1613">
        <f t="shared" si="81"/>
        <v>3075.14</v>
      </c>
      <c r="N264" s="1613">
        <f t="shared" si="70"/>
        <v>-3075.14</v>
      </c>
      <c r="O264" s="1652">
        <f t="shared" si="82"/>
        <v>0</v>
      </c>
      <c r="P264" s="1653">
        <f t="shared" si="83"/>
        <v>0</v>
      </c>
      <c r="Q264" s="1653">
        <f t="shared" si="84"/>
        <v>0</v>
      </c>
      <c r="R264" s="1653">
        <f t="shared" si="85"/>
        <v>0</v>
      </c>
      <c r="S264" s="1653">
        <f t="shared" si="86"/>
        <v>0</v>
      </c>
      <c r="T264" s="1653">
        <f t="shared" si="71"/>
        <v>0</v>
      </c>
      <c r="U264" s="1653">
        <f t="shared" si="72"/>
        <v>0</v>
      </c>
      <c r="V264" s="1653">
        <f t="shared" si="73"/>
        <v>0</v>
      </c>
      <c r="W264" s="1653">
        <f t="shared" si="74"/>
        <v>0</v>
      </c>
      <c r="X264" s="1653">
        <f t="shared" si="75"/>
        <v>0</v>
      </c>
      <c r="Y264" s="1653">
        <f t="shared" si="76"/>
        <v>0</v>
      </c>
    </row>
    <row r="265" spans="1:25" ht="15" hidden="1" outlineLevel="1">
      <c r="A265" s="1615">
        <v>257</v>
      </c>
      <c r="C265" s="1651" t="s">
        <v>2804</v>
      </c>
      <c r="D265" s="1651" t="s">
        <v>2805</v>
      </c>
      <c r="E265" s="1613">
        <v>277.93</v>
      </c>
      <c r="F265" s="1613">
        <v>-277.93</v>
      </c>
      <c r="G265" s="1613">
        <f t="shared" si="77"/>
        <v>0</v>
      </c>
      <c r="H265" s="1578">
        <v>2011</v>
      </c>
      <c r="I265" s="1662">
        <f t="shared" si="78"/>
        <v>4.5</v>
      </c>
      <c r="J265" s="1663">
        <v>36</v>
      </c>
      <c r="K265" s="1664">
        <f t="shared" si="79"/>
        <v>0.33333333333333331</v>
      </c>
      <c r="L265" s="1613">
        <f t="shared" si="80"/>
        <v>0</v>
      </c>
      <c r="M265" s="1613">
        <f t="shared" si="81"/>
        <v>277.93</v>
      </c>
      <c r="N265" s="1613">
        <f t="shared" si="70"/>
        <v>-277.93</v>
      </c>
      <c r="O265" s="1652">
        <f t="shared" si="82"/>
        <v>0</v>
      </c>
      <c r="P265" s="1653">
        <f t="shared" si="83"/>
        <v>0</v>
      </c>
      <c r="Q265" s="1653">
        <f t="shared" si="84"/>
        <v>0</v>
      </c>
      <c r="R265" s="1653">
        <f t="shared" si="85"/>
        <v>0</v>
      </c>
      <c r="S265" s="1653">
        <f t="shared" si="86"/>
        <v>0</v>
      </c>
      <c r="T265" s="1653">
        <f t="shared" si="71"/>
        <v>0</v>
      </c>
      <c r="U265" s="1653">
        <f t="shared" si="72"/>
        <v>0</v>
      </c>
      <c r="V265" s="1653">
        <f t="shared" si="73"/>
        <v>0</v>
      </c>
      <c r="W265" s="1653">
        <f t="shared" si="74"/>
        <v>0</v>
      </c>
      <c r="X265" s="1653">
        <f t="shared" si="75"/>
        <v>0</v>
      </c>
      <c r="Y265" s="1653">
        <f t="shared" si="76"/>
        <v>0</v>
      </c>
    </row>
    <row r="266" spans="1:25" ht="15" hidden="1" outlineLevel="1">
      <c r="A266" s="1615">
        <v>258</v>
      </c>
      <c r="C266" s="1651" t="s">
        <v>2806</v>
      </c>
      <c r="D266" s="1651" t="s">
        <v>2807</v>
      </c>
      <c r="E266" s="1613">
        <v>4914.4799999999996</v>
      </c>
      <c r="F266" s="1613">
        <v>-4914.4799999999996</v>
      </c>
      <c r="G266" s="1613">
        <f t="shared" si="77"/>
        <v>0</v>
      </c>
      <c r="H266" s="1578">
        <v>2011</v>
      </c>
      <c r="I266" s="1662">
        <f t="shared" si="78"/>
        <v>4.5</v>
      </c>
      <c r="J266" s="1663">
        <v>36</v>
      </c>
      <c r="K266" s="1664">
        <f t="shared" si="79"/>
        <v>0.33333333333333331</v>
      </c>
      <c r="L266" s="1613">
        <f t="shared" si="80"/>
        <v>0</v>
      </c>
      <c r="M266" s="1613">
        <f t="shared" si="81"/>
        <v>4914.4799999999996</v>
      </c>
      <c r="N266" s="1613">
        <f t="shared" si="70"/>
        <v>-4914.4799999999996</v>
      </c>
      <c r="O266" s="1652">
        <f t="shared" si="82"/>
        <v>0</v>
      </c>
      <c r="P266" s="1653">
        <f t="shared" si="83"/>
        <v>0</v>
      </c>
      <c r="Q266" s="1653">
        <f t="shared" si="84"/>
        <v>0</v>
      </c>
      <c r="R266" s="1653">
        <f t="shared" si="85"/>
        <v>0</v>
      </c>
      <c r="S266" s="1653">
        <f t="shared" si="86"/>
        <v>0</v>
      </c>
      <c r="T266" s="1653">
        <f t="shared" si="71"/>
        <v>0</v>
      </c>
      <c r="U266" s="1653">
        <f t="shared" si="72"/>
        <v>0</v>
      </c>
      <c r="V266" s="1653">
        <f t="shared" si="73"/>
        <v>0</v>
      </c>
      <c r="W266" s="1653">
        <f t="shared" si="74"/>
        <v>0</v>
      </c>
      <c r="X266" s="1653">
        <f t="shared" si="75"/>
        <v>0</v>
      </c>
      <c r="Y266" s="1653">
        <f t="shared" si="76"/>
        <v>0</v>
      </c>
    </row>
    <row r="267" spans="1:25" ht="15" hidden="1" outlineLevel="1">
      <c r="A267" s="1615">
        <v>259</v>
      </c>
      <c r="C267" s="1651" t="s">
        <v>2808</v>
      </c>
      <c r="D267" s="1651" t="s">
        <v>2774</v>
      </c>
      <c r="E267" s="1613">
        <v>159.16999999999999</v>
      </c>
      <c r="F267" s="1613">
        <v>-159.16999999999999</v>
      </c>
      <c r="G267" s="1613">
        <f t="shared" si="77"/>
        <v>0</v>
      </c>
      <c r="H267" s="1578">
        <v>2011</v>
      </c>
      <c r="I267" s="1662">
        <f t="shared" si="78"/>
        <v>4.5</v>
      </c>
      <c r="J267" s="1663">
        <v>36</v>
      </c>
      <c r="K267" s="1664">
        <f t="shared" si="79"/>
        <v>0.33333333333333331</v>
      </c>
      <c r="L267" s="1613">
        <f t="shared" si="80"/>
        <v>0</v>
      </c>
      <c r="M267" s="1613">
        <f t="shared" si="81"/>
        <v>159.16999999999999</v>
      </c>
      <c r="N267" s="1613">
        <f t="shared" si="70"/>
        <v>-159.16999999999999</v>
      </c>
      <c r="O267" s="1652">
        <f t="shared" si="82"/>
        <v>0</v>
      </c>
      <c r="P267" s="1653">
        <f t="shared" si="83"/>
        <v>0</v>
      </c>
      <c r="Q267" s="1653">
        <f t="shared" si="84"/>
        <v>0</v>
      </c>
      <c r="R267" s="1653">
        <f t="shared" si="85"/>
        <v>0</v>
      </c>
      <c r="S267" s="1653">
        <f t="shared" si="86"/>
        <v>0</v>
      </c>
      <c r="T267" s="1653">
        <f t="shared" si="71"/>
        <v>0</v>
      </c>
      <c r="U267" s="1653">
        <f t="shared" si="72"/>
        <v>0</v>
      </c>
      <c r="V267" s="1653">
        <f t="shared" si="73"/>
        <v>0</v>
      </c>
      <c r="W267" s="1653">
        <f t="shared" si="74"/>
        <v>0</v>
      </c>
      <c r="X267" s="1653">
        <f t="shared" si="75"/>
        <v>0</v>
      </c>
      <c r="Y267" s="1653">
        <f t="shared" si="76"/>
        <v>0</v>
      </c>
    </row>
    <row r="268" spans="1:25" ht="15" hidden="1" outlineLevel="1">
      <c r="A268" s="1615">
        <v>260</v>
      </c>
      <c r="C268" s="1651" t="s">
        <v>2809</v>
      </c>
      <c r="D268" s="1651" t="s">
        <v>2810</v>
      </c>
      <c r="E268" s="1613">
        <v>255.11</v>
      </c>
      <c r="F268" s="1613">
        <v>-255.11</v>
      </c>
      <c r="G268" s="1613">
        <f t="shared" si="77"/>
        <v>0</v>
      </c>
      <c r="H268" s="1578">
        <v>2011</v>
      </c>
      <c r="I268" s="1662">
        <f t="shared" si="78"/>
        <v>4.5</v>
      </c>
      <c r="J268" s="1663">
        <v>36</v>
      </c>
      <c r="K268" s="1664">
        <f t="shared" si="79"/>
        <v>0.33333333333333331</v>
      </c>
      <c r="L268" s="1613">
        <f t="shared" si="80"/>
        <v>0</v>
      </c>
      <c r="M268" s="1613">
        <f t="shared" si="81"/>
        <v>255.11</v>
      </c>
      <c r="N268" s="1613">
        <f t="shared" si="70"/>
        <v>-255.11</v>
      </c>
      <c r="O268" s="1652">
        <f t="shared" si="82"/>
        <v>0</v>
      </c>
      <c r="P268" s="1653">
        <f t="shared" si="83"/>
        <v>0</v>
      </c>
      <c r="Q268" s="1653">
        <f t="shared" si="84"/>
        <v>0</v>
      </c>
      <c r="R268" s="1653">
        <f t="shared" si="85"/>
        <v>0</v>
      </c>
      <c r="S268" s="1653">
        <f t="shared" si="86"/>
        <v>0</v>
      </c>
      <c r="T268" s="1653">
        <f t="shared" si="71"/>
        <v>0</v>
      </c>
      <c r="U268" s="1653">
        <f t="shared" si="72"/>
        <v>0</v>
      </c>
      <c r="V268" s="1653">
        <f t="shared" si="73"/>
        <v>0</v>
      </c>
      <c r="W268" s="1653">
        <f t="shared" si="74"/>
        <v>0</v>
      </c>
      <c r="X268" s="1653">
        <f t="shared" si="75"/>
        <v>0</v>
      </c>
      <c r="Y268" s="1653">
        <f t="shared" si="76"/>
        <v>0</v>
      </c>
    </row>
    <row r="269" spans="1:25" ht="15" hidden="1" outlineLevel="1">
      <c r="A269" s="1615">
        <v>261</v>
      </c>
      <c r="C269" s="1651" t="s">
        <v>2811</v>
      </c>
      <c r="D269" s="1651" t="s">
        <v>2812</v>
      </c>
      <c r="E269" s="1613">
        <v>3062.29</v>
      </c>
      <c r="F269" s="1613">
        <v>-3062.29</v>
      </c>
      <c r="G269" s="1613">
        <f t="shared" si="77"/>
        <v>0</v>
      </c>
      <c r="H269" s="1578">
        <v>2011</v>
      </c>
      <c r="I269" s="1662">
        <f t="shared" si="78"/>
        <v>4.5</v>
      </c>
      <c r="J269" s="1663">
        <v>36</v>
      </c>
      <c r="K269" s="1664">
        <f t="shared" si="79"/>
        <v>0.33333333333333331</v>
      </c>
      <c r="L269" s="1613">
        <f t="shared" si="80"/>
        <v>0</v>
      </c>
      <c r="M269" s="1613">
        <f t="shared" si="81"/>
        <v>3062.29</v>
      </c>
      <c r="N269" s="1613">
        <f t="shared" si="70"/>
        <v>-3062.29</v>
      </c>
      <c r="O269" s="1652">
        <f t="shared" si="82"/>
        <v>0</v>
      </c>
      <c r="P269" s="1653">
        <f t="shared" si="83"/>
        <v>0</v>
      </c>
      <c r="Q269" s="1653">
        <f t="shared" si="84"/>
        <v>0</v>
      </c>
      <c r="R269" s="1653">
        <f t="shared" si="85"/>
        <v>0</v>
      </c>
      <c r="S269" s="1653">
        <f t="shared" si="86"/>
        <v>0</v>
      </c>
      <c r="T269" s="1653">
        <f t="shared" si="71"/>
        <v>0</v>
      </c>
      <c r="U269" s="1653">
        <f t="shared" si="72"/>
        <v>0</v>
      </c>
      <c r="V269" s="1653">
        <f t="shared" si="73"/>
        <v>0</v>
      </c>
      <c r="W269" s="1653">
        <f t="shared" si="74"/>
        <v>0</v>
      </c>
      <c r="X269" s="1653">
        <f t="shared" si="75"/>
        <v>0</v>
      </c>
      <c r="Y269" s="1653">
        <f t="shared" si="76"/>
        <v>0</v>
      </c>
    </row>
    <row r="270" spans="1:25" ht="15" hidden="1" outlineLevel="1">
      <c r="A270" s="1615">
        <v>262</v>
      </c>
      <c r="C270" s="1651" t="s">
        <v>2813</v>
      </c>
      <c r="D270" s="1651" t="s">
        <v>2764</v>
      </c>
      <c r="E270" s="1613">
        <v>1819.86</v>
      </c>
      <c r="F270" s="1613">
        <v>-1819.86</v>
      </c>
      <c r="G270" s="1613">
        <f t="shared" si="77"/>
        <v>0</v>
      </c>
      <c r="H270" s="1578">
        <v>2011</v>
      </c>
      <c r="I270" s="1662">
        <f t="shared" si="78"/>
        <v>4.5</v>
      </c>
      <c r="J270" s="1663">
        <v>36</v>
      </c>
      <c r="K270" s="1664">
        <f t="shared" si="79"/>
        <v>0.33333333333333331</v>
      </c>
      <c r="L270" s="1613">
        <f t="shared" si="80"/>
        <v>0</v>
      </c>
      <c r="M270" s="1613">
        <f t="shared" si="81"/>
        <v>1819.86</v>
      </c>
      <c r="N270" s="1613">
        <f t="shared" si="70"/>
        <v>-1819.86</v>
      </c>
      <c r="O270" s="1652">
        <f t="shared" si="82"/>
        <v>0</v>
      </c>
      <c r="P270" s="1653">
        <f t="shared" si="83"/>
        <v>0</v>
      </c>
      <c r="Q270" s="1653">
        <f t="shared" si="84"/>
        <v>0</v>
      </c>
      <c r="R270" s="1653">
        <f t="shared" si="85"/>
        <v>0</v>
      </c>
      <c r="S270" s="1653">
        <f t="shared" si="86"/>
        <v>0</v>
      </c>
      <c r="T270" s="1653">
        <f t="shared" si="71"/>
        <v>0</v>
      </c>
      <c r="U270" s="1653">
        <f t="shared" si="72"/>
        <v>0</v>
      </c>
      <c r="V270" s="1653">
        <f t="shared" si="73"/>
        <v>0</v>
      </c>
      <c r="W270" s="1653">
        <f t="shared" si="74"/>
        <v>0</v>
      </c>
      <c r="X270" s="1653">
        <f t="shared" si="75"/>
        <v>0</v>
      </c>
      <c r="Y270" s="1653">
        <f t="shared" si="76"/>
        <v>0</v>
      </c>
    </row>
    <row r="271" spans="1:25" ht="15" hidden="1" outlineLevel="1">
      <c r="A271" s="1615">
        <v>263</v>
      </c>
      <c r="C271" s="1651" t="s">
        <v>2814</v>
      </c>
      <c r="D271" s="1651" t="s">
        <v>2766</v>
      </c>
      <c r="E271" s="1613">
        <v>2901.38</v>
      </c>
      <c r="F271" s="1613">
        <v>-2901.38</v>
      </c>
      <c r="G271" s="1613">
        <f t="shared" si="77"/>
        <v>0</v>
      </c>
      <c r="H271" s="1578">
        <v>2011</v>
      </c>
      <c r="I271" s="1662">
        <f t="shared" si="78"/>
        <v>4.5</v>
      </c>
      <c r="J271" s="1663">
        <v>36</v>
      </c>
      <c r="K271" s="1664">
        <f t="shared" si="79"/>
        <v>0.33333333333333331</v>
      </c>
      <c r="L271" s="1613">
        <f t="shared" si="80"/>
        <v>0</v>
      </c>
      <c r="M271" s="1613">
        <f t="shared" si="81"/>
        <v>2901.38</v>
      </c>
      <c r="N271" s="1613">
        <f t="shared" si="70"/>
        <v>-2901.38</v>
      </c>
      <c r="O271" s="1652">
        <f t="shared" si="82"/>
        <v>0</v>
      </c>
      <c r="P271" s="1653">
        <f t="shared" si="83"/>
        <v>0</v>
      </c>
      <c r="Q271" s="1653">
        <f t="shared" si="84"/>
        <v>0</v>
      </c>
      <c r="R271" s="1653">
        <f t="shared" si="85"/>
        <v>0</v>
      </c>
      <c r="S271" s="1653">
        <f t="shared" si="86"/>
        <v>0</v>
      </c>
      <c r="T271" s="1653">
        <f t="shared" si="71"/>
        <v>0</v>
      </c>
      <c r="U271" s="1653">
        <f t="shared" si="72"/>
        <v>0</v>
      </c>
      <c r="V271" s="1653">
        <f t="shared" si="73"/>
        <v>0</v>
      </c>
      <c r="W271" s="1653">
        <f t="shared" si="74"/>
        <v>0</v>
      </c>
      <c r="X271" s="1653">
        <f t="shared" si="75"/>
        <v>0</v>
      </c>
      <c r="Y271" s="1653">
        <f t="shared" si="76"/>
        <v>0</v>
      </c>
    </row>
    <row r="272" spans="1:25" ht="15" hidden="1" outlineLevel="1">
      <c r="A272" s="1615">
        <v>264</v>
      </c>
      <c r="C272" s="1651" t="s">
        <v>2815</v>
      </c>
      <c r="D272" s="1651" t="s">
        <v>2791</v>
      </c>
      <c r="E272" s="1613">
        <v>777.74</v>
      </c>
      <c r="F272" s="1613">
        <v>-777.74</v>
      </c>
      <c r="G272" s="1613">
        <f t="shared" si="77"/>
        <v>0</v>
      </c>
      <c r="H272" s="1578">
        <v>2011</v>
      </c>
      <c r="I272" s="1662">
        <f t="shared" si="78"/>
        <v>4.5</v>
      </c>
      <c r="J272" s="1663">
        <v>36</v>
      </c>
      <c r="K272" s="1664">
        <f t="shared" si="79"/>
        <v>0.33333333333333331</v>
      </c>
      <c r="L272" s="1613">
        <f t="shared" si="80"/>
        <v>0</v>
      </c>
      <c r="M272" s="1613">
        <f t="shared" si="81"/>
        <v>777.74</v>
      </c>
      <c r="N272" s="1613">
        <f t="shared" si="70"/>
        <v>-777.74</v>
      </c>
      <c r="O272" s="1652">
        <f t="shared" si="82"/>
        <v>0</v>
      </c>
      <c r="P272" s="1653">
        <f t="shared" si="83"/>
        <v>0</v>
      </c>
      <c r="Q272" s="1653">
        <f t="shared" si="84"/>
        <v>0</v>
      </c>
      <c r="R272" s="1653">
        <f t="shared" si="85"/>
        <v>0</v>
      </c>
      <c r="S272" s="1653">
        <f t="shared" si="86"/>
        <v>0</v>
      </c>
      <c r="T272" s="1653">
        <f t="shared" si="71"/>
        <v>0</v>
      </c>
      <c r="U272" s="1653">
        <f t="shared" si="72"/>
        <v>0</v>
      </c>
      <c r="V272" s="1653">
        <f t="shared" si="73"/>
        <v>0</v>
      </c>
      <c r="W272" s="1653">
        <f t="shared" si="74"/>
        <v>0</v>
      </c>
      <c r="X272" s="1653">
        <f t="shared" si="75"/>
        <v>0</v>
      </c>
      <c r="Y272" s="1653">
        <f t="shared" si="76"/>
        <v>0</v>
      </c>
    </row>
    <row r="273" spans="1:25" ht="15" hidden="1" outlineLevel="1">
      <c r="A273" s="1615">
        <v>265</v>
      </c>
      <c r="C273" s="1651" t="s">
        <v>2816</v>
      </c>
      <c r="D273" s="1651" t="s">
        <v>2633</v>
      </c>
      <c r="E273" s="1613">
        <v>2700</v>
      </c>
      <c r="F273" s="1613">
        <v>-2700</v>
      </c>
      <c r="G273" s="1613">
        <f t="shared" si="77"/>
        <v>0</v>
      </c>
      <c r="H273" s="1578">
        <v>2012</v>
      </c>
      <c r="I273" s="1662">
        <f t="shared" si="78"/>
        <v>3.5</v>
      </c>
      <c r="J273" s="1663">
        <v>36</v>
      </c>
      <c r="K273" s="1664">
        <f t="shared" si="79"/>
        <v>0.33333333333333331</v>
      </c>
      <c r="L273" s="1613">
        <f t="shared" si="80"/>
        <v>0</v>
      </c>
      <c r="M273" s="1613">
        <f t="shared" si="81"/>
        <v>2700</v>
      </c>
      <c r="N273" s="1613">
        <f t="shared" si="70"/>
        <v>-2700</v>
      </c>
      <c r="O273" s="1652">
        <f t="shared" si="82"/>
        <v>0</v>
      </c>
      <c r="P273" s="1653">
        <f t="shared" si="83"/>
        <v>0</v>
      </c>
      <c r="Q273" s="1653">
        <f t="shared" si="84"/>
        <v>0</v>
      </c>
      <c r="R273" s="1653">
        <f t="shared" si="85"/>
        <v>0</v>
      </c>
      <c r="S273" s="1653">
        <f t="shared" si="86"/>
        <v>0</v>
      </c>
      <c r="T273" s="1653">
        <f t="shared" si="71"/>
        <v>0</v>
      </c>
      <c r="U273" s="1653">
        <f t="shared" si="72"/>
        <v>0</v>
      </c>
      <c r="V273" s="1653">
        <f t="shared" si="73"/>
        <v>0</v>
      </c>
      <c r="W273" s="1653">
        <f t="shared" si="74"/>
        <v>0</v>
      </c>
      <c r="X273" s="1653">
        <f t="shared" si="75"/>
        <v>0</v>
      </c>
      <c r="Y273" s="1653">
        <f t="shared" si="76"/>
        <v>0</v>
      </c>
    </row>
    <row r="274" spans="1:25" ht="15" hidden="1" outlineLevel="1">
      <c r="A274" s="1615">
        <v>266</v>
      </c>
      <c r="C274" s="1651" t="s">
        <v>2817</v>
      </c>
      <c r="D274" s="1651" t="s">
        <v>2764</v>
      </c>
      <c r="E274" s="1613">
        <v>1257.05</v>
      </c>
      <c r="F274" s="1613">
        <v>-1257.05</v>
      </c>
      <c r="G274" s="1613">
        <f t="shared" si="77"/>
        <v>0</v>
      </c>
      <c r="H274" s="1578">
        <v>2012</v>
      </c>
      <c r="I274" s="1662">
        <f t="shared" si="78"/>
        <v>3.5</v>
      </c>
      <c r="J274" s="1663">
        <v>36</v>
      </c>
      <c r="K274" s="1664">
        <f t="shared" si="79"/>
        <v>0.33333333333333331</v>
      </c>
      <c r="L274" s="1613">
        <f t="shared" si="80"/>
        <v>0</v>
      </c>
      <c r="M274" s="1613">
        <f t="shared" si="81"/>
        <v>1257.05</v>
      </c>
      <c r="N274" s="1613">
        <f t="shared" si="70"/>
        <v>-1257.05</v>
      </c>
      <c r="O274" s="1652">
        <f t="shared" si="82"/>
        <v>0</v>
      </c>
      <c r="P274" s="1653">
        <f t="shared" si="83"/>
        <v>0</v>
      </c>
      <c r="Q274" s="1653">
        <f t="shared" si="84"/>
        <v>0</v>
      </c>
      <c r="R274" s="1653">
        <f t="shared" si="85"/>
        <v>0</v>
      </c>
      <c r="S274" s="1653">
        <f t="shared" si="86"/>
        <v>0</v>
      </c>
      <c r="T274" s="1653">
        <f t="shared" si="71"/>
        <v>0</v>
      </c>
      <c r="U274" s="1653">
        <f t="shared" si="72"/>
        <v>0</v>
      </c>
      <c r="V274" s="1653">
        <f t="shared" si="73"/>
        <v>0</v>
      </c>
      <c r="W274" s="1653">
        <f t="shared" si="74"/>
        <v>0</v>
      </c>
      <c r="X274" s="1653">
        <f t="shared" si="75"/>
        <v>0</v>
      </c>
      <c r="Y274" s="1653">
        <f t="shared" si="76"/>
        <v>0</v>
      </c>
    </row>
    <row r="275" spans="1:25" ht="15" hidden="1" outlineLevel="1">
      <c r="A275" s="1615">
        <v>267</v>
      </c>
      <c r="C275" s="1651" t="s">
        <v>2818</v>
      </c>
      <c r="D275" s="1651" t="s">
        <v>2819</v>
      </c>
      <c r="E275" s="1613">
        <v>72242.13</v>
      </c>
      <c r="F275" s="1613">
        <v>-72242.13</v>
      </c>
      <c r="G275" s="1613">
        <f t="shared" si="77"/>
        <v>0</v>
      </c>
      <c r="H275" s="1578">
        <v>2011</v>
      </c>
      <c r="I275" s="1662">
        <f t="shared" si="78"/>
        <v>4.5</v>
      </c>
      <c r="J275" s="1663">
        <v>36</v>
      </c>
      <c r="K275" s="1664">
        <f t="shared" si="79"/>
        <v>0.33333333333333331</v>
      </c>
      <c r="L275" s="1613">
        <f t="shared" si="80"/>
        <v>0</v>
      </c>
      <c r="M275" s="1613">
        <f t="shared" si="81"/>
        <v>72242.13</v>
      </c>
      <c r="N275" s="1613">
        <f t="shared" si="70"/>
        <v>-72242.13</v>
      </c>
      <c r="O275" s="1652">
        <f t="shared" si="82"/>
        <v>0</v>
      </c>
      <c r="P275" s="1653">
        <f t="shared" si="83"/>
        <v>0</v>
      </c>
      <c r="Q275" s="1653">
        <f t="shared" si="84"/>
        <v>0</v>
      </c>
      <c r="R275" s="1653">
        <f t="shared" si="85"/>
        <v>0</v>
      </c>
      <c r="S275" s="1653">
        <f t="shared" si="86"/>
        <v>0</v>
      </c>
      <c r="T275" s="1653">
        <f t="shared" si="71"/>
        <v>0</v>
      </c>
      <c r="U275" s="1653">
        <f t="shared" si="72"/>
        <v>0</v>
      </c>
      <c r="V275" s="1653">
        <f t="shared" si="73"/>
        <v>0</v>
      </c>
      <c r="W275" s="1653">
        <f t="shared" si="74"/>
        <v>0</v>
      </c>
      <c r="X275" s="1653">
        <f t="shared" si="75"/>
        <v>0</v>
      </c>
      <c r="Y275" s="1653">
        <f t="shared" si="76"/>
        <v>0</v>
      </c>
    </row>
    <row r="276" spans="1:25" ht="15" hidden="1" outlineLevel="1">
      <c r="A276" s="1615">
        <v>268</v>
      </c>
      <c r="C276" s="1651" t="s">
        <v>2820</v>
      </c>
      <c r="D276" s="1651" t="s">
        <v>2821</v>
      </c>
      <c r="E276" s="1613">
        <v>2271.25</v>
      </c>
      <c r="F276" s="1613">
        <v>-2271.25</v>
      </c>
      <c r="G276" s="1613">
        <f t="shared" si="77"/>
        <v>0</v>
      </c>
      <c r="H276" s="1578">
        <v>2012</v>
      </c>
      <c r="I276" s="1662">
        <f t="shared" si="78"/>
        <v>3.5</v>
      </c>
      <c r="J276" s="1663">
        <v>36</v>
      </c>
      <c r="K276" s="1664">
        <f t="shared" si="79"/>
        <v>0.33333333333333331</v>
      </c>
      <c r="L276" s="1613">
        <f t="shared" si="80"/>
        <v>0</v>
      </c>
      <c r="M276" s="1613">
        <f t="shared" si="81"/>
        <v>2271.25</v>
      </c>
      <c r="N276" s="1613">
        <f t="shared" si="70"/>
        <v>-2271.25</v>
      </c>
      <c r="O276" s="1652">
        <f t="shared" si="82"/>
        <v>0</v>
      </c>
      <c r="P276" s="1653">
        <f t="shared" si="83"/>
        <v>0</v>
      </c>
      <c r="Q276" s="1653">
        <f t="shared" si="84"/>
        <v>0</v>
      </c>
      <c r="R276" s="1653">
        <f t="shared" si="85"/>
        <v>0</v>
      </c>
      <c r="S276" s="1653">
        <f t="shared" si="86"/>
        <v>0</v>
      </c>
      <c r="T276" s="1653">
        <f t="shared" si="71"/>
        <v>0</v>
      </c>
      <c r="U276" s="1653">
        <f t="shared" si="72"/>
        <v>0</v>
      </c>
      <c r="V276" s="1653">
        <f t="shared" si="73"/>
        <v>0</v>
      </c>
      <c r="W276" s="1653">
        <f t="shared" si="74"/>
        <v>0</v>
      </c>
      <c r="X276" s="1653">
        <f t="shared" si="75"/>
        <v>0</v>
      </c>
      <c r="Y276" s="1653">
        <f t="shared" si="76"/>
        <v>0</v>
      </c>
    </row>
    <row r="277" spans="1:25" ht="15" hidden="1" outlineLevel="1">
      <c r="A277" s="1615">
        <v>269</v>
      </c>
      <c r="C277" s="1651" t="s">
        <v>2822</v>
      </c>
      <c r="D277" s="1651" t="s">
        <v>2823</v>
      </c>
      <c r="E277" s="1613">
        <v>3483</v>
      </c>
      <c r="F277" s="1613">
        <v>-3483</v>
      </c>
      <c r="G277" s="1613">
        <f t="shared" si="77"/>
        <v>0</v>
      </c>
      <c r="H277" s="1578">
        <v>2012</v>
      </c>
      <c r="I277" s="1662">
        <f t="shared" si="78"/>
        <v>3.5</v>
      </c>
      <c r="J277" s="1663">
        <v>36</v>
      </c>
      <c r="K277" s="1664">
        <f t="shared" si="79"/>
        <v>0.33333333333333331</v>
      </c>
      <c r="L277" s="1613">
        <f t="shared" si="80"/>
        <v>0</v>
      </c>
      <c r="M277" s="1613">
        <f t="shared" si="81"/>
        <v>3483</v>
      </c>
      <c r="N277" s="1613">
        <f t="shared" si="70"/>
        <v>-3483</v>
      </c>
      <c r="O277" s="1652">
        <f t="shared" si="82"/>
        <v>0</v>
      </c>
      <c r="P277" s="1653">
        <f t="shared" si="83"/>
        <v>0</v>
      </c>
      <c r="Q277" s="1653">
        <f t="shared" si="84"/>
        <v>0</v>
      </c>
      <c r="R277" s="1653">
        <f t="shared" si="85"/>
        <v>0</v>
      </c>
      <c r="S277" s="1653">
        <f t="shared" si="86"/>
        <v>0</v>
      </c>
      <c r="T277" s="1653">
        <f t="shared" si="71"/>
        <v>0</v>
      </c>
      <c r="U277" s="1653">
        <f t="shared" si="72"/>
        <v>0</v>
      </c>
      <c r="V277" s="1653">
        <f t="shared" si="73"/>
        <v>0</v>
      </c>
      <c r="W277" s="1653">
        <f t="shared" si="74"/>
        <v>0</v>
      </c>
      <c r="X277" s="1653">
        <f t="shared" si="75"/>
        <v>0</v>
      </c>
      <c r="Y277" s="1653">
        <f t="shared" si="76"/>
        <v>0</v>
      </c>
    </row>
    <row r="278" spans="1:25" ht="15" hidden="1" outlineLevel="1">
      <c r="A278" s="1615">
        <v>270</v>
      </c>
      <c r="C278" s="1651" t="s">
        <v>2824</v>
      </c>
      <c r="D278" s="1651" t="s">
        <v>2825</v>
      </c>
      <c r="E278" s="1613">
        <v>2859.35</v>
      </c>
      <c r="F278" s="1613">
        <v>-2859.35</v>
      </c>
      <c r="G278" s="1613">
        <f t="shared" si="77"/>
        <v>0</v>
      </c>
      <c r="H278" s="1578">
        <v>2011</v>
      </c>
      <c r="I278" s="1662">
        <f t="shared" si="78"/>
        <v>4.5</v>
      </c>
      <c r="J278" s="1663">
        <v>36</v>
      </c>
      <c r="K278" s="1664">
        <f t="shared" si="79"/>
        <v>0.33333333333333331</v>
      </c>
      <c r="L278" s="1613">
        <f t="shared" si="80"/>
        <v>0</v>
      </c>
      <c r="M278" s="1613">
        <f t="shared" si="81"/>
        <v>2859.35</v>
      </c>
      <c r="N278" s="1613">
        <f t="shared" si="70"/>
        <v>-2859.35</v>
      </c>
      <c r="O278" s="1652">
        <f t="shared" si="82"/>
        <v>0</v>
      </c>
      <c r="P278" s="1653">
        <f t="shared" si="83"/>
        <v>0</v>
      </c>
      <c r="Q278" s="1653">
        <f t="shared" si="84"/>
        <v>0</v>
      </c>
      <c r="R278" s="1653">
        <f t="shared" si="85"/>
        <v>0</v>
      </c>
      <c r="S278" s="1653">
        <f t="shared" si="86"/>
        <v>0</v>
      </c>
      <c r="T278" s="1653">
        <f t="shared" si="71"/>
        <v>0</v>
      </c>
      <c r="U278" s="1653">
        <f t="shared" si="72"/>
        <v>0</v>
      </c>
      <c r="V278" s="1653">
        <f t="shared" si="73"/>
        <v>0</v>
      </c>
      <c r="W278" s="1653">
        <f t="shared" si="74"/>
        <v>0</v>
      </c>
      <c r="X278" s="1653">
        <f t="shared" si="75"/>
        <v>0</v>
      </c>
      <c r="Y278" s="1653">
        <f t="shared" si="76"/>
        <v>0</v>
      </c>
    </row>
    <row r="279" spans="1:25" ht="15" hidden="1" outlineLevel="1">
      <c r="A279" s="1615">
        <v>271</v>
      </c>
      <c r="C279" s="1651" t="s">
        <v>2826</v>
      </c>
      <c r="D279" s="1651" t="s">
        <v>2827</v>
      </c>
      <c r="E279" s="1613">
        <v>269.95999999999998</v>
      </c>
      <c r="F279" s="1613">
        <v>-269.95999999999998</v>
      </c>
      <c r="G279" s="1613">
        <f t="shared" si="77"/>
        <v>0</v>
      </c>
      <c r="H279" s="1578">
        <v>2012</v>
      </c>
      <c r="I279" s="1662">
        <f t="shared" si="78"/>
        <v>3.5</v>
      </c>
      <c r="J279" s="1663">
        <v>36</v>
      </c>
      <c r="K279" s="1664">
        <f t="shared" si="79"/>
        <v>0.33333333333333331</v>
      </c>
      <c r="L279" s="1613">
        <f t="shared" si="80"/>
        <v>0</v>
      </c>
      <c r="M279" s="1613">
        <f t="shared" si="81"/>
        <v>269.95999999999998</v>
      </c>
      <c r="N279" s="1613">
        <f t="shared" si="70"/>
        <v>-269.95999999999998</v>
      </c>
      <c r="O279" s="1652">
        <f t="shared" si="82"/>
        <v>0</v>
      </c>
      <c r="P279" s="1653">
        <f t="shared" si="83"/>
        <v>0</v>
      </c>
      <c r="Q279" s="1653">
        <f t="shared" si="84"/>
        <v>0</v>
      </c>
      <c r="R279" s="1653">
        <f t="shared" si="85"/>
        <v>0</v>
      </c>
      <c r="S279" s="1653">
        <f t="shared" si="86"/>
        <v>0</v>
      </c>
      <c r="T279" s="1653">
        <f t="shared" si="71"/>
        <v>0</v>
      </c>
      <c r="U279" s="1653">
        <f t="shared" si="72"/>
        <v>0</v>
      </c>
      <c r="V279" s="1653">
        <f t="shared" si="73"/>
        <v>0</v>
      </c>
      <c r="W279" s="1653">
        <f t="shared" si="74"/>
        <v>0</v>
      </c>
      <c r="X279" s="1653">
        <f t="shared" si="75"/>
        <v>0</v>
      </c>
      <c r="Y279" s="1653">
        <f t="shared" si="76"/>
        <v>0</v>
      </c>
    </row>
    <row r="280" spans="1:25" ht="15" hidden="1" outlineLevel="1">
      <c r="A280" s="1615">
        <v>272</v>
      </c>
      <c r="C280" s="1651" t="s">
        <v>2828</v>
      </c>
      <c r="D280" s="1651" t="s">
        <v>2829</v>
      </c>
      <c r="E280" s="1613">
        <v>1283.75</v>
      </c>
      <c r="F280" s="1613">
        <v>-1283.75</v>
      </c>
      <c r="G280" s="1613">
        <f t="shared" si="77"/>
        <v>0</v>
      </c>
      <c r="H280" s="1578">
        <v>2012</v>
      </c>
      <c r="I280" s="1662">
        <f t="shared" si="78"/>
        <v>3.5</v>
      </c>
      <c r="J280" s="1663">
        <v>36</v>
      </c>
      <c r="K280" s="1664">
        <f t="shared" si="79"/>
        <v>0.33333333333333331</v>
      </c>
      <c r="L280" s="1613">
        <f t="shared" si="80"/>
        <v>0</v>
      </c>
      <c r="M280" s="1613">
        <f t="shared" si="81"/>
        <v>1283.75</v>
      </c>
      <c r="N280" s="1613">
        <f t="shared" ref="N280:N343" si="87">-IF(I280+0.5&lt;(J280/12),M280*(I280+0.5)*K280,M280)</f>
        <v>-1283.75</v>
      </c>
      <c r="O280" s="1652">
        <f t="shared" si="82"/>
        <v>0</v>
      </c>
      <c r="P280" s="1653">
        <f t="shared" si="83"/>
        <v>0</v>
      </c>
      <c r="Q280" s="1653">
        <f t="shared" si="84"/>
        <v>0</v>
      </c>
      <c r="R280" s="1653">
        <f t="shared" si="85"/>
        <v>0</v>
      </c>
      <c r="S280" s="1653">
        <f t="shared" si="86"/>
        <v>0</v>
      </c>
      <c r="T280" s="1653">
        <f t="shared" ref="T280:T343" si="88">IF(S280&gt;0,IF(S280&lt;$K280,-$L280,R280-$K280),S280)</f>
        <v>0</v>
      </c>
      <c r="U280" s="1653">
        <f t="shared" ref="U280:U343" si="89">IF(T280&lt;0,$L280+T280,S280)</f>
        <v>0</v>
      </c>
      <c r="V280" s="1653">
        <f t="shared" ref="V280:V343" si="90">IF(U280&gt;0,IF(U280&lt;$K280,-$L280,T280-$K280),U280)</f>
        <v>0</v>
      </c>
      <c r="W280" s="1653">
        <f t="shared" ref="W280:W343" si="91">IF(V280&lt;0,$L280+V280,U280)</f>
        <v>0</v>
      </c>
      <c r="X280" s="1653">
        <f t="shared" ref="X280:X343" si="92">IF(W280&gt;0,IF(W280&lt;$K280,-$L280,V280-$K280),W280)</f>
        <v>0</v>
      </c>
      <c r="Y280" s="1653">
        <f t="shared" ref="Y280:Y343" si="93">IF(X280&lt;0,$L280+X280,W280)</f>
        <v>0</v>
      </c>
    </row>
    <row r="281" spans="1:25" ht="15" hidden="1" outlineLevel="1">
      <c r="A281" s="1615">
        <v>273</v>
      </c>
      <c r="C281" s="1651" t="s">
        <v>2830</v>
      </c>
      <c r="D281" s="1651" t="s">
        <v>2831</v>
      </c>
      <c r="E281" s="1613">
        <v>1710</v>
      </c>
      <c r="F281" s="1613">
        <v>-1710</v>
      </c>
      <c r="G281" s="1613">
        <f t="shared" ref="G281:G344" si="94">E281+F281</f>
        <v>0</v>
      </c>
      <c r="H281" s="1578">
        <v>2012</v>
      </c>
      <c r="I281" s="1662">
        <f t="shared" ref="I281:I344" si="95">IF(H281=2015,0.5,2015.5-H281)</f>
        <v>3.5</v>
      </c>
      <c r="J281" s="1663">
        <v>36</v>
      </c>
      <c r="K281" s="1664">
        <f t="shared" ref="K281:K344" si="96">1/J281*12</f>
        <v>0.33333333333333331</v>
      </c>
      <c r="L281" s="1613">
        <f t="shared" ref="L281:L344" si="97">IF(I281&lt;(J281/12),E281*K281,0)</f>
        <v>0</v>
      </c>
      <c r="M281" s="1613">
        <f t="shared" ref="M281:M344" si="98">E281</f>
        <v>1710</v>
      </c>
      <c r="N281" s="1613">
        <f t="shared" si="87"/>
        <v>-1710</v>
      </c>
      <c r="O281" s="1652">
        <f t="shared" ref="O281:O344" si="99">M281+N281</f>
        <v>0</v>
      </c>
      <c r="P281" s="1653">
        <f t="shared" ref="P281:P344" si="100">IF(O281&gt;0,IF(O281&lt;$K281,-$L281,N281-$K281),O281)</f>
        <v>0</v>
      </c>
      <c r="Q281" s="1653">
        <f t="shared" ref="Q281:Q344" si="101">IF(P281&lt;0,$L281+P281,O281)</f>
        <v>0</v>
      </c>
      <c r="R281" s="1653">
        <f t="shared" ref="R281:R344" si="102">IF(Q281&gt;0,IF(Q281&lt;$K281,-$L281,P281-$K281),Q281)</f>
        <v>0</v>
      </c>
      <c r="S281" s="1653">
        <f t="shared" ref="S281:S344" si="103">IF(R281&lt;0,$L281+R281,Q281)</f>
        <v>0</v>
      </c>
      <c r="T281" s="1653">
        <f t="shared" si="88"/>
        <v>0</v>
      </c>
      <c r="U281" s="1653">
        <f t="shared" si="89"/>
        <v>0</v>
      </c>
      <c r="V281" s="1653">
        <f t="shared" si="90"/>
        <v>0</v>
      </c>
      <c r="W281" s="1653">
        <f t="shared" si="91"/>
        <v>0</v>
      </c>
      <c r="X281" s="1653">
        <f t="shared" si="92"/>
        <v>0</v>
      </c>
      <c r="Y281" s="1653">
        <f t="shared" si="93"/>
        <v>0</v>
      </c>
    </row>
    <row r="282" spans="1:25" ht="15" hidden="1" outlineLevel="1">
      <c r="A282" s="1615">
        <v>274</v>
      </c>
      <c r="C282" s="1651" t="s">
        <v>2832</v>
      </c>
      <c r="D282" s="1651" t="s">
        <v>2833</v>
      </c>
      <c r="E282" s="1613">
        <v>494.55</v>
      </c>
      <c r="F282" s="1613">
        <v>-494.55</v>
      </c>
      <c r="G282" s="1613">
        <f t="shared" si="94"/>
        <v>0</v>
      </c>
      <c r="H282" s="1578">
        <v>2012</v>
      </c>
      <c r="I282" s="1662">
        <f t="shared" si="95"/>
        <v>3.5</v>
      </c>
      <c r="J282" s="1663">
        <v>36</v>
      </c>
      <c r="K282" s="1664">
        <f t="shared" si="96"/>
        <v>0.33333333333333331</v>
      </c>
      <c r="L282" s="1613">
        <f t="shared" si="97"/>
        <v>0</v>
      </c>
      <c r="M282" s="1613">
        <f t="shared" si="98"/>
        <v>494.55</v>
      </c>
      <c r="N282" s="1613">
        <f t="shared" si="87"/>
        <v>-494.55</v>
      </c>
      <c r="O282" s="1652">
        <f t="shared" si="99"/>
        <v>0</v>
      </c>
      <c r="P282" s="1653">
        <f t="shared" si="100"/>
        <v>0</v>
      </c>
      <c r="Q282" s="1653">
        <f t="shared" si="101"/>
        <v>0</v>
      </c>
      <c r="R282" s="1653">
        <f t="shared" si="102"/>
        <v>0</v>
      </c>
      <c r="S282" s="1653">
        <f t="shared" si="103"/>
        <v>0</v>
      </c>
      <c r="T282" s="1653">
        <f t="shared" si="88"/>
        <v>0</v>
      </c>
      <c r="U282" s="1653">
        <f t="shared" si="89"/>
        <v>0</v>
      </c>
      <c r="V282" s="1653">
        <f t="shared" si="90"/>
        <v>0</v>
      </c>
      <c r="W282" s="1653">
        <f t="shared" si="91"/>
        <v>0</v>
      </c>
      <c r="X282" s="1653">
        <f t="shared" si="92"/>
        <v>0</v>
      </c>
      <c r="Y282" s="1653">
        <f t="shared" si="93"/>
        <v>0</v>
      </c>
    </row>
    <row r="283" spans="1:25" ht="15" hidden="1" outlineLevel="1">
      <c r="A283" s="1615">
        <v>275</v>
      </c>
      <c r="C283" s="1651" t="s">
        <v>2834</v>
      </c>
      <c r="D283" s="1651" t="s">
        <v>2835</v>
      </c>
      <c r="E283" s="1613">
        <v>788.54</v>
      </c>
      <c r="F283" s="1613">
        <v>-788.54</v>
      </c>
      <c r="G283" s="1613">
        <f t="shared" si="94"/>
        <v>0</v>
      </c>
      <c r="H283" s="1578">
        <v>2012</v>
      </c>
      <c r="I283" s="1662">
        <f t="shared" si="95"/>
        <v>3.5</v>
      </c>
      <c r="J283" s="1663">
        <v>36</v>
      </c>
      <c r="K283" s="1664">
        <f t="shared" si="96"/>
        <v>0.33333333333333331</v>
      </c>
      <c r="L283" s="1613">
        <f t="shared" si="97"/>
        <v>0</v>
      </c>
      <c r="M283" s="1613">
        <f t="shared" si="98"/>
        <v>788.54</v>
      </c>
      <c r="N283" s="1613">
        <f t="shared" si="87"/>
        <v>-788.54</v>
      </c>
      <c r="O283" s="1652">
        <f t="shared" si="99"/>
        <v>0</v>
      </c>
      <c r="P283" s="1653">
        <f t="shared" si="100"/>
        <v>0</v>
      </c>
      <c r="Q283" s="1653">
        <f t="shared" si="101"/>
        <v>0</v>
      </c>
      <c r="R283" s="1653">
        <f t="shared" si="102"/>
        <v>0</v>
      </c>
      <c r="S283" s="1653">
        <f t="shared" si="103"/>
        <v>0</v>
      </c>
      <c r="T283" s="1653">
        <f t="shared" si="88"/>
        <v>0</v>
      </c>
      <c r="U283" s="1653">
        <f t="shared" si="89"/>
        <v>0</v>
      </c>
      <c r="V283" s="1653">
        <f t="shared" si="90"/>
        <v>0</v>
      </c>
      <c r="W283" s="1653">
        <f t="shared" si="91"/>
        <v>0</v>
      </c>
      <c r="X283" s="1653">
        <f t="shared" si="92"/>
        <v>0</v>
      </c>
      <c r="Y283" s="1653">
        <f t="shared" si="93"/>
        <v>0</v>
      </c>
    </row>
    <row r="284" spans="1:25" ht="15" hidden="1" outlineLevel="1">
      <c r="A284" s="1615">
        <v>276</v>
      </c>
      <c r="C284" s="1651" t="s">
        <v>2836</v>
      </c>
      <c r="D284" s="1651" t="s">
        <v>2837</v>
      </c>
      <c r="E284" s="1613">
        <v>456.84</v>
      </c>
      <c r="F284" s="1613">
        <v>-456.84</v>
      </c>
      <c r="G284" s="1613">
        <f t="shared" si="94"/>
        <v>0</v>
      </c>
      <c r="H284" s="1578">
        <v>2012</v>
      </c>
      <c r="I284" s="1662">
        <f t="shared" si="95"/>
        <v>3.5</v>
      </c>
      <c r="J284" s="1663">
        <v>36</v>
      </c>
      <c r="K284" s="1664">
        <f t="shared" si="96"/>
        <v>0.33333333333333331</v>
      </c>
      <c r="L284" s="1613">
        <f t="shared" si="97"/>
        <v>0</v>
      </c>
      <c r="M284" s="1613">
        <f t="shared" si="98"/>
        <v>456.84</v>
      </c>
      <c r="N284" s="1613">
        <f t="shared" si="87"/>
        <v>-456.84</v>
      </c>
      <c r="O284" s="1652">
        <f t="shared" si="99"/>
        <v>0</v>
      </c>
      <c r="P284" s="1653">
        <f t="shared" si="100"/>
        <v>0</v>
      </c>
      <c r="Q284" s="1653">
        <f t="shared" si="101"/>
        <v>0</v>
      </c>
      <c r="R284" s="1653">
        <f t="shared" si="102"/>
        <v>0</v>
      </c>
      <c r="S284" s="1653">
        <f t="shared" si="103"/>
        <v>0</v>
      </c>
      <c r="T284" s="1653">
        <f t="shared" si="88"/>
        <v>0</v>
      </c>
      <c r="U284" s="1653">
        <f t="shared" si="89"/>
        <v>0</v>
      </c>
      <c r="V284" s="1653">
        <f t="shared" si="90"/>
        <v>0</v>
      </c>
      <c r="W284" s="1653">
        <f t="shared" si="91"/>
        <v>0</v>
      </c>
      <c r="X284" s="1653">
        <f t="shared" si="92"/>
        <v>0</v>
      </c>
      <c r="Y284" s="1653">
        <f t="shared" si="93"/>
        <v>0</v>
      </c>
    </row>
    <row r="285" spans="1:25" ht="15" hidden="1" outlineLevel="1">
      <c r="A285" s="1615">
        <v>277</v>
      </c>
      <c r="C285" s="1651" t="s">
        <v>2838</v>
      </c>
      <c r="D285" s="1651" t="s">
        <v>2839</v>
      </c>
      <c r="E285" s="1613">
        <v>672.8</v>
      </c>
      <c r="F285" s="1613">
        <v>-672.8</v>
      </c>
      <c r="G285" s="1613">
        <f t="shared" si="94"/>
        <v>0</v>
      </c>
      <c r="H285" s="1578">
        <v>2012</v>
      </c>
      <c r="I285" s="1662">
        <f t="shared" si="95"/>
        <v>3.5</v>
      </c>
      <c r="J285" s="1663">
        <v>36</v>
      </c>
      <c r="K285" s="1664">
        <f t="shared" si="96"/>
        <v>0.33333333333333331</v>
      </c>
      <c r="L285" s="1613">
        <f t="shared" si="97"/>
        <v>0</v>
      </c>
      <c r="M285" s="1613">
        <f t="shared" si="98"/>
        <v>672.8</v>
      </c>
      <c r="N285" s="1613">
        <f t="shared" si="87"/>
        <v>-672.8</v>
      </c>
      <c r="O285" s="1652">
        <f t="shared" si="99"/>
        <v>0</v>
      </c>
      <c r="P285" s="1653">
        <f t="shared" si="100"/>
        <v>0</v>
      </c>
      <c r="Q285" s="1653">
        <f t="shared" si="101"/>
        <v>0</v>
      </c>
      <c r="R285" s="1653">
        <f t="shared" si="102"/>
        <v>0</v>
      </c>
      <c r="S285" s="1653">
        <f t="shared" si="103"/>
        <v>0</v>
      </c>
      <c r="T285" s="1653">
        <f t="shared" si="88"/>
        <v>0</v>
      </c>
      <c r="U285" s="1653">
        <f t="shared" si="89"/>
        <v>0</v>
      </c>
      <c r="V285" s="1653">
        <f t="shared" si="90"/>
        <v>0</v>
      </c>
      <c r="W285" s="1653">
        <f t="shared" si="91"/>
        <v>0</v>
      </c>
      <c r="X285" s="1653">
        <f t="shared" si="92"/>
        <v>0</v>
      </c>
      <c r="Y285" s="1653">
        <f t="shared" si="93"/>
        <v>0</v>
      </c>
    </row>
    <row r="286" spans="1:25" ht="15" hidden="1" outlineLevel="1">
      <c r="A286" s="1615">
        <v>278</v>
      </c>
      <c r="C286" s="1651" t="s">
        <v>2840</v>
      </c>
      <c r="D286" s="1651" t="s">
        <v>2841</v>
      </c>
      <c r="E286" s="1613">
        <v>349.04</v>
      </c>
      <c r="F286" s="1613">
        <v>-349.04</v>
      </c>
      <c r="G286" s="1613">
        <f t="shared" si="94"/>
        <v>0</v>
      </c>
      <c r="H286" s="1578">
        <v>2012</v>
      </c>
      <c r="I286" s="1662">
        <f t="shared" si="95"/>
        <v>3.5</v>
      </c>
      <c r="J286" s="1663">
        <v>36</v>
      </c>
      <c r="K286" s="1664">
        <f t="shared" si="96"/>
        <v>0.33333333333333331</v>
      </c>
      <c r="L286" s="1613">
        <f t="shared" si="97"/>
        <v>0</v>
      </c>
      <c r="M286" s="1613">
        <f t="shared" si="98"/>
        <v>349.04</v>
      </c>
      <c r="N286" s="1613">
        <f t="shared" si="87"/>
        <v>-349.04</v>
      </c>
      <c r="O286" s="1652">
        <f t="shared" si="99"/>
        <v>0</v>
      </c>
      <c r="P286" s="1653">
        <f t="shared" si="100"/>
        <v>0</v>
      </c>
      <c r="Q286" s="1653">
        <f t="shared" si="101"/>
        <v>0</v>
      </c>
      <c r="R286" s="1653">
        <f t="shared" si="102"/>
        <v>0</v>
      </c>
      <c r="S286" s="1653">
        <f t="shared" si="103"/>
        <v>0</v>
      </c>
      <c r="T286" s="1653">
        <f t="shared" si="88"/>
        <v>0</v>
      </c>
      <c r="U286" s="1653">
        <f t="shared" si="89"/>
        <v>0</v>
      </c>
      <c r="V286" s="1653">
        <f t="shared" si="90"/>
        <v>0</v>
      </c>
      <c r="W286" s="1653">
        <f t="shared" si="91"/>
        <v>0</v>
      </c>
      <c r="X286" s="1653">
        <f t="shared" si="92"/>
        <v>0</v>
      </c>
      <c r="Y286" s="1653">
        <f t="shared" si="93"/>
        <v>0</v>
      </c>
    </row>
    <row r="287" spans="1:25" ht="15" hidden="1" outlineLevel="1">
      <c r="A287" s="1615">
        <v>279</v>
      </c>
      <c r="C287" s="1651" t="s">
        <v>2842</v>
      </c>
      <c r="D287" s="1651" t="s">
        <v>2843</v>
      </c>
      <c r="E287" s="1613">
        <v>900.72</v>
      </c>
      <c r="F287" s="1613">
        <v>-900.72</v>
      </c>
      <c r="G287" s="1613">
        <f t="shared" si="94"/>
        <v>0</v>
      </c>
      <c r="H287" s="1578">
        <v>2012</v>
      </c>
      <c r="I287" s="1662">
        <f t="shared" si="95"/>
        <v>3.5</v>
      </c>
      <c r="J287" s="1663">
        <v>36</v>
      </c>
      <c r="K287" s="1664">
        <f t="shared" si="96"/>
        <v>0.33333333333333331</v>
      </c>
      <c r="L287" s="1613">
        <f t="shared" si="97"/>
        <v>0</v>
      </c>
      <c r="M287" s="1613">
        <f t="shared" si="98"/>
        <v>900.72</v>
      </c>
      <c r="N287" s="1613">
        <f t="shared" si="87"/>
        <v>-900.72</v>
      </c>
      <c r="O287" s="1652">
        <f t="shared" si="99"/>
        <v>0</v>
      </c>
      <c r="P287" s="1653">
        <f t="shared" si="100"/>
        <v>0</v>
      </c>
      <c r="Q287" s="1653">
        <f t="shared" si="101"/>
        <v>0</v>
      </c>
      <c r="R287" s="1653">
        <f t="shared" si="102"/>
        <v>0</v>
      </c>
      <c r="S287" s="1653">
        <f t="shared" si="103"/>
        <v>0</v>
      </c>
      <c r="T287" s="1653">
        <f t="shared" si="88"/>
        <v>0</v>
      </c>
      <c r="U287" s="1653">
        <f t="shared" si="89"/>
        <v>0</v>
      </c>
      <c r="V287" s="1653">
        <f t="shared" si="90"/>
        <v>0</v>
      </c>
      <c r="W287" s="1653">
        <f t="shared" si="91"/>
        <v>0</v>
      </c>
      <c r="X287" s="1653">
        <f t="shared" si="92"/>
        <v>0</v>
      </c>
      <c r="Y287" s="1653">
        <f t="shared" si="93"/>
        <v>0</v>
      </c>
    </row>
    <row r="288" spans="1:25" ht="15" hidden="1" outlineLevel="1">
      <c r="A288" s="1615">
        <v>280</v>
      </c>
      <c r="C288" s="1651" t="s">
        <v>2844</v>
      </c>
      <c r="D288" s="1651" t="s">
        <v>2845</v>
      </c>
      <c r="E288" s="1613">
        <v>1605.29</v>
      </c>
      <c r="F288" s="1613">
        <v>-1605.29</v>
      </c>
      <c r="G288" s="1613">
        <f t="shared" si="94"/>
        <v>0</v>
      </c>
      <c r="H288" s="1578">
        <v>2012</v>
      </c>
      <c r="I288" s="1662">
        <f t="shared" si="95"/>
        <v>3.5</v>
      </c>
      <c r="J288" s="1663">
        <v>36</v>
      </c>
      <c r="K288" s="1664">
        <f t="shared" si="96"/>
        <v>0.33333333333333331</v>
      </c>
      <c r="L288" s="1613">
        <f t="shared" si="97"/>
        <v>0</v>
      </c>
      <c r="M288" s="1613">
        <f t="shared" si="98"/>
        <v>1605.29</v>
      </c>
      <c r="N288" s="1613">
        <f t="shared" si="87"/>
        <v>-1605.29</v>
      </c>
      <c r="O288" s="1652">
        <f t="shared" si="99"/>
        <v>0</v>
      </c>
      <c r="P288" s="1653">
        <f t="shared" si="100"/>
        <v>0</v>
      </c>
      <c r="Q288" s="1653">
        <f t="shared" si="101"/>
        <v>0</v>
      </c>
      <c r="R288" s="1653">
        <f t="shared" si="102"/>
        <v>0</v>
      </c>
      <c r="S288" s="1653">
        <f t="shared" si="103"/>
        <v>0</v>
      </c>
      <c r="T288" s="1653">
        <f t="shared" si="88"/>
        <v>0</v>
      </c>
      <c r="U288" s="1653">
        <f t="shared" si="89"/>
        <v>0</v>
      </c>
      <c r="V288" s="1653">
        <f t="shared" si="90"/>
        <v>0</v>
      </c>
      <c r="W288" s="1653">
        <f t="shared" si="91"/>
        <v>0</v>
      </c>
      <c r="X288" s="1653">
        <f t="shared" si="92"/>
        <v>0</v>
      </c>
      <c r="Y288" s="1653">
        <f t="shared" si="93"/>
        <v>0</v>
      </c>
    </row>
    <row r="289" spans="1:25" ht="15" hidden="1" outlineLevel="1">
      <c r="A289" s="1615">
        <v>281</v>
      </c>
      <c r="C289" s="1651" t="s">
        <v>2846</v>
      </c>
      <c r="D289" s="1651" t="s">
        <v>2847</v>
      </c>
      <c r="E289" s="1613">
        <v>659.29</v>
      </c>
      <c r="F289" s="1613">
        <v>-659.29</v>
      </c>
      <c r="G289" s="1613">
        <f t="shared" si="94"/>
        <v>0</v>
      </c>
      <c r="H289" s="1578">
        <v>2012</v>
      </c>
      <c r="I289" s="1662">
        <f t="shared" si="95"/>
        <v>3.5</v>
      </c>
      <c r="J289" s="1663">
        <v>36</v>
      </c>
      <c r="K289" s="1664">
        <f t="shared" si="96"/>
        <v>0.33333333333333331</v>
      </c>
      <c r="L289" s="1613">
        <f t="shared" si="97"/>
        <v>0</v>
      </c>
      <c r="M289" s="1613">
        <f t="shared" si="98"/>
        <v>659.29</v>
      </c>
      <c r="N289" s="1613">
        <f t="shared" si="87"/>
        <v>-659.29</v>
      </c>
      <c r="O289" s="1652">
        <f t="shared" si="99"/>
        <v>0</v>
      </c>
      <c r="P289" s="1653">
        <f t="shared" si="100"/>
        <v>0</v>
      </c>
      <c r="Q289" s="1653">
        <f t="shared" si="101"/>
        <v>0</v>
      </c>
      <c r="R289" s="1653">
        <f t="shared" si="102"/>
        <v>0</v>
      </c>
      <c r="S289" s="1653">
        <f t="shared" si="103"/>
        <v>0</v>
      </c>
      <c r="T289" s="1653">
        <f t="shared" si="88"/>
        <v>0</v>
      </c>
      <c r="U289" s="1653">
        <f t="shared" si="89"/>
        <v>0</v>
      </c>
      <c r="V289" s="1653">
        <f t="shared" si="90"/>
        <v>0</v>
      </c>
      <c r="W289" s="1653">
        <f t="shared" si="91"/>
        <v>0</v>
      </c>
      <c r="X289" s="1653">
        <f t="shared" si="92"/>
        <v>0</v>
      </c>
      <c r="Y289" s="1653">
        <f t="shared" si="93"/>
        <v>0</v>
      </c>
    </row>
    <row r="290" spans="1:25" ht="15" hidden="1" outlineLevel="1">
      <c r="A290" s="1615">
        <v>282</v>
      </c>
      <c r="C290" s="1651" t="s">
        <v>2848</v>
      </c>
      <c r="D290" s="1651" t="s">
        <v>2849</v>
      </c>
      <c r="E290" s="1613">
        <v>545.07000000000005</v>
      </c>
      <c r="F290" s="1613">
        <v>-545.07000000000005</v>
      </c>
      <c r="G290" s="1613">
        <f t="shared" si="94"/>
        <v>0</v>
      </c>
      <c r="H290" s="1578">
        <v>2012</v>
      </c>
      <c r="I290" s="1662">
        <f t="shared" si="95"/>
        <v>3.5</v>
      </c>
      <c r="J290" s="1663">
        <v>36</v>
      </c>
      <c r="K290" s="1664">
        <f t="shared" si="96"/>
        <v>0.33333333333333331</v>
      </c>
      <c r="L290" s="1613">
        <f t="shared" si="97"/>
        <v>0</v>
      </c>
      <c r="M290" s="1613">
        <f t="shared" si="98"/>
        <v>545.07000000000005</v>
      </c>
      <c r="N290" s="1613">
        <f t="shared" si="87"/>
        <v>-545.07000000000005</v>
      </c>
      <c r="O290" s="1652">
        <f t="shared" si="99"/>
        <v>0</v>
      </c>
      <c r="P290" s="1653">
        <f t="shared" si="100"/>
        <v>0</v>
      </c>
      <c r="Q290" s="1653">
        <f t="shared" si="101"/>
        <v>0</v>
      </c>
      <c r="R290" s="1653">
        <f t="shared" si="102"/>
        <v>0</v>
      </c>
      <c r="S290" s="1653">
        <f t="shared" si="103"/>
        <v>0</v>
      </c>
      <c r="T290" s="1653">
        <f t="shared" si="88"/>
        <v>0</v>
      </c>
      <c r="U290" s="1653">
        <f t="shared" si="89"/>
        <v>0</v>
      </c>
      <c r="V290" s="1653">
        <f t="shared" si="90"/>
        <v>0</v>
      </c>
      <c r="W290" s="1653">
        <f t="shared" si="91"/>
        <v>0</v>
      </c>
      <c r="X290" s="1653">
        <f t="shared" si="92"/>
        <v>0</v>
      </c>
      <c r="Y290" s="1653">
        <f t="shared" si="93"/>
        <v>0</v>
      </c>
    </row>
    <row r="291" spans="1:25" ht="15" hidden="1" outlineLevel="1">
      <c r="A291" s="1615">
        <v>283</v>
      </c>
      <c r="C291" s="1651" t="s">
        <v>2850</v>
      </c>
      <c r="D291" s="1651" t="s">
        <v>2851</v>
      </c>
      <c r="E291" s="1613">
        <v>1985.2</v>
      </c>
      <c r="F291" s="1613">
        <v>-1985.2</v>
      </c>
      <c r="G291" s="1613">
        <f t="shared" si="94"/>
        <v>0</v>
      </c>
      <c r="H291" s="1578">
        <v>2012</v>
      </c>
      <c r="I291" s="1662">
        <f t="shared" si="95"/>
        <v>3.5</v>
      </c>
      <c r="J291" s="1663">
        <v>36</v>
      </c>
      <c r="K291" s="1664">
        <f t="shared" si="96"/>
        <v>0.33333333333333331</v>
      </c>
      <c r="L291" s="1613">
        <f t="shared" si="97"/>
        <v>0</v>
      </c>
      <c r="M291" s="1613">
        <f t="shared" si="98"/>
        <v>1985.2</v>
      </c>
      <c r="N291" s="1613">
        <f t="shared" si="87"/>
        <v>-1985.2</v>
      </c>
      <c r="O291" s="1652">
        <f t="shared" si="99"/>
        <v>0</v>
      </c>
      <c r="P291" s="1653">
        <f t="shared" si="100"/>
        <v>0</v>
      </c>
      <c r="Q291" s="1653">
        <f t="shared" si="101"/>
        <v>0</v>
      </c>
      <c r="R291" s="1653">
        <f t="shared" si="102"/>
        <v>0</v>
      </c>
      <c r="S291" s="1653">
        <f t="shared" si="103"/>
        <v>0</v>
      </c>
      <c r="T291" s="1653">
        <f t="shared" si="88"/>
        <v>0</v>
      </c>
      <c r="U291" s="1653">
        <f t="shared" si="89"/>
        <v>0</v>
      </c>
      <c r="V291" s="1653">
        <f t="shared" si="90"/>
        <v>0</v>
      </c>
      <c r="W291" s="1653">
        <f t="shared" si="91"/>
        <v>0</v>
      </c>
      <c r="X291" s="1653">
        <f t="shared" si="92"/>
        <v>0</v>
      </c>
      <c r="Y291" s="1653">
        <f t="shared" si="93"/>
        <v>0</v>
      </c>
    </row>
    <row r="292" spans="1:25" ht="15" hidden="1" outlineLevel="1">
      <c r="A292" s="1615">
        <v>284</v>
      </c>
      <c r="C292" s="1651" t="s">
        <v>2852</v>
      </c>
      <c r="D292" s="1651" t="s">
        <v>2845</v>
      </c>
      <c r="E292" s="1613">
        <v>2539.7199999999998</v>
      </c>
      <c r="F292" s="1613">
        <v>-2539.7199999999998</v>
      </c>
      <c r="G292" s="1613">
        <f t="shared" si="94"/>
        <v>0</v>
      </c>
      <c r="H292" s="1578">
        <v>2012</v>
      </c>
      <c r="I292" s="1662">
        <f t="shared" si="95"/>
        <v>3.5</v>
      </c>
      <c r="J292" s="1663">
        <v>36</v>
      </c>
      <c r="K292" s="1664">
        <f t="shared" si="96"/>
        <v>0.33333333333333331</v>
      </c>
      <c r="L292" s="1613">
        <f t="shared" si="97"/>
        <v>0</v>
      </c>
      <c r="M292" s="1613">
        <f t="shared" si="98"/>
        <v>2539.7199999999998</v>
      </c>
      <c r="N292" s="1613">
        <f t="shared" si="87"/>
        <v>-2539.7199999999998</v>
      </c>
      <c r="O292" s="1652">
        <f t="shared" si="99"/>
        <v>0</v>
      </c>
      <c r="P292" s="1653">
        <f t="shared" si="100"/>
        <v>0</v>
      </c>
      <c r="Q292" s="1653">
        <f t="shared" si="101"/>
        <v>0</v>
      </c>
      <c r="R292" s="1653">
        <f t="shared" si="102"/>
        <v>0</v>
      </c>
      <c r="S292" s="1653">
        <f t="shared" si="103"/>
        <v>0</v>
      </c>
      <c r="T292" s="1653">
        <f t="shared" si="88"/>
        <v>0</v>
      </c>
      <c r="U292" s="1653">
        <f t="shared" si="89"/>
        <v>0</v>
      </c>
      <c r="V292" s="1653">
        <f t="shared" si="90"/>
        <v>0</v>
      </c>
      <c r="W292" s="1653">
        <f t="shared" si="91"/>
        <v>0</v>
      </c>
      <c r="X292" s="1653">
        <f t="shared" si="92"/>
        <v>0</v>
      </c>
      <c r="Y292" s="1653">
        <f t="shared" si="93"/>
        <v>0</v>
      </c>
    </row>
    <row r="293" spans="1:25" ht="15" hidden="1" outlineLevel="1">
      <c r="A293" s="1615">
        <v>285</v>
      </c>
      <c r="C293" s="1651" t="s">
        <v>2853</v>
      </c>
      <c r="D293" s="1651" t="s">
        <v>2851</v>
      </c>
      <c r="E293" s="1613">
        <v>173.73</v>
      </c>
      <c r="F293" s="1613">
        <v>-173.73</v>
      </c>
      <c r="G293" s="1613">
        <f t="shared" si="94"/>
        <v>0</v>
      </c>
      <c r="H293" s="1578">
        <v>2012</v>
      </c>
      <c r="I293" s="1662">
        <f t="shared" si="95"/>
        <v>3.5</v>
      </c>
      <c r="J293" s="1663">
        <v>36</v>
      </c>
      <c r="K293" s="1664">
        <f t="shared" si="96"/>
        <v>0.33333333333333331</v>
      </c>
      <c r="L293" s="1613">
        <f t="shared" si="97"/>
        <v>0</v>
      </c>
      <c r="M293" s="1613">
        <f t="shared" si="98"/>
        <v>173.73</v>
      </c>
      <c r="N293" s="1613">
        <f t="shared" si="87"/>
        <v>-173.73</v>
      </c>
      <c r="O293" s="1652">
        <f t="shared" si="99"/>
        <v>0</v>
      </c>
      <c r="P293" s="1653">
        <f t="shared" si="100"/>
        <v>0</v>
      </c>
      <c r="Q293" s="1653">
        <f t="shared" si="101"/>
        <v>0</v>
      </c>
      <c r="R293" s="1653">
        <f t="shared" si="102"/>
        <v>0</v>
      </c>
      <c r="S293" s="1653">
        <f t="shared" si="103"/>
        <v>0</v>
      </c>
      <c r="T293" s="1653">
        <f t="shared" si="88"/>
        <v>0</v>
      </c>
      <c r="U293" s="1653">
        <f t="shared" si="89"/>
        <v>0</v>
      </c>
      <c r="V293" s="1653">
        <f t="shared" si="90"/>
        <v>0</v>
      </c>
      <c r="W293" s="1653">
        <f t="shared" si="91"/>
        <v>0</v>
      </c>
      <c r="X293" s="1653">
        <f t="shared" si="92"/>
        <v>0</v>
      </c>
      <c r="Y293" s="1653">
        <f t="shared" si="93"/>
        <v>0</v>
      </c>
    </row>
    <row r="294" spans="1:25" ht="15" hidden="1" outlineLevel="1">
      <c r="A294" s="1615">
        <v>286</v>
      </c>
      <c r="C294" s="1651" t="s">
        <v>2854</v>
      </c>
      <c r="D294" s="1651" t="s">
        <v>2845</v>
      </c>
      <c r="E294" s="1613">
        <v>3036.39</v>
      </c>
      <c r="F294" s="1613">
        <v>-3036.39</v>
      </c>
      <c r="G294" s="1613">
        <f t="shared" si="94"/>
        <v>0</v>
      </c>
      <c r="H294" s="1578">
        <v>2012</v>
      </c>
      <c r="I294" s="1662">
        <f t="shared" si="95"/>
        <v>3.5</v>
      </c>
      <c r="J294" s="1663">
        <v>36</v>
      </c>
      <c r="K294" s="1664">
        <f t="shared" si="96"/>
        <v>0.33333333333333331</v>
      </c>
      <c r="L294" s="1613">
        <f t="shared" si="97"/>
        <v>0</v>
      </c>
      <c r="M294" s="1613">
        <f t="shared" si="98"/>
        <v>3036.39</v>
      </c>
      <c r="N294" s="1613">
        <f t="shared" si="87"/>
        <v>-3036.39</v>
      </c>
      <c r="O294" s="1652">
        <f t="shared" si="99"/>
        <v>0</v>
      </c>
      <c r="P294" s="1653">
        <f t="shared" si="100"/>
        <v>0</v>
      </c>
      <c r="Q294" s="1653">
        <f t="shared" si="101"/>
        <v>0</v>
      </c>
      <c r="R294" s="1653">
        <f t="shared" si="102"/>
        <v>0</v>
      </c>
      <c r="S294" s="1653">
        <f t="shared" si="103"/>
        <v>0</v>
      </c>
      <c r="T294" s="1653">
        <f t="shared" si="88"/>
        <v>0</v>
      </c>
      <c r="U294" s="1653">
        <f t="shared" si="89"/>
        <v>0</v>
      </c>
      <c r="V294" s="1653">
        <f t="shared" si="90"/>
        <v>0</v>
      </c>
      <c r="W294" s="1653">
        <f t="shared" si="91"/>
        <v>0</v>
      </c>
      <c r="X294" s="1653">
        <f t="shared" si="92"/>
        <v>0</v>
      </c>
      <c r="Y294" s="1653">
        <f t="shared" si="93"/>
        <v>0</v>
      </c>
    </row>
    <row r="295" spans="1:25" ht="15" hidden="1" outlineLevel="1">
      <c r="A295" s="1615">
        <v>287</v>
      </c>
      <c r="C295" s="1651" t="s">
        <v>2855</v>
      </c>
      <c r="D295" s="1651" t="s">
        <v>2851</v>
      </c>
      <c r="E295" s="1613">
        <v>313.56</v>
      </c>
      <c r="F295" s="1613">
        <v>-313.56</v>
      </c>
      <c r="G295" s="1613">
        <f t="shared" si="94"/>
        <v>0</v>
      </c>
      <c r="H295" s="1578">
        <v>2012</v>
      </c>
      <c r="I295" s="1662">
        <f t="shared" si="95"/>
        <v>3.5</v>
      </c>
      <c r="J295" s="1663">
        <v>36</v>
      </c>
      <c r="K295" s="1664">
        <f t="shared" si="96"/>
        <v>0.33333333333333331</v>
      </c>
      <c r="L295" s="1613">
        <f t="shared" si="97"/>
        <v>0</v>
      </c>
      <c r="M295" s="1613">
        <f t="shared" si="98"/>
        <v>313.56</v>
      </c>
      <c r="N295" s="1613">
        <f t="shared" si="87"/>
        <v>-313.56</v>
      </c>
      <c r="O295" s="1652">
        <f t="shared" si="99"/>
        <v>0</v>
      </c>
      <c r="P295" s="1653">
        <f t="shared" si="100"/>
        <v>0</v>
      </c>
      <c r="Q295" s="1653">
        <f t="shared" si="101"/>
        <v>0</v>
      </c>
      <c r="R295" s="1653">
        <f t="shared" si="102"/>
        <v>0</v>
      </c>
      <c r="S295" s="1653">
        <f t="shared" si="103"/>
        <v>0</v>
      </c>
      <c r="T295" s="1653">
        <f t="shared" si="88"/>
        <v>0</v>
      </c>
      <c r="U295" s="1653">
        <f t="shared" si="89"/>
        <v>0</v>
      </c>
      <c r="V295" s="1653">
        <f t="shared" si="90"/>
        <v>0</v>
      </c>
      <c r="W295" s="1653">
        <f t="shared" si="91"/>
        <v>0</v>
      </c>
      <c r="X295" s="1653">
        <f t="shared" si="92"/>
        <v>0</v>
      </c>
      <c r="Y295" s="1653">
        <f t="shared" si="93"/>
        <v>0</v>
      </c>
    </row>
    <row r="296" spans="1:25" ht="15" hidden="1" outlineLevel="1">
      <c r="A296" s="1615">
        <v>288</v>
      </c>
      <c r="C296" s="1651" t="s">
        <v>2856</v>
      </c>
      <c r="D296" s="1651" t="s">
        <v>2845</v>
      </c>
      <c r="E296" s="1613">
        <v>2538.59</v>
      </c>
      <c r="F296" s="1613">
        <v>-2538.59</v>
      </c>
      <c r="G296" s="1613">
        <f t="shared" si="94"/>
        <v>0</v>
      </c>
      <c r="H296" s="1578">
        <v>2012</v>
      </c>
      <c r="I296" s="1662">
        <f t="shared" si="95"/>
        <v>3.5</v>
      </c>
      <c r="J296" s="1663">
        <v>36</v>
      </c>
      <c r="K296" s="1664">
        <f t="shared" si="96"/>
        <v>0.33333333333333331</v>
      </c>
      <c r="L296" s="1613">
        <f t="shared" si="97"/>
        <v>0</v>
      </c>
      <c r="M296" s="1613">
        <f t="shared" si="98"/>
        <v>2538.59</v>
      </c>
      <c r="N296" s="1613">
        <f t="shared" si="87"/>
        <v>-2538.59</v>
      </c>
      <c r="O296" s="1652">
        <f t="shared" si="99"/>
        <v>0</v>
      </c>
      <c r="P296" s="1653">
        <f t="shared" si="100"/>
        <v>0</v>
      </c>
      <c r="Q296" s="1653">
        <f t="shared" si="101"/>
        <v>0</v>
      </c>
      <c r="R296" s="1653">
        <f t="shared" si="102"/>
        <v>0</v>
      </c>
      <c r="S296" s="1653">
        <f t="shared" si="103"/>
        <v>0</v>
      </c>
      <c r="T296" s="1653">
        <f t="shared" si="88"/>
        <v>0</v>
      </c>
      <c r="U296" s="1653">
        <f t="shared" si="89"/>
        <v>0</v>
      </c>
      <c r="V296" s="1653">
        <f t="shared" si="90"/>
        <v>0</v>
      </c>
      <c r="W296" s="1653">
        <f t="shared" si="91"/>
        <v>0</v>
      </c>
      <c r="X296" s="1653">
        <f t="shared" si="92"/>
        <v>0</v>
      </c>
      <c r="Y296" s="1653">
        <f t="shared" si="93"/>
        <v>0</v>
      </c>
    </row>
    <row r="297" spans="1:25" ht="15" hidden="1" outlineLevel="1">
      <c r="A297" s="1615">
        <v>289</v>
      </c>
      <c r="C297" s="1651" t="s">
        <v>2857</v>
      </c>
      <c r="D297" s="1651" t="s">
        <v>2858</v>
      </c>
      <c r="E297" s="1613">
        <v>1662.16</v>
      </c>
      <c r="F297" s="1613">
        <v>-1662.16</v>
      </c>
      <c r="G297" s="1613">
        <f t="shared" si="94"/>
        <v>0</v>
      </c>
      <c r="H297" s="1578">
        <v>2012</v>
      </c>
      <c r="I297" s="1662">
        <f t="shared" si="95"/>
        <v>3.5</v>
      </c>
      <c r="J297" s="1663">
        <v>36</v>
      </c>
      <c r="K297" s="1664">
        <f t="shared" si="96"/>
        <v>0.33333333333333331</v>
      </c>
      <c r="L297" s="1613">
        <f t="shared" si="97"/>
        <v>0</v>
      </c>
      <c r="M297" s="1613">
        <f t="shared" si="98"/>
        <v>1662.16</v>
      </c>
      <c r="N297" s="1613">
        <f t="shared" si="87"/>
        <v>-1662.16</v>
      </c>
      <c r="O297" s="1652">
        <f t="shared" si="99"/>
        <v>0</v>
      </c>
      <c r="P297" s="1653">
        <f t="shared" si="100"/>
        <v>0</v>
      </c>
      <c r="Q297" s="1653">
        <f t="shared" si="101"/>
        <v>0</v>
      </c>
      <c r="R297" s="1653">
        <f t="shared" si="102"/>
        <v>0</v>
      </c>
      <c r="S297" s="1653">
        <f t="shared" si="103"/>
        <v>0</v>
      </c>
      <c r="T297" s="1653">
        <f t="shared" si="88"/>
        <v>0</v>
      </c>
      <c r="U297" s="1653">
        <f t="shared" si="89"/>
        <v>0</v>
      </c>
      <c r="V297" s="1653">
        <f t="shared" si="90"/>
        <v>0</v>
      </c>
      <c r="W297" s="1653">
        <f t="shared" si="91"/>
        <v>0</v>
      </c>
      <c r="X297" s="1653">
        <f t="shared" si="92"/>
        <v>0</v>
      </c>
      <c r="Y297" s="1653">
        <f t="shared" si="93"/>
        <v>0</v>
      </c>
    </row>
    <row r="298" spans="1:25" ht="15" hidden="1" outlineLevel="1">
      <c r="A298" s="1615">
        <v>290</v>
      </c>
      <c r="C298" s="1651" t="s">
        <v>2859</v>
      </c>
      <c r="D298" s="1651" t="s">
        <v>2851</v>
      </c>
      <c r="E298" s="1613">
        <v>1689.91</v>
      </c>
      <c r="F298" s="1613">
        <v>-1689.91</v>
      </c>
      <c r="G298" s="1613">
        <f t="shared" si="94"/>
        <v>0</v>
      </c>
      <c r="H298" s="1578">
        <v>2012</v>
      </c>
      <c r="I298" s="1662">
        <f t="shared" si="95"/>
        <v>3.5</v>
      </c>
      <c r="J298" s="1663">
        <v>36</v>
      </c>
      <c r="K298" s="1664">
        <f t="shared" si="96"/>
        <v>0.33333333333333331</v>
      </c>
      <c r="L298" s="1613">
        <f t="shared" si="97"/>
        <v>0</v>
      </c>
      <c r="M298" s="1613">
        <f t="shared" si="98"/>
        <v>1689.91</v>
      </c>
      <c r="N298" s="1613">
        <f t="shared" si="87"/>
        <v>-1689.91</v>
      </c>
      <c r="O298" s="1652">
        <f t="shared" si="99"/>
        <v>0</v>
      </c>
      <c r="P298" s="1653">
        <f t="shared" si="100"/>
        <v>0</v>
      </c>
      <c r="Q298" s="1653">
        <f t="shared" si="101"/>
        <v>0</v>
      </c>
      <c r="R298" s="1653">
        <f t="shared" si="102"/>
        <v>0</v>
      </c>
      <c r="S298" s="1653">
        <f t="shared" si="103"/>
        <v>0</v>
      </c>
      <c r="T298" s="1653">
        <f t="shared" si="88"/>
        <v>0</v>
      </c>
      <c r="U298" s="1653">
        <f t="shared" si="89"/>
        <v>0</v>
      </c>
      <c r="V298" s="1653">
        <f t="shared" si="90"/>
        <v>0</v>
      </c>
      <c r="W298" s="1653">
        <f t="shared" si="91"/>
        <v>0</v>
      </c>
      <c r="X298" s="1653">
        <f t="shared" si="92"/>
        <v>0</v>
      </c>
      <c r="Y298" s="1653">
        <f t="shared" si="93"/>
        <v>0</v>
      </c>
    </row>
    <row r="299" spans="1:25" ht="15" hidden="1" outlineLevel="1">
      <c r="A299" s="1615">
        <v>291</v>
      </c>
      <c r="C299" s="1651" t="s">
        <v>2860</v>
      </c>
      <c r="D299" s="1651" t="s">
        <v>2861</v>
      </c>
      <c r="E299" s="1613">
        <v>170.04</v>
      </c>
      <c r="F299" s="1613">
        <v>-170.04</v>
      </c>
      <c r="G299" s="1613">
        <f t="shared" si="94"/>
        <v>0</v>
      </c>
      <c r="H299" s="1578">
        <v>2012</v>
      </c>
      <c r="I299" s="1662">
        <f t="shared" si="95"/>
        <v>3.5</v>
      </c>
      <c r="J299" s="1663">
        <v>36</v>
      </c>
      <c r="K299" s="1664">
        <f t="shared" si="96"/>
        <v>0.33333333333333331</v>
      </c>
      <c r="L299" s="1613">
        <f t="shared" si="97"/>
        <v>0</v>
      </c>
      <c r="M299" s="1613">
        <f t="shared" si="98"/>
        <v>170.04</v>
      </c>
      <c r="N299" s="1613">
        <f t="shared" si="87"/>
        <v>-170.04</v>
      </c>
      <c r="O299" s="1652">
        <f t="shared" si="99"/>
        <v>0</v>
      </c>
      <c r="P299" s="1653">
        <f t="shared" si="100"/>
        <v>0</v>
      </c>
      <c r="Q299" s="1653">
        <f t="shared" si="101"/>
        <v>0</v>
      </c>
      <c r="R299" s="1653">
        <f t="shared" si="102"/>
        <v>0</v>
      </c>
      <c r="S299" s="1653">
        <f t="shared" si="103"/>
        <v>0</v>
      </c>
      <c r="T299" s="1653">
        <f t="shared" si="88"/>
        <v>0</v>
      </c>
      <c r="U299" s="1653">
        <f t="shared" si="89"/>
        <v>0</v>
      </c>
      <c r="V299" s="1653">
        <f t="shared" si="90"/>
        <v>0</v>
      </c>
      <c r="W299" s="1653">
        <f t="shared" si="91"/>
        <v>0</v>
      </c>
      <c r="X299" s="1653">
        <f t="shared" si="92"/>
        <v>0</v>
      </c>
      <c r="Y299" s="1653">
        <f t="shared" si="93"/>
        <v>0</v>
      </c>
    </row>
    <row r="300" spans="1:25" ht="15" hidden="1" outlineLevel="1">
      <c r="A300" s="1615">
        <v>292</v>
      </c>
      <c r="C300" s="1651" t="s">
        <v>2862</v>
      </c>
      <c r="D300" s="1651" t="s">
        <v>2863</v>
      </c>
      <c r="E300" s="1613">
        <v>228.19</v>
      </c>
      <c r="F300" s="1613">
        <v>-228.19</v>
      </c>
      <c r="G300" s="1613">
        <f t="shared" si="94"/>
        <v>0</v>
      </c>
      <c r="H300" s="1578">
        <v>2012</v>
      </c>
      <c r="I300" s="1662">
        <f t="shared" si="95"/>
        <v>3.5</v>
      </c>
      <c r="J300" s="1663">
        <v>36</v>
      </c>
      <c r="K300" s="1664">
        <f t="shared" si="96"/>
        <v>0.33333333333333331</v>
      </c>
      <c r="L300" s="1613">
        <f t="shared" si="97"/>
        <v>0</v>
      </c>
      <c r="M300" s="1613">
        <f t="shared" si="98"/>
        <v>228.19</v>
      </c>
      <c r="N300" s="1613">
        <f t="shared" si="87"/>
        <v>-228.19</v>
      </c>
      <c r="O300" s="1652">
        <f t="shared" si="99"/>
        <v>0</v>
      </c>
      <c r="P300" s="1653">
        <f t="shared" si="100"/>
        <v>0</v>
      </c>
      <c r="Q300" s="1653">
        <f t="shared" si="101"/>
        <v>0</v>
      </c>
      <c r="R300" s="1653">
        <f t="shared" si="102"/>
        <v>0</v>
      </c>
      <c r="S300" s="1653">
        <f t="shared" si="103"/>
        <v>0</v>
      </c>
      <c r="T300" s="1653">
        <f t="shared" si="88"/>
        <v>0</v>
      </c>
      <c r="U300" s="1653">
        <f t="shared" si="89"/>
        <v>0</v>
      </c>
      <c r="V300" s="1653">
        <f t="shared" si="90"/>
        <v>0</v>
      </c>
      <c r="W300" s="1653">
        <f t="shared" si="91"/>
        <v>0</v>
      </c>
      <c r="X300" s="1653">
        <f t="shared" si="92"/>
        <v>0</v>
      </c>
      <c r="Y300" s="1653">
        <f t="shared" si="93"/>
        <v>0</v>
      </c>
    </row>
    <row r="301" spans="1:25" ht="15" hidden="1" outlineLevel="1">
      <c r="A301" s="1615">
        <v>293</v>
      </c>
      <c r="C301" s="1651" t="s">
        <v>2864</v>
      </c>
      <c r="D301" s="1651" t="s">
        <v>2865</v>
      </c>
      <c r="E301" s="1613">
        <v>10205.24</v>
      </c>
      <c r="F301" s="1613">
        <v>-10205.24</v>
      </c>
      <c r="G301" s="1613">
        <f t="shared" si="94"/>
        <v>0</v>
      </c>
      <c r="H301" s="1578">
        <v>2012</v>
      </c>
      <c r="I301" s="1662">
        <f t="shared" si="95"/>
        <v>3.5</v>
      </c>
      <c r="J301" s="1663">
        <v>36</v>
      </c>
      <c r="K301" s="1664">
        <f t="shared" si="96"/>
        <v>0.33333333333333331</v>
      </c>
      <c r="L301" s="1613">
        <f t="shared" si="97"/>
        <v>0</v>
      </c>
      <c r="M301" s="1613">
        <f t="shared" si="98"/>
        <v>10205.24</v>
      </c>
      <c r="N301" s="1613">
        <f t="shared" si="87"/>
        <v>-10205.24</v>
      </c>
      <c r="O301" s="1652">
        <f t="shared" si="99"/>
        <v>0</v>
      </c>
      <c r="P301" s="1653">
        <f t="shared" si="100"/>
        <v>0</v>
      </c>
      <c r="Q301" s="1653">
        <f t="shared" si="101"/>
        <v>0</v>
      </c>
      <c r="R301" s="1653">
        <f t="shared" si="102"/>
        <v>0</v>
      </c>
      <c r="S301" s="1653">
        <f t="shared" si="103"/>
        <v>0</v>
      </c>
      <c r="T301" s="1653">
        <f t="shared" si="88"/>
        <v>0</v>
      </c>
      <c r="U301" s="1653">
        <f t="shared" si="89"/>
        <v>0</v>
      </c>
      <c r="V301" s="1653">
        <f t="shared" si="90"/>
        <v>0</v>
      </c>
      <c r="W301" s="1653">
        <f t="shared" si="91"/>
        <v>0</v>
      </c>
      <c r="X301" s="1653">
        <f t="shared" si="92"/>
        <v>0</v>
      </c>
      <c r="Y301" s="1653">
        <f t="shared" si="93"/>
        <v>0</v>
      </c>
    </row>
    <row r="302" spans="1:25" ht="15" hidden="1" outlineLevel="1">
      <c r="A302" s="1615">
        <v>294</v>
      </c>
      <c r="C302" s="1651" t="s">
        <v>2866</v>
      </c>
      <c r="D302" s="1651" t="s">
        <v>2867</v>
      </c>
      <c r="E302" s="1613">
        <v>6420.95</v>
      </c>
      <c r="F302" s="1613">
        <v>-6420.95</v>
      </c>
      <c r="G302" s="1613">
        <f t="shared" si="94"/>
        <v>0</v>
      </c>
      <c r="H302" s="1578">
        <v>2012</v>
      </c>
      <c r="I302" s="1662">
        <f t="shared" si="95"/>
        <v>3.5</v>
      </c>
      <c r="J302" s="1663">
        <v>36</v>
      </c>
      <c r="K302" s="1664">
        <f t="shared" si="96"/>
        <v>0.33333333333333331</v>
      </c>
      <c r="L302" s="1613">
        <f t="shared" si="97"/>
        <v>0</v>
      </c>
      <c r="M302" s="1613">
        <f t="shared" si="98"/>
        <v>6420.95</v>
      </c>
      <c r="N302" s="1613">
        <f t="shared" si="87"/>
        <v>-6420.95</v>
      </c>
      <c r="O302" s="1652">
        <f t="shared" si="99"/>
        <v>0</v>
      </c>
      <c r="P302" s="1653">
        <f t="shared" si="100"/>
        <v>0</v>
      </c>
      <c r="Q302" s="1653">
        <f t="shared" si="101"/>
        <v>0</v>
      </c>
      <c r="R302" s="1653">
        <f t="shared" si="102"/>
        <v>0</v>
      </c>
      <c r="S302" s="1653">
        <f t="shared" si="103"/>
        <v>0</v>
      </c>
      <c r="T302" s="1653">
        <f t="shared" si="88"/>
        <v>0</v>
      </c>
      <c r="U302" s="1653">
        <f t="shared" si="89"/>
        <v>0</v>
      </c>
      <c r="V302" s="1653">
        <f t="shared" si="90"/>
        <v>0</v>
      </c>
      <c r="W302" s="1653">
        <f t="shared" si="91"/>
        <v>0</v>
      </c>
      <c r="X302" s="1653">
        <f t="shared" si="92"/>
        <v>0</v>
      </c>
      <c r="Y302" s="1653">
        <f t="shared" si="93"/>
        <v>0</v>
      </c>
    </row>
    <row r="303" spans="1:25" ht="15" hidden="1" outlineLevel="1">
      <c r="A303" s="1615">
        <v>295</v>
      </c>
      <c r="C303" s="1651" t="s">
        <v>2868</v>
      </c>
      <c r="D303" s="1651" t="s">
        <v>2869</v>
      </c>
      <c r="E303" s="1613">
        <v>12140.34</v>
      </c>
      <c r="F303" s="1613">
        <v>-12140.34</v>
      </c>
      <c r="G303" s="1613">
        <f t="shared" si="94"/>
        <v>0</v>
      </c>
      <c r="H303" s="1578">
        <v>2012</v>
      </c>
      <c r="I303" s="1662">
        <f t="shared" si="95"/>
        <v>3.5</v>
      </c>
      <c r="J303" s="1663">
        <v>36</v>
      </c>
      <c r="K303" s="1664">
        <f t="shared" si="96"/>
        <v>0.33333333333333331</v>
      </c>
      <c r="L303" s="1613">
        <f t="shared" si="97"/>
        <v>0</v>
      </c>
      <c r="M303" s="1613">
        <f t="shared" si="98"/>
        <v>12140.34</v>
      </c>
      <c r="N303" s="1613">
        <f t="shared" si="87"/>
        <v>-12140.34</v>
      </c>
      <c r="O303" s="1652">
        <f t="shared" si="99"/>
        <v>0</v>
      </c>
      <c r="P303" s="1653">
        <f t="shared" si="100"/>
        <v>0</v>
      </c>
      <c r="Q303" s="1653">
        <f t="shared" si="101"/>
        <v>0</v>
      </c>
      <c r="R303" s="1653">
        <f t="shared" si="102"/>
        <v>0</v>
      </c>
      <c r="S303" s="1653">
        <f t="shared" si="103"/>
        <v>0</v>
      </c>
      <c r="T303" s="1653">
        <f t="shared" si="88"/>
        <v>0</v>
      </c>
      <c r="U303" s="1653">
        <f t="shared" si="89"/>
        <v>0</v>
      </c>
      <c r="V303" s="1653">
        <f t="shared" si="90"/>
        <v>0</v>
      </c>
      <c r="W303" s="1653">
        <f t="shared" si="91"/>
        <v>0</v>
      </c>
      <c r="X303" s="1653">
        <f t="shared" si="92"/>
        <v>0</v>
      </c>
      <c r="Y303" s="1653">
        <f t="shared" si="93"/>
        <v>0</v>
      </c>
    </row>
    <row r="304" spans="1:25" ht="15" hidden="1" outlineLevel="1">
      <c r="A304" s="1615">
        <v>296</v>
      </c>
      <c r="C304" s="1651" t="s">
        <v>2870</v>
      </c>
      <c r="D304" s="1651" t="s">
        <v>2871</v>
      </c>
      <c r="E304" s="1613">
        <v>9144.39</v>
      </c>
      <c r="F304" s="1613">
        <v>-9144.39</v>
      </c>
      <c r="G304" s="1613">
        <f t="shared" si="94"/>
        <v>0</v>
      </c>
      <c r="H304" s="1578">
        <v>2012</v>
      </c>
      <c r="I304" s="1662">
        <f t="shared" si="95"/>
        <v>3.5</v>
      </c>
      <c r="J304" s="1663">
        <v>36</v>
      </c>
      <c r="K304" s="1664">
        <f t="shared" si="96"/>
        <v>0.33333333333333331</v>
      </c>
      <c r="L304" s="1613">
        <f t="shared" si="97"/>
        <v>0</v>
      </c>
      <c r="M304" s="1613">
        <f t="shared" si="98"/>
        <v>9144.39</v>
      </c>
      <c r="N304" s="1613">
        <f t="shared" si="87"/>
        <v>-9144.39</v>
      </c>
      <c r="O304" s="1652">
        <f t="shared" si="99"/>
        <v>0</v>
      </c>
      <c r="P304" s="1653">
        <f t="shared" si="100"/>
        <v>0</v>
      </c>
      <c r="Q304" s="1653">
        <f t="shared" si="101"/>
        <v>0</v>
      </c>
      <c r="R304" s="1653">
        <f t="shared" si="102"/>
        <v>0</v>
      </c>
      <c r="S304" s="1653">
        <f t="shared" si="103"/>
        <v>0</v>
      </c>
      <c r="T304" s="1653">
        <f t="shared" si="88"/>
        <v>0</v>
      </c>
      <c r="U304" s="1653">
        <f t="shared" si="89"/>
        <v>0</v>
      </c>
      <c r="V304" s="1653">
        <f t="shared" si="90"/>
        <v>0</v>
      </c>
      <c r="W304" s="1653">
        <f t="shared" si="91"/>
        <v>0</v>
      </c>
      <c r="X304" s="1653">
        <f t="shared" si="92"/>
        <v>0</v>
      </c>
      <c r="Y304" s="1653">
        <f t="shared" si="93"/>
        <v>0</v>
      </c>
    </row>
    <row r="305" spans="1:25" ht="15" hidden="1" outlineLevel="1">
      <c r="A305" s="1615">
        <v>297</v>
      </c>
      <c r="C305" s="1651" t="s">
        <v>2872</v>
      </c>
      <c r="D305" s="1651" t="s">
        <v>2873</v>
      </c>
      <c r="E305" s="1613">
        <v>4231.33</v>
      </c>
      <c r="F305" s="1613">
        <v>-4231.33</v>
      </c>
      <c r="G305" s="1613">
        <f t="shared" si="94"/>
        <v>0</v>
      </c>
      <c r="H305" s="1578">
        <v>2012</v>
      </c>
      <c r="I305" s="1662">
        <f t="shared" si="95"/>
        <v>3.5</v>
      </c>
      <c r="J305" s="1663">
        <v>36</v>
      </c>
      <c r="K305" s="1664">
        <f t="shared" si="96"/>
        <v>0.33333333333333331</v>
      </c>
      <c r="L305" s="1613">
        <f t="shared" si="97"/>
        <v>0</v>
      </c>
      <c r="M305" s="1613">
        <f t="shared" si="98"/>
        <v>4231.33</v>
      </c>
      <c r="N305" s="1613">
        <f t="shared" si="87"/>
        <v>-4231.33</v>
      </c>
      <c r="O305" s="1652">
        <f t="shared" si="99"/>
        <v>0</v>
      </c>
      <c r="P305" s="1653">
        <f t="shared" si="100"/>
        <v>0</v>
      </c>
      <c r="Q305" s="1653">
        <f t="shared" si="101"/>
        <v>0</v>
      </c>
      <c r="R305" s="1653">
        <f t="shared" si="102"/>
        <v>0</v>
      </c>
      <c r="S305" s="1653">
        <f t="shared" si="103"/>
        <v>0</v>
      </c>
      <c r="T305" s="1653">
        <f t="shared" si="88"/>
        <v>0</v>
      </c>
      <c r="U305" s="1653">
        <f t="shared" si="89"/>
        <v>0</v>
      </c>
      <c r="V305" s="1653">
        <f t="shared" si="90"/>
        <v>0</v>
      </c>
      <c r="W305" s="1653">
        <f t="shared" si="91"/>
        <v>0</v>
      </c>
      <c r="X305" s="1653">
        <f t="shared" si="92"/>
        <v>0</v>
      </c>
      <c r="Y305" s="1653">
        <f t="shared" si="93"/>
        <v>0</v>
      </c>
    </row>
    <row r="306" spans="1:25" ht="15" hidden="1" outlineLevel="1">
      <c r="A306" s="1615">
        <v>298</v>
      </c>
      <c r="C306" s="1651" t="s">
        <v>2874</v>
      </c>
      <c r="D306" s="1651" t="s">
        <v>2465</v>
      </c>
      <c r="E306" s="1613">
        <v>1406.33</v>
      </c>
      <c r="F306" s="1613">
        <v>-1211.3</v>
      </c>
      <c r="G306" s="1613">
        <f t="shared" si="94"/>
        <v>195.02999999999997</v>
      </c>
      <c r="H306" s="1578">
        <v>2012</v>
      </c>
      <c r="I306" s="1662">
        <f t="shared" si="95"/>
        <v>3.5</v>
      </c>
      <c r="J306" s="1663">
        <v>36</v>
      </c>
      <c r="K306" s="1664">
        <f t="shared" si="96"/>
        <v>0.33333333333333331</v>
      </c>
      <c r="L306" s="1613">
        <f t="shared" si="97"/>
        <v>0</v>
      </c>
      <c r="M306" s="1613">
        <f t="shared" si="98"/>
        <v>1406.33</v>
      </c>
      <c r="N306" s="1613">
        <f t="shared" si="87"/>
        <v>-1406.33</v>
      </c>
      <c r="O306" s="1652">
        <f t="shared" si="99"/>
        <v>0</v>
      </c>
      <c r="P306" s="1653">
        <f t="shared" si="100"/>
        <v>0</v>
      </c>
      <c r="Q306" s="1653">
        <f t="shared" si="101"/>
        <v>0</v>
      </c>
      <c r="R306" s="1653">
        <f t="shared" si="102"/>
        <v>0</v>
      </c>
      <c r="S306" s="1653">
        <f t="shared" si="103"/>
        <v>0</v>
      </c>
      <c r="T306" s="1653">
        <f t="shared" si="88"/>
        <v>0</v>
      </c>
      <c r="U306" s="1653">
        <f t="shared" si="89"/>
        <v>0</v>
      </c>
      <c r="V306" s="1653">
        <f t="shared" si="90"/>
        <v>0</v>
      </c>
      <c r="W306" s="1653">
        <f t="shared" si="91"/>
        <v>0</v>
      </c>
      <c r="X306" s="1653">
        <f t="shared" si="92"/>
        <v>0</v>
      </c>
      <c r="Y306" s="1653">
        <f t="shared" si="93"/>
        <v>0</v>
      </c>
    </row>
    <row r="307" spans="1:25" ht="15" hidden="1" outlineLevel="1">
      <c r="A307" s="1615">
        <v>299</v>
      </c>
      <c r="C307" s="1651" t="s">
        <v>2875</v>
      </c>
      <c r="D307" s="1651" t="s">
        <v>2465</v>
      </c>
      <c r="E307" s="1613">
        <v>1413.24</v>
      </c>
      <c r="F307" s="1613">
        <v>-1217.25</v>
      </c>
      <c r="G307" s="1613">
        <f t="shared" si="94"/>
        <v>195.99</v>
      </c>
      <c r="H307" s="1578">
        <v>2012</v>
      </c>
      <c r="I307" s="1662">
        <f t="shared" si="95"/>
        <v>3.5</v>
      </c>
      <c r="J307" s="1663">
        <v>36</v>
      </c>
      <c r="K307" s="1664">
        <f t="shared" si="96"/>
        <v>0.33333333333333331</v>
      </c>
      <c r="L307" s="1613">
        <f t="shared" si="97"/>
        <v>0</v>
      </c>
      <c r="M307" s="1613">
        <f t="shared" si="98"/>
        <v>1413.24</v>
      </c>
      <c r="N307" s="1613">
        <f t="shared" si="87"/>
        <v>-1413.24</v>
      </c>
      <c r="O307" s="1652">
        <f t="shared" si="99"/>
        <v>0</v>
      </c>
      <c r="P307" s="1653">
        <f t="shared" si="100"/>
        <v>0</v>
      </c>
      <c r="Q307" s="1653">
        <f t="shared" si="101"/>
        <v>0</v>
      </c>
      <c r="R307" s="1653">
        <f t="shared" si="102"/>
        <v>0</v>
      </c>
      <c r="S307" s="1653">
        <f t="shared" si="103"/>
        <v>0</v>
      </c>
      <c r="T307" s="1653">
        <f t="shared" si="88"/>
        <v>0</v>
      </c>
      <c r="U307" s="1653">
        <f t="shared" si="89"/>
        <v>0</v>
      </c>
      <c r="V307" s="1653">
        <f t="shared" si="90"/>
        <v>0</v>
      </c>
      <c r="W307" s="1653">
        <f t="shared" si="91"/>
        <v>0</v>
      </c>
      <c r="X307" s="1653">
        <f t="shared" si="92"/>
        <v>0</v>
      </c>
      <c r="Y307" s="1653">
        <f t="shared" si="93"/>
        <v>0</v>
      </c>
    </row>
    <row r="308" spans="1:25" ht="15" hidden="1" outlineLevel="1">
      <c r="A308" s="1615">
        <v>300</v>
      </c>
      <c r="C308" s="1651" t="s">
        <v>2876</v>
      </c>
      <c r="D308" s="1651" t="s">
        <v>2877</v>
      </c>
      <c r="E308" s="1613">
        <v>1220.81</v>
      </c>
      <c r="F308" s="1613">
        <v>-1017.34</v>
      </c>
      <c r="G308" s="1613">
        <f t="shared" si="94"/>
        <v>203.46999999999991</v>
      </c>
      <c r="H308" s="1578">
        <v>2013</v>
      </c>
      <c r="I308" s="1662">
        <f t="shared" si="95"/>
        <v>2.5</v>
      </c>
      <c r="J308" s="1663">
        <v>36</v>
      </c>
      <c r="K308" s="1664">
        <f t="shared" si="96"/>
        <v>0.33333333333333331</v>
      </c>
      <c r="L308" s="1613">
        <f t="shared" si="97"/>
        <v>406.93666666666661</v>
      </c>
      <c r="M308" s="1613">
        <f t="shared" si="98"/>
        <v>1220.81</v>
      </c>
      <c r="N308" s="1613">
        <f t="shared" si="87"/>
        <v>-1220.81</v>
      </c>
      <c r="O308" s="1652">
        <f t="shared" si="99"/>
        <v>0</v>
      </c>
      <c r="P308" s="1653">
        <f t="shared" si="100"/>
        <v>0</v>
      </c>
      <c r="Q308" s="1653">
        <f t="shared" si="101"/>
        <v>0</v>
      </c>
      <c r="R308" s="1653">
        <f t="shared" si="102"/>
        <v>0</v>
      </c>
      <c r="S308" s="1653">
        <f t="shared" si="103"/>
        <v>0</v>
      </c>
      <c r="T308" s="1653">
        <f t="shared" si="88"/>
        <v>0</v>
      </c>
      <c r="U308" s="1653">
        <f t="shared" si="89"/>
        <v>0</v>
      </c>
      <c r="V308" s="1653">
        <f t="shared" si="90"/>
        <v>0</v>
      </c>
      <c r="W308" s="1653">
        <f t="shared" si="91"/>
        <v>0</v>
      </c>
      <c r="X308" s="1653">
        <f t="shared" si="92"/>
        <v>0</v>
      </c>
      <c r="Y308" s="1653">
        <f t="shared" si="93"/>
        <v>0</v>
      </c>
    </row>
    <row r="309" spans="1:25" ht="15" hidden="1" outlineLevel="1">
      <c r="A309" s="1615">
        <v>301</v>
      </c>
      <c r="C309" s="1651" t="s">
        <v>2878</v>
      </c>
      <c r="D309" s="1651" t="s">
        <v>2879</v>
      </c>
      <c r="E309" s="1613">
        <v>819.9</v>
      </c>
      <c r="F309" s="1613">
        <v>-683.25</v>
      </c>
      <c r="G309" s="1613">
        <f t="shared" si="94"/>
        <v>136.64999999999998</v>
      </c>
      <c r="H309" s="1578">
        <v>2013</v>
      </c>
      <c r="I309" s="1662">
        <f t="shared" si="95"/>
        <v>2.5</v>
      </c>
      <c r="J309" s="1663">
        <v>36</v>
      </c>
      <c r="K309" s="1664">
        <f t="shared" si="96"/>
        <v>0.33333333333333331</v>
      </c>
      <c r="L309" s="1613">
        <f t="shared" si="97"/>
        <v>273.29999999999995</v>
      </c>
      <c r="M309" s="1613">
        <f t="shared" si="98"/>
        <v>819.9</v>
      </c>
      <c r="N309" s="1613">
        <f t="shared" si="87"/>
        <v>-819.9</v>
      </c>
      <c r="O309" s="1652">
        <f t="shared" si="99"/>
        <v>0</v>
      </c>
      <c r="P309" s="1653">
        <f t="shared" si="100"/>
        <v>0</v>
      </c>
      <c r="Q309" s="1653">
        <f t="shared" si="101"/>
        <v>0</v>
      </c>
      <c r="R309" s="1653">
        <f t="shared" si="102"/>
        <v>0</v>
      </c>
      <c r="S309" s="1653">
        <f t="shared" si="103"/>
        <v>0</v>
      </c>
      <c r="T309" s="1653">
        <f t="shared" si="88"/>
        <v>0</v>
      </c>
      <c r="U309" s="1653">
        <f t="shared" si="89"/>
        <v>0</v>
      </c>
      <c r="V309" s="1653">
        <f t="shared" si="90"/>
        <v>0</v>
      </c>
      <c r="W309" s="1653">
        <f t="shared" si="91"/>
        <v>0</v>
      </c>
      <c r="X309" s="1653">
        <f t="shared" si="92"/>
        <v>0</v>
      </c>
      <c r="Y309" s="1653">
        <f t="shared" si="93"/>
        <v>0</v>
      </c>
    </row>
    <row r="310" spans="1:25" ht="15" hidden="1" outlineLevel="1">
      <c r="A310" s="1615">
        <v>302</v>
      </c>
      <c r="C310" s="1651" t="s">
        <v>2880</v>
      </c>
      <c r="D310" s="1651" t="s">
        <v>2881</v>
      </c>
      <c r="E310" s="1613">
        <v>1196.25</v>
      </c>
      <c r="F310" s="1613">
        <v>-996.87</v>
      </c>
      <c r="G310" s="1613">
        <f t="shared" si="94"/>
        <v>199.38</v>
      </c>
      <c r="H310" s="1578">
        <v>2013</v>
      </c>
      <c r="I310" s="1662">
        <f t="shared" si="95"/>
        <v>2.5</v>
      </c>
      <c r="J310" s="1663">
        <v>36</v>
      </c>
      <c r="K310" s="1664">
        <f t="shared" si="96"/>
        <v>0.33333333333333331</v>
      </c>
      <c r="L310" s="1613">
        <f t="shared" si="97"/>
        <v>398.75</v>
      </c>
      <c r="M310" s="1613">
        <f t="shared" si="98"/>
        <v>1196.25</v>
      </c>
      <c r="N310" s="1613">
        <f t="shared" si="87"/>
        <v>-1196.25</v>
      </c>
      <c r="O310" s="1652">
        <f t="shared" si="99"/>
        <v>0</v>
      </c>
      <c r="P310" s="1653">
        <f t="shared" si="100"/>
        <v>0</v>
      </c>
      <c r="Q310" s="1653">
        <f t="shared" si="101"/>
        <v>0</v>
      </c>
      <c r="R310" s="1653">
        <f t="shared" si="102"/>
        <v>0</v>
      </c>
      <c r="S310" s="1653">
        <f t="shared" si="103"/>
        <v>0</v>
      </c>
      <c r="T310" s="1653">
        <f t="shared" si="88"/>
        <v>0</v>
      </c>
      <c r="U310" s="1653">
        <f t="shared" si="89"/>
        <v>0</v>
      </c>
      <c r="V310" s="1653">
        <f t="shared" si="90"/>
        <v>0</v>
      </c>
      <c r="W310" s="1653">
        <f t="shared" si="91"/>
        <v>0</v>
      </c>
      <c r="X310" s="1653">
        <f t="shared" si="92"/>
        <v>0</v>
      </c>
      <c r="Y310" s="1653">
        <f t="shared" si="93"/>
        <v>0</v>
      </c>
    </row>
    <row r="311" spans="1:25" ht="15" hidden="1" outlineLevel="1">
      <c r="A311" s="1615">
        <v>303</v>
      </c>
      <c r="C311" s="1651" t="s">
        <v>2882</v>
      </c>
      <c r="D311" s="1651" t="s">
        <v>2883</v>
      </c>
      <c r="E311" s="1613">
        <v>266.93</v>
      </c>
      <c r="F311" s="1613">
        <v>-222.44</v>
      </c>
      <c r="G311" s="1613">
        <f t="shared" si="94"/>
        <v>44.490000000000009</v>
      </c>
      <c r="H311" s="1578">
        <v>2013</v>
      </c>
      <c r="I311" s="1662">
        <f t="shared" si="95"/>
        <v>2.5</v>
      </c>
      <c r="J311" s="1663">
        <v>36</v>
      </c>
      <c r="K311" s="1664">
        <f t="shared" si="96"/>
        <v>0.33333333333333331</v>
      </c>
      <c r="L311" s="1613">
        <f t="shared" si="97"/>
        <v>88.976666666666659</v>
      </c>
      <c r="M311" s="1613">
        <f t="shared" si="98"/>
        <v>266.93</v>
      </c>
      <c r="N311" s="1613">
        <f t="shared" si="87"/>
        <v>-266.93</v>
      </c>
      <c r="O311" s="1652">
        <f t="shared" si="99"/>
        <v>0</v>
      </c>
      <c r="P311" s="1653">
        <f t="shared" si="100"/>
        <v>0</v>
      </c>
      <c r="Q311" s="1653">
        <f t="shared" si="101"/>
        <v>0</v>
      </c>
      <c r="R311" s="1653">
        <f t="shared" si="102"/>
        <v>0</v>
      </c>
      <c r="S311" s="1653">
        <f t="shared" si="103"/>
        <v>0</v>
      </c>
      <c r="T311" s="1653">
        <f t="shared" si="88"/>
        <v>0</v>
      </c>
      <c r="U311" s="1653">
        <f t="shared" si="89"/>
        <v>0</v>
      </c>
      <c r="V311" s="1653">
        <f t="shared" si="90"/>
        <v>0</v>
      </c>
      <c r="W311" s="1653">
        <f t="shared" si="91"/>
        <v>0</v>
      </c>
      <c r="X311" s="1653">
        <f t="shared" si="92"/>
        <v>0</v>
      </c>
      <c r="Y311" s="1653">
        <f t="shared" si="93"/>
        <v>0</v>
      </c>
    </row>
    <row r="312" spans="1:25" ht="15" hidden="1" outlineLevel="1">
      <c r="A312" s="1615">
        <v>304</v>
      </c>
      <c r="C312" s="1651" t="s">
        <v>2884</v>
      </c>
      <c r="D312" s="1651" t="s">
        <v>2885</v>
      </c>
      <c r="E312" s="1613">
        <v>30.42</v>
      </c>
      <c r="F312" s="1613">
        <v>-25.35</v>
      </c>
      <c r="G312" s="1613">
        <f t="shared" si="94"/>
        <v>5.07</v>
      </c>
      <c r="H312" s="1578">
        <v>2013</v>
      </c>
      <c r="I312" s="1662">
        <f t="shared" si="95"/>
        <v>2.5</v>
      </c>
      <c r="J312" s="1663">
        <v>36</v>
      </c>
      <c r="K312" s="1664">
        <f t="shared" si="96"/>
        <v>0.33333333333333331</v>
      </c>
      <c r="L312" s="1613">
        <f t="shared" si="97"/>
        <v>10.14</v>
      </c>
      <c r="M312" s="1613">
        <f t="shared" si="98"/>
        <v>30.42</v>
      </c>
      <c r="N312" s="1613">
        <f t="shared" si="87"/>
        <v>-30.42</v>
      </c>
      <c r="O312" s="1652">
        <f t="shared" si="99"/>
        <v>0</v>
      </c>
      <c r="P312" s="1653">
        <f t="shared" si="100"/>
        <v>0</v>
      </c>
      <c r="Q312" s="1653">
        <f t="shared" si="101"/>
        <v>0</v>
      </c>
      <c r="R312" s="1653">
        <f t="shared" si="102"/>
        <v>0</v>
      </c>
      <c r="S312" s="1653">
        <f t="shared" si="103"/>
        <v>0</v>
      </c>
      <c r="T312" s="1653">
        <f t="shared" si="88"/>
        <v>0</v>
      </c>
      <c r="U312" s="1653">
        <f t="shared" si="89"/>
        <v>0</v>
      </c>
      <c r="V312" s="1653">
        <f t="shared" si="90"/>
        <v>0</v>
      </c>
      <c r="W312" s="1653">
        <f t="shared" si="91"/>
        <v>0</v>
      </c>
      <c r="X312" s="1653">
        <f t="shared" si="92"/>
        <v>0</v>
      </c>
      <c r="Y312" s="1653">
        <f t="shared" si="93"/>
        <v>0</v>
      </c>
    </row>
    <row r="313" spans="1:25" ht="15" hidden="1" outlineLevel="1">
      <c r="A313" s="1615">
        <v>305</v>
      </c>
      <c r="C313" s="1651" t="s">
        <v>2886</v>
      </c>
      <c r="D313" s="1651" t="s">
        <v>2887</v>
      </c>
      <c r="E313" s="1613">
        <v>3394.37</v>
      </c>
      <c r="F313" s="1613">
        <v>-2828.64</v>
      </c>
      <c r="G313" s="1613">
        <f t="shared" si="94"/>
        <v>565.73</v>
      </c>
      <c r="H313" s="1578">
        <v>2013</v>
      </c>
      <c r="I313" s="1662">
        <f t="shared" si="95"/>
        <v>2.5</v>
      </c>
      <c r="J313" s="1663">
        <v>36</v>
      </c>
      <c r="K313" s="1664">
        <f t="shared" si="96"/>
        <v>0.33333333333333331</v>
      </c>
      <c r="L313" s="1613">
        <f t="shared" si="97"/>
        <v>1131.4566666666665</v>
      </c>
      <c r="M313" s="1613">
        <f t="shared" si="98"/>
        <v>3394.37</v>
      </c>
      <c r="N313" s="1613">
        <f t="shared" si="87"/>
        <v>-3394.37</v>
      </c>
      <c r="O313" s="1652">
        <f t="shared" si="99"/>
        <v>0</v>
      </c>
      <c r="P313" s="1653">
        <f t="shared" si="100"/>
        <v>0</v>
      </c>
      <c r="Q313" s="1653">
        <f t="shared" si="101"/>
        <v>0</v>
      </c>
      <c r="R313" s="1653">
        <f t="shared" si="102"/>
        <v>0</v>
      </c>
      <c r="S313" s="1653">
        <f t="shared" si="103"/>
        <v>0</v>
      </c>
      <c r="T313" s="1653">
        <f t="shared" si="88"/>
        <v>0</v>
      </c>
      <c r="U313" s="1653">
        <f t="shared" si="89"/>
        <v>0</v>
      </c>
      <c r="V313" s="1653">
        <f t="shared" si="90"/>
        <v>0</v>
      </c>
      <c r="W313" s="1653">
        <f t="shared" si="91"/>
        <v>0</v>
      </c>
      <c r="X313" s="1653">
        <f t="shared" si="92"/>
        <v>0</v>
      </c>
      <c r="Y313" s="1653">
        <f t="shared" si="93"/>
        <v>0</v>
      </c>
    </row>
    <row r="314" spans="1:25" ht="15" hidden="1" outlineLevel="1">
      <c r="A314" s="1615">
        <v>306</v>
      </c>
      <c r="C314" s="1651" t="s">
        <v>2888</v>
      </c>
      <c r="D314" s="1651" t="s">
        <v>2889</v>
      </c>
      <c r="E314" s="1613">
        <v>504.41</v>
      </c>
      <c r="F314" s="1613">
        <v>-420.34</v>
      </c>
      <c r="G314" s="1613">
        <f t="shared" si="94"/>
        <v>84.07000000000005</v>
      </c>
      <c r="H314" s="1578">
        <v>2013</v>
      </c>
      <c r="I314" s="1662">
        <f t="shared" si="95"/>
        <v>2.5</v>
      </c>
      <c r="J314" s="1663">
        <v>36</v>
      </c>
      <c r="K314" s="1664">
        <f t="shared" si="96"/>
        <v>0.33333333333333331</v>
      </c>
      <c r="L314" s="1613">
        <f t="shared" si="97"/>
        <v>168.13666666666666</v>
      </c>
      <c r="M314" s="1613">
        <f t="shared" si="98"/>
        <v>504.41</v>
      </c>
      <c r="N314" s="1613">
        <f t="shared" si="87"/>
        <v>-504.41</v>
      </c>
      <c r="O314" s="1652">
        <f t="shared" si="99"/>
        <v>0</v>
      </c>
      <c r="P314" s="1653">
        <f t="shared" si="100"/>
        <v>0</v>
      </c>
      <c r="Q314" s="1653">
        <f t="shared" si="101"/>
        <v>0</v>
      </c>
      <c r="R314" s="1653">
        <f t="shared" si="102"/>
        <v>0</v>
      </c>
      <c r="S314" s="1653">
        <f t="shared" si="103"/>
        <v>0</v>
      </c>
      <c r="T314" s="1653">
        <f t="shared" si="88"/>
        <v>0</v>
      </c>
      <c r="U314" s="1653">
        <f t="shared" si="89"/>
        <v>0</v>
      </c>
      <c r="V314" s="1653">
        <f t="shared" si="90"/>
        <v>0</v>
      </c>
      <c r="W314" s="1653">
        <f t="shared" si="91"/>
        <v>0</v>
      </c>
      <c r="X314" s="1653">
        <f t="shared" si="92"/>
        <v>0</v>
      </c>
      <c r="Y314" s="1653">
        <f t="shared" si="93"/>
        <v>0</v>
      </c>
    </row>
    <row r="315" spans="1:25" ht="15" hidden="1" outlineLevel="1">
      <c r="A315" s="1615">
        <v>307</v>
      </c>
      <c r="C315" s="1651" t="s">
        <v>2890</v>
      </c>
      <c r="D315" s="1651" t="s">
        <v>2887</v>
      </c>
      <c r="E315" s="1613">
        <v>2704.04</v>
      </c>
      <c r="F315" s="1613">
        <v>-2253.36</v>
      </c>
      <c r="G315" s="1613">
        <f t="shared" si="94"/>
        <v>450.67999999999984</v>
      </c>
      <c r="H315" s="1578">
        <v>2013</v>
      </c>
      <c r="I315" s="1662">
        <f t="shared" si="95"/>
        <v>2.5</v>
      </c>
      <c r="J315" s="1663">
        <v>36</v>
      </c>
      <c r="K315" s="1664">
        <f t="shared" si="96"/>
        <v>0.33333333333333331</v>
      </c>
      <c r="L315" s="1613">
        <f t="shared" si="97"/>
        <v>901.34666666666658</v>
      </c>
      <c r="M315" s="1613">
        <f t="shared" si="98"/>
        <v>2704.04</v>
      </c>
      <c r="N315" s="1613">
        <f t="shared" si="87"/>
        <v>-2704.04</v>
      </c>
      <c r="O315" s="1652">
        <f t="shared" si="99"/>
        <v>0</v>
      </c>
      <c r="P315" s="1653">
        <f t="shared" si="100"/>
        <v>0</v>
      </c>
      <c r="Q315" s="1653">
        <f t="shared" si="101"/>
        <v>0</v>
      </c>
      <c r="R315" s="1653">
        <f t="shared" si="102"/>
        <v>0</v>
      </c>
      <c r="S315" s="1653">
        <f t="shared" si="103"/>
        <v>0</v>
      </c>
      <c r="T315" s="1653">
        <f t="shared" si="88"/>
        <v>0</v>
      </c>
      <c r="U315" s="1653">
        <f t="shared" si="89"/>
        <v>0</v>
      </c>
      <c r="V315" s="1653">
        <f t="shared" si="90"/>
        <v>0</v>
      </c>
      <c r="W315" s="1653">
        <f t="shared" si="91"/>
        <v>0</v>
      </c>
      <c r="X315" s="1653">
        <f t="shared" si="92"/>
        <v>0</v>
      </c>
      <c r="Y315" s="1653">
        <f t="shared" si="93"/>
        <v>0</v>
      </c>
    </row>
    <row r="316" spans="1:25" ht="15" hidden="1" outlineLevel="1">
      <c r="A316" s="1615">
        <v>308</v>
      </c>
      <c r="C316" s="1651" t="s">
        <v>2891</v>
      </c>
      <c r="D316" s="1651" t="s">
        <v>2887</v>
      </c>
      <c r="E316" s="1613">
        <v>2829.52</v>
      </c>
      <c r="F316" s="1613">
        <v>-2357.94</v>
      </c>
      <c r="G316" s="1613">
        <f t="shared" si="94"/>
        <v>471.57999999999993</v>
      </c>
      <c r="H316" s="1578">
        <v>2013</v>
      </c>
      <c r="I316" s="1662">
        <f t="shared" si="95"/>
        <v>2.5</v>
      </c>
      <c r="J316" s="1663">
        <v>36</v>
      </c>
      <c r="K316" s="1664">
        <f t="shared" si="96"/>
        <v>0.33333333333333331</v>
      </c>
      <c r="L316" s="1613">
        <f t="shared" si="97"/>
        <v>943.17333333333329</v>
      </c>
      <c r="M316" s="1613">
        <f t="shared" si="98"/>
        <v>2829.52</v>
      </c>
      <c r="N316" s="1613">
        <f t="shared" si="87"/>
        <v>-2829.52</v>
      </c>
      <c r="O316" s="1652">
        <f t="shared" si="99"/>
        <v>0</v>
      </c>
      <c r="P316" s="1653">
        <f t="shared" si="100"/>
        <v>0</v>
      </c>
      <c r="Q316" s="1653">
        <f t="shared" si="101"/>
        <v>0</v>
      </c>
      <c r="R316" s="1653">
        <f t="shared" si="102"/>
        <v>0</v>
      </c>
      <c r="S316" s="1653">
        <f t="shared" si="103"/>
        <v>0</v>
      </c>
      <c r="T316" s="1653">
        <f t="shared" si="88"/>
        <v>0</v>
      </c>
      <c r="U316" s="1653">
        <f t="shared" si="89"/>
        <v>0</v>
      </c>
      <c r="V316" s="1653">
        <f t="shared" si="90"/>
        <v>0</v>
      </c>
      <c r="W316" s="1653">
        <f t="shared" si="91"/>
        <v>0</v>
      </c>
      <c r="X316" s="1653">
        <f t="shared" si="92"/>
        <v>0</v>
      </c>
      <c r="Y316" s="1653">
        <f t="shared" si="93"/>
        <v>0</v>
      </c>
    </row>
    <row r="317" spans="1:25" ht="15" hidden="1" outlineLevel="1">
      <c r="A317" s="1615">
        <v>309</v>
      </c>
      <c r="C317" s="1651" t="s">
        <v>2892</v>
      </c>
      <c r="D317" s="1651" t="s">
        <v>2893</v>
      </c>
      <c r="E317" s="1613">
        <v>335.18</v>
      </c>
      <c r="F317" s="1613">
        <v>-279.31</v>
      </c>
      <c r="G317" s="1613">
        <f t="shared" si="94"/>
        <v>55.870000000000005</v>
      </c>
      <c r="H317" s="1578">
        <v>2013</v>
      </c>
      <c r="I317" s="1662">
        <f t="shared" si="95"/>
        <v>2.5</v>
      </c>
      <c r="J317" s="1663">
        <v>36</v>
      </c>
      <c r="K317" s="1664">
        <f t="shared" si="96"/>
        <v>0.33333333333333331</v>
      </c>
      <c r="L317" s="1613">
        <f t="shared" si="97"/>
        <v>111.72666666666666</v>
      </c>
      <c r="M317" s="1613">
        <f t="shared" si="98"/>
        <v>335.18</v>
      </c>
      <c r="N317" s="1613">
        <f t="shared" si="87"/>
        <v>-335.18</v>
      </c>
      <c r="O317" s="1652">
        <f t="shared" si="99"/>
        <v>0</v>
      </c>
      <c r="P317" s="1653">
        <f t="shared" si="100"/>
        <v>0</v>
      </c>
      <c r="Q317" s="1653">
        <f t="shared" si="101"/>
        <v>0</v>
      </c>
      <c r="R317" s="1653">
        <f t="shared" si="102"/>
        <v>0</v>
      </c>
      <c r="S317" s="1653">
        <f t="shared" si="103"/>
        <v>0</v>
      </c>
      <c r="T317" s="1653">
        <f t="shared" si="88"/>
        <v>0</v>
      </c>
      <c r="U317" s="1653">
        <f t="shared" si="89"/>
        <v>0</v>
      </c>
      <c r="V317" s="1653">
        <f t="shared" si="90"/>
        <v>0</v>
      </c>
      <c r="W317" s="1653">
        <f t="shared" si="91"/>
        <v>0</v>
      </c>
      <c r="X317" s="1653">
        <f t="shared" si="92"/>
        <v>0</v>
      </c>
      <c r="Y317" s="1653">
        <f t="shared" si="93"/>
        <v>0</v>
      </c>
    </row>
    <row r="318" spans="1:25" ht="15" hidden="1" outlineLevel="1">
      <c r="A318" s="1615">
        <v>310</v>
      </c>
      <c r="C318" s="1651" t="s">
        <v>2894</v>
      </c>
      <c r="D318" s="1651" t="s">
        <v>2895</v>
      </c>
      <c r="E318" s="1613">
        <v>2132.21</v>
      </c>
      <c r="F318" s="1613">
        <v>-1776.84</v>
      </c>
      <c r="G318" s="1613">
        <f t="shared" si="94"/>
        <v>355.37000000000012</v>
      </c>
      <c r="H318" s="1578">
        <v>2013</v>
      </c>
      <c r="I318" s="1662">
        <f t="shared" si="95"/>
        <v>2.5</v>
      </c>
      <c r="J318" s="1663">
        <v>36</v>
      </c>
      <c r="K318" s="1664">
        <f t="shared" si="96"/>
        <v>0.33333333333333331</v>
      </c>
      <c r="L318" s="1613">
        <f t="shared" si="97"/>
        <v>710.73666666666668</v>
      </c>
      <c r="M318" s="1613">
        <f t="shared" si="98"/>
        <v>2132.21</v>
      </c>
      <c r="N318" s="1613">
        <f t="shared" si="87"/>
        <v>-2132.21</v>
      </c>
      <c r="O318" s="1652">
        <f t="shared" si="99"/>
        <v>0</v>
      </c>
      <c r="P318" s="1653">
        <f t="shared" si="100"/>
        <v>0</v>
      </c>
      <c r="Q318" s="1653">
        <f t="shared" si="101"/>
        <v>0</v>
      </c>
      <c r="R318" s="1653">
        <f t="shared" si="102"/>
        <v>0</v>
      </c>
      <c r="S318" s="1653">
        <f t="shared" si="103"/>
        <v>0</v>
      </c>
      <c r="T318" s="1653">
        <f t="shared" si="88"/>
        <v>0</v>
      </c>
      <c r="U318" s="1653">
        <f t="shared" si="89"/>
        <v>0</v>
      </c>
      <c r="V318" s="1653">
        <f t="shared" si="90"/>
        <v>0</v>
      </c>
      <c r="W318" s="1653">
        <f t="shared" si="91"/>
        <v>0</v>
      </c>
      <c r="X318" s="1653">
        <f t="shared" si="92"/>
        <v>0</v>
      </c>
      <c r="Y318" s="1653">
        <f t="shared" si="93"/>
        <v>0</v>
      </c>
    </row>
    <row r="319" spans="1:25" ht="15" hidden="1" outlineLevel="1">
      <c r="A319" s="1615">
        <v>311</v>
      </c>
      <c r="C319" s="1651" t="s">
        <v>2896</v>
      </c>
      <c r="D319" s="1651" t="s">
        <v>2897</v>
      </c>
      <c r="E319" s="1613">
        <v>256.64</v>
      </c>
      <c r="F319" s="1613">
        <v>-213.86</v>
      </c>
      <c r="G319" s="1613">
        <f t="shared" si="94"/>
        <v>42.779999999999973</v>
      </c>
      <c r="H319" s="1578">
        <v>2013</v>
      </c>
      <c r="I319" s="1662">
        <f t="shared" si="95"/>
        <v>2.5</v>
      </c>
      <c r="J319" s="1663">
        <v>36</v>
      </c>
      <c r="K319" s="1664">
        <f t="shared" si="96"/>
        <v>0.33333333333333331</v>
      </c>
      <c r="L319" s="1613">
        <f t="shared" si="97"/>
        <v>85.546666666666653</v>
      </c>
      <c r="M319" s="1613">
        <f t="shared" si="98"/>
        <v>256.64</v>
      </c>
      <c r="N319" s="1613">
        <f t="shared" si="87"/>
        <v>-256.64</v>
      </c>
      <c r="O319" s="1652">
        <f t="shared" si="99"/>
        <v>0</v>
      </c>
      <c r="P319" s="1653">
        <f t="shared" si="100"/>
        <v>0</v>
      </c>
      <c r="Q319" s="1653">
        <f t="shared" si="101"/>
        <v>0</v>
      </c>
      <c r="R319" s="1653">
        <f t="shared" si="102"/>
        <v>0</v>
      </c>
      <c r="S319" s="1653">
        <f t="shared" si="103"/>
        <v>0</v>
      </c>
      <c r="T319" s="1653">
        <f t="shared" si="88"/>
        <v>0</v>
      </c>
      <c r="U319" s="1653">
        <f t="shared" si="89"/>
        <v>0</v>
      </c>
      <c r="V319" s="1653">
        <f t="shared" si="90"/>
        <v>0</v>
      </c>
      <c r="W319" s="1653">
        <f t="shared" si="91"/>
        <v>0</v>
      </c>
      <c r="X319" s="1653">
        <f t="shared" si="92"/>
        <v>0</v>
      </c>
      <c r="Y319" s="1653">
        <f t="shared" si="93"/>
        <v>0</v>
      </c>
    </row>
    <row r="320" spans="1:25" ht="15" hidden="1" outlineLevel="1">
      <c r="A320" s="1615">
        <v>312</v>
      </c>
      <c r="C320" s="1651" t="s">
        <v>2898</v>
      </c>
      <c r="D320" s="1651" t="s">
        <v>2899</v>
      </c>
      <c r="E320" s="1613">
        <v>256.64</v>
      </c>
      <c r="F320" s="1613">
        <v>-213.86</v>
      </c>
      <c r="G320" s="1613">
        <f t="shared" si="94"/>
        <v>42.779999999999973</v>
      </c>
      <c r="H320" s="1578">
        <v>2013</v>
      </c>
      <c r="I320" s="1662">
        <f t="shared" si="95"/>
        <v>2.5</v>
      </c>
      <c r="J320" s="1663">
        <v>36</v>
      </c>
      <c r="K320" s="1664">
        <f t="shared" si="96"/>
        <v>0.33333333333333331</v>
      </c>
      <c r="L320" s="1613">
        <f t="shared" si="97"/>
        <v>85.546666666666653</v>
      </c>
      <c r="M320" s="1613">
        <f t="shared" si="98"/>
        <v>256.64</v>
      </c>
      <c r="N320" s="1613">
        <f t="shared" si="87"/>
        <v>-256.64</v>
      </c>
      <c r="O320" s="1652">
        <f t="shared" si="99"/>
        <v>0</v>
      </c>
      <c r="P320" s="1653">
        <f t="shared" si="100"/>
        <v>0</v>
      </c>
      <c r="Q320" s="1653">
        <f t="shared" si="101"/>
        <v>0</v>
      </c>
      <c r="R320" s="1653">
        <f t="shared" si="102"/>
        <v>0</v>
      </c>
      <c r="S320" s="1653">
        <f t="shared" si="103"/>
        <v>0</v>
      </c>
      <c r="T320" s="1653">
        <f t="shared" si="88"/>
        <v>0</v>
      </c>
      <c r="U320" s="1653">
        <f t="shared" si="89"/>
        <v>0</v>
      </c>
      <c r="V320" s="1653">
        <f t="shared" si="90"/>
        <v>0</v>
      </c>
      <c r="W320" s="1653">
        <f t="shared" si="91"/>
        <v>0</v>
      </c>
      <c r="X320" s="1653">
        <f t="shared" si="92"/>
        <v>0</v>
      </c>
      <c r="Y320" s="1653">
        <f t="shared" si="93"/>
        <v>0</v>
      </c>
    </row>
    <row r="321" spans="1:25" ht="15" hidden="1" outlineLevel="1">
      <c r="A321" s="1615">
        <v>313</v>
      </c>
      <c r="C321" s="1651" t="s">
        <v>2900</v>
      </c>
      <c r="D321" s="1651" t="s">
        <v>2901</v>
      </c>
      <c r="E321" s="1613">
        <v>1058.1099999999999</v>
      </c>
      <c r="F321" s="1613">
        <v>-851.8</v>
      </c>
      <c r="G321" s="1613">
        <f t="shared" si="94"/>
        <v>206.30999999999995</v>
      </c>
      <c r="H321" s="1578">
        <v>2013</v>
      </c>
      <c r="I321" s="1662">
        <f t="shared" si="95"/>
        <v>2.5</v>
      </c>
      <c r="J321" s="1663">
        <v>36</v>
      </c>
      <c r="K321" s="1664">
        <f t="shared" si="96"/>
        <v>0.33333333333333331</v>
      </c>
      <c r="L321" s="1613">
        <f t="shared" si="97"/>
        <v>352.70333333333326</v>
      </c>
      <c r="M321" s="1613">
        <f t="shared" si="98"/>
        <v>1058.1099999999999</v>
      </c>
      <c r="N321" s="1613">
        <f t="shared" si="87"/>
        <v>-1058.1099999999999</v>
      </c>
      <c r="O321" s="1652">
        <f t="shared" si="99"/>
        <v>0</v>
      </c>
      <c r="P321" s="1653">
        <f t="shared" si="100"/>
        <v>0</v>
      </c>
      <c r="Q321" s="1653">
        <f t="shared" si="101"/>
        <v>0</v>
      </c>
      <c r="R321" s="1653">
        <f t="shared" si="102"/>
        <v>0</v>
      </c>
      <c r="S321" s="1653">
        <f t="shared" si="103"/>
        <v>0</v>
      </c>
      <c r="T321" s="1653">
        <f t="shared" si="88"/>
        <v>0</v>
      </c>
      <c r="U321" s="1653">
        <f t="shared" si="89"/>
        <v>0</v>
      </c>
      <c r="V321" s="1653">
        <f t="shared" si="90"/>
        <v>0</v>
      </c>
      <c r="W321" s="1653">
        <f t="shared" si="91"/>
        <v>0</v>
      </c>
      <c r="X321" s="1653">
        <f t="shared" si="92"/>
        <v>0</v>
      </c>
      <c r="Y321" s="1653">
        <f t="shared" si="93"/>
        <v>0</v>
      </c>
    </row>
    <row r="322" spans="1:25" ht="15" hidden="1" outlineLevel="1">
      <c r="A322" s="1615">
        <v>314</v>
      </c>
      <c r="C322" s="1651" t="s">
        <v>2902</v>
      </c>
      <c r="D322" s="1651" t="s">
        <v>2901</v>
      </c>
      <c r="E322" s="1613">
        <v>2653.92</v>
      </c>
      <c r="F322" s="1613">
        <v>-2136.4699999999998</v>
      </c>
      <c r="G322" s="1613">
        <f t="shared" si="94"/>
        <v>517.45000000000027</v>
      </c>
      <c r="H322" s="1578">
        <v>2013</v>
      </c>
      <c r="I322" s="1662">
        <f t="shared" si="95"/>
        <v>2.5</v>
      </c>
      <c r="J322" s="1663">
        <v>36</v>
      </c>
      <c r="K322" s="1664">
        <f t="shared" si="96"/>
        <v>0.33333333333333331</v>
      </c>
      <c r="L322" s="1613">
        <f t="shared" si="97"/>
        <v>884.64</v>
      </c>
      <c r="M322" s="1613">
        <f t="shared" si="98"/>
        <v>2653.92</v>
      </c>
      <c r="N322" s="1613">
        <f t="shared" si="87"/>
        <v>-2653.92</v>
      </c>
      <c r="O322" s="1652">
        <f t="shared" si="99"/>
        <v>0</v>
      </c>
      <c r="P322" s="1653">
        <f t="shared" si="100"/>
        <v>0</v>
      </c>
      <c r="Q322" s="1653">
        <f t="shared" si="101"/>
        <v>0</v>
      </c>
      <c r="R322" s="1653">
        <f t="shared" si="102"/>
        <v>0</v>
      </c>
      <c r="S322" s="1653">
        <f t="shared" si="103"/>
        <v>0</v>
      </c>
      <c r="T322" s="1653">
        <f t="shared" si="88"/>
        <v>0</v>
      </c>
      <c r="U322" s="1653">
        <f t="shared" si="89"/>
        <v>0</v>
      </c>
      <c r="V322" s="1653">
        <f t="shared" si="90"/>
        <v>0</v>
      </c>
      <c r="W322" s="1653">
        <f t="shared" si="91"/>
        <v>0</v>
      </c>
      <c r="X322" s="1653">
        <f t="shared" si="92"/>
        <v>0</v>
      </c>
      <c r="Y322" s="1653">
        <f t="shared" si="93"/>
        <v>0</v>
      </c>
    </row>
    <row r="323" spans="1:25" ht="15" hidden="1" outlineLevel="1">
      <c r="A323" s="1615">
        <v>315</v>
      </c>
      <c r="C323" s="1651" t="s">
        <v>2903</v>
      </c>
      <c r="D323" s="1651" t="s">
        <v>2904</v>
      </c>
      <c r="E323" s="1613">
        <v>1065.5899999999999</v>
      </c>
      <c r="F323" s="1613">
        <v>-857.82</v>
      </c>
      <c r="G323" s="1613">
        <f t="shared" si="94"/>
        <v>207.76999999999987</v>
      </c>
      <c r="H323" s="1578">
        <v>2013</v>
      </c>
      <c r="I323" s="1662">
        <f t="shared" si="95"/>
        <v>2.5</v>
      </c>
      <c r="J323" s="1663">
        <v>36</v>
      </c>
      <c r="K323" s="1664">
        <f t="shared" si="96"/>
        <v>0.33333333333333331</v>
      </c>
      <c r="L323" s="1613">
        <f t="shared" si="97"/>
        <v>355.1966666666666</v>
      </c>
      <c r="M323" s="1613">
        <f t="shared" si="98"/>
        <v>1065.5899999999999</v>
      </c>
      <c r="N323" s="1613">
        <f t="shared" si="87"/>
        <v>-1065.5899999999999</v>
      </c>
      <c r="O323" s="1652">
        <f t="shared" si="99"/>
        <v>0</v>
      </c>
      <c r="P323" s="1653">
        <f t="shared" si="100"/>
        <v>0</v>
      </c>
      <c r="Q323" s="1653">
        <f t="shared" si="101"/>
        <v>0</v>
      </c>
      <c r="R323" s="1653">
        <f t="shared" si="102"/>
        <v>0</v>
      </c>
      <c r="S323" s="1653">
        <f t="shared" si="103"/>
        <v>0</v>
      </c>
      <c r="T323" s="1653">
        <f t="shared" si="88"/>
        <v>0</v>
      </c>
      <c r="U323" s="1653">
        <f t="shared" si="89"/>
        <v>0</v>
      </c>
      <c r="V323" s="1653">
        <f t="shared" si="90"/>
        <v>0</v>
      </c>
      <c r="W323" s="1653">
        <f t="shared" si="91"/>
        <v>0</v>
      </c>
      <c r="X323" s="1653">
        <f t="shared" si="92"/>
        <v>0</v>
      </c>
      <c r="Y323" s="1653">
        <f t="shared" si="93"/>
        <v>0</v>
      </c>
    </row>
    <row r="324" spans="1:25" ht="15" hidden="1" outlineLevel="1">
      <c r="A324" s="1615">
        <v>316</v>
      </c>
      <c r="C324" s="1651" t="s">
        <v>2905</v>
      </c>
      <c r="D324" s="1651" t="s">
        <v>2906</v>
      </c>
      <c r="E324" s="1613">
        <v>1425.73</v>
      </c>
      <c r="F324" s="1613">
        <v>-1147.75</v>
      </c>
      <c r="G324" s="1613">
        <f t="shared" si="94"/>
        <v>277.98</v>
      </c>
      <c r="H324" s="1578">
        <v>2013</v>
      </c>
      <c r="I324" s="1662">
        <f t="shared" si="95"/>
        <v>2.5</v>
      </c>
      <c r="J324" s="1663">
        <v>36</v>
      </c>
      <c r="K324" s="1664">
        <f t="shared" si="96"/>
        <v>0.33333333333333331</v>
      </c>
      <c r="L324" s="1613">
        <f t="shared" si="97"/>
        <v>475.24333333333334</v>
      </c>
      <c r="M324" s="1613">
        <f t="shared" si="98"/>
        <v>1425.73</v>
      </c>
      <c r="N324" s="1613">
        <f t="shared" si="87"/>
        <v>-1425.73</v>
      </c>
      <c r="O324" s="1652">
        <f t="shared" si="99"/>
        <v>0</v>
      </c>
      <c r="P324" s="1653">
        <f t="shared" si="100"/>
        <v>0</v>
      </c>
      <c r="Q324" s="1653">
        <f t="shared" si="101"/>
        <v>0</v>
      </c>
      <c r="R324" s="1653">
        <f t="shared" si="102"/>
        <v>0</v>
      </c>
      <c r="S324" s="1653">
        <f t="shared" si="103"/>
        <v>0</v>
      </c>
      <c r="T324" s="1653">
        <f t="shared" si="88"/>
        <v>0</v>
      </c>
      <c r="U324" s="1653">
        <f t="shared" si="89"/>
        <v>0</v>
      </c>
      <c r="V324" s="1653">
        <f t="shared" si="90"/>
        <v>0</v>
      </c>
      <c r="W324" s="1653">
        <f t="shared" si="91"/>
        <v>0</v>
      </c>
      <c r="X324" s="1653">
        <f t="shared" si="92"/>
        <v>0</v>
      </c>
      <c r="Y324" s="1653">
        <f t="shared" si="93"/>
        <v>0</v>
      </c>
    </row>
    <row r="325" spans="1:25" ht="15" hidden="1" outlineLevel="1">
      <c r="A325" s="1615">
        <v>317</v>
      </c>
      <c r="C325" s="1651" t="s">
        <v>2907</v>
      </c>
      <c r="D325" s="1651" t="s">
        <v>2908</v>
      </c>
      <c r="E325" s="1613">
        <v>2839.3</v>
      </c>
      <c r="F325" s="1613">
        <v>-2285.71</v>
      </c>
      <c r="G325" s="1613">
        <f t="shared" si="94"/>
        <v>553.59000000000015</v>
      </c>
      <c r="H325" s="1578">
        <v>2013</v>
      </c>
      <c r="I325" s="1662">
        <f t="shared" si="95"/>
        <v>2.5</v>
      </c>
      <c r="J325" s="1663">
        <v>36</v>
      </c>
      <c r="K325" s="1664">
        <f t="shared" si="96"/>
        <v>0.33333333333333331</v>
      </c>
      <c r="L325" s="1613">
        <f t="shared" si="97"/>
        <v>946.43333333333339</v>
      </c>
      <c r="M325" s="1613">
        <f t="shared" si="98"/>
        <v>2839.3</v>
      </c>
      <c r="N325" s="1613">
        <f t="shared" si="87"/>
        <v>-2839.3</v>
      </c>
      <c r="O325" s="1652">
        <f t="shared" si="99"/>
        <v>0</v>
      </c>
      <c r="P325" s="1653">
        <f t="shared" si="100"/>
        <v>0</v>
      </c>
      <c r="Q325" s="1653">
        <f t="shared" si="101"/>
        <v>0</v>
      </c>
      <c r="R325" s="1653">
        <f t="shared" si="102"/>
        <v>0</v>
      </c>
      <c r="S325" s="1653">
        <f t="shared" si="103"/>
        <v>0</v>
      </c>
      <c r="T325" s="1653">
        <f t="shared" si="88"/>
        <v>0</v>
      </c>
      <c r="U325" s="1653">
        <f t="shared" si="89"/>
        <v>0</v>
      </c>
      <c r="V325" s="1653">
        <f t="shared" si="90"/>
        <v>0</v>
      </c>
      <c r="W325" s="1653">
        <f t="shared" si="91"/>
        <v>0</v>
      </c>
      <c r="X325" s="1653">
        <f t="shared" si="92"/>
        <v>0</v>
      </c>
      <c r="Y325" s="1653">
        <f t="shared" si="93"/>
        <v>0</v>
      </c>
    </row>
    <row r="326" spans="1:25" ht="15" hidden="1" outlineLevel="1">
      <c r="A326" s="1615">
        <v>318</v>
      </c>
      <c r="C326" s="1651" t="s">
        <v>2909</v>
      </c>
      <c r="D326" s="1651" t="s">
        <v>2910</v>
      </c>
      <c r="E326" s="1613">
        <v>3154.8</v>
      </c>
      <c r="F326" s="1613">
        <v>-2539.69</v>
      </c>
      <c r="G326" s="1613">
        <f t="shared" si="94"/>
        <v>615.11000000000013</v>
      </c>
      <c r="H326" s="1578">
        <v>2013</v>
      </c>
      <c r="I326" s="1662">
        <f t="shared" si="95"/>
        <v>2.5</v>
      </c>
      <c r="J326" s="1663">
        <v>36</v>
      </c>
      <c r="K326" s="1664">
        <f t="shared" si="96"/>
        <v>0.33333333333333331</v>
      </c>
      <c r="L326" s="1613">
        <f t="shared" si="97"/>
        <v>1051.5999999999999</v>
      </c>
      <c r="M326" s="1613">
        <f t="shared" si="98"/>
        <v>3154.8</v>
      </c>
      <c r="N326" s="1613">
        <f t="shared" si="87"/>
        <v>-3154.8</v>
      </c>
      <c r="O326" s="1652">
        <f t="shared" si="99"/>
        <v>0</v>
      </c>
      <c r="P326" s="1653">
        <f t="shared" si="100"/>
        <v>0</v>
      </c>
      <c r="Q326" s="1653">
        <f t="shared" si="101"/>
        <v>0</v>
      </c>
      <c r="R326" s="1653">
        <f t="shared" si="102"/>
        <v>0</v>
      </c>
      <c r="S326" s="1653">
        <f t="shared" si="103"/>
        <v>0</v>
      </c>
      <c r="T326" s="1653">
        <f t="shared" si="88"/>
        <v>0</v>
      </c>
      <c r="U326" s="1653">
        <f t="shared" si="89"/>
        <v>0</v>
      </c>
      <c r="V326" s="1653">
        <f t="shared" si="90"/>
        <v>0</v>
      </c>
      <c r="W326" s="1653">
        <f t="shared" si="91"/>
        <v>0</v>
      </c>
      <c r="X326" s="1653">
        <f t="shared" si="92"/>
        <v>0</v>
      </c>
      <c r="Y326" s="1653">
        <f t="shared" si="93"/>
        <v>0</v>
      </c>
    </row>
    <row r="327" spans="1:25" ht="15" hidden="1" outlineLevel="1">
      <c r="A327" s="1615">
        <v>319</v>
      </c>
      <c r="C327" s="1651" t="s">
        <v>2911</v>
      </c>
      <c r="D327" s="1651" t="s">
        <v>2912</v>
      </c>
      <c r="E327" s="1613">
        <v>531.89</v>
      </c>
      <c r="F327" s="1613">
        <v>-428.18</v>
      </c>
      <c r="G327" s="1613">
        <f t="shared" si="94"/>
        <v>103.70999999999998</v>
      </c>
      <c r="H327" s="1578">
        <v>2013</v>
      </c>
      <c r="I327" s="1662">
        <f t="shared" si="95"/>
        <v>2.5</v>
      </c>
      <c r="J327" s="1663">
        <v>36</v>
      </c>
      <c r="K327" s="1664">
        <f t="shared" si="96"/>
        <v>0.33333333333333331</v>
      </c>
      <c r="L327" s="1613">
        <f t="shared" si="97"/>
        <v>177.29666666666665</v>
      </c>
      <c r="M327" s="1613">
        <f t="shared" si="98"/>
        <v>531.89</v>
      </c>
      <c r="N327" s="1613">
        <f t="shared" si="87"/>
        <v>-531.89</v>
      </c>
      <c r="O327" s="1652">
        <f t="shared" si="99"/>
        <v>0</v>
      </c>
      <c r="P327" s="1653">
        <f t="shared" si="100"/>
        <v>0</v>
      </c>
      <c r="Q327" s="1653">
        <f t="shared" si="101"/>
        <v>0</v>
      </c>
      <c r="R327" s="1653">
        <f t="shared" si="102"/>
        <v>0</v>
      </c>
      <c r="S327" s="1653">
        <f t="shared" si="103"/>
        <v>0</v>
      </c>
      <c r="T327" s="1653">
        <f t="shared" si="88"/>
        <v>0</v>
      </c>
      <c r="U327" s="1653">
        <f t="shared" si="89"/>
        <v>0</v>
      </c>
      <c r="V327" s="1653">
        <f t="shared" si="90"/>
        <v>0</v>
      </c>
      <c r="W327" s="1653">
        <f t="shared" si="91"/>
        <v>0</v>
      </c>
      <c r="X327" s="1653">
        <f t="shared" si="92"/>
        <v>0</v>
      </c>
      <c r="Y327" s="1653">
        <f t="shared" si="93"/>
        <v>0</v>
      </c>
    </row>
    <row r="328" spans="1:25" ht="15" hidden="1" outlineLevel="1">
      <c r="A328" s="1615">
        <v>320</v>
      </c>
      <c r="C328" s="1651" t="s">
        <v>2913</v>
      </c>
      <c r="D328" s="1651" t="s">
        <v>2914</v>
      </c>
      <c r="E328" s="1613">
        <v>2639.25</v>
      </c>
      <c r="F328" s="1613">
        <v>-2124.65</v>
      </c>
      <c r="G328" s="1613">
        <f t="shared" si="94"/>
        <v>514.59999999999991</v>
      </c>
      <c r="H328" s="1578">
        <v>2013</v>
      </c>
      <c r="I328" s="1662">
        <f t="shared" si="95"/>
        <v>2.5</v>
      </c>
      <c r="J328" s="1663">
        <v>36</v>
      </c>
      <c r="K328" s="1664">
        <f t="shared" si="96"/>
        <v>0.33333333333333331</v>
      </c>
      <c r="L328" s="1613">
        <f t="shared" si="97"/>
        <v>879.75</v>
      </c>
      <c r="M328" s="1613">
        <f t="shared" si="98"/>
        <v>2639.25</v>
      </c>
      <c r="N328" s="1613">
        <f t="shared" si="87"/>
        <v>-2639.25</v>
      </c>
      <c r="O328" s="1652">
        <f t="shared" si="99"/>
        <v>0</v>
      </c>
      <c r="P328" s="1653">
        <f t="shared" si="100"/>
        <v>0</v>
      </c>
      <c r="Q328" s="1653">
        <f t="shared" si="101"/>
        <v>0</v>
      </c>
      <c r="R328" s="1653">
        <f t="shared" si="102"/>
        <v>0</v>
      </c>
      <c r="S328" s="1653">
        <f t="shared" si="103"/>
        <v>0</v>
      </c>
      <c r="T328" s="1653">
        <f t="shared" si="88"/>
        <v>0</v>
      </c>
      <c r="U328" s="1653">
        <f t="shared" si="89"/>
        <v>0</v>
      </c>
      <c r="V328" s="1653">
        <f t="shared" si="90"/>
        <v>0</v>
      </c>
      <c r="W328" s="1653">
        <f t="shared" si="91"/>
        <v>0</v>
      </c>
      <c r="X328" s="1653">
        <f t="shared" si="92"/>
        <v>0</v>
      </c>
      <c r="Y328" s="1653">
        <f t="shared" si="93"/>
        <v>0</v>
      </c>
    </row>
    <row r="329" spans="1:25" ht="15" hidden="1" outlineLevel="1">
      <c r="A329" s="1615">
        <v>321</v>
      </c>
      <c r="C329" s="1651" t="s">
        <v>2915</v>
      </c>
      <c r="D329" s="1651" t="s">
        <v>2916</v>
      </c>
      <c r="E329" s="1613">
        <v>129.47</v>
      </c>
      <c r="F329" s="1613">
        <v>-104.22</v>
      </c>
      <c r="G329" s="1613">
        <f t="shared" si="94"/>
        <v>25.25</v>
      </c>
      <c r="H329" s="1578">
        <v>2013</v>
      </c>
      <c r="I329" s="1662">
        <f t="shared" si="95"/>
        <v>2.5</v>
      </c>
      <c r="J329" s="1663">
        <v>36</v>
      </c>
      <c r="K329" s="1664">
        <f t="shared" si="96"/>
        <v>0.33333333333333331</v>
      </c>
      <c r="L329" s="1613">
        <f t="shared" si="97"/>
        <v>43.156666666666666</v>
      </c>
      <c r="M329" s="1613">
        <f t="shared" si="98"/>
        <v>129.47</v>
      </c>
      <c r="N329" s="1613">
        <f t="shared" si="87"/>
        <v>-129.47</v>
      </c>
      <c r="O329" s="1652">
        <f t="shared" si="99"/>
        <v>0</v>
      </c>
      <c r="P329" s="1653">
        <f t="shared" si="100"/>
        <v>0</v>
      </c>
      <c r="Q329" s="1653">
        <f t="shared" si="101"/>
        <v>0</v>
      </c>
      <c r="R329" s="1653">
        <f t="shared" si="102"/>
        <v>0</v>
      </c>
      <c r="S329" s="1653">
        <f t="shared" si="103"/>
        <v>0</v>
      </c>
      <c r="T329" s="1653">
        <f t="shared" si="88"/>
        <v>0</v>
      </c>
      <c r="U329" s="1653">
        <f t="shared" si="89"/>
        <v>0</v>
      </c>
      <c r="V329" s="1653">
        <f t="shared" si="90"/>
        <v>0</v>
      </c>
      <c r="W329" s="1653">
        <f t="shared" si="91"/>
        <v>0</v>
      </c>
      <c r="X329" s="1653">
        <f t="shared" si="92"/>
        <v>0</v>
      </c>
      <c r="Y329" s="1653">
        <f t="shared" si="93"/>
        <v>0</v>
      </c>
    </row>
    <row r="330" spans="1:25" ht="15" hidden="1" outlineLevel="1">
      <c r="A330" s="1615">
        <v>322</v>
      </c>
      <c r="C330" s="1651" t="s">
        <v>2917</v>
      </c>
      <c r="D330" s="1651" t="s">
        <v>2918</v>
      </c>
      <c r="E330" s="1613">
        <v>174.37</v>
      </c>
      <c r="F330" s="1613">
        <v>-140.37</v>
      </c>
      <c r="G330" s="1613">
        <f t="shared" si="94"/>
        <v>34</v>
      </c>
      <c r="H330" s="1578">
        <v>2013</v>
      </c>
      <c r="I330" s="1662">
        <f t="shared" si="95"/>
        <v>2.5</v>
      </c>
      <c r="J330" s="1663">
        <v>36</v>
      </c>
      <c r="K330" s="1664">
        <f t="shared" si="96"/>
        <v>0.33333333333333331</v>
      </c>
      <c r="L330" s="1613">
        <f t="shared" si="97"/>
        <v>58.123333333333335</v>
      </c>
      <c r="M330" s="1613">
        <f t="shared" si="98"/>
        <v>174.37</v>
      </c>
      <c r="N330" s="1613">
        <f t="shared" si="87"/>
        <v>-174.37</v>
      </c>
      <c r="O330" s="1652">
        <f t="shared" si="99"/>
        <v>0</v>
      </c>
      <c r="P330" s="1653">
        <f t="shared" si="100"/>
        <v>0</v>
      </c>
      <c r="Q330" s="1653">
        <f t="shared" si="101"/>
        <v>0</v>
      </c>
      <c r="R330" s="1653">
        <f t="shared" si="102"/>
        <v>0</v>
      </c>
      <c r="S330" s="1653">
        <f t="shared" si="103"/>
        <v>0</v>
      </c>
      <c r="T330" s="1653">
        <f t="shared" si="88"/>
        <v>0</v>
      </c>
      <c r="U330" s="1653">
        <f t="shared" si="89"/>
        <v>0</v>
      </c>
      <c r="V330" s="1653">
        <f t="shared" si="90"/>
        <v>0</v>
      </c>
      <c r="W330" s="1653">
        <f t="shared" si="91"/>
        <v>0</v>
      </c>
      <c r="X330" s="1653">
        <f t="shared" si="92"/>
        <v>0</v>
      </c>
      <c r="Y330" s="1653">
        <f t="shared" si="93"/>
        <v>0</v>
      </c>
    </row>
    <row r="331" spans="1:25" ht="15" hidden="1" outlineLevel="1">
      <c r="A331" s="1615">
        <v>323</v>
      </c>
      <c r="C331" s="1651" t="s">
        <v>2919</v>
      </c>
      <c r="D331" s="1651" t="s">
        <v>2920</v>
      </c>
      <c r="E331" s="1613">
        <v>385.75</v>
      </c>
      <c r="F331" s="1613">
        <v>-300.68</v>
      </c>
      <c r="G331" s="1613">
        <f t="shared" si="94"/>
        <v>85.07</v>
      </c>
      <c r="H331" s="1578">
        <v>2013</v>
      </c>
      <c r="I331" s="1662">
        <f t="shared" si="95"/>
        <v>2.5</v>
      </c>
      <c r="J331" s="1663">
        <v>36</v>
      </c>
      <c r="K331" s="1664">
        <f t="shared" si="96"/>
        <v>0.33333333333333331</v>
      </c>
      <c r="L331" s="1613">
        <f t="shared" si="97"/>
        <v>128.58333333333331</v>
      </c>
      <c r="M331" s="1613">
        <f t="shared" si="98"/>
        <v>385.75</v>
      </c>
      <c r="N331" s="1613">
        <f t="shared" si="87"/>
        <v>-385.75</v>
      </c>
      <c r="O331" s="1652">
        <f t="shared" si="99"/>
        <v>0</v>
      </c>
      <c r="P331" s="1653">
        <f t="shared" si="100"/>
        <v>0</v>
      </c>
      <c r="Q331" s="1653">
        <f t="shared" si="101"/>
        <v>0</v>
      </c>
      <c r="R331" s="1653">
        <f t="shared" si="102"/>
        <v>0</v>
      </c>
      <c r="S331" s="1653">
        <f t="shared" si="103"/>
        <v>0</v>
      </c>
      <c r="T331" s="1653">
        <f t="shared" si="88"/>
        <v>0</v>
      </c>
      <c r="U331" s="1653">
        <f t="shared" si="89"/>
        <v>0</v>
      </c>
      <c r="V331" s="1653">
        <f t="shared" si="90"/>
        <v>0</v>
      </c>
      <c r="W331" s="1653">
        <f t="shared" si="91"/>
        <v>0</v>
      </c>
      <c r="X331" s="1653">
        <f t="shared" si="92"/>
        <v>0</v>
      </c>
      <c r="Y331" s="1653">
        <f t="shared" si="93"/>
        <v>0</v>
      </c>
    </row>
    <row r="332" spans="1:25" ht="15" hidden="1" outlineLevel="1">
      <c r="A332" s="1615">
        <v>324</v>
      </c>
      <c r="C332" s="1651" t="s">
        <v>2921</v>
      </c>
      <c r="D332" s="1651" t="s">
        <v>2922</v>
      </c>
      <c r="E332" s="1613">
        <v>379.04</v>
      </c>
      <c r="F332" s="1613">
        <v>-295.44</v>
      </c>
      <c r="G332" s="1613">
        <f t="shared" si="94"/>
        <v>83.600000000000023</v>
      </c>
      <c r="H332" s="1578">
        <v>2013</v>
      </c>
      <c r="I332" s="1662">
        <f t="shared" si="95"/>
        <v>2.5</v>
      </c>
      <c r="J332" s="1663">
        <v>36</v>
      </c>
      <c r="K332" s="1664">
        <f t="shared" si="96"/>
        <v>0.33333333333333331</v>
      </c>
      <c r="L332" s="1613">
        <f t="shared" si="97"/>
        <v>126.34666666666666</v>
      </c>
      <c r="M332" s="1613">
        <f t="shared" si="98"/>
        <v>379.04</v>
      </c>
      <c r="N332" s="1613">
        <f t="shared" si="87"/>
        <v>-379.04</v>
      </c>
      <c r="O332" s="1652">
        <f t="shared" si="99"/>
        <v>0</v>
      </c>
      <c r="P332" s="1653">
        <f t="shared" si="100"/>
        <v>0</v>
      </c>
      <c r="Q332" s="1653">
        <f t="shared" si="101"/>
        <v>0</v>
      </c>
      <c r="R332" s="1653">
        <f t="shared" si="102"/>
        <v>0</v>
      </c>
      <c r="S332" s="1653">
        <f t="shared" si="103"/>
        <v>0</v>
      </c>
      <c r="T332" s="1653">
        <f t="shared" si="88"/>
        <v>0</v>
      </c>
      <c r="U332" s="1653">
        <f t="shared" si="89"/>
        <v>0</v>
      </c>
      <c r="V332" s="1653">
        <f t="shared" si="90"/>
        <v>0</v>
      </c>
      <c r="W332" s="1653">
        <f t="shared" si="91"/>
        <v>0</v>
      </c>
      <c r="X332" s="1653">
        <f t="shared" si="92"/>
        <v>0</v>
      </c>
      <c r="Y332" s="1653">
        <f t="shared" si="93"/>
        <v>0</v>
      </c>
    </row>
    <row r="333" spans="1:25" ht="15" hidden="1" outlineLevel="1">
      <c r="A333" s="1615">
        <v>325</v>
      </c>
      <c r="C333" s="1651" t="s">
        <v>2923</v>
      </c>
      <c r="D333" s="1651" t="s">
        <v>2924</v>
      </c>
      <c r="E333" s="1613">
        <v>1933.75</v>
      </c>
      <c r="F333" s="1613">
        <v>-1507.27</v>
      </c>
      <c r="G333" s="1613">
        <f t="shared" si="94"/>
        <v>426.48</v>
      </c>
      <c r="H333" s="1578">
        <v>2013</v>
      </c>
      <c r="I333" s="1662">
        <f t="shared" si="95"/>
        <v>2.5</v>
      </c>
      <c r="J333" s="1663">
        <v>36</v>
      </c>
      <c r="K333" s="1664">
        <f t="shared" si="96"/>
        <v>0.33333333333333331</v>
      </c>
      <c r="L333" s="1613">
        <f t="shared" si="97"/>
        <v>644.58333333333326</v>
      </c>
      <c r="M333" s="1613">
        <f t="shared" si="98"/>
        <v>1933.75</v>
      </c>
      <c r="N333" s="1613">
        <f t="shared" si="87"/>
        <v>-1933.75</v>
      </c>
      <c r="O333" s="1652">
        <f t="shared" si="99"/>
        <v>0</v>
      </c>
      <c r="P333" s="1653">
        <f t="shared" si="100"/>
        <v>0</v>
      </c>
      <c r="Q333" s="1653">
        <f t="shared" si="101"/>
        <v>0</v>
      </c>
      <c r="R333" s="1653">
        <f t="shared" si="102"/>
        <v>0</v>
      </c>
      <c r="S333" s="1653">
        <f t="shared" si="103"/>
        <v>0</v>
      </c>
      <c r="T333" s="1653">
        <f t="shared" si="88"/>
        <v>0</v>
      </c>
      <c r="U333" s="1653">
        <f t="shared" si="89"/>
        <v>0</v>
      </c>
      <c r="V333" s="1653">
        <f t="shared" si="90"/>
        <v>0</v>
      </c>
      <c r="W333" s="1653">
        <f t="shared" si="91"/>
        <v>0</v>
      </c>
      <c r="X333" s="1653">
        <f t="shared" si="92"/>
        <v>0</v>
      </c>
      <c r="Y333" s="1653">
        <f t="shared" si="93"/>
        <v>0</v>
      </c>
    </row>
    <row r="334" spans="1:25" ht="15" hidden="1" outlineLevel="1">
      <c r="A334" s="1615">
        <v>326</v>
      </c>
      <c r="C334" s="1651" t="s">
        <v>2925</v>
      </c>
      <c r="D334" s="1651" t="s">
        <v>2926</v>
      </c>
      <c r="E334" s="1613">
        <v>3827.82</v>
      </c>
      <c r="F334" s="1613">
        <v>-2983.6</v>
      </c>
      <c r="G334" s="1613">
        <f t="shared" si="94"/>
        <v>844.22000000000025</v>
      </c>
      <c r="H334" s="1578">
        <v>2013</v>
      </c>
      <c r="I334" s="1662">
        <f t="shared" si="95"/>
        <v>2.5</v>
      </c>
      <c r="J334" s="1663">
        <v>36</v>
      </c>
      <c r="K334" s="1664">
        <f t="shared" si="96"/>
        <v>0.33333333333333331</v>
      </c>
      <c r="L334" s="1613">
        <f t="shared" si="97"/>
        <v>1275.94</v>
      </c>
      <c r="M334" s="1613">
        <f t="shared" si="98"/>
        <v>3827.82</v>
      </c>
      <c r="N334" s="1613">
        <f t="shared" si="87"/>
        <v>-3827.82</v>
      </c>
      <c r="O334" s="1652">
        <f t="shared" si="99"/>
        <v>0</v>
      </c>
      <c r="P334" s="1653">
        <f t="shared" si="100"/>
        <v>0</v>
      </c>
      <c r="Q334" s="1653">
        <f t="shared" si="101"/>
        <v>0</v>
      </c>
      <c r="R334" s="1653">
        <f t="shared" si="102"/>
        <v>0</v>
      </c>
      <c r="S334" s="1653">
        <f t="shared" si="103"/>
        <v>0</v>
      </c>
      <c r="T334" s="1653">
        <f t="shared" si="88"/>
        <v>0</v>
      </c>
      <c r="U334" s="1653">
        <f t="shared" si="89"/>
        <v>0</v>
      </c>
      <c r="V334" s="1653">
        <f t="shared" si="90"/>
        <v>0</v>
      </c>
      <c r="W334" s="1653">
        <f t="shared" si="91"/>
        <v>0</v>
      </c>
      <c r="X334" s="1653">
        <f t="shared" si="92"/>
        <v>0</v>
      </c>
      <c r="Y334" s="1653">
        <f t="shared" si="93"/>
        <v>0</v>
      </c>
    </row>
    <row r="335" spans="1:25" ht="15" hidden="1" outlineLevel="1">
      <c r="A335" s="1615">
        <v>327</v>
      </c>
      <c r="C335" s="1651" t="s">
        <v>2927</v>
      </c>
      <c r="D335" s="1651" t="s">
        <v>2928</v>
      </c>
      <c r="E335" s="1613">
        <v>92.06</v>
      </c>
      <c r="F335" s="1613">
        <v>-71.75</v>
      </c>
      <c r="G335" s="1613">
        <f t="shared" si="94"/>
        <v>20.310000000000002</v>
      </c>
      <c r="H335" s="1578">
        <v>2013</v>
      </c>
      <c r="I335" s="1662">
        <f t="shared" si="95"/>
        <v>2.5</v>
      </c>
      <c r="J335" s="1663">
        <v>36</v>
      </c>
      <c r="K335" s="1664">
        <f t="shared" si="96"/>
        <v>0.33333333333333331</v>
      </c>
      <c r="L335" s="1613">
        <f t="shared" si="97"/>
        <v>30.686666666666667</v>
      </c>
      <c r="M335" s="1613">
        <f t="shared" si="98"/>
        <v>92.06</v>
      </c>
      <c r="N335" s="1613">
        <f t="shared" si="87"/>
        <v>-92.06</v>
      </c>
      <c r="O335" s="1652">
        <f t="shared" si="99"/>
        <v>0</v>
      </c>
      <c r="P335" s="1653">
        <f t="shared" si="100"/>
        <v>0</v>
      </c>
      <c r="Q335" s="1653">
        <f t="shared" si="101"/>
        <v>0</v>
      </c>
      <c r="R335" s="1653">
        <f t="shared" si="102"/>
        <v>0</v>
      </c>
      <c r="S335" s="1653">
        <f t="shared" si="103"/>
        <v>0</v>
      </c>
      <c r="T335" s="1653">
        <f t="shared" si="88"/>
        <v>0</v>
      </c>
      <c r="U335" s="1653">
        <f t="shared" si="89"/>
        <v>0</v>
      </c>
      <c r="V335" s="1653">
        <f t="shared" si="90"/>
        <v>0</v>
      </c>
      <c r="W335" s="1653">
        <f t="shared" si="91"/>
        <v>0</v>
      </c>
      <c r="X335" s="1653">
        <f t="shared" si="92"/>
        <v>0</v>
      </c>
      <c r="Y335" s="1653">
        <f t="shared" si="93"/>
        <v>0</v>
      </c>
    </row>
    <row r="336" spans="1:25" ht="15" hidden="1" outlineLevel="1">
      <c r="A336" s="1615">
        <v>328</v>
      </c>
      <c r="C336" s="1651" t="s">
        <v>2929</v>
      </c>
      <c r="D336" s="1651" t="s">
        <v>2930</v>
      </c>
      <c r="E336" s="1613">
        <v>239.68</v>
      </c>
      <c r="F336" s="1613">
        <v>-186.83</v>
      </c>
      <c r="G336" s="1613">
        <f t="shared" si="94"/>
        <v>52.849999999999994</v>
      </c>
      <c r="H336" s="1578">
        <v>2013</v>
      </c>
      <c r="I336" s="1662">
        <f t="shared" si="95"/>
        <v>2.5</v>
      </c>
      <c r="J336" s="1663">
        <v>36</v>
      </c>
      <c r="K336" s="1664">
        <f t="shared" si="96"/>
        <v>0.33333333333333331</v>
      </c>
      <c r="L336" s="1613">
        <f t="shared" si="97"/>
        <v>79.893333333333331</v>
      </c>
      <c r="M336" s="1613">
        <f t="shared" si="98"/>
        <v>239.68</v>
      </c>
      <c r="N336" s="1613">
        <f t="shared" si="87"/>
        <v>-239.68</v>
      </c>
      <c r="O336" s="1652">
        <f t="shared" si="99"/>
        <v>0</v>
      </c>
      <c r="P336" s="1653">
        <f t="shared" si="100"/>
        <v>0</v>
      </c>
      <c r="Q336" s="1653">
        <f t="shared" si="101"/>
        <v>0</v>
      </c>
      <c r="R336" s="1653">
        <f t="shared" si="102"/>
        <v>0</v>
      </c>
      <c r="S336" s="1653">
        <f t="shared" si="103"/>
        <v>0</v>
      </c>
      <c r="T336" s="1653">
        <f t="shared" si="88"/>
        <v>0</v>
      </c>
      <c r="U336" s="1653">
        <f t="shared" si="89"/>
        <v>0</v>
      </c>
      <c r="V336" s="1653">
        <f t="shared" si="90"/>
        <v>0</v>
      </c>
      <c r="W336" s="1653">
        <f t="shared" si="91"/>
        <v>0</v>
      </c>
      <c r="X336" s="1653">
        <f t="shared" si="92"/>
        <v>0</v>
      </c>
      <c r="Y336" s="1653">
        <f t="shared" si="93"/>
        <v>0</v>
      </c>
    </row>
    <row r="337" spans="1:25" ht="15" hidden="1" outlineLevel="1">
      <c r="A337" s="1615">
        <v>329</v>
      </c>
      <c r="C337" s="1651" t="s">
        <v>2931</v>
      </c>
      <c r="D337" s="1651" t="s">
        <v>2932</v>
      </c>
      <c r="E337" s="1613">
        <v>952</v>
      </c>
      <c r="F337" s="1613">
        <v>-742.05</v>
      </c>
      <c r="G337" s="1613">
        <f t="shared" si="94"/>
        <v>209.95000000000005</v>
      </c>
      <c r="H337" s="1578">
        <v>2013</v>
      </c>
      <c r="I337" s="1662">
        <f t="shared" si="95"/>
        <v>2.5</v>
      </c>
      <c r="J337" s="1663">
        <v>36</v>
      </c>
      <c r="K337" s="1664">
        <f t="shared" si="96"/>
        <v>0.33333333333333331</v>
      </c>
      <c r="L337" s="1613">
        <f t="shared" si="97"/>
        <v>317.33333333333331</v>
      </c>
      <c r="M337" s="1613">
        <f t="shared" si="98"/>
        <v>952</v>
      </c>
      <c r="N337" s="1613">
        <f t="shared" si="87"/>
        <v>-952</v>
      </c>
      <c r="O337" s="1652">
        <f t="shared" si="99"/>
        <v>0</v>
      </c>
      <c r="P337" s="1653">
        <f t="shared" si="100"/>
        <v>0</v>
      </c>
      <c r="Q337" s="1653">
        <f t="shared" si="101"/>
        <v>0</v>
      </c>
      <c r="R337" s="1653">
        <f t="shared" si="102"/>
        <v>0</v>
      </c>
      <c r="S337" s="1653">
        <f t="shared" si="103"/>
        <v>0</v>
      </c>
      <c r="T337" s="1653">
        <f t="shared" si="88"/>
        <v>0</v>
      </c>
      <c r="U337" s="1653">
        <f t="shared" si="89"/>
        <v>0</v>
      </c>
      <c r="V337" s="1653">
        <f t="shared" si="90"/>
        <v>0</v>
      </c>
      <c r="W337" s="1653">
        <f t="shared" si="91"/>
        <v>0</v>
      </c>
      <c r="X337" s="1653">
        <f t="shared" si="92"/>
        <v>0</v>
      </c>
      <c r="Y337" s="1653">
        <f t="shared" si="93"/>
        <v>0</v>
      </c>
    </row>
    <row r="338" spans="1:25" ht="15" hidden="1" outlineLevel="1">
      <c r="A338" s="1615">
        <v>330</v>
      </c>
      <c r="C338" s="1651" t="s">
        <v>2933</v>
      </c>
      <c r="D338" s="1651" t="s">
        <v>2934</v>
      </c>
      <c r="E338" s="1613">
        <v>764.59</v>
      </c>
      <c r="F338" s="1613">
        <v>-595.96</v>
      </c>
      <c r="G338" s="1613">
        <f t="shared" si="94"/>
        <v>168.63</v>
      </c>
      <c r="H338" s="1578">
        <v>2013</v>
      </c>
      <c r="I338" s="1662">
        <f t="shared" si="95"/>
        <v>2.5</v>
      </c>
      <c r="J338" s="1663">
        <v>36</v>
      </c>
      <c r="K338" s="1664">
        <f t="shared" si="96"/>
        <v>0.33333333333333331</v>
      </c>
      <c r="L338" s="1613">
        <f t="shared" si="97"/>
        <v>254.86333333333334</v>
      </c>
      <c r="M338" s="1613">
        <f t="shared" si="98"/>
        <v>764.59</v>
      </c>
      <c r="N338" s="1613">
        <f t="shared" si="87"/>
        <v>-764.59</v>
      </c>
      <c r="O338" s="1652">
        <f t="shared" si="99"/>
        <v>0</v>
      </c>
      <c r="P338" s="1653">
        <f t="shared" si="100"/>
        <v>0</v>
      </c>
      <c r="Q338" s="1653">
        <f t="shared" si="101"/>
        <v>0</v>
      </c>
      <c r="R338" s="1653">
        <f t="shared" si="102"/>
        <v>0</v>
      </c>
      <c r="S338" s="1653">
        <f t="shared" si="103"/>
        <v>0</v>
      </c>
      <c r="T338" s="1653">
        <f t="shared" si="88"/>
        <v>0</v>
      </c>
      <c r="U338" s="1653">
        <f t="shared" si="89"/>
        <v>0</v>
      </c>
      <c r="V338" s="1653">
        <f t="shared" si="90"/>
        <v>0</v>
      </c>
      <c r="W338" s="1653">
        <f t="shared" si="91"/>
        <v>0</v>
      </c>
      <c r="X338" s="1653">
        <f t="shared" si="92"/>
        <v>0</v>
      </c>
      <c r="Y338" s="1653">
        <f t="shared" si="93"/>
        <v>0</v>
      </c>
    </row>
    <row r="339" spans="1:25" ht="15" hidden="1" outlineLevel="1">
      <c r="A339" s="1615">
        <v>331</v>
      </c>
      <c r="C339" s="1651" t="s">
        <v>2935</v>
      </c>
      <c r="D339" s="1651" t="s">
        <v>2936</v>
      </c>
      <c r="E339" s="1613">
        <v>388.74</v>
      </c>
      <c r="F339" s="1613">
        <v>-303</v>
      </c>
      <c r="G339" s="1613">
        <f t="shared" si="94"/>
        <v>85.740000000000009</v>
      </c>
      <c r="H339" s="1578">
        <v>2013</v>
      </c>
      <c r="I339" s="1662">
        <f t="shared" si="95"/>
        <v>2.5</v>
      </c>
      <c r="J339" s="1663">
        <v>36</v>
      </c>
      <c r="K339" s="1664">
        <f t="shared" si="96"/>
        <v>0.33333333333333331</v>
      </c>
      <c r="L339" s="1613">
        <f t="shared" si="97"/>
        <v>129.57999999999998</v>
      </c>
      <c r="M339" s="1613">
        <f t="shared" si="98"/>
        <v>388.74</v>
      </c>
      <c r="N339" s="1613">
        <f t="shared" si="87"/>
        <v>-388.74</v>
      </c>
      <c r="O339" s="1652">
        <f t="shared" si="99"/>
        <v>0</v>
      </c>
      <c r="P339" s="1653">
        <f t="shared" si="100"/>
        <v>0</v>
      </c>
      <c r="Q339" s="1653">
        <f t="shared" si="101"/>
        <v>0</v>
      </c>
      <c r="R339" s="1653">
        <f t="shared" si="102"/>
        <v>0</v>
      </c>
      <c r="S339" s="1653">
        <f t="shared" si="103"/>
        <v>0</v>
      </c>
      <c r="T339" s="1653">
        <f t="shared" si="88"/>
        <v>0</v>
      </c>
      <c r="U339" s="1653">
        <f t="shared" si="89"/>
        <v>0</v>
      </c>
      <c r="V339" s="1653">
        <f t="shared" si="90"/>
        <v>0</v>
      </c>
      <c r="W339" s="1653">
        <f t="shared" si="91"/>
        <v>0</v>
      </c>
      <c r="X339" s="1653">
        <f t="shared" si="92"/>
        <v>0</v>
      </c>
      <c r="Y339" s="1653">
        <f t="shared" si="93"/>
        <v>0</v>
      </c>
    </row>
    <row r="340" spans="1:25" ht="15" hidden="1" outlineLevel="1">
      <c r="A340" s="1615">
        <v>332</v>
      </c>
      <c r="C340" s="1651" t="s">
        <v>2937</v>
      </c>
      <c r="D340" s="1651" t="s">
        <v>2938</v>
      </c>
      <c r="E340" s="1613">
        <v>223.67</v>
      </c>
      <c r="F340" s="1613">
        <v>-174.34</v>
      </c>
      <c r="G340" s="1613">
        <f t="shared" si="94"/>
        <v>49.329999999999984</v>
      </c>
      <c r="H340" s="1578">
        <v>2013</v>
      </c>
      <c r="I340" s="1662">
        <f t="shared" si="95"/>
        <v>2.5</v>
      </c>
      <c r="J340" s="1663">
        <v>36</v>
      </c>
      <c r="K340" s="1664">
        <f t="shared" si="96"/>
        <v>0.33333333333333331</v>
      </c>
      <c r="L340" s="1613">
        <f t="shared" si="97"/>
        <v>74.556666666666658</v>
      </c>
      <c r="M340" s="1613">
        <f t="shared" si="98"/>
        <v>223.67</v>
      </c>
      <c r="N340" s="1613">
        <f t="shared" si="87"/>
        <v>-223.67</v>
      </c>
      <c r="O340" s="1652">
        <f t="shared" si="99"/>
        <v>0</v>
      </c>
      <c r="P340" s="1653">
        <f t="shared" si="100"/>
        <v>0</v>
      </c>
      <c r="Q340" s="1653">
        <f t="shared" si="101"/>
        <v>0</v>
      </c>
      <c r="R340" s="1653">
        <f t="shared" si="102"/>
        <v>0</v>
      </c>
      <c r="S340" s="1653">
        <f t="shared" si="103"/>
        <v>0</v>
      </c>
      <c r="T340" s="1653">
        <f t="shared" si="88"/>
        <v>0</v>
      </c>
      <c r="U340" s="1653">
        <f t="shared" si="89"/>
        <v>0</v>
      </c>
      <c r="V340" s="1653">
        <f t="shared" si="90"/>
        <v>0</v>
      </c>
      <c r="W340" s="1653">
        <f t="shared" si="91"/>
        <v>0</v>
      </c>
      <c r="X340" s="1653">
        <f t="shared" si="92"/>
        <v>0</v>
      </c>
      <c r="Y340" s="1653">
        <f t="shared" si="93"/>
        <v>0</v>
      </c>
    </row>
    <row r="341" spans="1:25" ht="15" hidden="1" outlineLevel="1">
      <c r="A341" s="1615">
        <v>333</v>
      </c>
      <c r="C341" s="1651" t="s">
        <v>2939</v>
      </c>
      <c r="D341" s="1651" t="s">
        <v>2940</v>
      </c>
      <c r="E341" s="1613">
        <v>74.7</v>
      </c>
      <c r="F341" s="1613">
        <v>-58.23</v>
      </c>
      <c r="G341" s="1613">
        <f t="shared" si="94"/>
        <v>16.470000000000006</v>
      </c>
      <c r="H341" s="1578">
        <v>2013</v>
      </c>
      <c r="I341" s="1662">
        <f t="shared" si="95"/>
        <v>2.5</v>
      </c>
      <c r="J341" s="1663">
        <v>36</v>
      </c>
      <c r="K341" s="1664">
        <f t="shared" si="96"/>
        <v>0.33333333333333331</v>
      </c>
      <c r="L341" s="1613">
        <f t="shared" si="97"/>
        <v>24.9</v>
      </c>
      <c r="M341" s="1613">
        <f t="shared" si="98"/>
        <v>74.7</v>
      </c>
      <c r="N341" s="1613">
        <f t="shared" si="87"/>
        <v>-74.7</v>
      </c>
      <c r="O341" s="1652">
        <f t="shared" si="99"/>
        <v>0</v>
      </c>
      <c r="P341" s="1653">
        <f t="shared" si="100"/>
        <v>0</v>
      </c>
      <c r="Q341" s="1653">
        <f t="shared" si="101"/>
        <v>0</v>
      </c>
      <c r="R341" s="1653">
        <f t="shared" si="102"/>
        <v>0</v>
      </c>
      <c r="S341" s="1653">
        <f t="shared" si="103"/>
        <v>0</v>
      </c>
      <c r="T341" s="1653">
        <f t="shared" si="88"/>
        <v>0</v>
      </c>
      <c r="U341" s="1653">
        <f t="shared" si="89"/>
        <v>0</v>
      </c>
      <c r="V341" s="1653">
        <f t="shared" si="90"/>
        <v>0</v>
      </c>
      <c r="W341" s="1653">
        <f t="shared" si="91"/>
        <v>0</v>
      </c>
      <c r="X341" s="1653">
        <f t="shared" si="92"/>
        <v>0</v>
      </c>
      <c r="Y341" s="1653">
        <f t="shared" si="93"/>
        <v>0</v>
      </c>
    </row>
    <row r="342" spans="1:25" ht="15" hidden="1" outlineLevel="1">
      <c r="A342" s="1615">
        <v>334</v>
      </c>
      <c r="C342" s="1651" t="s">
        <v>2941</v>
      </c>
      <c r="D342" s="1651" t="s">
        <v>2938</v>
      </c>
      <c r="E342" s="1613">
        <v>241.16</v>
      </c>
      <c r="F342" s="1613">
        <v>-187.97</v>
      </c>
      <c r="G342" s="1613">
        <f t="shared" si="94"/>
        <v>53.19</v>
      </c>
      <c r="H342" s="1578">
        <v>2013</v>
      </c>
      <c r="I342" s="1662">
        <f t="shared" si="95"/>
        <v>2.5</v>
      </c>
      <c r="J342" s="1663">
        <v>36</v>
      </c>
      <c r="K342" s="1664">
        <f t="shared" si="96"/>
        <v>0.33333333333333331</v>
      </c>
      <c r="L342" s="1613">
        <f t="shared" si="97"/>
        <v>80.386666666666656</v>
      </c>
      <c r="M342" s="1613">
        <f t="shared" si="98"/>
        <v>241.16</v>
      </c>
      <c r="N342" s="1613">
        <f t="shared" si="87"/>
        <v>-241.16</v>
      </c>
      <c r="O342" s="1652">
        <f t="shared" si="99"/>
        <v>0</v>
      </c>
      <c r="P342" s="1653">
        <f t="shared" si="100"/>
        <v>0</v>
      </c>
      <c r="Q342" s="1653">
        <f t="shared" si="101"/>
        <v>0</v>
      </c>
      <c r="R342" s="1653">
        <f t="shared" si="102"/>
        <v>0</v>
      </c>
      <c r="S342" s="1653">
        <f t="shared" si="103"/>
        <v>0</v>
      </c>
      <c r="T342" s="1653">
        <f t="shared" si="88"/>
        <v>0</v>
      </c>
      <c r="U342" s="1653">
        <f t="shared" si="89"/>
        <v>0</v>
      </c>
      <c r="V342" s="1653">
        <f t="shared" si="90"/>
        <v>0</v>
      </c>
      <c r="W342" s="1653">
        <f t="shared" si="91"/>
        <v>0</v>
      </c>
      <c r="X342" s="1653">
        <f t="shared" si="92"/>
        <v>0</v>
      </c>
      <c r="Y342" s="1653">
        <f t="shared" si="93"/>
        <v>0</v>
      </c>
    </row>
    <row r="343" spans="1:25" ht="15" hidden="1" outlineLevel="1">
      <c r="A343" s="1615">
        <v>335</v>
      </c>
      <c r="C343" s="1651" t="s">
        <v>2942</v>
      </c>
      <c r="D343" s="1651" t="s">
        <v>2943</v>
      </c>
      <c r="E343" s="1613">
        <v>92.05</v>
      </c>
      <c r="F343" s="1613">
        <v>-71.75</v>
      </c>
      <c r="G343" s="1613">
        <f t="shared" si="94"/>
        <v>20.299999999999997</v>
      </c>
      <c r="H343" s="1578">
        <v>2013</v>
      </c>
      <c r="I343" s="1662">
        <f t="shared" si="95"/>
        <v>2.5</v>
      </c>
      <c r="J343" s="1663">
        <v>36</v>
      </c>
      <c r="K343" s="1664">
        <f t="shared" si="96"/>
        <v>0.33333333333333331</v>
      </c>
      <c r="L343" s="1613">
        <f t="shared" si="97"/>
        <v>30.68333333333333</v>
      </c>
      <c r="M343" s="1613">
        <f t="shared" si="98"/>
        <v>92.05</v>
      </c>
      <c r="N343" s="1613">
        <f t="shared" si="87"/>
        <v>-92.05</v>
      </c>
      <c r="O343" s="1652">
        <f t="shared" si="99"/>
        <v>0</v>
      </c>
      <c r="P343" s="1653">
        <f t="shared" si="100"/>
        <v>0</v>
      </c>
      <c r="Q343" s="1653">
        <f t="shared" si="101"/>
        <v>0</v>
      </c>
      <c r="R343" s="1653">
        <f t="shared" si="102"/>
        <v>0</v>
      </c>
      <c r="S343" s="1653">
        <f t="shared" si="103"/>
        <v>0</v>
      </c>
      <c r="T343" s="1653">
        <f t="shared" si="88"/>
        <v>0</v>
      </c>
      <c r="U343" s="1653">
        <f t="shared" si="89"/>
        <v>0</v>
      </c>
      <c r="V343" s="1653">
        <f t="shared" si="90"/>
        <v>0</v>
      </c>
      <c r="W343" s="1653">
        <f t="shared" si="91"/>
        <v>0</v>
      </c>
      <c r="X343" s="1653">
        <f t="shared" si="92"/>
        <v>0</v>
      </c>
      <c r="Y343" s="1653">
        <f t="shared" si="93"/>
        <v>0</v>
      </c>
    </row>
    <row r="344" spans="1:25" ht="15" hidden="1" outlineLevel="1">
      <c r="A344" s="1615">
        <v>336</v>
      </c>
      <c r="C344" s="1651" t="s">
        <v>2944</v>
      </c>
      <c r="D344" s="1651" t="s">
        <v>2945</v>
      </c>
      <c r="E344" s="1613">
        <v>133.80000000000001</v>
      </c>
      <c r="F344" s="1613">
        <v>-104.29</v>
      </c>
      <c r="G344" s="1613">
        <f t="shared" si="94"/>
        <v>29.510000000000005</v>
      </c>
      <c r="H344" s="1578">
        <v>2013</v>
      </c>
      <c r="I344" s="1662">
        <f t="shared" si="95"/>
        <v>2.5</v>
      </c>
      <c r="J344" s="1663">
        <v>36</v>
      </c>
      <c r="K344" s="1664">
        <f t="shared" si="96"/>
        <v>0.33333333333333331</v>
      </c>
      <c r="L344" s="1613">
        <f t="shared" si="97"/>
        <v>44.6</v>
      </c>
      <c r="M344" s="1613">
        <f t="shared" si="98"/>
        <v>133.80000000000001</v>
      </c>
      <c r="N344" s="1613">
        <f t="shared" ref="N344:N407" si="104">-IF(I344+0.5&lt;(J344/12),M344*(I344+0.5)*K344,M344)</f>
        <v>-133.80000000000001</v>
      </c>
      <c r="O344" s="1652">
        <f t="shared" si="99"/>
        <v>0</v>
      </c>
      <c r="P344" s="1653">
        <f t="shared" si="100"/>
        <v>0</v>
      </c>
      <c r="Q344" s="1653">
        <f t="shared" si="101"/>
        <v>0</v>
      </c>
      <c r="R344" s="1653">
        <f t="shared" si="102"/>
        <v>0</v>
      </c>
      <c r="S344" s="1653">
        <f t="shared" si="103"/>
        <v>0</v>
      </c>
      <c r="T344" s="1653">
        <f t="shared" ref="T344:T407" si="105">IF(S344&gt;0,IF(S344&lt;$K344,-$L344,R344-$K344),S344)</f>
        <v>0</v>
      </c>
      <c r="U344" s="1653">
        <f t="shared" ref="U344:U407" si="106">IF(T344&lt;0,$L344+T344,S344)</f>
        <v>0</v>
      </c>
      <c r="V344" s="1653">
        <f t="shared" ref="V344:V407" si="107">IF(U344&gt;0,IF(U344&lt;$K344,-$L344,T344-$K344),U344)</f>
        <v>0</v>
      </c>
      <c r="W344" s="1653">
        <f t="shared" ref="W344:W407" si="108">IF(V344&lt;0,$L344+V344,U344)</f>
        <v>0</v>
      </c>
      <c r="X344" s="1653">
        <f t="shared" ref="X344:X407" si="109">IF(W344&gt;0,IF(W344&lt;$K344,-$L344,V344-$K344),W344)</f>
        <v>0</v>
      </c>
      <c r="Y344" s="1653">
        <f t="shared" ref="Y344:Y407" si="110">IF(X344&lt;0,$L344+X344,W344)</f>
        <v>0</v>
      </c>
    </row>
    <row r="345" spans="1:25" ht="15" hidden="1" outlineLevel="1">
      <c r="A345" s="1615">
        <v>337</v>
      </c>
      <c r="C345" s="1651" t="s">
        <v>2946</v>
      </c>
      <c r="D345" s="1651" t="s">
        <v>2947</v>
      </c>
      <c r="E345" s="1613">
        <v>1658.33</v>
      </c>
      <c r="F345" s="1613">
        <v>-1245.6400000000001</v>
      </c>
      <c r="G345" s="1613">
        <f t="shared" ref="G345:G408" si="111">E345+F345</f>
        <v>412.68999999999983</v>
      </c>
      <c r="H345" s="1578">
        <v>2013</v>
      </c>
      <c r="I345" s="1662">
        <f t="shared" ref="I345:I408" si="112">IF(H345=2015,0.5,2015.5-H345)</f>
        <v>2.5</v>
      </c>
      <c r="J345" s="1663">
        <v>36</v>
      </c>
      <c r="K345" s="1664">
        <f t="shared" ref="K345:K408" si="113">1/J345*12</f>
        <v>0.33333333333333331</v>
      </c>
      <c r="L345" s="1613">
        <f t="shared" ref="L345:L408" si="114">IF(I345&lt;(J345/12),E345*K345,0)</f>
        <v>552.77666666666664</v>
      </c>
      <c r="M345" s="1613">
        <f t="shared" ref="M345:M408" si="115">E345</f>
        <v>1658.33</v>
      </c>
      <c r="N345" s="1613">
        <f t="shared" si="104"/>
        <v>-1658.33</v>
      </c>
      <c r="O345" s="1652">
        <f t="shared" ref="O345:O408" si="116">M345+N345</f>
        <v>0</v>
      </c>
      <c r="P345" s="1653">
        <f t="shared" ref="P345:P408" si="117">IF(O345&gt;0,IF(O345&lt;$K345,-$L345,N345-$K345),O345)</f>
        <v>0</v>
      </c>
      <c r="Q345" s="1653">
        <f t="shared" ref="Q345:Q408" si="118">IF(P345&lt;0,$L345+P345,O345)</f>
        <v>0</v>
      </c>
      <c r="R345" s="1653">
        <f t="shared" ref="R345:R408" si="119">IF(Q345&gt;0,IF(Q345&lt;$K345,-$L345,P345-$K345),Q345)</f>
        <v>0</v>
      </c>
      <c r="S345" s="1653">
        <f t="shared" ref="S345:S408" si="120">IF(R345&lt;0,$L345+R345,Q345)</f>
        <v>0</v>
      </c>
      <c r="T345" s="1653">
        <f t="shared" si="105"/>
        <v>0</v>
      </c>
      <c r="U345" s="1653">
        <f t="shared" si="106"/>
        <v>0</v>
      </c>
      <c r="V345" s="1653">
        <f t="shared" si="107"/>
        <v>0</v>
      </c>
      <c r="W345" s="1653">
        <f t="shared" si="108"/>
        <v>0</v>
      </c>
      <c r="X345" s="1653">
        <f t="shared" si="109"/>
        <v>0</v>
      </c>
      <c r="Y345" s="1653">
        <f t="shared" si="110"/>
        <v>0</v>
      </c>
    </row>
    <row r="346" spans="1:25" ht="15" hidden="1" outlineLevel="1">
      <c r="A346" s="1615">
        <v>338</v>
      </c>
      <c r="C346" s="1651" t="s">
        <v>2948</v>
      </c>
      <c r="D346" s="1651" t="s">
        <v>2949</v>
      </c>
      <c r="E346" s="1613">
        <v>184.18</v>
      </c>
      <c r="F346" s="1613">
        <v>-143.57</v>
      </c>
      <c r="G346" s="1613">
        <f t="shared" si="111"/>
        <v>40.610000000000014</v>
      </c>
      <c r="H346" s="1578">
        <v>2013</v>
      </c>
      <c r="I346" s="1662">
        <f t="shared" si="112"/>
        <v>2.5</v>
      </c>
      <c r="J346" s="1663">
        <v>36</v>
      </c>
      <c r="K346" s="1664">
        <f t="shared" si="113"/>
        <v>0.33333333333333331</v>
      </c>
      <c r="L346" s="1613">
        <f t="shared" si="114"/>
        <v>61.393333333333331</v>
      </c>
      <c r="M346" s="1613">
        <f t="shared" si="115"/>
        <v>184.18</v>
      </c>
      <c r="N346" s="1613">
        <f t="shared" si="104"/>
        <v>-184.18</v>
      </c>
      <c r="O346" s="1652">
        <f t="shared" si="116"/>
        <v>0</v>
      </c>
      <c r="P346" s="1653">
        <f t="shared" si="117"/>
        <v>0</v>
      </c>
      <c r="Q346" s="1653">
        <f t="shared" si="118"/>
        <v>0</v>
      </c>
      <c r="R346" s="1653">
        <f t="shared" si="119"/>
        <v>0</v>
      </c>
      <c r="S346" s="1653">
        <f t="shared" si="120"/>
        <v>0</v>
      </c>
      <c r="T346" s="1653">
        <f t="shared" si="105"/>
        <v>0</v>
      </c>
      <c r="U346" s="1653">
        <f t="shared" si="106"/>
        <v>0</v>
      </c>
      <c r="V346" s="1653">
        <f t="shared" si="107"/>
        <v>0</v>
      </c>
      <c r="W346" s="1653">
        <f t="shared" si="108"/>
        <v>0</v>
      </c>
      <c r="X346" s="1653">
        <f t="shared" si="109"/>
        <v>0</v>
      </c>
      <c r="Y346" s="1653">
        <f t="shared" si="110"/>
        <v>0</v>
      </c>
    </row>
    <row r="347" spans="1:25" ht="15" hidden="1" outlineLevel="1">
      <c r="A347" s="1615">
        <v>339</v>
      </c>
      <c r="C347" s="1651" t="s">
        <v>2950</v>
      </c>
      <c r="D347" s="1651" t="s">
        <v>2938</v>
      </c>
      <c r="E347" s="1613">
        <v>228.49</v>
      </c>
      <c r="F347" s="1613">
        <v>-171.63</v>
      </c>
      <c r="G347" s="1613">
        <f t="shared" si="111"/>
        <v>56.860000000000014</v>
      </c>
      <c r="H347" s="1578">
        <v>2013</v>
      </c>
      <c r="I347" s="1662">
        <f t="shared" si="112"/>
        <v>2.5</v>
      </c>
      <c r="J347" s="1663">
        <v>36</v>
      </c>
      <c r="K347" s="1664">
        <f t="shared" si="113"/>
        <v>0.33333333333333331</v>
      </c>
      <c r="L347" s="1613">
        <f t="shared" si="114"/>
        <v>76.163333333333327</v>
      </c>
      <c r="M347" s="1613">
        <f t="shared" si="115"/>
        <v>228.49</v>
      </c>
      <c r="N347" s="1613">
        <f t="shared" si="104"/>
        <v>-228.49</v>
      </c>
      <c r="O347" s="1652">
        <f t="shared" si="116"/>
        <v>0</v>
      </c>
      <c r="P347" s="1653">
        <f t="shared" si="117"/>
        <v>0</v>
      </c>
      <c r="Q347" s="1653">
        <f t="shared" si="118"/>
        <v>0</v>
      </c>
      <c r="R347" s="1653">
        <f t="shared" si="119"/>
        <v>0</v>
      </c>
      <c r="S347" s="1653">
        <f t="shared" si="120"/>
        <v>0</v>
      </c>
      <c r="T347" s="1653">
        <f t="shared" si="105"/>
        <v>0</v>
      </c>
      <c r="U347" s="1653">
        <f t="shared" si="106"/>
        <v>0</v>
      </c>
      <c r="V347" s="1653">
        <f t="shared" si="107"/>
        <v>0</v>
      </c>
      <c r="W347" s="1653">
        <f t="shared" si="108"/>
        <v>0</v>
      </c>
      <c r="X347" s="1653">
        <f t="shared" si="109"/>
        <v>0</v>
      </c>
      <c r="Y347" s="1653">
        <f t="shared" si="110"/>
        <v>0</v>
      </c>
    </row>
    <row r="348" spans="1:25" ht="15" hidden="1" outlineLevel="1">
      <c r="A348" s="1615">
        <v>340</v>
      </c>
      <c r="C348" s="1651" t="s">
        <v>2951</v>
      </c>
      <c r="D348" s="1651" t="s">
        <v>2952</v>
      </c>
      <c r="E348" s="1613">
        <v>98.81</v>
      </c>
      <c r="F348" s="1613">
        <v>-74.22</v>
      </c>
      <c r="G348" s="1613">
        <f t="shared" si="111"/>
        <v>24.590000000000003</v>
      </c>
      <c r="H348" s="1578">
        <v>2013</v>
      </c>
      <c r="I348" s="1662">
        <f t="shared" si="112"/>
        <v>2.5</v>
      </c>
      <c r="J348" s="1663">
        <v>36</v>
      </c>
      <c r="K348" s="1664">
        <f t="shared" si="113"/>
        <v>0.33333333333333331</v>
      </c>
      <c r="L348" s="1613">
        <f t="shared" si="114"/>
        <v>32.936666666666667</v>
      </c>
      <c r="M348" s="1613">
        <f t="shared" si="115"/>
        <v>98.81</v>
      </c>
      <c r="N348" s="1613">
        <f t="shared" si="104"/>
        <v>-98.81</v>
      </c>
      <c r="O348" s="1652">
        <f t="shared" si="116"/>
        <v>0</v>
      </c>
      <c r="P348" s="1653">
        <f t="shared" si="117"/>
        <v>0</v>
      </c>
      <c r="Q348" s="1653">
        <f t="shared" si="118"/>
        <v>0</v>
      </c>
      <c r="R348" s="1653">
        <f t="shared" si="119"/>
        <v>0</v>
      </c>
      <c r="S348" s="1653">
        <f t="shared" si="120"/>
        <v>0</v>
      </c>
      <c r="T348" s="1653">
        <f t="shared" si="105"/>
        <v>0</v>
      </c>
      <c r="U348" s="1653">
        <f t="shared" si="106"/>
        <v>0</v>
      </c>
      <c r="V348" s="1653">
        <f t="shared" si="107"/>
        <v>0</v>
      </c>
      <c r="W348" s="1653">
        <f t="shared" si="108"/>
        <v>0</v>
      </c>
      <c r="X348" s="1653">
        <f t="shared" si="109"/>
        <v>0</v>
      </c>
      <c r="Y348" s="1653">
        <f t="shared" si="110"/>
        <v>0</v>
      </c>
    </row>
    <row r="349" spans="1:25" ht="15" hidden="1" outlineLevel="1">
      <c r="A349" s="1615">
        <v>341</v>
      </c>
      <c r="C349" s="1651" t="s">
        <v>2953</v>
      </c>
      <c r="D349" s="1651" t="s">
        <v>2954</v>
      </c>
      <c r="E349" s="1613">
        <v>360.8</v>
      </c>
      <c r="F349" s="1613">
        <v>-271.01</v>
      </c>
      <c r="G349" s="1613">
        <f t="shared" si="111"/>
        <v>89.79000000000002</v>
      </c>
      <c r="H349" s="1578">
        <v>2013</v>
      </c>
      <c r="I349" s="1662">
        <f t="shared" si="112"/>
        <v>2.5</v>
      </c>
      <c r="J349" s="1663">
        <v>36</v>
      </c>
      <c r="K349" s="1664">
        <f t="shared" si="113"/>
        <v>0.33333333333333331</v>
      </c>
      <c r="L349" s="1613">
        <f t="shared" si="114"/>
        <v>120.26666666666667</v>
      </c>
      <c r="M349" s="1613">
        <f t="shared" si="115"/>
        <v>360.8</v>
      </c>
      <c r="N349" s="1613">
        <f t="shared" si="104"/>
        <v>-360.8</v>
      </c>
      <c r="O349" s="1652">
        <f t="shared" si="116"/>
        <v>0</v>
      </c>
      <c r="P349" s="1653">
        <f t="shared" si="117"/>
        <v>0</v>
      </c>
      <c r="Q349" s="1653">
        <f t="shared" si="118"/>
        <v>0</v>
      </c>
      <c r="R349" s="1653">
        <f t="shared" si="119"/>
        <v>0</v>
      </c>
      <c r="S349" s="1653">
        <f t="shared" si="120"/>
        <v>0</v>
      </c>
      <c r="T349" s="1653">
        <f t="shared" si="105"/>
        <v>0</v>
      </c>
      <c r="U349" s="1653">
        <f t="shared" si="106"/>
        <v>0</v>
      </c>
      <c r="V349" s="1653">
        <f t="shared" si="107"/>
        <v>0</v>
      </c>
      <c r="W349" s="1653">
        <f t="shared" si="108"/>
        <v>0</v>
      </c>
      <c r="X349" s="1653">
        <f t="shared" si="109"/>
        <v>0</v>
      </c>
      <c r="Y349" s="1653">
        <f t="shared" si="110"/>
        <v>0</v>
      </c>
    </row>
    <row r="350" spans="1:25" ht="15" hidden="1" outlineLevel="1">
      <c r="A350" s="1615">
        <v>342</v>
      </c>
      <c r="C350" s="1651" t="s">
        <v>2955</v>
      </c>
      <c r="D350" s="1651" t="s">
        <v>2956</v>
      </c>
      <c r="E350" s="1613">
        <v>1369.33</v>
      </c>
      <c r="F350" s="1613">
        <v>-1028.56</v>
      </c>
      <c r="G350" s="1613">
        <f t="shared" si="111"/>
        <v>340.77</v>
      </c>
      <c r="H350" s="1578">
        <v>2013</v>
      </c>
      <c r="I350" s="1662">
        <f t="shared" si="112"/>
        <v>2.5</v>
      </c>
      <c r="J350" s="1663">
        <v>36</v>
      </c>
      <c r="K350" s="1664">
        <f t="shared" si="113"/>
        <v>0.33333333333333331</v>
      </c>
      <c r="L350" s="1613">
        <f t="shared" si="114"/>
        <v>456.44333333333327</v>
      </c>
      <c r="M350" s="1613">
        <f t="shared" si="115"/>
        <v>1369.33</v>
      </c>
      <c r="N350" s="1613">
        <f t="shared" si="104"/>
        <v>-1369.33</v>
      </c>
      <c r="O350" s="1652">
        <f t="shared" si="116"/>
        <v>0</v>
      </c>
      <c r="P350" s="1653">
        <f t="shared" si="117"/>
        <v>0</v>
      </c>
      <c r="Q350" s="1653">
        <f t="shared" si="118"/>
        <v>0</v>
      </c>
      <c r="R350" s="1653">
        <f t="shared" si="119"/>
        <v>0</v>
      </c>
      <c r="S350" s="1653">
        <f t="shared" si="120"/>
        <v>0</v>
      </c>
      <c r="T350" s="1653">
        <f t="shared" si="105"/>
        <v>0</v>
      </c>
      <c r="U350" s="1653">
        <f t="shared" si="106"/>
        <v>0</v>
      </c>
      <c r="V350" s="1653">
        <f t="shared" si="107"/>
        <v>0</v>
      </c>
      <c r="W350" s="1653">
        <f t="shared" si="108"/>
        <v>0</v>
      </c>
      <c r="X350" s="1653">
        <f t="shared" si="109"/>
        <v>0</v>
      </c>
      <c r="Y350" s="1653">
        <f t="shared" si="110"/>
        <v>0</v>
      </c>
    </row>
    <row r="351" spans="1:25" ht="15" hidden="1" outlineLevel="1">
      <c r="A351" s="1615">
        <v>343</v>
      </c>
      <c r="C351" s="1651" t="s">
        <v>2957</v>
      </c>
      <c r="D351" s="1651" t="s">
        <v>2958</v>
      </c>
      <c r="E351" s="1613">
        <v>147.69</v>
      </c>
      <c r="F351" s="1613">
        <v>-110.93</v>
      </c>
      <c r="G351" s="1613">
        <f t="shared" si="111"/>
        <v>36.759999999999991</v>
      </c>
      <c r="H351" s="1578">
        <v>2013</v>
      </c>
      <c r="I351" s="1662">
        <f t="shared" si="112"/>
        <v>2.5</v>
      </c>
      <c r="J351" s="1663">
        <v>36</v>
      </c>
      <c r="K351" s="1664">
        <f t="shared" si="113"/>
        <v>0.33333333333333331</v>
      </c>
      <c r="L351" s="1613">
        <f t="shared" si="114"/>
        <v>49.23</v>
      </c>
      <c r="M351" s="1613">
        <f t="shared" si="115"/>
        <v>147.69</v>
      </c>
      <c r="N351" s="1613">
        <f t="shared" si="104"/>
        <v>-147.69</v>
      </c>
      <c r="O351" s="1652">
        <f t="shared" si="116"/>
        <v>0</v>
      </c>
      <c r="P351" s="1653">
        <f t="shared" si="117"/>
        <v>0</v>
      </c>
      <c r="Q351" s="1653">
        <f t="shared" si="118"/>
        <v>0</v>
      </c>
      <c r="R351" s="1653">
        <f t="shared" si="119"/>
        <v>0</v>
      </c>
      <c r="S351" s="1653">
        <f t="shared" si="120"/>
        <v>0</v>
      </c>
      <c r="T351" s="1653">
        <f t="shared" si="105"/>
        <v>0</v>
      </c>
      <c r="U351" s="1653">
        <f t="shared" si="106"/>
        <v>0</v>
      </c>
      <c r="V351" s="1653">
        <f t="shared" si="107"/>
        <v>0</v>
      </c>
      <c r="W351" s="1653">
        <f t="shared" si="108"/>
        <v>0</v>
      </c>
      <c r="X351" s="1653">
        <f t="shared" si="109"/>
        <v>0</v>
      </c>
      <c r="Y351" s="1653">
        <f t="shared" si="110"/>
        <v>0</v>
      </c>
    </row>
    <row r="352" spans="1:25" ht="15" hidden="1" outlineLevel="1">
      <c r="A352" s="1615">
        <v>344</v>
      </c>
      <c r="C352" s="1651" t="s">
        <v>2959</v>
      </c>
      <c r="D352" s="1651" t="s">
        <v>2960</v>
      </c>
      <c r="E352" s="1613">
        <v>2439.36</v>
      </c>
      <c r="F352" s="1613">
        <v>-1832.3</v>
      </c>
      <c r="G352" s="1613">
        <f t="shared" si="111"/>
        <v>607.06000000000017</v>
      </c>
      <c r="H352" s="1578">
        <v>2013</v>
      </c>
      <c r="I352" s="1662">
        <f t="shared" si="112"/>
        <v>2.5</v>
      </c>
      <c r="J352" s="1663">
        <v>36</v>
      </c>
      <c r="K352" s="1664">
        <f t="shared" si="113"/>
        <v>0.33333333333333331</v>
      </c>
      <c r="L352" s="1613">
        <f t="shared" si="114"/>
        <v>813.12</v>
      </c>
      <c r="M352" s="1613">
        <f t="shared" si="115"/>
        <v>2439.36</v>
      </c>
      <c r="N352" s="1613">
        <f t="shared" si="104"/>
        <v>-2439.36</v>
      </c>
      <c r="O352" s="1652">
        <f t="shared" si="116"/>
        <v>0</v>
      </c>
      <c r="P352" s="1653">
        <f t="shared" si="117"/>
        <v>0</v>
      </c>
      <c r="Q352" s="1653">
        <f t="shared" si="118"/>
        <v>0</v>
      </c>
      <c r="R352" s="1653">
        <f t="shared" si="119"/>
        <v>0</v>
      </c>
      <c r="S352" s="1653">
        <f t="shared" si="120"/>
        <v>0</v>
      </c>
      <c r="T352" s="1653">
        <f t="shared" si="105"/>
        <v>0</v>
      </c>
      <c r="U352" s="1653">
        <f t="shared" si="106"/>
        <v>0</v>
      </c>
      <c r="V352" s="1653">
        <f t="shared" si="107"/>
        <v>0</v>
      </c>
      <c r="W352" s="1653">
        <f t="shared" si="108"/>
        <v>0</v>
      </c>
      <c r="X352" s="1653">
        <f t="shared" si="109"/>
        <v>0</v>
      </c>
      <c r="Y352" s="1653">
        <f t="shared" si="110"/>
        <v>0</v>
      </c>
    </row>
    <row r="353" spans="1:25" ht="15" hidden="1" outlineLevel="1">
      <c r="A353" s="1615">
        <v>345</v>
      </c>
      <c r="C353" s="1651" t="s">
        <v>2961</v>
      </c>
      <c r="D353" s="1651" t="s">
        <v>2962</v>
      </c>
      <c r="E353" s="1613">
        <v>1364.67</v>
      </c>
      <c r="F353" s="1613">
        <v>-1025.06</v>
      </c>
      <c r="G353" s="1613">
        <f t="shared" si="111"/>
        <v>339.61000000000013</v>
      </c>
      <c r="H353" s="1578">
        <v>2013</v>
      </c>
      <c r="I353" s="1662">
        <f t="shared" si="112"/>
        <v>2.5</v>
      </c>
      <c r="J353" s="1663">
        <v>36</v>
      </c>
      <c r="K353" s="1664">
        <f t="shared" si="113"/>
        <v>0.33333333333333331</v>
      </c>
      <c r="L353" s="1613">
        <f t="shared" si="114"/>
        <v>454.89</v>
      </c>
      <c r="M353" s="1613">
        <f t="shared" si="115"/>
        <v>1364.67</v>
      </c>
      <c r="N353" s="1613">
        <f t="shared" si="104"/>
        <v>-1364.67</v>
      </c>
      <c r="O353" s="1652">
        <f t="shared" si="116"/>
        <v>0</v>
      </c>
      <c r="P353" s="1653">
        <f t="shared" si="117"/>
        <v>0</v>
      </c>
      <c r="Q353" s="1653">
        <f t="shared" si="118"/>
        <v>0</v>
      </c>
      <c r="R353" s="1653">
        <f t="shared" si="119"/>
        <v>0</v>
      </c>
      <c r="S353" s="1653">
        <f t="shared" si="120"/>
        <v>0</v>
      </c>
      <c r="T353" s="1653">
        <f t="shared" si="105"/>
        <v>0</v>
      </c>
      <c r="U353" s="1653">
        <f t="shared" si="106"/>
        <v>0</v>
      </c>
      <c r="V353" s="1653">
        <f t="shared" si="107"/>
        <v>0</v>
      </c>
      <c r="W353" s="1653">
        <f t="shared" si="108"/>
        <v>0</v>
      </c>
      <c r="X353" s="1653">
        <f t="shared" si="109"/>
        <v>0</v>
      </c>
      <c r="Y353" s="1653">
        <f t="shared" si="110"/>
        <v>0</v>
      </c>
    </row>
    <row r="354" spans="1:25" ht="15" hidden="1" outlineLevel="1">
      <c r="A354" s="1615">
        <v>346</v>
      </c>
      <c r="C354" s="1651" t="s">
        <v>2963</v>
      </c>
      <c r="D354" s="1651" t="s">
        <v>2964</v>
      </c>
      <c r="E354" s="1613">
        <v>1599.28</v>
      </c>
      <c r="F354" s="1613">
        <v>-1201.29</v>
      </c>
      <c r="G354" s="1613">
        <f t="shared" si="111"/>
        <v>397.99</v>
      </c>
      <c r="H354" s="1578">
        <v>2013</v>
      </c>
      <c r="I354" s="1662">
        <f t="shared" si="112"/>
        <v>2.5</v>
      </c>
      <c r="J354" s="1663">
        <v>36</v>
      </c>
      <c r="K354" s="1664">
        <f t="shared" si="113"/>
        <v>0.33333333333333331</v>
      </c>
      <c r="L354" s="1613">
        <f t="shared" si="114"/>
        <v>533.09333333333325</v>
      </c>
      <c r="M354" s="1613">
        <f t="shared" si="115"/>
        <v>1599.28</v>
      </c>
      <c r="N354" s="1613">
        <f t="shared" si="104"/>
        <v>-1599.28</v>
      </c>
      <c r="O354" s="1652">
        <f t="shared" si="116"/>
        <v>0</v>
      </c>
      <c r="P354" s="1653">
        <f t="shared" si="117"/>
        <v>0</v>
      </c>
      <c r="Q354" s="1653">
        <f t="shared" si="118"/>
        <v>0</v>
      </c>
      <c r="R354" s="1653">
        <f t="shared" si="119"/>
        <v>0</v>
      </c>
      <c r="S354" s="1653">
        <f t="shared" si="120"/>
        <v>0</v>
      </c>
      <c r="T354" s="1653">
        <f t="shared" si="105"/>
        <v>0</v>
      </c>
      <c r="U354" s="1653">
        <f t="shared" si="106"/>
        <v>0</v>
      </c>
      <c r="V354" s="1653">
        <f t="shared" si="107"/>
        <v>0</v>
      </c>
      <c r="W354" s="1653">
        <f t="shared" si="108"/>
        <v>0</v>
      </c>
      <c r="X354" s="1653">
        <f t="shared" si="109"/>
        <v>0</v>
      </c>
      <c r="Y354" s="1653">
        <f t="shared" si="110"/>
        <v>0</v>
      </c>
    </row>
    <row r="355" spans="1:25" ht="15" hidden="1" outlineLevel="1">
      <c r="A355" s="1615">
        <v>347</v>
      </c>
      <c r="C355" s="1651" t="s">
        <v>2965</v>
      </c>
      <c r="D355" s="1651" t="s">
        <v>2966</v>
      </c>
      <c r="E355" s="1613">
        <v>366.85</v>
      </c>
      <c r="F355" s="1613">
        <v>-265.51</v>
      </c>
      <c r="G355" s="1613">
        <f t="shared" si="111"/>
        <v>101.34000000000003</v>
      </c>
      <c r="H355" s="1578">
        <v>2013</v>
      </c>
      <c r="I355" s="1662">
        <f t="shared" si="112"/>
        <v>2.5</v>
      </c>
      <c r="J355" s="1663">
        <v>36</v>
      </c>
      <c r="K355" s="1664">
        <f t="shared" si="113"/>
        <v>0.33333333333333331</v>
      </c>
      <c r="L355" s="1613">
        <f t="shared" si="114"/>
        <v>122.28333333333333</v>
      </c>
      <c r="M355" s="1613">
        <f t="shared" si="115"/>
        <v>366.85</v>
      </c>
      <c r="N355" s="1613">
        <f t="shared" si="104"/>
        <v>-366.85</v>
      </c>
      <c r="O355" s="1652">
        <f t="shared" si="116"/>
        <v>0</v>
      </c>
      <c r="P355" s="1653">
        <f t="shared" si="117"/>
        <v>0</v>
      </c>
      <c r="Q355" s="1653">
        <f t="shared" si="118"/>
        <v>0</v>
      </c>
      <c r="R355" s="1653">
        <f t="shared" si="119"/>
        <v>0</v>
      </c>
      <c r="S355" s="1653">
        <f t="shared" si="120"/>
        <v>0</v>
      </c>
      <c r="T355" s="1653">
        <f t="shared" si="105"/>
        <v>0</v>
      </c>
      <c r="U355" s="1653">
        <f t="shared" si="106"/>
        <v>0</v>
      </c>
      <c r="V355" s="1653">
        <f t="shared" si="107"/>
        <v>0</v>
      </c>
      <c r="W355" s="1653">
        <f t="shared" si="108"/>
        <v>0</v>
      </c>
      <c r="X355" s="1653">
        <f t="shared" si="109"/>
        <v>0</v>
      </c>
      <c r="Y355" s="1653">
        <f t="shared" si="110"/>
        <v>0</v>
      </c>
    </row>
    <row r="356" spans="1:25" ht="15" hidden="1" outlineLevel="1">
      <c r="A356" s="1615">
        <v>348</v>
      </c>
      <c r="C356" s="1651" t="s">
        <v>2967</v>
      </c>
      <c r="D356" s="1651" t="s">
        <v>2968</v>
      </c>
      <c r="E356" s="1613">
        <v>902.34</v>
      </c>
      <c r="F356" s="1613">
        <v>-653.05999999999995</v>
      </c>
      <c r="G356" s="1613">
        <f t="shared" si="111"/>
        <v>249.28000000000009</v>
      </c>
      <c r="H356" s="1578">
        <v>2013</v>
      </c>
      <c r="I356" s="1662">
        <f t="shared" si="112"/>
        <v>2.5</v>
      </c>
      <c r="J356" s="1663">
        <v>36</v>
      </c>
      <c r="K356" s="1664">
        <f t="shared" si="113"/>
        <v>0.33333333333333331</v>
      </c>
      <c r="L356" s="1613">
        <f t="shared" si="114"/>
        <v>300.77999999999997</v>
      </c>
      <c r="M356" s="1613">
        <f t="shared" si="115"/>
        <v>902.34</v>
      </c>
      <c r="N356" s="1613">
        <f t="shared" si="104"/>
        <v>-902.34</v>
      </c>
      <c r="O356" s="1652">
        <f t="shared" si="116"/>
        <v>0</v>
      </c>
      <c r="P356" s="1653">
        <f t="shared" si="117"/>
        <v>0</v>
      </c>
      <c r="Q356" s="1653">
        <f t="shared" si="118"/>
        <v>0</v>
      </c>
      <c r="R356" s="1653">
        <f t="shared" si="119"/>
        <v>0</v>
      </c>
      <c r="S356" s="1653">
        <f t="shared" si="120"/>
        <v>0</v>
      </c>
      <c r="T356" s="1653">
        <f t="shared" si="105"/>
        <v>0</v>
      </c>
      <c r="U356" s="1653">
        <f t="shared" si="106"/>
        <v>0</v>
      </c>
      <c r="V356" s="1653">
        <f t="shared" si="107"/>
        <v>0</v>
      </c>
      <c r="W356" s="1653">
        <f t="shared" si="108"/>
        <v>0</v>
      </c>
      <c r="X356" s="1653">
        <f t="shared" si="109"/>
        <v>0</v>
      </c>
      <c r="Y356" s="1653">
        <f t="shared" si="110"/>
        <v>0</v>
      </c>
    </row>
    <row r="357" spans="1:25" ht="15" hidden="1" outlineLevel="1">
      <c r="A357" s="1615">
        <v>349</v>
      </c>
      <c r="C357" s="1651" t="s">
        <v>2969</v>
      </c>
      <c r="D357" s="1651" t="s">
        <v>2970</v>
      </c>
      <c r="E357" s="1613">
        <v>170.91</v>
      </c>
      <c r="F357" s="1613">
        <v>-128.37</v>
      </c>
      <c r="G357" s="1613">
        <f t="shared" si="111"/>
        <v>42.539999999999992</v>
      </c>
      <c r="H357" s="1578">
        <v>2013</v>
      </c>
      <c r="I357" s="1662">
        <f t="shared" si="112"/>
        <v>2.5</v>
      </c>
      <c r="J357" s="1663">
        <v>36</v>
      </c>
      <c r="K357" s="1664">
        <f t="shared" si="113"/>
        <v>0.33333333333333331</v>
      </c>
      <c r="L357" s="1613">
        <f t="shared" si="114"/>
        <v>56.97</v>
      </c>
      <c r="M357" s="1613">
        <f t="shared" si="115"/>
        <v>170.91</v>
      </c>
      <c r="N357" s="1613">
        <f t="shared" si="104"/>
        <v>-170.91</v>
      </c>
      <c r="O357" s="1652">
        <f t="shared" si="116"/>
        <v>0</v>
      </c>
      <c r="P357" s="1653">
        <f t="shared" si="117"/>
        <v>0</v>
      </c>
      <c r="Q357" s="1653">
        <f t="shared" si="118"/>
        <v>0</v>
      </c>
      <c r="R357" s="1653">
        <f t="shared" si="119"/>
        <v>0</v>
      </c>
      <c r="S357" s="1653">
        <f t="shared" si="120"/>
        <v>0</v>
      </c>
      <c r="T357" s="1653">
        <f t="shared" si="105"/>
        <v>0</v>
      </c>
      <c r="U357" s="1653">
        <f t="shared" si="106"/>
        <v>0</v>
      </c>
      <c r="V357" s="1653">
        <f t="shared" si="107"/>
        <v>0</v>
      </c>
      <c r="W357" s="1653">
        <f t="shared" si="108"/>
        <v>0</v>
      </c>
      <c r="X357" s="1653">
        <f t="shared" si="109"/>
        <v>0</v>
      </c>
      <c r="Y357" s="1653">
        <f t="shared" si="110"/>
        <v>0</v>
      </c>
    </row>
    <row r="358" spans="1:25" ht="15" hidden="1" outlineLevel="1">
      <c r="A358" s="1615">
        <v>350</v>
      </c>
      <c r="C358" s="1651" t="s">
        <v>2971</v>
      </c>
      <c r="D358" s="1651" t="s">
        <v>2972</v>
      </c>
      <c r="E358" s="1613">
        <v>136.38999999999999</v>
      </c>
      <c r="F358" s="1613">
        <v>-102.45</v>
      </c>
      <c r="G358" s="1613">
        <f t="shared" si="111"/>
        <v>33.939999999999984</v>
      </c>
      <c r="H358" s="1578">
        <v>2013</v>
      </c>
      <c r="I358" s="1662">
        <f t="shared" si="112"/>
        <v>2.5</v>
      </c>
      <c r="J358" s="1663">
        <v>36</v>
      </c>
      <c r="K358" s="1664">
        <f t="shared" si="113"/>
        <v>0.33333333333333331</v>
      </c>
      <c r="L358" s="1613">
        <f t="shared" si="114"/>
        <v>45.463333333333324</v>
      </c>
      <c r="M358" s="1613">
        <f t="shared" si="115"/>
        <v>136.38999999999999</v>
      </c>
      <c r="N358" s="1613">
        <f t="shared" si="104"/>
        <v>-136.38999999999999</v>
      </c>
      <c r="O358" s="1652">
        <f t="shared" si="116"/>
        <v>0</v>
      </c>
      <c r="P358" s="1653">
        <f t="shared" si="117"/>
        <v>0</v>
      </c>
      <c r="Q358" s="1653">
        <f t="shared" si="118"/>
        <v>0</v>
      </c>
      <c r="R358" s="1653">
        <f t="shared" si="119"/>
        <v>0</v>
      </c>
      <c r="S358" s="1653">
        <f t="shared" si="120"/>
        <v>0</v>
      </c>
      <c r="T358" s="1653">
        <f t="shared" si="105"/>
        <v>0</v>
      </c>
      <c r="U358" s="1653">
        <f t="shared" si="106"/>
        <v>0</v>
      </c>
      <c r="V358" s="1653">
        <f t="shared" si="107"/>
        <v>0</v>
      </c>
      <c r="W358" s="1653">
        <f t="shared" si="108"/>
        <v>0</v>
      </c>
      <c r="X358" s="1653">
        <f t="shared" si="109"/>
        <v>0</v>
      </c>
      <c r="Y358" s="1653">
        <f t="shared" si="110"/>
        <v>0</v>
      </c>
    </row>
    <row r="359" spans="1:25" ht="15" hidden="1" outlineLevel="1">
      <c r="A359" s="1615">
        <v>351</v>
      </c>
      <c r="C359" s="1651" t="s">
        <v>2973</v>
      </c>
      <c r="D359" s="1651" t="s">
        <v>2974</v>
      </c>
      <c r="E359" s="1613">
        <v>1229.19</v>
      </c>
      <c r="F359" s="1613">
        <v>-923.29</v>
      </c>
      <c r="G359" s="1613">
        <f t="shared" si="111"/>
        <v>305.90000000000009</v>
      </c>
      <c r="H359" s="1578">
        <v>2013</v>
      </c>
      <c r="I359" s="1662">
        <f t="shared" si="112"/>
        <v>2.5</v>
      </c>
      <c r="J359" s="1663">
        <v>36</v>
      </c>
      <c r="K359" s="1664">
        <f t="shared" si="113"/>
        <v>0.33333333333333331</v>
      </c>
      <c r="L359" s="1613">
        <f t="shared" si="114"/>
        <v>409.73</v>
      </c>
      <c r="M359" s="1613">
        <f t="shared" si="115"/>
        <v>1229.19</v>
      </c>
      <c r="N359" s="1613">
        <f t="shared" si="104"/>
        <v>-1229.19</v>
      </c>
      <c r="O359" s="1652">
        <f t="shared" si="116"/>
        <v>0</v>
      </c>
      <c r="P359" s="1653">
        <f t="shared" si="117"/>
        <v>0</v>
      </c>
      <c r="Q359" s="1653">
        <f t="shared" si="118"/>
        <v>0</v>
      </c>
      <c r="R359" s="1653">
        <f t="shared" si="119"/>
        <v>0</v>
      </c>
      <c r="S359" s="1653">
        <f t="shared" si="120"/>
        <v>0</v>
      </c>
      <c r="T359" s="1653">
        <f t="shared" si="105"/>
        <v>0</v>
      </c>
      <c r="U359" s="1653">
        <f t="shared" si="106"/>
        <v>0</v>
      </c>
      <c r="V359" s="1653">
        <f t="shared" si="107"/>
        <v>0</v>
      </c>
      <c r="W359" s="1653">
        <f t="shared" si="108"/>
        <v>0</v>
      </c>
      <c r="X359" s="1653">
        <f t="shared" si="109"/>
        <v>0</v>
      </c>
      <c r="Y359" s="1653">
        <f t="shared" si="110"/>
        <v>0</v>
      </c>
    </row>
    <row r="360" spans="1:25" ht="15" hidden="1" outlineLevel="1">
      <c r="A360" s="1615">
        <v>352</v>
      </c>
      <c r="C360" s="1651" t="s">
        <v>2975</v>
      </c>
      <c r="D360" s="1651" t="s">
        <v>2976</v>
      </c>
      <c r="E360" s="1613">
        <v>428.28</v>
      </c>
      <c r="F360" s="1613">
        <v>-321.7</v>
      </c>
      <c r="G360" s="1613">
        <f t="shared" si="111"/>
        <v>106.57999999999998</v>
      </c>
      <c r="H360" s="1578">
        <v>2013</v>
      </c>
      <c r="I360" s="1662">
        <f t="shared" si="112"/>
        <v>2.5</v>
      </c>
      <c r="J360" s="1663">
        <v>36</v>
      </c>
      <c r="K360" s="1664">
        <f t="shared" si="113"/>
        <v>0.33333333333333331</v>
      </c>
      <c r="L360" s="1613">
        <f t="shared" si="114"/>
        <v>142.76</v>
      </c>
      <c r="M360" s="1613">
        <f t="shared" si="115"/>
        <v>428.28</v>
      </c>
      <c r="N360" s="1613">
        <f t="shared" si="104"/>
        <v>-428.28</v>
      </c>
      <c r="O360" s="1652">
        <f t="shared" si="116"/>
        <v>0</v>
      </c>
      <c r="P360" s="1653">
        <f t="shared" si="117"/>
        <v>0</v>
      </c>
      <c r="Q360" s="1653">
        <f t="shared" si="118"/>
        <v>0</v>
      </c>
      <c r="R360" s="1653">
        <f t="shared" si="119"/>
        <v>0</v>
      </c>
      <c r="S360" s="1653">
        <f t="shared" si="120"/>
        <v>0</v>
      </c>
      <c r="T360" s="1653">
        <f t="shared" si="105"/>
        <v>0</v>
      </c>
      <c r="U360" s="1653">
        <f t="shared" si="106"/>
        <v>0</v>
      </c>
      <c r="V360" s="1653">
        <f t="shared" si="107"/>
        <v>0</v>
      </c>
      <c r="W360" s="1653">
        <f t="shared" si="108"/>
        <v>0</v>
      </c>
      <c r="X360" s="1653">
        <f t="shared" si="109"/>
        <v>0</v>
      </c>
      <c r="Y360" s="1653">
        <f t="shared" si="110"/>
        <v>0</v>
      </c>
    </row>
    <row r="361" spans="1:25" ht="15" hidden="1" outlineLevel="1">
      <c r="A361" s="1615">
        <v>353</v>
      </c>
      <c r="C361" s="1651" t="s">
        <v>2977</v>
      </c>
      <c r="D361" s="1651" t="s">
        <v>2978</v>
      </c>
      <c r="E361" s="1613">
        <v>1312.87</v>
      </c>
      <c r="F361" s="1613">
        <v>-986.15</v>
      </c>
      <c r="G361" s="1613">
        <f t="shared" si="111"/>
        <v>326.71999999999991</v>
      </c>
      <c r="H361" s="1578">
        <v>2013</v>
      </c>
      <c r="I361" s="1662">
        <f t="shared" si="112"/>
        <v>2.5</v>
      </c>
      <c r="J361" s="1663">
        <v>36</v>
      </c>
      <c r="K361" s="1664">
        <f t="shared" si="113"/>
        <v>0.33333333333333331</v>
      </c>
      <c r="L361" s="1613">
        <f t="shared" si="114"/>
        <v>437.62333333333328</v>
      </c>
      <c r="M361" s="1613">
        <f t="shared" si="115"/>
        <v>1312.87</v>
      </c>
      <c r="N361" s="1613">
        <f t="shared" si="104"/>
        <v>-1312.87</v>
      </c>
      <c r="O361" s="1652">
        <f t="shared" si="116"/>
        <v>0</v>
      </c>
      <c r="P361" s="1653">
        <f t="shared" si="117"/>
        <v>0</v>
      </c>
      <c r="Q361" s="1653">
        <f t="shared" si="118"/>
        <v>0</v>
      </c>
      <c r="R361" s="1653">
        <f t="shared" si="119"/>
        <v>0</v>
      </c>
      <c r="S361" s="1653">
        <f t="shared" si="120"/>
        <v>0</v>
      </c>
      <c r="T361" s="1653">
        <f t="shared" si="105"/>
        <v>0</v>
      </c>
      <c r="U361" s="1653">
        <f t="shared" si="106"/>
        <v>0</v>
      </c>
      <c r="V361" s="1653">
        <f t="shared" si="107"/>
        <v>0</v>
      </c>
      <c r="W361" s="1653">
        <f t="shared" si="108"/>
        <v>0</v>
      </c>
      <c r="X361" s="1653">
        <f t="shared" si="109"/>
        <v>0</v>
      </c>
      <c r="Y361" s="1653">
        <f t="shared" si="110"/>
        <v>0</v>
      </c>
    </row>
    <row r="362" spans="1:25" ht="15" hidden="1" outlineLevel="1">
      <c r="A362" s="1615">
        <v>354</v>
      </c>
      <c r="C362" s="1651" t="s">
        <v>2979</v>
      </c>
      <c r="D362" s="1651" t="s">
        <v>2980</v>
      </c>
      <c r="E362" s="1613">
        <v>983.84</v>
      </c>
      <c r="F362" s="1613">
        <v>-739</v>
      </c>
      <c r="G362" s="1613">
        <f t="shared" si="111"/>
        <v>244.84000000000003</v>
      </c>
      <c r="H362" s="1578">
        <v>2013</v>
      </c>
      <c r="I362" s="1662">
        <f t="shared" si="112"/>
        <v>2.5</v>
      </c>
      <c r="J362" s="1663">
        <v>36</v>
      </c>
      <c r="K362" s="1664">
        <f t="shared" si="113"/>
        <v>0.33333333333333331</v>
      </c>
      <c r="L362" s="1613">
        <f t="shared" si="114"/>
        <v>327.94666666666666</v>
      </c>
      <c r="M362" s="1613">
        <f t="shared" si="115"/>
        <v>983.84</v>
      </c>
      <c r="N362" s="1613">
        <f t="shared" si="104"/>
        <v>-983.84</v>
      </c>
      <c r="O362" s="1652">
        <f t="shared" si="116"/>
        <v>0</v>
      </c>
      <c r="P362" s="1653">
        <f t="shared" si="117"/>
        <v>0</v>
      </c>
      <c r="Q362" s="1653">
        <f t="shared" si="118"/>
        <v>0</v>
      </c>
      <c r="R362" s="1653">
        <f t="shared" si="119"/>
        <v>0</v>
      </c>
      <c r="S362" s="1653">
        <f t="shared" si="120"/>
        <v>0</v>
      </c>
      <c r="T362" s="1653">
        <f t="shared" si="105"/>
        <v>0</v>
      </c>
      <c r="U362" s="1653">
        <f t="shared" si="106"/>
        <v>0</v>
      </c>
      <c r="V362" s="1653">
        <f t="shared" si="107"/>
        <v>0</v>
      </c>
      <c r="W362" s="1653">
        <f t="shared" si="108"/>
        <v>0</v>
      </c>
      <c r="X362" s="1653">
        <f t="shared" si="109"/>
        <v>0</v>
      </c>
      <c r="Y362" s="1653">
        <f t="shared" si="110"/>
        <v>0</v>
      </c>
    </row>
    <row r="363" spans="1:25" ht="15" hidden="1" outlineLevel="1">
      <c r="A363" s="1615">
        <v>355</v>
      </c>
      <c r="C363" s="1651" t="s">
        <v>2981</v>
      </c>
      <c r="D363" s="1651" t="s">
        <v>2982</v>
      </c>
      <c r="E363" s="1613">
        <v>752.47</v>
      </c>
      <c r="F363" s="1613">
        <v>-544.6</v>
      </c>
      <c r="G363" s="1613">
        <f t="shared" si="111"/>
        <v>207.87</v>
      </c>
      <c r="H363" s="1578">
        <v>2013</v>
      </c>
      <c r="I363" s="1662">
        <f t="shared" si="112"/>
        <v>2.5</v>
      </c>
      <c r="J363" s="1663">
        <v>36</v>
      </c>
      <c r="K363" s="1664">
        <f t="shared" si="113"/>
        <v>0.33333333333333331</v>
      </c>
      <c r="L363" s="1613">
        <f t="shared" si="114"/>
        <v>250.82333333333332</v>
      </c>
      <c r="M363" s="1613">
        <f t="shared" si="115"/>
        <v>752.47</v>
      </c>
      <c r="N363" s="1613">
        <f t="shared" si="104"/>
        <v>-752.47</v>
      </c>
      <c r="O363" s="1652">
        <f t="shared" si="116"/>
        <v>0</v>
      </c>
      <c r="P363" s="1653">
        <f t="shared" si="117"/>
        <v>0</v>
      </c>
      <c r="Q363" s="1653">
        <f t="shared" si="118"/>
        <v>0</v>
      </c>
      <c r="R363" s="1653">
        <f t="shared" si="119"/>
        <v>0</v>
      </c>
      <c r="S363" s="1653">
        <f t="shared" si="120"/>
        <v>0</v>
      </c>
      <c r="T363" s="1653">
        <f t="shared" si="105"/>
        <v>0</v>
      </c>
      <c r="U363" s="1653">
        <f t="shared" si="106"/>
        <v>0</v>
      </c>
      <c r="V363" s="1653">
        <f t="shared" si="107"/>
        <v>0</v>
      </c>
      <c r="W363" s="1653">
        <f t="shared" si="108"/>
        <v>0</v>
      </c>
      <c r="X363" s="1653">
        <f t="shared" si="109"/>
        <v>0</v>
      </c>
      <c r="Y363" s="1653">
        <f t="shared" si="110"/>
        <v>0</v>
      </c>
    </row>
    <row r="364" spans="1:25" ht="15" hidden="1" outlineLevel="1">
      <c r="A364" s="1615">
        <v>356</v>
      </c>
      <c r="C364" s="1651" t="s">
        <v>2983</v>
      </c>
      <c r="D364" s="1651" t="s">
        <v>2984</v>
      </c>
      <c r="E364" s="1613">
        <v>1614.05</v>
      </c>
      <c r="F364" s="1613">
        <v>-1168.1600000000001</v>
      </c>
      <c r="G364" s="1613">
        <f t="shared" si="111"/>
        <v>445.88999999999987</v>
      </c>
      <c r="H364" s="1578">
        <v>2013</v>
      </c>
      <c r="I364" s="1662">
        <f t="shared" si="112"/>
        <v>2.5</v>
      </c>
      <c r="J364" s="1663">
        <v>36</v>
      </c>
      <c r="K364" s="1664">
        <f t="shared" si="113"/>
        <v>0.33333333333333331</v>
      </c>
      <c r="L364" s="1613">
        <f t="shared" si="114"/>
        <v>538.01666666666665</v>
      </c>
      <c r="M364" s="1613">
        <f t="shared" si="115"/>
        <v>1614.05</v>
      </c>
      <c r="N364" s="1613">
        <f t="shared" si="104"/>
        <v>-1614.05</v>
      </c>
      <c r="O364" s="1652">
        <f t="shared" si="116"/>
        <v>0</v>
      </c>
      <c r="P364" s="1653">
        <f t="shared" si="117"/>
        <v>0</v>
      </c>
      <c r="Q364" s="1653">
        <f t="shared" si="118"/>
        <v>0</v>
      </c>
      <c r="R364" s="1653">
        <f t="shared" si="119"/>
        <v>0</v>
      </c>
      <c r="S364" s="1653">
        <f t="shared" si="120"/>
        <v>0</v>
      </c>
      <c r="T364" s="1653">
        <f t="shared" si="105"/>
        <v>0</v>
      </c>
      <c r="U364" s="1653">
        <f t="shared" si="106"/>
        <v>0</v>
      </c>
      <c r="V364" s="1653">
        <f t="shared" si="107"/>
        <v>0</v>
      </c>
      <c r="W364" s="1653">
        <f t="shared" si="108"/>
        <v>0</v>
      </c>
      <c r="X364" s="1653">
        <f t="shared" si="109"/>
        <v>0</v>
      </c>
      <c r="Y364" s="1653">
        <f t="shared" si="110"/>
        <v>0</v>
      </c>
    </row>
    <row r="365" spans="1:25" ht="15" hidden="1" outlineLevel="1">
      <c r="A365" s="1615">
        <v>357</v>
      </c>
      <c r="C365" s="1651" t="s">
        <v>2985</v>
      </c>
      <c r="D365" s="1651" t="s">
        <v>2984</v>
      </c>
      <c r="E365" s="1613">
        <v>1614.05</v>
      </c>
      <c r="F365" s="1613">
        <v>-1168.1600000000001</v>
      </c>
      <c r="G365" s="1613">
        <f t="shared" si="111"/>
        <v>445.88999999999987</v>
      </c>
      <c r="H365" s="1578">
        <v>2013</v>
      </c>
      <c r="I365" s="1662">
        <f t="shared" si="112"/>
        <v>2.5</v>
      </c>
      <c r="J365" s="1663">
        <v>36</v>
      </c>
      <c r="K365" s="1664">
        <f t="shared" si="113"/>
        <v>0.33333333333333331</v>
      </c>
      <c r="L365" s="1613">
        <f t="shared" si="114"/>
        <v>538.01666666666665</v>
      </c>
      <c r="M365" s="1613">
        <f t="shared" si="115"/>
        <v>1614.05</v>
      </c>
      <c r="N365" s="1613">
        <f t="shared" si="104"/>
        <v>-1614.05</v>
      </c>
      <c r="O365" s="1652">
        <f t="shared" si="116"/>
        <v>0</v>
      </c>
      <c r="P365" s="1653">
        <f t="shared" si="117"/>
        <v>0</v>
      </c>
      <c r="Q365" s="1653">
        <f t="shared" si="118"/>
        <v>0</v>
      </c>
      <c r="R365" s="1653">
        <f t="shared" si="119"/>
        <v>0</v>
      </c>
      <c r="S365" s="1653">
        <f t="shared" si="120"/>
        <v>0</v>
      </c>
      <c r="T365" s="1653">
        <f t="shared" si="105"/>
        <v>0</v>
      </c>
      <c r="U365" s="1653">
        <f t="shared" si="106"/>
        <v>0</v>
      </c>
      <c r="V365" s="1653">
        <f t="shared" si="107"/>
        <v>0</v>
      </c>
      <c r="W365" s="1653">
        <f t="shared" si="108"/>
        <v>0</v>
      </c>
      <c r="X365" s="1653">
        <f t="shared" si="109"/>
        <v>0</v>
      </c>
      <c r="Y365" s="1653">
        <f t="shared" si="110"/>
        <v>0</v>
      </c>
    </row>
    <row r="366" spans="1:25" ht="15" hidden="1" outlineLevel="1">
      <c r="A366" s="1615">
        <v>358</v>
      </c>
      <c r="C366" s="1651" t="s">
        <v>2986</v>
      </c>
      <c r="D366" s="1651" t="s">
        <v>2987</v>
      </c>
      <c r="E366" s="1613">
        <v>317.83999999999997</v>
      </c>
      <c r="F366" s="1613">
        <v>-230.03</v>
      </c>
      <c r="G366" s="1613">
        <f t="shared" si="111"/>
        <v>87.809999999999974</v>
      </c>
      <c r="H366" s="1578">
        <v>2013</v>
      </c>
      <c r="I366" s="1662">
        <f t="shared" si="112"/>
        <v>2.5</v>
      </c>
      <c r="J366" s="1663">
        <v>36</v>
      </c>
      <c r="K366" s="1664">
        <f t="shared" si="113"/>
        <v>0.33333333333333331</v>
      </c>
      <c r="L366" s="1613">
        <f t="shared" si="114"/>
        <v>105.94666666666666</v>
      </c>
      <c r="M366" s="1613">
        <f t="shared" si="115"/>
        <v>317.83999999999997</v>
      </c>
      <c r="N366" s="1613">
        <f t="shared" si="104"/>
        <v>-317.83999999999997</v>
      </c>
      <c r="O366" s="1652">
        <f t="shared" si="116"/>
        <v>0</v>
      </c>
      <c r="P366" s="1653">
        <f t="shared" si="117"/>
        <v>0</v>
      </c>
      <c r="Q366" s="1653">
        <f t="shared" si="118"/>
        <v>0</v>
      </c>
      <c r="R366" s="1653">
        <f t="shared" si="119"/>
        <v>0</v>
      </c>
      <c r="S366" s="1653">
        <f t="shared" si="120"/>
        <v>0</v>
      </c>
      <c r="T366" s="1653">
        <f t="shared" si="105"/>
        <v>0</v>
      </c>
      <c r="U366" s="1653">
        <f t="shared" si="106"/>
        <v>0</v>
      </c>
      <c r="V366" s="1653">
        <f t="shared" si="107"/>
        <v>0</v>
      </c>
      <c r="W366" s="1653">
        <f t="shared" si="108"/>
        <v>0</v>
      </c>
      <c r="X366" s="1653">
        <f t="shared" si="109"/>
        <v>0</v>
      </c>
      <c r="Y366" s="1653">
        <f t="shared" si="110"/>
        <v>0</v>
      </c>
    </row>
    <row r="367" spans="1:25" ht="15" hidden="1" outlineLevel="1">
      <c r="A367" s="1615">
        <v>359</v>
      </c>
      <c r="C367" s="1651" t="s">
        <v>2988</v>
      </c>
      <c r="D367" s="1651" t="s">
        <v>2989</v>
      </c>
      <c r="E367" s="1613">
        <v>708.05</v>
      </c>
      <c r="F367" s="1613">
        <v>-512.45000000000005</v>
      </c>
      <c r="G367" s="1613">
        <f t="shared" si="111"/>
        <v>195.59999999999991</v>
      </c>
      <c r="H367" s="1578">
        <v>2013</v>
      </c>
      <c r="I367" s="1662">
        <f t="shared" si="112"/>
        <v>2.5</v>
      </c>
      <c r="J367" s="1663">
        <v>36</v>
      </c>
      <c r="K367" s="1664">
        <f t="shared" si="113"/>
        <v>0.33333333333333331</v>
      </c>
      <c r="L367" s="1613">
        <f t="shared" si="114"/>
        <v>236.01666666666665</v>
      </c>
      <c r="M367" s="1613">
        <f t="shared" si="115"/>
        <v>708.05</v>
      </c>
      <c r="N367" s="1613">
        <f t="shared" si="104"/>
        <v>-708.05</v>
      </c>
      <c r="O367" s="1652">
        <f t="shared" si="116"/>
        <v>0</v>
      </c>
      <c r="P367" s="1653">
        <f t="shared" si="117"/>
        <v>0</v>
      </c>
      <c r="Q367" s="1653">
        <f t="shared" si="118"/>
        <v>0</v>
      </c>
      <c r="R367" s="1653">
        <f t="shared" si="119"/>
        <v>0</v>
      </c>
      <c r="S367" s="1653">
        <f t="shared" si="120"/>
        <v>0</v>
      </c>
      <c r="T367" s="1653">
        <f t="shared" si="105"/>
        <v>0</v>
      </c>
      <c r="U367" s="1653">
        <f t="shared" si="106"/>
        <v>0</v>
      </c>
      <c r="V367" s="1653">
        <f t="shared" si="107"/>
        <v>0</v>
      </c>
      <c r="W367" s="1653">
        <f t="shared" si="108"/>
        <v>0</v>
      </c>
      <c r="X367" s="1653">
        <f t="shared" si="109"/>
        <v>0</v>
      </c>
      <c r="Y367" s="1653">
        <f t="shared" si="110"/>
        <v>0</v>
      </c>
    </row>
    <row r="368" spans="1:25" ht="15" hidden="1" outlineLevel="1">
      <c r="A368" s="1615">
        <v>360</v>
      </c>
      <c r="C368" s="1651" t="s">
        <v>2990</v>
      </c>
      <c r="D368" s="1651" t="s">
        <v>2991</v>
      </c>
      <c r="E368" s="1613">
        <v>264.37</v>
      </c>
      <c r="F368" s="1613">
        <v>-191.34</v>
      </c>
      <c r="G368" s="1613">
        <f t="shared" si="111"/>
        <v>73.03</v>
      </c>
      <c r="H368" s="1578">
        <v>2013</v>
      </c>
      <c r="I368" s="1662">
        <f t="shared" si="112"/>
        <v>2.5</v>
      </c>
      <c r="J368" s="1663">
        <v>36</v>
      </c>
      <c r="K368" s="1664">
        <f t="shared" si="113"/>
        <v>0.33333333333333331</v>
      </c>
      <c r="L368" s="1613">
        <f t="shared" si="114"/>
        <v>88.123333333333335</v>
      </c>
      <c r="M368" s="1613">
        <f t="shared" si="115"/>
        <v>264.37</v>
      </c>
      <c r="N368" s="1613">
        <f t="shared" si="104"/>
        <v>-264.37</v>
      </c>
      <c r="O368" s="1652">
        <f t="shared" si="116"/>
        <v>0</v>
      </c>
      <c r="P368" s="1653">
        <f t="shared" si="117"/>
        <v>0</v>
      </c>
      <c r="Q368" s="1653">
        <f t="shared" si="118"/>
        <v>0</v>
      </c>
      <c r="R368" s="1653">
        <f t="shared" si="119"/>
        <v>0</v>
      </c>
      <c r="S368" s="1653">
        <f t="shared" si="120"/>
        <v>0</v>
      </c>
      <c r="T368" s="1653">
        <f t="shared" si="105"/>
        <v>0</v>
      </c>
      <c r="U368" s="1653">
        <f t="shared" si="106"/>
        <v>0</v>
      </c>
      <c r="V368" s="1653">
        <f t="shared" si="107"/>
        <v>0</v>
      </c>
      <c r="W368" s="1653">
        <f t="shared" si="108"/>
        <v>0</v>
      </c>
      <c r="X368" s="1653">
        <f t="shared" si="109"/>
        <v>0</v>
      </c>
      <c r="Y368" s="1653">
        <f t="shared" si="110"/>
        <v>0</v>
      </c>
    </row>
    <row r="369" spans="1:25" ht="15" hidden="1" outlineLevel="1">
      <c r="A369" s="1615">
        <v>361</v>
      </c>
      <c r="C369" s="1651" t="s">
        <v>2992</v>
      </c>
      <c r="D369" s="1651" t="s">
        <v>2991</v>
      </c>
      <c r="E369" s="1613">
        <v>265.24</v>
      </c>
      <c r="F369" s="1613">
        <v>-191.97</v>
      </c>
      <c r="G369" s="1613">
        <f t="shared" si="111"/>
        <v>73.27000000000001</v>
      </c>
      <c r="H369" s="1578">
        <v>2013</v>
      </c>
      <c r="I369" s="1662">
        <f t="shared" si="112"/>
        <v>2.5</v>
      </c>
      <c r="J369" s="1663">
        <v>36</v>
      </c>
      <c r="K369" s="1664">
        <f t="shared" si="113"/>
        <v>0.33333333333333331</v>
      </c>
      <c r="L369" s="1613">
        <f t="shared" si="114"/>
        <v>88.413333333333327</v>
      </c>
      <c r="M369" s="1613">
        <f t="shared" si="115"/>
        <v>265.24</v>
      </c>
      <c r="N369" s="1613">
        <f t="shared" si="104"/>
        <v>-265.24</v>
      </c>
      <c r="O369" s="1652">
        <f t="shared" si="116"/>
        <v>0</v>
      </c>
      <c r="P369" s="1653">
        <f t="shared" si="117"/>
        <v>0</v>
      </c>
      <c r="Q369" s="1653">
        <f t="shared" si="118"/>
        <v>0</v>
      </c>
      <c r="R369" s="1653">
        <f t="shared" si="119"/>
        <v>0</v>
      </c>
      <c r="S369" s="1653">
        <f t="shared" si="120"/>
        <v>0</v>
      </c>
      <c r="T369" s="1653">
        <f t="shared" si="105"/>
        <v>0</v>
      </c>
      <c r="U369" s="1653">
        <f t="shared" si="106"/>
        <v>0</v>
      </c>
      <c r="V369" s="1653">
        <f t="shared" si="107"/>
        <v>0</v>
      </c>
      <c r="W369" s="1653">
        <f t="shared" si="108"/>
        <v>0</v>
      </c>
      <c r="X369" s="1653">
        <f t="shared" si="109"/>
        <v>0</v>
      </c>
      <c r="Y369" s="1653">
        <f t="shared" si="110"/>
        <v>0</v>
      </c>
    </row>
    <row r="370" spans="1:25" ht="15" hidden="1" outlineLevel="1">
      <c r="A370" s="1615">
        <v>362</v>
      </c>
      <c r="C370" s="1651" t="s">
        <v>2993</v>
      </c>
      <c r="D370" s="1651" t="s">
        <v>2994</v>
      </c>
      <c r="E370" s="1613">
        <v>2352.06</v>
      </c>
      <c r="F370" s="1613">
        <v>-1702.29</v>
      </c>
      <c r="G370" s="1613">
        <f t="shared" si="111"/>
        <v>649.77</v>
      </c>
      <c r="H370" s="1578">
        <v>2013</v>
      </c>
      <c r="I370" s="1662">
        <f t="shared" si="112"/>
        <v>2.5</v>
      </c>
      <c r="J370" s="1663">
        <v>36</v>
      </c>
      <c r="K370" s="1664">
        <f t="shared" si="113"/>
        <v>0.33333333333333331</v>
      </c>
      <c r="L370" s="1613">
        <f t="shared" si="114"/>
        <v>784.02</v>
      </c>
      <c r="M370" s="1613">
        <f t="shared" si="115"/>
        <v>2352.06</v>
      </c>
      <c r="N370" s="1613">
        <f t="shared" si="104"/>
        <v>-2352.06</v>
      </c>
      <c r="O370" s="1652">
        <f t="shared" si="116"/>
        <v>0</v>
      </c>
      <c r="P370" s="1653">
        <f t="shared" si="117"/>
        <v>0</v>
      </c>
      <c r="Q370" s="1653">
        <f t="shared" si="118"/>
        <v>0</v>
      </c>
      <c r="R370" s="1653">
        <f t="shared" si="119"/>
        <v>0</v>
      </c>
      <c r="S370" s="1653">
        <f t="shared" si="120"/>
        <v>0</v>
      </c>
      <c r="T370" s="1653">
        <f t="shared" si="105"/>
        <v>0</v>
      </c>
      <c r="U370" s="1653">
        <f t="shared" si="106"/>
        <v>0</v>
      </c>
      <c r="V370" s="1653">
        <f t="shared" si="107"/>
        <v>0</v>
      </c>
      <c r="W370" s="1653">
        <f t="shared" si="108"/>
        <v>0</v>
      </c>
      <c r="X370" s="1653">
        <f t="shared" si="109"/>
        <v>0</v>
      </c>
      <c r="Y370" s="1653">
        <f t="shared" si="110"/>
        <v>0</v>
      </c>
    </row>
    <row r="371" spans="1:25" ht="15" hidden="1" outlineLevel="1">
      <c r="A371" s="1615">
        <v>363</v>
      </c>
      <c r="C371" s="1651" t="s">
        <v>2995</v>
      </c>
      <c r="D371" s="1651" t="s">
        <v>2996</v>
      </c>
      <c r="E371" s="1613">
        <v>814.94</v>
      </c>
      <c r="F371" s="1613">
        <v>-589.79999999999995</v>
      </c>
      <c r="G371" s="1613">
        <f t="shared" si="111"/>
        <v>225.1400000000001</v>
      </c>
      <c r="H371" s="1578">
        <v>2013</v>
      </c>
      <c r="I371" s="1662">
        <f t="shared" si="112"/>
        <v>2.5</v>
      </c>
      <c r="J371" s="1663">
        <v>36</v>
      </c>
      <c r="K371" s="1664">
        <f t="shared" si="113"/>
        <v>0.33333333333333331</v>
      </c>
      <c r="L371" s="1613">
        <f t="shared" si="114"/>
        <v>271.64666666666665</v>
      </c>
      <c r="M371" s="1613">
        <f t="shared" si="115"/>
        <v>814.94</v>
      </c>
      <c r="N371" s="1613">
        <f t="shared" si="104"/>
        <v>-814.94</v>
      </c>
      <c r="O371" s="1652">
        <f t="shared" si="116"/>
        <v>0</v>
      </c>
      <c r="P371" s="1653">
        <f t="shared" si="117"/>
        <v>0</v>
      </c>
      <c r="Q371" s="1653">
        <f t="shared" si="118"/>
        <v>0</v>
      </c>
      <c r="R371" s="1653">
        <f t="shared" si="119"/>
        <v>0</v>
      </c>
      <c r="S371" s="1653">
        <f t="shared" si="120"/>
        <v>0</v>
      </c>
      <c r="T371" s="1653">
        <f t="shared" si="105"/>
        <v>0</v>
      </c>
      <c r="U371" s="1653">
        <f t="shared" si="106"/>
        <v>0</v>
      </c>
      <c r="V371" s="1653">
        <f t="shared" si="107"/>
        <v>0</v>
      </c>
      <c r="W371" s="1653">
        <f t="shared" si="108"/>
        <v>0</v>
      </c>
      <c r="X371" s="1653">
        <f t="shared" si="109"/>
        <v>0</v>
      </c>
      <c r="Y371" s="1653">
        <f t="shared" si="110"/>
        <v>0</v>
      </c>
    </row>
    <row r="372" spans="1:25" ht="15" hidden="1" outlineLevel="1">
      <c r="A372" s="1615">
        <v>364</v>
      </c>
      <c r="C372" s="1651" t="s">
        <v>2997</v>
      </c>
      <c r="D372" s="1651" t="s">
        <v>2998</v>
      </c>
      <c r="E372" s="1613">
        <v>367.39</v>
      </c>
      <c r="F372" s="1613">
        <v>-265.89999999999998</v>
      </c>
      <c r="G372" s="1613">
        <f t="shared" si="111"/>
        <v>101.49000000000001</v>
      </c>
      <c r="H372" s="1578">
        <v>2013</v>
      </c>
      <c r="I372" s="1662">
        <f t="shared" si="112"/>
        <v>2.5</v>
      </c>
      <c r="J372" s="1663">
        <v>36</v>
      </c>
      <c r="K372" s="1664">
        <f t="shared" si="113"/>
        <v>0.33333333333333331</v>
      </c>
      <c r="L372" s="1613">
        <f t="shared" si="114"/>
        <v>122.46333333333332</v>
      </c>
      <c r="M372" s="1613">
        <f t="shared" si="115"/>
        <v>367.39</v>
      </c>
      <c r="N372" s="1613">
        <f t="shared" si="104"/>
        <v>-367.39</v>
      </c>
      <c r="O372" s="1652">
        <f t="shared" si="116"/>
        <v>0</v>
      </c>
      <c r="P372" s="1653">
        <f t="shared" si="117"/>
        <v>0</v>
      </c>
      <c r="Q372" s="1653">
        <f t="shared" si="118"/>
        <v>0</v>
      </c>
      <c r="R372" s="1653">
        <f t="shared" si="119"/>
        <v>0</v>
      </c>
      <c r="S372" s="1653">
        <f t="shared" si="120"/>
        <v>0</v>
      </c>
      <c r="T372" s="1653">
        <f t="shared" si="105"/>
        <v>0</v>
      </c>
      <c r="U372" s="1653">
        <f t="shared" si="106"/>
        <v>0</v>
      </c>
      <c r="V372" s="1653">
        <f t="shared" si="107"/>
        <v>0</v>
      </c>
      <c r="W372" s="1653">
        <f t="shared" si="108"/>
        <v>0</v>
      </c>
      <c r="X372" s="1653">
        <f t="shared" si="109"/>
        <v>0</v>
      </c>
      <c r="Y372" s="1653">
        <f t="shared" si="110"/>
        <v>0</v>
      </c>
    </row>
    <row r="373" spans="1:25" ht="15" hidden="1" outlineLevel="1">
      <c r="A373" s="1615">
        <v>365</v>
      </c>
      <c r="C373" s="1651" t="s">
        <v>2999</v>
      </c>
      <c r="D373" s="1651" t="s">
        <v>3000</v>
      </c>
      <c r="E373" s="1613">
        <v>2963.72</v>
      </c>
      <c r="F373" s="1613">
        <v>-2144.9699999999998</v>
      </c>
      <c r="G373" s="1613">
        <f t="shared" si="111"/>
        <v>818.75</v>
      </c>
      <c r="H373" s="1578">
        <v>2013</v>
      </c>
      <c r="I373" s="1662">
        <f t="shared" si="112"/>
        <v>2.5</v>
      </c>
      <c r="J373" s="1663">
        <v>36</v>
      </c>
      <c r="K373" s="1664">
        <f t="shared" si="113"/>
        <v>0.33333333333333331</v>
      </c>
      <c r="L373" s="1613">
        <f t="shared" si="114"/>
        <v>987.90666666666652</v>
      </c>
      <c r="M373" s="1613">
        <f t="shared" si="115"/>
        <v>2963.72</v>
      </c>
      <c r="N373" s="1613">
        <f t="shared" si="104"/>
        <v>-2963.72</v>
      </c>
      <c r="O373" s="1652">
        <f t="shared" si="116"/>
        <v>0</v>
      </c>
      <c r="P373" s="1653">
        <f t="shared" si="117"/>
        <v>0</v>
      </c>
      <c r="Q373" s="1653">
        <f t="shared" si="118"/>
        <v>0</v>
      </c>
      <c r="R373" s="1653">
        <f t="shared" si="119"/>
        <v>0</v>
      </c>
      <c r="S373" s="1653">
        <f t="shared" si="120"/>
        <v>0</v>
      </c>
      <c r="T373" s="1653">
        <f t="shared" si="105"/>
        <v>0</v>
      </c>
      <c r="U373" s="1653">
        <f t="shared" si="106"/>
        <v>0</v>
      </c>
      <c r="V373" s="1653">
        <f t="shared" si="107"/>
        <v>0</v>
      </c>
      <c r="W373" s="1653">
        <f t="shared" si="108"/>
        <v>0</v>
      </c>
      <c r="X373" s="1653">
        <f t="shared" si="109"/>
        <v>0</v>
      </c>
      <c r="Y373" s="1653">
        <f t="shared" si="110"/>
        <v>0</v>
      </c>
    </row>
    <row r="374" spans="1:25" ht="15" hidden="1" outlineLevel="1">
      <c r="A374" s="1615">
        <v>366</v>
      </c>
      <c r="C374" s="1651" t="s">
        <v>3001</v>
      </c>
      <c r="D374" s="1651" t="s">
        <v>3002</v>
      </c>
      <c r="E374" s="1613">
        <v>5151.97</v>
      </c>
      <c r="F374" s="1613">
        <v>-3728.71</v>
      </c>
      <c r="G374" s="1613">
        <f t="shared" si="111"/>
        <v>1423.2600000000002</v>
      </c>
      <c r="H374" s="1578">
        <v>2013</v>
      </c>
      <c r="I374" s="1662">
        <f t="shared" si="112"/>
        <v>2.5</v>
      </c>
      <c r="J374" s="1663">
        <v>36</v>
      </c>
      <c r="K374" s="1664">
        <f t="shared" si="113"/>
        <v>0.33333333333333331</v>
      </c>
      <c r="L374" s="1613">
        <f t="shared" si="114"/>
        <v>1717.3233333333333</v>
      </c>
      <c r="M374" s="1613">
        <f t="shared" si="115"/>
        <v>5151.97</v>
      </c>
      <c r="N374" s="1613">
        <f t="shared" si="104"/>
        <v>-5151.97</v>
      </c>
      <c r="O374" s="1652">
        <f t="shared" si="116"/>
        <v>0</v>
      </c>
      <c r="P374" s="1653">
        <f t="shared" si="117"/>
        <v>0</v>
      </c>
      <c r="Q374" s="1653">
        <f t="shared" si="118"/>
        <v>0</v>
      </c>
      <c r="R374" s="1653">
        <f t="shared" si="119"/>
        <v>0</v>
      </c>
      <c r="S374" s="1653">
        <f t="shared" si="120"/>
        <v>0</v>
      </c>
      <c r="T374" s="1653">
        <f t="shared" si="105"/>
        <v>0</v>
      </c>
      <c r="U374" s="1653">
        <f t="shared" si="106"/>
        <v>0</v>
      </c>
      <c r="V374" s="1653">
        <f t="shared" si="107"/>
        <v>0</v>
      </c>
      <c r="W374" s="1653">
        <f t="shared" si="108"/>
        <v>0</v>
      </c>
      <c r="X374" s="1653">
        <f t="shared" si="109"/>
        <v>0</v>
      </c>
      <c r="Y374" s="1653">
        <f t="shared" si="110"/>
        <v>0</v>
      </c>
    </row>
    <row r="375" spans="1:25" ht="15" hidden="1" outlineLevel="1">
      <c r="A375" s="1615">
        <v>367</v>
      </c>
      <c r="C375" s="1651" t="s">
        <v>3003</v>
      </c>
      <c r="D375" s="1651" t="s">
        <v>3004</v>
      </c>
      <c r="E375" s="1613">
        <v>179.02</v>
      </c>
      <c r="F375" s="1613">
        <v>-129.57</v>
      </c>
      <c r="G375" s="1613">
        <f t="shared" si="111"/>
        <v>49.450000000000017</v>
      </c>
      <c r="H375" s="1578">
        <v>2013</v>
      </c>
      <c r="I375" s="1662">
        <f t="shared" si="112"/>
        <v>2.5</v>
      </c>
      <c r="J375" s="1663">
        <v>36</v>
      </c>
      <c r="K375" s="1664">
        <f t="shared" si="113"/>
        <v>0.33333333333333331</v>
      </c>
      <c r="L375" s="1613">
        <f t="shared" si="114"/>
        <v>59.673333333333332</v>
      </c>
      <c r="M375" s="1613">
        <f t="shared" si="115"/>
        <v>179.02</v>
      </c>
      <c r="N375" s="1613">
        <f t="shared" si="104"/>
        <v>-179.02</v>
      </c>
      <c r="O375" s="1652">
        <f t="shared" si="116"/>
        <v>0</v>
      </c>
      <c r="P375" s="1653">
        <f t="shared" si="117"/>
        <v>0</v>
      </c>
      <c r="Q375" s="1653">
        <f t="shared" si="118"/>
        <v>0</v>
      </c>
      <c r="R375" s="1653">
        <f t="shared" si="119"/>
        <v>0</v>
      </c>
      <c r="S375" s="1653">
        <f t="shared" si="120"/>
        <v>0</v>
      </c>
      <c r="T375" s="1653">
        <f t="shared" si="105"/>
        <v>0</v>
      </c>
      <c r="U375" s="1653">
        <f t="shared" si="106"/>
        <v>0</v>
      </c>
      <c r="V375" s="1653">
        <f t="shared" si="107"/>
        <v>0</v>
      </c>
      <c r="W375" s="1653">
        <f t="shared" si="108"/>
        <v>0</v>
      </c>
      <c r="X375" s="1653">
        <f t="shared" si="109"/>
        <v>0</v>
      </c>
      <c r="Y375" s="1653">
        <f t="shared" si="110"/>
        <v>0</v>
      </c>
    </row>
    <row r="376" spans="1:25" ht="15" hidden="1" outlineLevel="1">
      <c r="A376" s="1615">
        <v>368</v>
      </c>
      <c r="C376" s="1651" t="s">
        <v>3005</v>
      </c>
      <c r="D376" s="1651" t="s">
        <v>3006</v>
      </c>
      <c r="E376" s="1613">
        <v>4221.29</v>
      </c>
      <c r="F376" s="1613">
        <v>-2935.63</v>
      </c>
      <c r="G376" s="1613">
        <f t="shared" si="111"/>
        <v>1285.6599999999999</v>
      </c>
      <c r="H376" s="1578">
        <v>2013</v>
      </c>
      <c r="I376" s="1662">
        <f t="shared" si="112"/>
        <v>2.5</v>
      </c>
      <c r="J376" s="1663">
        <v>36</v>
      </c>
      <c r="K376" s="1664">
        <f t="shared" si="113"/>
        <v>0.33333333333333331</v>
      </c>
      <c r="L376" s="1613">
        <f t="shared" si="114"/>
        <v>1407.0966666666666</v>
      </c>
      <c r="M376" s="1613">
        <f t="shared" si="115"/>
        <v>4221.29</v>
      </c>
      <c r="N376" s="1613">
        <f t="shared" si="104"/>
        <v>-4221.29</v>
      </c>
      <c r="O376" s="1652">
        <f t="shared" si="116"/>
        <v>0</v>
      </c>
      <c r="P376" s="1653">
        <f t="shared" si="117"/>
        <v>0</v>
      </c>
      <c r="Q376" s="1653">
        <f t="shared" si="118"/>
        <v>0</v>
      </c>
      <c r="R376" s="1653">
        <f t="shared" si="119"/>
        <v>0</v>
      </c>
      <c r="S376" s="1653">
        <f t="shared" si="120"/>
        <v>0</v>
      </c>
      <c r="T376" s="1653">
        <f t="shared" si="105"/>
        <v>0</v>
      </c>
      <c r="U376" s="1653">
        <f t="shared" si="106"/>
        <v>0</v>
      </c>
      <c r="V376" s="1653">
        <f t="shared" si="107"/>
        <v>0</v>
      </c>
      <c r="W376" s="1653">
        <f t="shared" si="108"/>
        <v>0</v>
      </c>
      <c r="X376" s="1653">
        <f t="shared" si="109"/>
        <v>0</v>
      </c>
      <c r="Y376" s="1653">
        <f t="shared" si="110"/>
        <v>0</v>
      </c>
    </row>
    <row r="377" spans="1:25" ht="15" hidden="1" outlineLevel="1">
      <c r="A377" s="1615">
        <v>369</v>
      </c>
      <c r="C377" s="1651" t="s">
        <v>3007</v>
      </c>
      <c r="D377" s="1651" t="s">
        <v>3008</v>
      </c>
      <c r="E377" s="1613">
        <v>144.09</v>
      </c>
      <c r="F377" s="1613">
        <v>-100.2</v>
      </c>
      <c r="G377" s="1613">
        <f t="shared" si="111"/>
        <v>43.89</v>
      </c>
      <c r="H377" s="1578">
        <v>2013</v>
      </c>
      <c r="I377" s="1662">
        <f t="shared" si="112"/>
        <v>2.5</v>
      </c>
      <c r="J377" s="1663">
        <v>36</v>
      </c>
      <c r="K377" s="1664">
        <f t="shared" si="113"/>
        <v>0.33333333333333331</v>
      </c>
      <c r="L377" s="1613">
        <f t="shared" si="114"/>
        <v>48.03</v>
      </c>
      <c r="M377" s="1613">
        <f t="shared" si="115"/>
        <v>144.09</v>
      </c>
      <c r="N377" s="1613">
        <f t="shared" si="104"/>
        <v>-144.09</v>
      </c>
      <c r="O377" s="1652">
        <f t="shared" si="116"/>
        <v>0</v>
      </c>
      <c r="P377" s="1653">
        <f t="shared" si="117"/>
        <v>0</v>
      </c>
      <c r="Q377" s="1653">
        <f t="shared" si="118"/>
        <v>0</v>
      </c>
      <c r="R377" s="1653">
        <f t="shared" si="119"/>
        <v>0</v>
      </c>
      <c r="S377" s="1653">
        <f t="shared" si="120"/>
        <v>0</v>
      </c>
      <c r="T377" s="1653">
        <f t="shared" si="105"/>
        <v>0</v>
      </c>
      <c r="U377" s="1653">
        <f t="shared" si="106"/>
        <v>0</v>
      </c>
      <c r="V377" s="1653">
        <f t="shared" si="107"/>
        <v>0</v>
      </c>
      <c r="W377" s="1653">
        <f t="shared" si="108"/>
        <v>0</v>
      </c>
      <c r="X377" s="1653">
        <f t="shared" si="109"/>
        <v>0</v>
      </c>
      <c r="Y377" s="1653">
        <f t="shared" si="110"/>
        <v>0</v>
      </c>
    </row>
    <row r="378" spans="1:25" ht="15" hidden="1" outlineLevel="1">
      <c r="A378" s="1615">
        <v>370</v>
      </c>
      <c r="C378" s="1651" t="s">
        <v>3009</v>
      </c>
      <c r="D378" s="1651" t="s">
        <v>3010</v>
      </c>
      <c r="E378" s="1613">
        <v>210.61</v>
      </c>
      <c r="F378" s="1613">
        <v>-146.47</v>
      </c>
      <c r="G378" s="1613">
        <f t="shared" si="111"/>
        <v>64.140000000000015</v>
      </c>
      <c r="H378" s="1578">
        <v>2013</v>
      </c>
      <c r="I378" s="1662">
        <f t="shared" si="112"/>
        <v>2.5</v>
      </c>
      <c r="J378" s="1663">
        <v>36</v>
      </c>
      <c r="K378" s="1664">
        <f t="shared" si="113"/>
        <v>0.33333333333333331</v>
      </c>
      <c r="L378" s="1613">
        <f t="shared" si="114"/>
        <v>70.203333333333333</v>
      </c>
      <c r="M378" s="1613">
        <f t="shared" si="115"/>
        <v>210.61</v>
      </c>
      <c r="N378" s="1613">
        <f t="shared" si="104"/>
        <v>-210.61</v>
      </c>
      <c r="O378" s="1652">
        <f t="shared" si="116"/>
        <v>0</v>
      </c>
      <c r="P378" s="1653">
        <f t="shared" si="117"/>
        <v>0</v>
      </c>
      <c r="Q378" s="1653">
        <f t="shared" si="118"/>
        <v>0</v>
      </c>
      <c r="R378" s="1653">
        <f t="shared" si="119"/>
        <v>0</v>
      </c>
      <c r="S378" s="1653">
        <f t="shared" si="120"/>
        <v>0</v>
      </c>
      <c r="T378" s="1653">
        <f t="shared" si="105"/>
        <v>0</v>
      </c>
      <c r="U378" s="1653">
        <f t="shared" si="106"/>
        <v>0</v>
      </c>
      <c r="V378" s="1653">
        <f t="shared" si="107"/>
        <v>0</v>
      </c>
      <c r="W378" s="1653">
        <f t="shared" si="108"/>
        <v>0</v>
      </c>
      <c r="X378" s="1653">
        <f t="shared" si="109"/>
        <v>0</v>
      </c>
      <c r="Y378" s="1653">
        <f t="shared" si="110"/>
        <v>0</v>
      </c>
    </row>
    <row r="379" spans="1:25" ht="15" hidden="1" outlineLevel="1">
      <c r="A379" s="1615">
        <v>371</v>
      </c>
      <c r="C379" s="1651" t="s">
        <v>3011</v>
      </c>
      <c r="D379" s="1651" t="s">
        <v>3012</v>
      </c>
      <c r="E379" s="1613">
        <v>1675.24</v>
      </c>
      <c r="F379" s="1613">
        <v>-1165.03</v>
      </c>
      <c r="G379" s="1613">
        <f t="shared" si="111"/>
        <v>510.21000000000004</v>
      </c>
      <c r="H379" s="1578">
        <v>2013</v>
      </c>
      <c r="I379" s="1662">
        <f t="shared" si="112"/>
        <v>2.5</v>
      </c>
      <c r="J379" s="1663">
        <v>36</v>
      </c>
      <c r="K379" s="1664">
        <f t="shared" si="113"/>
        <v>0.33333333333333331</v>
      </c>
      <c r="L379" s="1613">
        <f t="shared" si="114"/>
        <v>558.4133333333333</v>
      </c>
      <c r="M379" s="1613">
        <f t="shared" si="115"/>
        <v>1675.24</v>
      </c>
      <c r="N379" s="1613">
        <f t="shared" si="104"/>
        <v>-1675.24</v>
      </c>
      <c r="O379" s="1652">
        <f t="shared" si="116"/>
        <v>0</v>
      </c>
      <c r="P379" s="1653">
        <f t="shared" si="117"/>
        <v>0</v>
      </c>
      <c r="Q379" s="1653">
        <f t="shared" si="118"/>
        <v>0</v>
      </c>
      <c r="R379" s="1653">
        <f t="shared" si="119"/>
        <v>0</v>
      </c>
      <c r="S379" s="1653">
        <f t="shared" si="120"/>
        <v>0</v>
      </c>
      <c r="T379" s="1653">
        <f t="shared" si="105"/>
        <v>0</v>
      </c>
      <c r="U379" s="1653">
        <f t="shared" si="106"/>
        <v>0</v>
      </c>
      <c r="V379" s="1653">
        <f t="shared" si="107"/>
        <v>0</v>
      </c>
      <c r="W379" s="1653">
        <f t="shared" si="108"/>
        <v>0</v>
      </c>
      <c r="X379" s="1653">
        <f t="shared" si="109"/>
        <v>0</v>
      </c>
      <c r="Y379" s="1653">
        <f t="shared" si="110"/>
        <v>0</v>
      </c>
    </row>
    <row r="380" spans="1:25" ht="15" hidden="1" outlineLevel="1">
      <c r="A380" s="1615">
        <v>372</v>
      </c>
      <c r="C380" s="1651" t="s">
        <v>3013</v>
      </c>
      <c r="D380" s="1651" t="s">
        <v>3014</v>
      </c>
      <c r="E380" s="1613">
        <v>2992.09</v>
      </c>
      <c r="F380" s="1613">
        <v>-2080.8000000000002</v>
      </c>
      <c r="G380" s="1613">
        <f t="shared" si="111"/>
        <v>911.29</v>
      </c>
      <c r="H380" s="1578">
        <v>2013</v>
      </c>
      <c r="I380" s="1662">
        <f t="shared" si="112"/>
        <v>2.5</v>
      </c>
      <c r="J380" s="1663">
        <v>36</v>
      </c>
      <c r="K380" s="1664">
        <f t="shared" si="113"/>
        <v>0.33333333333333331</v>
      </c>
      <c r="L380" s="1613">
        <f t="shared" si="114"/>
        <v>997.36333333333334</v>
      </c>
      <c r="M380" s="1613">
        <f t="shared" si="115"/>
        <v>2992.09</v>
      </c>
      <c r="N380" s="1613">
        <f t="shared" si="104"/>
        <v>-2992.09</v>
      </c>
      <c r="O380" s="1652">
        <f t="shared" si="116"/>
        <v>0</v>
      </c>
      <c r="P380" s="1653">
        <f t="shared" si="117"/>
        <v>0</v>
      </c>
      <c r="Q380" s="1653">
        <f t="shared" si="118"/>
        <v>0</v>
      </c>
      <c r="R380" s="1653">
        <f t="shared" si="119"/>
        <v>0</v>
      </c>
      <c r="S380" s="1653">
        <f t="shared" si="120"/>
        <v>0</v>
      </c>
      <c r="T380" s="1653">
        <f t="shared" si="105"/>
        <v>0</v>
      </c>
      <c r="U380" s="1653">
        <f t="shared" si="106"/>
        <v>0</v>
      </c>
      <c r="V380" s="1653">
        <f t="shared" si="107"/>
        <v>0</v>
      </c>
      <c r="W380" s="1653">
        <f t="shared" si="108"/>
        <v>0</v>
      </c>
      <c r="X380" s="1653">
        <f t="shared" si="109"/>
        <v>0</v>
      </c>
      <c r="Y380" s="1653">
        <f t="shared" si="110"/>
        <v>0</v>
      </c>
    </row>
    <row r="381" spans="1:25" ht="15" hidden="1" outlineLevel="1">
      <c r="A381" s="1615">
        <v>373</v>
      </c>
      <c r="C381" s="1651" t="s">
        <v>3015</v>
      </c>
      <c r="D381" s="1651" t="s">
        <v>3016</v>
      </c>
      <c r="E381" s="1613">
        <v>150.32</v>
      </c>
      <c r="F381" s="1613">
        <v>-104.53</v>
      </c>
      <c r="G381" s="1613">
        <f t="shared" si="111"/>
        <v>45.789999999999992</v>
      </c>
      <c r="H381" s="1578">
        <v>2013</v>
      </c>
      <c r="I381" s="1662">
        <f t="shared" si="112"/>
        <v>2.5</v>
      </c>
      <c r="J381" s="1663">
        <v>36</v>
      </c>
      <c r="K381" s="1664">
        <f t="shared" si="113"/>
        <v>0.33333333333333331</v>
      </c>
      <c r="L381" s="1613">
        <f t="shared" si="114"/>
        <v>50.106666666666662</v>
      </c>
      <c r="M381" s="1613">
        <f t="shared" si="115"/>
        <v>150.32</v>
      </c>
      <c r="N381" s="1613">
        <f t="shared" si="104"/>
        <v>-150.32</v>
      </c>
      <c r="O381" s="1652">
        <f t="shared" si="116"/>
        <v>0</v>
      </c>
      <c r="P381" s="1653">
        <f t="shared" si="117"/>
        <v>0</v>
      </c>
      <c r="Q381" s="1653">
        <f t="shared" si="118"/>
        <v>0</v>
      </c>
      <c r="R381" s="1653">
        <f t="shared" si="119"/>
        <v>0</v>
      </c>
      <c r="S381" s="1653">
        <f t="shared" si="120"/>
        <v>0</v>
      </c>
      <c r="T381" s="1653">
        <f t="shared" si="105"/>
        <v>0</v>
      </c>
      <c r="U381" s="1653">
        <f t="shared" si="106"/>
        <v>0</v>
      </c>
      <c r="V381" s="1653">
        <f t="shared" si="107"/>
        <v>0</v>
      </c>
      <c r="W381" s="1653">
        <f t="shared" si="108"/>
        <v>0</v>
      </c>
      <c r="X381" s="1653">
        <f t="shared" si="109"/>
        <v>0</v>
      </c>
      <c r="Y381" s="1653">
        <f t="shared" si="110"/>
        <v>0</v>
      </c>
    </row>
    <row r="382" spans="1:25" ht="15" hidden="1" outlineLevel="1">
      <c r="A382" s="1615">
        <v>374</v>
      </c>
      <c r="C382" s="1651" t="s">
        <v>3017</v>
      </c>
      <c r="D382" s="1651" t="s">
        <v>3018</v>
      </c>
      <c r="E382" s="1613">
        <v>752.92</v>
      </c>
      <c r="F382" s="1613">
        <v>-523.61</v>
      </c>
      <c r="G382" s="1613">
        <f t="shared" si="111"/>
        <v>229.30999999999995</v>
      </c>
      <c r="H382" s="1578">
        <v>2013</v>
      </c>
      <c r="I382" s="1662">
        <f t="shared" si="112"/>
        <v>2.5</v>
      </c>
      <c r="J382" s="1663">
        <v>36</v>
      </c>
      <c r="K382" s="1664">
        <f t="shared" si="113"/>
        <v>0.33333333333333331</v>
      </c>
      <c r="L382" s="1613">
        <f t="shared" si="114"/>
        <v>250.9733333333333</v>
      </c>
      <c r="M382" s="1613">
        <f t="shared" si="115"/>
        <v>752.92</v>
      </c>
      <c r="N382" s="1613">
        <f t="shared" si="104"/>
        <v>-752.92</v>
      </c>
      <c r="O382" s="1652">
        <f t="shared" si="116"/>
        <v>0</v>
      </c>
      <c r="P382" s="1653">
        <f t="shared" si="117"/>
        <v>0</v>
      </c>
      <c r="Q382" s="1653">
        <f t="shared" si="118"/>
        <v>0</v>
      </c>
      <c r="R382" s="1653">
        <f t="shared" si="119"/>
        <v>0</v>
      </c>
      <c r="S382" s="1653">
        <f t="shared" si="120"/>
        <v>0</v>
      </c>
      <c r="T382" s="1653">
        <f t="shared" si="105"/>
        <v>0</v>
      </c>
      <c r="U382" s="1653">
        <f t="shared" si="106"/>
        <v>0</v>
      </c>
      <c r="V382" s="1653">
        <f t="shared" si="107"/>
        <v>0</v>
      </c>
      <c r="W382" s="1653">
        <f t="shared" si="108"/>
        <v>0</v>
      </c>
      <c r="X382" s="1653">
        <f t="shared" si="109"/>
        <v>0</v>
      </c>
      <c r="Y382" s="1653">
        <f t="shared" si="110"/>
        <v>0</v>
      </c>
    </row>
    <row r="383" spans="1:25" ht="15" hidden="1" outlineLevel="1">
      <c r="A383" s="1615">
        <v>375</v>
      </c>
      <c r="C383" s="1651" t="s">
        <v>3019</v>
      </c>
      <c r="D383" s="1651" t="s">
        <v>3020</v>
      </c>
      <c r="E383" s="1613">
        <v>367.45</v>
      </c>
      <c r="F383" s="1613">
        <v>-245.47</v>
      </c>
      <c r="G383" s="1613">
        <f t="shared" si="111"/>
        <v>121.97999999999999</v>
      </c>
      <c r="H383" s="1578">
        <v>2013</v>
      </c>
      <c r="I383" s="1662">
        <f t="shared" si="112"/>
        <v>2.5</v>
      </c>
      <c r="J383" s="1663">
        <v>36</v>
      </c>
      <c r="K383" s="1664">
        <f t="shared" si="113"/>
        <v>0.33333333333333331</v>
      </c>
      <c r="L383" s="1613">
        <f t="shared" si="114"/>
        <v>122.48333333333332</v>
      </c>
      <c r="M383" s="1613">
        <f t="shared" si="115"/>
        <v>367.45</v>
      </c>
      <c r="N383" s="1613">
        <f t="shared" si="104"/>
        <v>-367.45</v>
      </c>
      <c r="O383" s="1652">
        <f t="shared" si="116"/>
        <v>0</v>
      </c>
      <c r="P383" s="1653">
        <f t="shared" si="117"/>
        <v>0</v>
      </c>
      <c r="Q383" s="1653">
        <f t="shared" si="118"/>
        <v>0</v>
      </c>
      <c r="R383" s="1653">
        <f t="shared" si="119"/>
        <v>0</v>
      </c>
      <c r="S383" s="1653">
        <f t="shared" si="120"/>
        <v>0</v>
      </c>
      <c r="T383" s="1653">
        <f t="shared" si="105"/>
        <v>0</v>
      </c>
      <c r="U383" s="1653">
        <f t="shared" si="106"/>
        <v>0</v>
      </c>
      <c r="V383" s="1653">
        <f t="shared" si="107"/>
        <v>0</v>
      </c>
      <c r="W383" s="1653">
        <f t="shared" si="108"/>
        <v>0</v>
      </c>
      <c r="X383" s="1653">
        <f t="shared" si="109"/>
        <v>0</v>
      </c>
      <c r="Y383" s="1653">
        <f t="shared" si="110"/>
        <v>0</v>
      </c>
    </row>
    <row r="384" spans="1:25" ht="15" hidden="1" outlineLevel="1">
      <c r="A384" s="1615">
        <v>376</v>
      </c>
      <c r="C384" s="1651" t="s">
        <v>3021</v>
      </c>
      <c r="D384" s="1651" t="s">
        <v>3022</v>
      </c>
      <c r="E384" s="1613">
        <v>1902.82</v>
      </c>
      <c r="F384" s="1613">
        <v>-1271.1600000000001</v>
      </c>
      <c r="G384" s="1613">
        <f t="shared" si="111"/>
        <v>631.65999999999985</v>
      </c>
      <c r="H384" s="1578">
        <v>2013</v>
      </c>
      <c r="I384" s="1662">
        <f t="shared" si="112"/>
        <v>2.5</v>
      </c>
      <c r="J384" s="1663">
        <v>36</v>
      </c>
      <c r="K384" s="1664">
        <f t="shared" si="113"/>
        <v>0.33333333333333331</v>
      </c>
      <c r="L384" s="1613">
        <f t="shared" si="114"/>
        <v>634.27333333333331</v>
      </c>
      <c r="M384" s="1613">
        <f t="shared" si="115"/>
        <v>1902.82</v>
      </c>
      <c r="N384" s="1613">
        <f t="shared" si="104"/>
        <v>-1902.82</v>
      </c>
      <c r="O384" s="1652">
        <f t="shared" si="116"/>
        <v>0</v>
      </c>
      <c r="P384" s="1653">
        <f t="shared" si="117"/>
        <v>0</v>
      </c>
      <c r="Q384" s="1653">
        <f t="shared" si="118"/>
        <v>0</v>
      </c>
      <c r="R384" s="1653">
        <f t="shared" si="119"/>
        <v>0</v>
      </c>
      <c r="S384" s="1653">
        <f t="shared" si="120"/>
        <v>0</v>
      </c>
      <c r="T384" s="1653">
        <f t="shared" si="105"/>
        <v>0</v>
      </c>
      <c r="U384" s="1653">
        <f t="shared" si="106"/>
        <v>0</v>
      </c>
      <c r="V384" s="1653">
        <f t="shared" si="107"/>
        <v>0</v>
      </c>
      <c r="W384" s="1653">
        <f t="shared" si="108"/>
        <v>0</v>
      </c>
      <c r="X384" s="1653">
        <f t="shared" si="109"/>
        <v>0</v>
      </c>
      <c r="Y384" s="1653">
        <f t="shared" si="110"/>
        <v>0</v>
      </c>
    </row>
    <row r="385" spans="1:25" ht="15" hidden="1" outlineLevel="1">
      <c r="A385" s="1615">
        <v>377</v>
      </c>
      <c r="C385" s="1651" t="s">
        <v>3023</v>
      </c>
      <c r="D385" s="1651" t="s">
        <v>3024</v>
      </c>
      <c r="E385" s="1613">
        <v>255.76</v>
      </c>
      <c r="F385" s="1613">
        <v>-170.86</v>
      </c>
      <c r="G385" s="1613">
        <f t="shared" si="111"/>
        <v>84.899999999999977</v>
      </c>
      <c r="H385" s="1578">
        <v>2013</v>
      </c>
      <c r="I385" s="1662">
        <f t="shared" si="112"/>
        <v>2.5</v>
      </c>
      <c r="J385" s="1663">
        <v>36</v>
      </c>
      <c r="K385" s="1664">
        <f t="shared" si="113"/>
        <v>0.33333333333333331</v>
      </c>
      <c r="L385" s="1613">
        <f t="shared" si="114"/>
        <v>85.25333333333333</v>
      </c>
      <c r="M385" s="1613">
        <f t="shared" si="115"/>
        <v>255.76</v>
      </c>
      <c r="N385" s="1613">
        <f t="shared" si="104"/>
        <v>-255.76</v>
      </c>
      <c r="O385" s="1652">
        <f t="shared" si="116"/>
        <v>0</v>
      </c>
      <c r="P385" s="1653">
        <f t="shared" si="117"/>
        <v>0</v>
      </c>
      <c r="Q385" s="1653">
        <f t="shared" si="118"/>
        <v>0</v>
      </c>
      <c r="R385" s="1653">
        <f t="shared" si="119"/>
        <v>0</v>
      </c>
      <c r="S385" s="1653">
        <f t="shared" si="120"/>
        <v>0</v>
      </c>
      <c r="T385" s="1653">
        <f t="shared" si="105"/>
        <v>0</v>
      </c>
      <c r="U385" s="1653">
        <f t="shared" si="106"/>
        <v>0</v>
      </c>
      <c r="V385" s="1653">
        <f t="shared" si="107"/>
        <v>0</v>
      </c>
      <c r="W385" s="1653">
        <f t="shared" si="108"/>
        <v>0</v>
      </c>
      <c r="X385" s="1653">
        <f t="shared" si="109"/>
        <v>0</v>
      </c>
      <c r="Y385" s="1653">
        <f t="shared" si="110"/>
        <v>0</v>
      </c>
    </row>
    <row r="386" spans="1:25" ht="15" hidden="1" outlineLevel="1">
      <c r="A386" s="1615">
        <v>378</v>
      </c>
      <c r="C386" s="1651" t="s">
        <v>3025</v>
      </c>
      <c r="D386" s="1651" t="s">
        <v>3026</v>
      </c>
      <c r="E386" s="1613">
        <v>1026.19</v>
      </c>
      <c r="F386" s="1613">
        <v>-685.53</v>
      </c>
      <c r="G386" s="1613">
        <f t="shared" si="111"/>
        <v>340.66000000000008</v>
      </c>
      <c r="H386" s="1578">
        <v>2013</v>
      </c>
      <c r="I386" s="1662">
        <f t="shared" si="112"/>
        <v>2.5</v>
      </c>
      <c r="J386" s="1663">
        <v>36</v>
      </c>
      <c r="K386" s="1664">
        <f t="shared" si="113"/>
        <v>0.33333333333333331</v>
      </c>
      <c r="L386" s="1613">
        <f t="shared" si="114"/>
        <v>342.06333333333333</v>
      </c>
      <c r="M386" s="1613">
        <f t="shared" si="115"/>
        <v>1026.19</v>
      </c>
      <c r="N386" s="1613">
        <f t="shared" si="104"/>
        <v>-1026.19</v>
      </c>
      <c r="O386" s="1652">
        <f t="shared" si="116"/>
        <v>0</v>
      </c>
      <c r="P386" s="1653">
        <f t="shared" si="117"/>
        <v>0</v>
      </c>
      <c r="Q386" s="1653">
        <f t="shared" si="118"/>
        <v>0</v>
      </c>
      <c r="R386" s="1653">
        <f t="shared" si="119"/>
        <v>0</v>
      </c>
      <c r="S386" s="1653">
        <f t="shared" si="120"/>
        <v>0</v>
      </c>
      <c r="T386" s="1653">
        <f t="shared" si="105"/>
        <v>0</v>
      </c>
      <c r="U386" s="1653">
        <f t="shared" si="106"/>
        <v>0</v>
      </c>
      <c r="V386" s="1653">
        <f t="shared" si="107"/>
        <v>0</v>
      </c>
      <c r="W386" s="1653">
        <f t="shared" si="108"/>
        <v>0</v>
      </c>
      <c r="X386" s="1653">
        <f t="shared" si="109"/>
        <v>0</v>
      </c>
      <c r="Y386" s="1653">
        <f t="shared" si="110"/>
        <v>0</v>
      </c>
    </row>
    <row r="387" spans="1:25" ht="15" hidden="1" outlineLevel="1">
      <c r="A387" s="1615">
        <v>379</v>
      </c>
      <c r="C387" s="1651" t="s">
        <v>3027</v>
      </c>
      <c r="D387" s="1651" t="s">
        <v>2970</v>
      </c>
      <c r="E387" s="1613">
        <v>223.78</v>
      </c>
      <c r="F387" s="1613">
        <v>-149.5</v>
      </c>
      <c r="G387" s="1613">
        <f t="shared" si="111"/>
        <v>74.28</v>
      </c>
      <c r="H387" s="1578">
        <v>2013</v>
      </c>
      <c r="I387" s="1662">
        <f t="shared" si="112"/>
        <v>2.5</v>
      </c>
      <c r="J387" s="1663">
        <v>36</v>
      </c>
      <c r="K387" s="1664">
        <f t="shared" si="113"/>
        <v>0.33333333333333331</v>
      </c>
      <c r="L387" s="1613">
        <f t="shared" si="114"/>
        <v>74.593333333333334</v>
      </c>
      <c r="M387" s="1613">
        <f t="shared" si="115"/>
        <v>223.78</v>
      </c>
      <c r="N387" s="1613">
        <f t="shared" si="104"/>
        <v>-223.78</v>
      </c>
      <c r="O387" s="1652">
        <f t="shared" si="116"/>
        <v>0</v>
      </c>
      <c r="P387" s="1653">
        <f t="shared" si="117"/>
        <v>0</v>
      </c>
      <c r="Q387" s="1653">
        <f t="shared" si="118"/>
        <v>0</v>
      </c>
      <c r="R387" s="1653">
        <f t="shared" si="119"/>
        <v>0</v>
      </c>
      <c r="S387" s="1653">
        <f t="shared" si="120"/>
        <v>0</v>
      </c>
      <c r="T387" s="1653">
        <f t="shared" si="105"/>
        <v>0</v>
      </c>
      <c r="U387" s="1653">
        <f t="shared" si="106"/>
        <v>0</v>
      </c>
      <c r="V387" s="1653">
        <f t="shared" si="107"/>
        <v>0</v>
      </c>
      <c r="W387" s="1653">
        <f t="shared" si="108"/>
        <v>0</v>
      </c>
      <c r="X387" s="1653">
        <f t="shared" si="109"/>
        <v>0</v>
      </c>
      <c r="Y387" s="1653">
        <f t="shared" si="110"/>
        <v>0</v>
      </c>
    </row>
    <row r="388" spans="1:25" ht="15" hidden="1" outlineLevel="1">
      <c r="A388" s="1615">
        <v>380</v>
      </c>
      <c r="C388" s="1651" t="s">
        <v>3028</v>
      </c>
      <c r="D388" s="1651" t="s">
        <v>3029</v>
      </c>
      <c r="E388" s="1613">
        <v>3626.82</v>
      </c>
      <c r="F388" s="1613">
        <v>-2422.85</v>
      </c>
      <c r="G388" s="1613">
        <f t="shared" si="111"/>
        <v>1203.9700000000003</v>
      </c>
      <c r="H388" s="1578">
        <v>2013</v>
      </c>
      <c r="I388" s="1662">
        <f t="shared" si="112"/>
        <v>2.5</v>
      </c>
      <c r="J388" s="1663">
        <v>36</v>
      </c>
      <c r="K388" s="1664">
        <f t="shared" si="113"/>
        <v>0.33333333333333331</v>
      </c>
      <c r="L388" s="1613">
        <f t="shared" si="114"/>
        <v>1208.94</v>
      </c>
      <c r="M388" s="1613">
        <f t="shared" si="115"/>
        <v>3626.82</v>
      </c>
      <c r="N388" s="1613">
        <f t="shared" si="104"/>
        <v>-3626.82</v>
      </c>
      <c r="O388" s="1652">
        <f t="shared" si="116"/>
        <v>0</v>
      </c>
      <c r="P388" s="1653">
        <f t="shared" si="117"/>
        <v>0</v>
      </c>
      <c r="Q388" s="1653">
        <f t="shared" si="118"/>
        <v>0</v>
      </c>
      <c r="R388" s="1653">
        <f t="shared" si="119"/>
        <v>0</v>
      </c>
      <c r="S388" s="1653">
        <f t="shared" si="120"/>
        <v>0</v>
      </c>
      <c r="T388" s="1653">
        <f t="shared" si="105"/>
        <v>0</v>
      </c>
      <c r="U388" s="1653">
        <f t="shared" si="106"/>
        <v>0</v>
      </c>
      <c r="V388" s="1653">
        <f t="shared" si="107"/>
        <v>0</v>
      </c>
      <c r="W388" s="1653">
        <f t="shared" si="108"/>
        <v>0</v>
      </c>
      <c r="X388" s="1653">
        <f t="shared" si="109"/>
        <v>0</v>
      </c>
      <c r="Y388" s="1653">
        <f t="shared" si="110"/>
        <v>0</v>
      </c>
    </row>
    <row r="389" spans="1:25" ht="15" hidden="1" outlineLevel="1">
      <c r="A389" s="1615">
        <v>381</v>
      </c>
      <c r="C389" s="1651" t="s">
        <v>3030</v>
      </c>
      <c r="D389" s="1651" t="s">
        <v>3031</v>
      </c>
      <c r="E389" s="1613">
        <v>269.63</v>
      </c>
      <c r="F389" s="1613">
        <v>-180.12</v>
      </c>
      <c r="G389" s="1613">
        <f t="shared" si="111"/>
        <v>89.509999999999991</v>
      </c>
      <c r="H389" s="1578">
        <v>2013</v>
      </c>
      <c r="I389" s="1662">
        <f t="shared" si="112"/>
        <v>2.5</v>
      </c>
      <c r="J389" s="1663">
        <v>36</v>
      </c>
      <c r="K389" s="1664">
        <f t="shared" si="113"/>
        <v>0.33333333333333331</v>
      </c>
      <c r="L389" s="1613">
        <f t="shared" si="114"/>
        <v>89.876666666666665</v>
      </c>
      <c r="M389" s="1613">
        <f t="shared" si="115"/>
        <v>269.63</v>
      </c>
      <c r="N389" s="1613">
        <f t="shared" si="104"/>
        <v>-269.63</v>
      </c>
      <c r="O389" s="1652">
        <f t="shared" si="116"/>
        <v>0</v>
      </c>
      <c r="P389" s="1653">
        <f t="shared" si="117"/>
        <v>0</v>
      </c>
      <c r="Q389" s="1653">
        <f t="shared" si="118"/>
        <v>0</v>
      </c>
      <c r="R389" s="1653">
        <f t="shared" si="119"/>
        <v>0</v>
      </c>
      <c r="S389" s="1653">
        <f t="shared" si="120"/>
        <v>0</v>
      </c>
      <c r="T389" s="1653">
        <f t="shared" si="105"/>
        <v>0</v>
      </c>
      <c r="U389" s="1653">
        <f t="shared" si="106"/>
        <v>0</v>
      </c>
      <c r="V389" s="1653">
        <f t="shared" si="107"/>
        <v>0</v>
      </c>
      <c r="W389" s="1653">
        <f t="shared" si="108"/>
        <v>0</v>
      </c>
      <c r="X389" s="1653">
        <f t="shared" si="109"/>
        <v>0</v>
      </c>
      <c r="Y389" s="1653">
        <f t="shared" si="110"/>
        <v>0</v>
      </c>
    </row>
    <row r="390" spans="1:25" ht="15" hidden="1" outlineLevel="1">
      <c r="A390" s="1615">
        <v>382</v>
      </c>
      <c r="C390" s="1651" t="s">
        <v>3032</v>
      </c>
      <c r="D390" s="1651" t="s">
        <v>3033</v>
      </c>
      <c r="E390" s="1613">
        <v>71.73</v>
      </c>
      <c r="F390" s="1613">
        <v>-45.88</v>
      </c>
      <c r="G390" s="1613">
        <f t="shared" si="111"/>
        <v>25.85</v>
      </c>
      <c r="H390" s="1578">
        <v>2013</v>
      </c>
      <c r="I390" s="1662">
        <f t="shared" si="112"/>
        <v>2.5</v>
      </c>
      <c r="J390" s="1663">
        <v>36</v>
      </c>
      <c r="K390" s="1664">
        <f t="shared" si="113"/>
        <v>0.33333333333333331</v>
      </c>
      <c r="L390" s="1613">
        <f t="shared" si="114"/>
        <v>23.91</v>
      </c>
      <c r="M390" s="1613">
        <f t="shared" si="115"/>
        <v>71.73</v>
      </c>
      <c r="N390" s="1613">
        <f t="shared" si="104"/>
        <v>-71.73</v>
      </c>
      <c r="O390" s="1652">
        <f t="shared" si="116"/>
        <v>0</v>
      </c>
      <c r="P390" s="1653">
        <f t="shared" si="117"/>
        <v>0</v>
      </c>
      <c r="Q390" s="1653">
        <f t="shared" si="118"/>
        <v>0</v>
      </c>
      <c r="R390" s="1653">
        <f t="shared" si="119"/>
        <v>0</v>
      </c>
      <c r="S390" s="1653">
        <f t="shared" si="120"/>
        <v>0</v>
      </c>
      <c r="T390" s="1653">
        <f t="shared" si="105"/>
        <v>0</v>
      </c>
      <c r="U390" s="1653">
        <f t="shared" si="106"/>
        <v>0</v>
      </c>
      <c r="V390" s="1653">
        <f t="shared" si="107"/>
        <v>0</v>
      </c>
      <c r="W390" s="1653">
        <f t="shared" si="108"/>
        <v>0</v>
      </c>
      <c r="X390" s="1653">
        <f t="shared" si="109"/>
        <v>0</v>
      </c>
      <c r="Y390" s="1653">
        <f t="shared" si="110"/>
        <v>0</v>
      </c>
    </row>
    <row r="391" spans="1:25" ht="15" hidden="1" outlineLevel="1">
      <c r="A391" s="1615">
        <v>383</v>
      </c>
      <c r="C391" s="1651" t="s">
        <v>3034</v>
      </c>
      <c r="D391" s="1651" t="s">
        <v>2966</v>
      </c>
      <c r="E391" s="1613">
        <v>358.33</v>
      </c>
      <c r="F391" s="1613">
        <v>-239.38</v>
      </c>
      <c r="G391" s="1613">
        <f t="shared" si="111"/>
        <v>118.94999999999999</v>
      </c>
      <c r="H391" s="1578">
        <v>2013</v>
      </c>
      <c r="I391" s="1662">
        <f t="shared" si="112"/>
        <v>2.5</v>
      </c>
      <c r="J391" s="1663">
        <v>36</v>
      </c>
      <c r="K391" s="1664">
        <f t="shared" si="113"/>
        <v>0.33333333333333331</v>
      </c>
      <c r="L391" s="1613">
        <f t="shared" si="114"/>
        <v>119.44333333333333</v>
      </c>
      <c r="M391" s="1613">
        <f t="shared" si="115"/>
        <v>358.33</v>
      </c>
      <c r="N391" s="1613">
        <f t="shared" si="104"/>
        <v>-358.33</v>
      </c>
      <c r="O391" s="1652">
        <f t="shared" si="116"/>
        <v>0</v>
      </c>
      <c r="P391" s="1653">
        <f t="shared" si="117"/>
        <v>0</v>
      </c>
      <c r="Q391" s="1653">
        <f t="shared" si="118"/>
        <v>0</v>
      </c>
      <c r="R391" s="1653">
        <f t="shared" si="119"/>
        <v>0</v>
      </c>
      <c r="S391" s="1653">
        <f t="shared" si="120"/>
        <v>0</v>
      </c>
      <c r="T391" s="1653">
        <f t="shared" si="105"/>
        <v>0</v>
      </c>
      <c r="U391" s="1653">
        <f t="shared" si="106"/>
        <v>0</v>
      </c>
      <c r="V391" s="1653">
        <f t="shared" si="107"/>
        <v>0</v>
      </c>
      <c r="W391" s="1653">
        <f t="shared" si="108"/>
        <v>0</v>
      </c>
      <c r="X391" s="1653">
        <f t="shared" si="109"/>
        <v>0</v>
      </c>
      <c r="Y391" s="1653">
        <f t="shared" si="110"/>
        <v>0</v>
      </c>
    </row>
    <row r="392" spans="1:25" ht="15" hidden="1" outlineLevel="1">
      <c r="A392" s="1615">
        <v>384</v>
      </c>
      <c r="C392" s="1651" t="s">
        <v>3035</v>
      </c>
      <c r="D392" s="1651" t="s">
        <v>3036</v>
      </c>
      <c r="E392" s="1613">
        <v>431.62</v>
      </c>
      <c r="F392" s="1613">
        <v>-276.13</v>
      </c>
      <c r="G392" s="1613">
        <f t="shared" si="111"/>
        <v>155.49</v>
      </c>
      <c r="H392" s="1578">
        <v>2013</v>
      </c>
      <c r="I392" s="1662">
        <f t="shared" si="112"/>
        <v>2.5</v>
      </c>
      <c r="J392" s="1663">
        <v>36</v>
      </c>
      <c r="K392" s="1664">
        <f t="shared" si="113"/>
        <v>0.33333333333333331</v>
      </c>
      <c r="L392" s="1613">
        <f t="shared" si="114"/>
        <v>143.87333333333333</v>
      </c>
      <c r="M392" s="1613">
        <f t="shared" si="115"/>
        <v>431.62</v>
      </c>
      <c r="N392" s="1613">
        <f t="shared" si="104"/>
        <v>-431.62</v>
      </c>
      <c r="O392" s="1652">
        <f t="shared" si="116"/>
        <v>0</v>
      </c>
      <c r="P392" s="1653">
        <f t="shared" si="117"/>
        <v>0</v>
      </c>
      <c r="Q392" s="1653">
        <f t="shared" si="118"/>
        <v>0</v>
      </c>
      <c r="R392" s="1653">
        <f t="shared" si="119"/>
        <v>0</v>
      </c>
      <c r="S392" s="1653">
        <f t="shared" si="120"/>
        <v>0</v>
      </c>
      <c r="T392" s="1653">
        <f t="shared" si="105"/>
        <v>0</v>
      </c>
      <c r="U392" s="1653">
        <f t="shared" si="106"/>
        <v>0</v>
      </c>
      <c r="V392" s="1653">
        <f t="shared" si="107"/>
        <v>0</v>
      </c>
      <c r="W392" s="1653">
        <f t="shared" si="108"/>
        <v>0</v>
      </c>
      <c r="X392" s="1653">
        <f t="shared" si="109"/>
        <v>0</v>
      </c>
      <c r="Y392" s="1653">
        <f t="shared" si="110"/>
        <v>0</v>
      </c>
    </row>
    <row r="393" spans="1:25" ht="15" hidden="1" outlineLevel="1">
      <c r="A393" s="1615">
        <v>385</v>
      </c>
      <c r="C393" s="1651" t="s">
        <v>3037</v>
      </c>
      <c r="D393" s="1651" t="s">
        <v>3038</v>
      </c>
      <c r="E393" s="1613">
        <v>106.72</v>
      </c>
      <c r="F393" s="1613">
        <v>-68.28</v>
      </c>
      <c r="G393" s="1613">
        <f t="shared" si="111"/>
        <v>38.44</v>
      </c>
      <c r="H393" s="1578">
        <v>2013</v>
      </c>
      <c r="I393" s="1662">
        <f t="shared" si="112"/>
        <v>2.5</v>
      </c>
      <c r="J393" s="1663">
        <v>36</v>
      </c>
      <c r="K393" s="1664">
        <f t="shared" si="113"/>
        <v>0.33333333333333331</v>
      </c>
      <c r="L393" s="1613">
        <f t="shared" si="114"/>
        <v>35.573333333333331</v>
      </c>
      <c r="M393" s="1613">
        <f t="shared" si="115"/>
        <v>106.72</v>
      </c>
      <c r="N393" s="1613">
        <f t="shared" si="104"/>
        <v>-106.72</v>
      </c>
      <c r="O393" s="1652">
        <f t="shared" si="116"/>
        <v>0</v>
      </c>
      <c r="P393" s="1653">
        <f t="shared" si="117"/>
        <v>0</v>
      </c>
      <c r="Q393" s="1653">
        <f t="shared" si="118"/>
        <v>0</v>
      </c>
      <c r="R393" s="1653">
        <f t="shared" si="119"/>
        <v>0</v>
      </c>
      <c r="S393" s="1653">
        <f t="shared" si="120"/>
        <v>0</v>
      </c>
      <c r="T393" s="1653">
        <f t="shared" si="105"/>
        <v>0</v>
      </c>
      <c r="U393" s="1653">
        <f t="shared" si="106"/>
        <v>0</v>
      </c>
      <c r="V393" s="1653">
        <f t="shared" si="107"/>
        <v>0</v>
      </c>
      <c r="W393" s="1653">
        <f t="shared" si="108"/>
        <v>0</v>
      </c>
      <c r="X393" s="1653">
        <f t="shared" si="109"/>
        <v>0</v>
      </c>
      <c r="Y393" s="1653">
        <f t="shared" si="110"/>
        <v>0</v>
      </c>
    </row>
    <row r="394" spans="1:25" ht="15" hidden="1" outlineLevel="1">
      <c r="A394" s="1615">
        <v>386</v>
      </c>
      <c r="C394" s="1651" t="s">
        <v>3039</v>
      </c>
      <c r="D394" s="1651" t="s">
        <v>3040</v>
      </c>
      <c r="E394" s="1613">
        <v>656.85</v>
      </c>
      <c r="F394" s="1613">
        <v>-420.2</v>
      </c>
      <c r="G394" s="1613">
        <f t="shared" si="111"/>
        <v>236.65000000000003</v>
      </c>
      <c r="H394" s="1578">
        <v>2013</v>
      </c>
      <c r="I394" s="1662">
        <f t="shared" si="112"/>
        <v>2.5</v>
      </c>
      <c r="J394" s="1663">
        <v>36</v>
      </c>
      <c r="K394" s="1664">
        <f t="shared" si="113"/>
        <v>0.33333333333333331</v>
      </c>
      <c r="L394" s="1613">
        <f t="shared" si="114"/>
        <v>218.95</v>
      </c>
      <c r="M394" s="1613">
        <f t="shared" si="115"/>
        <v>656.85</v>
      </c>
      <c r="N394" s="1613">
        <f t="shared" si="104"/>
        <v>-656.85</v>
      </c>
      <c r="O394" s="1652">
        <f t="shared" si="116"/>
        <v>0</v>
      </c>
      <c r="P394" s="1653">
        <f t="shared" si="117"/>
        <v>0</v>
      </c>
      <c r="Q394" s="1653">
        <f t="shared" si="118"/>
        <v>0</v>
      </c>
      <c r="R394" s="1653">
        <f t="shared" si="119"/>
        <v>0</v>
      </c>
      <c r="S394" s="1653">
        <f t="shared" si="120"/>
        <v>0</v>
      </c>
      <c r="T394" s="1653">
        <f t="shared" si="105"/>
        <v>0</v>
      </c>
      <c r="U394" s="1653">
        <f t="shared" si="106"/>
        <v>0</v>
      </c>
      <c r="V394" s="1653">
        <f t="shared" si="107"/>
        <v>0</v>
      </c>
      <c r="W394" s="1653">
        <f t="shared" si="108"/>
        <v>0</v>
      </c>
      <c r="X394" s="1653">
        <f t="shared" si="109"/>
        <v>0</v>
      </c>
      <c r="Y394" s="1653">
        <f t="shared" si="110"/>
        <v>0</v>
      </c>
    </row>
    <row r="395" spans="1:25" ht="15" hidden="1" outlineLevel="1">
      <c r="A395" s="1615">
        <v>387</v>
      </c>
      <c r="C395" s="1651" t="s">
        <v>3041</v>
      </c>
      <c r="D395" s="1651" t="s">
        <v>3042</v>
      </c>
      <c r="E395" s="1613">
        <v>334.59</v>
      </c>
      <c r="F395" s="1613">
        <v>-214.04</v>
      </c>
      <c r="G395" s="1613">
        <f t="shared" si="111"/>
        <v>120.54999999999998</v>
      </c>
      <c r="H395" s="1578">
        <v>2013</v>
      </c>
      <c r="I395" s="1662">
        <f t="shared" si="112"/>
        <v>2.5</v>
      </c>
      <c r="J395" s="1663">
        <v>36</v>
      </c>
      <c r="K395" s="1664">
        <f t="shared" si="113"/>
        <v>0.33333333333333331</v>
      </c>
      <c r="L395" s="1613">
        <f t="shared" si="114"/>
        <v>111.52999999999999</v>
      </c>
      <c r="M395" s="1613">
        <f t="shared" si="115"/>
        <v>334.59</v>
      </c>
      <c r="N395" s="1613">
        <f t="shared" si="104"/>
        <v>-334.59</v>
      </c>
      <c r="O395" s="1652">
        <f t="shared" si="116"/>
        <v>0</v>
      </c>
      <c r="P395" s="1653">
        <f t="shared" si="117"/>
        <v>0</v>
      </c>
      <c r="Q395" s="1653">
        <f t="shared" si="118"/>
        <v>0</v>
      </c>
      <c r="R395" s="1653">
        <f t="shared" si="119"/>
        <v>0</v>
      </c>
      <c r="S395" s="1653">
        <f t="shared" si="120"/>
        <v>0</v>
      </c>
      <c r="T395" s="1653">
        <f t="shared" si="105"/>
        <v>0</v>
      </c>
      <c r="U395" s="1653">
        <f t="shared" si="106"/>
        <v>0</v>
      </c>
      <c r="V395" s="1653">
        <f t="shared" si="107"/>
        <v>0</v>
      </c>
      <c r="W395" s="1653">
        <f t="shared" si="108"/>
        <v>0</v>
      </c>
      <c r="X395" s="1653">
        <f t="shared" si="109"/>
        <v>0</v>
      </c>
      <c r="Y395" s="1653">
        <f t="shared" si="110"/>
        <v>0</v>
      </c>
    </row>
    <row r="396" spans="1:25" ht="15" hidden="1" outlineLevel="1">
      <c r="A396" s="1615">
        <v>388</v>
      </c>
      <c r="C396" s="1651" t="s">
        <v>3043</v>
      </c>
      <c r="D396" s="1651" t="s">
        <v>3044</v>
      </c>
      <c r="E396" s="1613">
        <v>185.44</v>
      </c>
      <c r="F396" s="1613">
        <v>-118.64</v>
      </c>
      <c r="G396" s="1613">
        <f t="shared" si="111"/>
        <v>66.8</v>
      </c>
      <c r="H396" s="1578">
        <v>2013</v>
      </c>
      <c r="I396" s="1662">
        <f t="shared" si="112"/>
        <v>2.5</v>
      </c>
      <c r="J396" s="1663">
        <v>36</v>
      </c>
      <c r="K396" s="1664">
        <f t="shared" si="113"/>
        <v>0.33333333333333331</v>
      </c>
      <c r="L396" s="1613">
        <f t="shared" si="114"/>
        <v>61.813333333333333</v>
      </c>
      <c r="M396" s="1613">
        <f t="shared" si="115"/>
        <v>185.44</v>
      </c>
      <c r="N396" s="1613">
        <f t="shared" si="104"/>
        <v>-185.44</v>
      </c>
      <c r="O396" s="1652">
        <f t="shared" si="116"/>
        <v>0</v>
      </c>
      <c r="P396" s="1653">
        <f t="shared" si="117"/>
        <v>0</v>
      </c>
      <c r="Q396" s="1653">
        <f t="shared" si="118"/>
        <v>0</v>
      </c>
      <c r="R396" s="1653">
        <f t="shared" si="119"/>
        <v>0</v>
      </c>
      <c r="S396" s="1653">
        <f t="shared" si="120"/>
        <v>0</v>
      </c>
      <c r="T396" s="1653">
        <f t="shared" si="105"/>
        <v>0</v>
      </c>
      <c r="U396" s="1653">
        <f t="shared" si="106"/>
        <v>0</v>
      </c>
      <c r="V396" s="1653">
        <f t="shared" si="107"/>
        <v>0</v>
      </c>
      <c r="W396" s="1653">
        <f t="shared" si="108"/>
        <v>0</v>
      </c>
      <c r="X396" s="1653">
        <f t="shared" si="109"/>
        <v>0</v>
      </c>
      <c r="Y396" s="1653">
        <f t="shared" si="110"/>
        <v>0</v>
      </c>
    </row>
    <row r="397" spans="1:25" ht="15" hidden="1" outlineLevel="1">
      <c r="A397" s="1615">
        <v>389</v>
      </c>
      <c r="C397" s="1651" t="s">
        <v>3045</v>
      </c>
      <c r="D397" s="1651" t="s">
        <v>3044</v>
      </c>
      <c r="E397" s="1613">
        <v>174.41</v>
      </c>
      <c r="F397" s="1613">
        <v>-111.57</v>
      </c>
      <c r="G397" s="1613">
        <f t="shared" si="111"/>
        <v>62.84</v>
      </c>
      <c r="H397" s="1578">
        <v>2013</v>
      </c>
      <c r="I397" s="1662">
        <f t="shared" si="112"/>
        <v>2.5</v>
      </c>
      <c r="J397" s="1663">
        <v>36</v>
      </c>
      <c r="K397" s="1664">
        <f t="shared" si="113"/>
        <v>0.33333333333333331</v>
      </c>
      <c r="L397" s="1613">
        <f t="shared" si="114"/>
        <v>58.136666666666663</v>
      </c>
      <c r="M397" s="1613">
        <f t="shared" si="115"/>
        <v>174.41</v>
      </c>
      <c r="N397" s="1613">
        <f t="shared" si="104"/>
        <v>-174.41</v>
      </c>
      <c r="O397" s="1652">
        <f t="shared" si="116"/>
        <v>0</v>
      </c>
      <c r="P397" s="1653">
        <f t="shared" si="117"/>
        <v>0</v>
      </c>
      <c r="Q397" s="1653">
        <f t="shared" si="118"/>
        <v>0</v>
      </c>
      <c r="R397" s="1653">
        <f t="shared" si="119"/>
        <v>0</v>
      </c>
      <c r="S397" s="1653">
        <f t="shared" si="120"/>
        <v>0</v>
      </c>
      <c r="T397" s="1653">
        <f t="shared" si="105"/>
        <v>0</v>
      </c>
      <c r="U397" s="1653">
        <f t="shared" si="106"/>
        <v>0</v>
      </c>
      <c r="V397" s="1653">
        <f t="shared" si="107"/>
        <v>0</v>
      </c>
      <c r="W397" s="1653">
        <f t="shared" si="108"/>
        <v>0</v>
      </c>
      <c r="X397" s="1653">
        <f t="shared" si="109"/>
        <v>0</v>
      </c>
      <c r="Y397" s="1653">
        <f t="shared" si="110"/>
        <v>0</v>
      </c>
    </row>
    <row r="398" spans="1:25" ht="15" hidden="1" outlineLevel="1">
      <c r="A398" s="1615">
        <v>390</v>
      </c>
      <c r="C398" s="1651" t="s">
        <v>3046</v>
      </c>
      <c r="D398" s="1651" t="s">
        <v>3047</v>
      </c>
      <c r="E398" s="1613">
        <v>3236.07</v>
      </c>
      <c r="F398" s="1613">
        <v>-2070.19</v>
      </c>
      <c r="G398" s="1613">
        <f t="shared" si="111"/>
        <v>1165.8800000000001</v>
      </c>
      <c r="H398" s="1578">
        <v>2013</v>
      </c>
      <c r="I398" s="1662">
        <f t="shared" si="112"/>
        <v>2.5</v>
      </c>
      <c r="J398" s="1663">
        <v>36</v>
      </c>
      <c r="K398" s="1664">
        <f t="shared" si="113"/>
        <v>0.33333333333333331</v>
      </c>
      <c r="L398" s="1613">
        <f t="shared" si="114"/>
        <v>1078.69</v>
      </c>
      <c r="M398" s="1613">
        <f t="shared" si="115"/>
        <v>3236.07</v>
      </c>
      <c r="N398" s="1613">
        <f t="shared" si="104"/>
        <v>-3236.07</v>
      </c>
      <c r="O398" s="1652">
        <f t="shared" si="116"/>
        <v>0</v>
      </c>
      <c r="P398" s="1653">
        <f t="shared" si="117"/>
        <v>0</v>
      </c>
      <c r="Q398" s="1653">
        <f t="shared" si="118"/>
        <v>0</v>
      </c>
      <c r="R398" s="1653">
        <f t="shared" si="119"/>
        <v>0</v>
      </c>
      <c r="S398" s="1653">
        <f t="shared" si="120"/>
        <v>0</v>
      </c>
      <c r="T398" s="1653">
        <f t="shared" si="105"/>
        <v>0</v>
      </c>
      <c r="U398" s="1653">
        <f t="shared" si="106"/>
        <v>0</v>
      </c>
      <c r="V398" s="1653">
        <f t="shared" si="107"/>
        <v>0</v>
      </c>
      <c r="W398" s="1653">
        <f t="shared" si="108"/>
        <v>0</v>
      </c>
      <c r="X398" s="1653">
        <f t="shared" si="109"/>
        <v>0</v>
      </c>
      <c r="Y398" s="1653">
        <f t="shared" si="110"/>
        <v>0</v>
      </c>
    </row>
    <row r="399" spans="1:25" ht="15" hidden="1" outlineLevel="1">
      <c r="A399" s="1615">
        <v>391</v>
      </c>
      <c r="C399" s="1651" t="s">
        <v>3048</v>
      </c>
      <c r="D399" s="1651" t="s">
        <v>3049</v>
      </c>
      <c r="E399" s="1613">
        <v>749.81</v>
      </c>
      <c r="F399" s="1613">
        <v>-479.67</v>
      </c>
      <c r="G399" s="1613">
        <f t="shared" si="111"/>
        <v>270.13999999999993</v>
      </c>
      <c r="H399" s="1578">
        <v>2013</v>
      </c>
      <c r="I399" s="1662">
        <f t="shared" si="112"/>
        <v>2.5</v>
      </c>
      <c r="J399" s="1663">
        <v>36</v>
      </c>
      <c r="K399" s="1664">
        <f t="shared" si="113"/>
        <v>0.33333333333333331</v>
      </c>
      <c r="L399" s="1613">
        <f t="shared" si="114"/>
        <v>249.93666666666664</v>
      </c>
      <c r="M399" s="1613">
        <f t="shared" si="115"/>
        <v>749.81</v>
      </c>
      <c r="N399" s="1613">
        <f t="shared" si="104"/>
        <v>-749.81</v>
      </c>
      <c r="O399" s="1652">
        <f t="shared" si="116"/>
        <v>0</v>
      </c>
      <c r="P399" s="1653">
        <f t="shared" si="117"/>
        <v>0</v>
      </c>
      <c r="Q399" s="1653">
        <f t="shared" si="118"/>
        <v>0</v>
      </c>
      <c r="R399" s="1653">
        <f t="shared" si="119"/>
        <v>0</v>
      </c>
      <c r="S399" s="1653">
        <f t="shared" si="120"/>
        <v>0</v>
      </c>
      <c r="T399" s="1653">
        <f t="shared" si="105"/>
        <v>0</v>
      </c>
      <c r="U399" s="1653">
        <f t="shared" si="106"/>
        <v>0</v>
      </c>
      <c r="V399" s="1653">
        <f t="shared" si="107"/>
        <v>0</v>
      </c>
      <c r="W399" s="1653">
        <f t="shared" si="108"/>
        <v>0</v>
      </c>
      <c r="X399" s="1653">
        <f t="shared" si="109"/>
        <v>0</v>
      </c>
      <c r="Y399" s="1653">
        <f t="shared" si="110"/>
        <v>0</v>
      </c>
    </row>
    <row r="400" spans="1:25" ht="15" hidden="1" outlineLevel="1">
      <c r="A400" s="1615">
        <v>392</v>
      </c>
      <c r="C400" s="1651" t="s">
        <v>3050</v>
      </c>
      <c r="D400" s="1651" t="s">
        <v>2887</v>
      </c>
      <c r="E400" s="1613">
        <v>3928.78</v>
      </c>
      <c r="F400" s="1613">
        <v>-2513.35</v>
      </c>
      <c r="G400" s="1613">
        <f t="shared" si="111"/>
        <v>1415.4300000000003</v>
      </c>
      <c r="H400" s="1578">
        <v>2013</v>
      </c>
      <c r="I400" s="1662">
        <f t="shared" si="112"/>
        <v>2.5</v>
      </c>
      <c r="J400" s="1663">
        <v>36</v>
      </c>
      <c r="K400" s="1664">
        <f t="shared" si="113"/>
        <v>0.33333333333333331</v>
      </c>
      <c r="L400" s="1613">
        <f t="shared" si="114"/>
        <v>1309.5933333333332</v>
      </c>
      <c r="M400" s="1613">
        <f t="shared" si="115"/>
        <v>3928.78</v>
      </c>
      <c r="N400" s="1613">
        <f t="shared" si="104"/>
        <v>-3928.78</v>
      </c>
      <c r="O400" s="1652">
        <f t="shared" si="116"/>
        <v>0</v>
      </c>
      <c r="P400" s="1653">
        <f t="shared" si="117"/>
        <v>0</v>
      </c>
      <c r="Q400" s="1653">
        <f t="shared" si="118"/>
        <v>0</v>
      </c>
      <c r="R400" s="1653">
        <f t="shared" si="119"/>
        <v>0</v>
      </c>
      <c r="S400" s="1653">
        <f t="shared" si="120"/>
        <v>0</v>
      </c>
      <c r="T400" s="1653">
        <f t="shared" si="105"/>
        <v>0</v>
      </c>
      <c r="U400" s="1653">
        <f t="shared" si="106"/>
        <v>0</v>
      </c>
      <c r="V400" s="1653">
        <f t="shared" si="107"/>
        <v>0</v>
      </c>
      <c r="W400" s="1653">
        <f t="shared" si="108"/>
        <v>0</v>
      </c>
      <c r="X400" s="1653">
        <f t="shared" si="109"/>
        <v>0</v>
      </c>
      <c r="Y400" s="1653">
        <f t="shared" si="110"/>
        <v>0</v>
      </c>
    </row>
    <row r="401" spans="1:25" ht="15" hidden="1" outlineLevel="1">
      <c r="A401" s="1615">
        <v>393</v>
      </c>
      <c r="C401" s="1651" t="s">
        <v>3051</v>
      </c>
      <c r="D401" s="1651" t="s">
        <v>3052</v>
      </c>
      <c r="E401" s="1613">
        <v>1781.81</v>
      </c>
      <c r="F401" s="1613">
        <v>-1139.8699999999999</v>
      </c>
      <c r="G401" s="1613">
        <f t="shared" si="111"/>
        <v>641.94000000000005</v>
      </c>
      <c r="H401" s="1578">
        <v>2013</v>
      </c>
      <c r="I401" s="1662">
        <f t="shared" si="112"/>
        <v>2.5</v>
      </c>
      <c r="J401" s="1663">
        <v>36</v>
      </c>
      <c r="K401" s="1664">
        <f t="shared" si="113"/>
        <v>0.33333333333333331</v>
      </c>
      <c r="L401" s="1613">
        <f t="shared" si="114"/>
        <v>593.93666666666661</v>
      </c>
      <c r="M401" s="1613">
        <f t="shared" si="115"/>
        <v>1781.81</v>
      </c>
      <c r="N401" s="1613">
        <f t="shared" si="104"/>
        <v>-1781.81</v>
      </c>
      <c r="O401" s="1652">
        <f t="shared" si="116"/>
        <v>0</v>
      </c>
      <c r="P401" s="1653">
        <f t="shared" si="117"/>
        <v>0</v>
      </c>
      <c r="Q401" s="1653">
        <f t="shared" si="118"/>
        <v>0</v>
      </c>
      <c r="R401" s="1653">
        <f t="shared" si="119"/>
        <v>0</v>
      </c>
      <c r="S401" s="1653">
        <f t="shared" si="120"/>
        <v>0</v>
      </c>
      <c r="T401" s="1653">
        <f t="shared" si="105"/>
        <v>0</v>
      </c>
      <c r="U401" s="1653">
        <f t="shared" si="106"/>
        <v>0</v>
      </c>
      <c r="V401" s="1653">
        <f t="shared" si="107"/>
        <v>0</v>
      </c>
      <c r="W401" s="1653">
        <f t="shared" si="108"/>
        <v>0</v>
      </c>
      <c r="X401" s="1653">
        <f t="shared" si="109"/>
        <v>0</v>
      </c>
      <c r="Y401" s="1653">
        <f t="shared" si="110"/>
        <v>0</v>
      </c>
    </row>
    <row r="402" spans="1:25" ht="15" hidden="1" outlineLevel="1">
      <c r="A402" s="1615">
        <v>394</v>
      </c>
      <c r="C402" s="1651" t="s">
        <v>3053</v>
      </c>
      <c r="D402" s="1651" t="s">
        <v>3054</v>
      </c>
      <c r="E402" s="1613">
        <v>346.43</v>
      </c>
      <c r="F402" s="1613">
        <v>-211.81</v>
      </c>
      <c r="G402" s="1613">
        <f t="shared" si="111"/>
        <v>134.62</v>
      </c>
      <c r="H402" s="1578">
        <v>2013</v>
      </c>
      <c r="I402" s="1662">
        <f t="shared" si="112"/>
        <v>2.5</v>
      </c>
      <c r="J402" s="1663">
        <v>36</v>
      </c>
      <c r="K402" s="1664">
        <f t="shared" si="113"/>
        <v>0.33333333333333331</v>
      </c>
      <c r="L402" s="1613">
        <f t="shared" si="114"/>
        <v>115.47666666666666</v>
      </c>
      <c r="M402" s="1613">
        <f t="shared" si="115"/>
        <v>346.43</v>
      </c>
      <c r="N402" s="1613">
        <f t="shared" si="104"/>
        <v>-346.43</v>
      </c>
      <c r="O402" s="1652">
        <f t="shared" si="116"/>
        <v>0</v>
      </c>
      <c r="P402" s="1653">
        <f t="shared" si="117"/>
        <v>0</v>
      </c>
      <c r="Q402" s="1653">
        <f t="shared" si="118"/>
        <v>0</v>
      </c>
      <c r="R402" s="1653">
        <f t="shared" si="119"/>
        <v>0</v>
      </c>
      <c r="S402" s="1653">
        <f t="shared" si="120"/>
        <v>0</v>
      </c>
      <c r="T402" s="1653">
        <f t="shared" si="105"/>
        <v>0</v>
      </c>
      <c r="U402" s="1653">
        <f t="shared" si="106"/>
        <v>0</v>
      </c>
      <c r="V402" s="1653">
        <f t="shared" si="107"/>
        <v>0</v>
      </c>
      <c r="W402" s="1653">
        <f t="shared" si="108"/>
        <v>0</v>
      </c>
      <c r="X402" s="1653">
        <f t="shared" si="109"/>
        <v>0</v>
      </c>
      <c r="Y402" s="1653">
        <f t="shared" si="110"/>
        <v>0</v>
      </c>
    </row>
    <row r="403" spans="1:25" ht="15" hidden="1" outlineLevel="1">
      <c r="A403" s="1615">
        <v>395</v>
      </c>
      <c r="C403" s="1651" t="s">
        <v>3055</v>
      </c>
      <c r="D403" s="1651" t="s">
        <v>3002</v>
      </c>
      <c r="E403" s="1613">
        <v>3452.44</v>
      </c>
      <c r="F403" s="1613">
        <v>-2110.88</v>
      </c>
      <c r="G403" s="1613">
        <f t="shared" si="111"/>
        <v>1341.56</v>
      </c>
      <c r="H403" s="1578">
        <v>2013</v>
      </c>
      <c r="I403" s="1662">
        <f t="shared" si="112"/>
        <v>2.5</v>
      </c>
      <c r="J403" s="1663">
        <v>36</v>
      </c>
      <c r="K403" s="1664">
        <f t="shared" si="113"/>
        <v>0.33333333333333331</v>
      </c>
      <c r="L403" s="1613">
        <f t="shared" si="114"/>
        <v>1150.8133333333333</v>
      </c>
      <c r="M403" s="1613">
        <f t="shared" si="115"/>
        <v>3452.44</v>
      </c>
      <c r="N403" s="1613">
        <f t="shared" si="104"/>
        <v>-3452.44</v>
      </c>
      <c r="O403" s="1652">
        <f t="shared" si="116"/>
        <v>0</v>
      </c>
      <c r="P403" s="1653">
        <f t="shared" si="117"/>
        <v>0</v>
      </c>
      <c r="Q403" s="1653">
        <f t="shared" si="118"/>
        <v>0</v>
      </c>
      <c r="R403" s="1653">
        <f t="shared" si="119"/>
        <v>0</v>
      </c>
      <c r="S403" s="1653">
        <f t="shared" si="120"/>
        <v>0</v>
      </c>
      <c r="T403" s="1653">
        <f t="shared" si="105"/>
        <v>0</v>
      </c>
      <c r="U403" s="1653">
        <f t="shared" si="106"/>
        <v>0</v>
      </c>
      <c r="V403" s="1653">
        <f t="shared" si="107"/>
        <v>0</v>
      </c>
      <c r="W403" s="1653">
        <f t="shared" si="108"/>
        <v>0</v>
      </c>
      <c r="X403" s="1653">
        <f t="shared" si="109"/>
        <v>0</v>
      </c>
      <c r="Y403" s="1653">
        <f t="shared" si="110"/>
        <v>0</v>
      </c>
    </row>
    <row r="404" spans="1:25" ht="15" hidden="1" outlineLevel="1">
      <c r="A404" s="1615">
        <v>396</v>
      </c>
      <c r="C404" s="1651" t="s">
        <v>3056</v>
      </c>
      <c r="D404" s="1651" t="s">
        <v>3057</v>
      </c>
      <c r="E404" s="1613">
        <v>5693.69</v>
      </c>
      <c r="F404" s="1613">
        <v>-3325.22</v>
      </c>
      <c r="G404" s="1613">
        <f t="shared" si="111"/>
        <v>2368.4699999999998</v>
      </c>
      <c r="H404" s="1578">
        <v>2013</v>
      </c>
      <c r="I404" s="1662">
        <f t="shared" si="112"/>
        <v>2.5</v>
      </c>
      <c r="J404" s="1663">
        <v>36</v>
      </c>
      <c r="K404" s="1664">
        <f t="shared" si="113"/>
        <v>0.33333333333333331</v>
      </c>
      <c r="L404" s="1613">
        <f t="shared" si="114"/>
        <v>1897.8966666666665</v>
      </c>
      <c r="M404" s="1613">
        <f t="shared" si="115"/>
        <v>5693.69</v>
      </c>
      <c r="N404" s="1613">
        <f t="shared" si="104"/>
        <v>-5693.69</v>
      </c>
      <c r="O404" s="1652">
        <f t="shared" si="116"/>
        <v>0</v>
      </c>
      <c r="P404" s="1653">
        <f t="shared" si="117"/>
        <v>0</v>
      </c>
      <c r="Q404" s="1653">
        <f t="shared" si="118"/>
        <v>0</v>
      </c>
      <c r="R404" s="1653">
        <f t="shared" si="119"/>
        <v>0</v>
      </c>
      <c r="S404" s="1653">
        <f t="shared" si="120"/>
        <v>0</v>
      </c>
      <c r="T404" s="1653">
        <f t="shared" si="105"/>
        <v>0</v>
      </c>
      <c r="U404" s="1653">
        <f t="shared" si="106"/>
        <v>0</v>
      </c>
      <c r="V404" s="1653">
        <f t="shared" si="107"/>
        <v>0</v>
      </c>
      <c r="W404" s="1653">
        <f t="shared" si="108"/>
        <v>0</v>
      </c>
      <c r="X404" s="1653">
        <f t="shared" si="109"/>
        <v>0</v>
      </c>
      <c r="Y404" s="1653">
        <f t="shared" si="110"/>
        <v>0</v>
      </c>
    </row>
    <row r="405" spans="1:25" ht="15" hidden="1" outlineLevel="1">
      <c r="A405" s="1615">
        <v>397</v>
      </c>
      <c r="C405" s="1651" t="s">
        <v>3058</v>
      </c>
      <c r="D405" s="1651" t="s">
        <v>3059</v>
      </c>
      <c r="E405" s="1613">
        <v>749.81</v>
      </c>
      <c r="F405" s="1613">
        <v>-437.9</v>
      </c>
      <c r="G405" s="1613">
        <f t="shared" si="111"/>
        <v>311.90999999999997</v>
      </c>
      <c r="H405" s="1578">
        <v>2013</v>
      </c>
      <c r="I405" s="1662">
        <f t="shared" si="112"/>
        <v>2.5</v>
      </c>
      <c r="J405" s="1663">
        <v>36</v>
      </c>
      <c r="K405" s="1664">
        <f t="shared" si="113"/>
        <v>0.33333333333333331</v>
      </c>
      <c r="L405" s="1613">
        <f t="shared" si="114"/>
        <v>249.93666666666664</v>
      </c>
      <c r="M405" s="1613">
        <f t="shared" si="115"/>
        <v>749.81</v>
      </c>
      <c r="N405" s="1613">
        <f t="shared" si="104"/>
        <v>-749.81</v>
      </c>
      <c r="O405" s="1652">
        <f t="shared" si="116"/>
        <v>0</v>
      </c>
      <c r="P405" s="1653">
        <f t="shared" si="117"/>
        <v>0</v>
      </c>
      <c r="Q405" s="1653">
        <f t="shared" si="118"/>
        <v>0</v>
      </c>
      <c r="R405" s="1653">
        <f t="shared" si="119"/>
        <v>0</v>
      </c>
      <c r="S405" s="1653">
        <f t="shared" si="120"/>
        <v>0</v>
      </c>
      <c r="T405" s="1653">
        <f t="shared" si="105"/>
        <v>0</v>
      </c>
      <c r="U405" s="1653">
        <f t="shared" si="106"/>
        <v>0</v>
      </c>
      <c r="V405" s="1653">
        <f t="shared" si="107"/>
        <v>0</v>
      </c>
      <c r="W405" s="1653">
        <f t="shared" si="108"/>
        <v>0</v>
      </c>
      <c r="X405" s="1653">
        <f t="shared" si="109"/>
        <v>0</v>
      </c>
      <c r="Y405" s="1653">
        <f t="shared" si="110"/>
        <v>0</v>
      </c>
    </row>
    <row r="406" spans="1:25" ht="15" hidden="1" outlineLevel="1">
      <c r="A406" s="1615">
        <v>398</v>
      </c>
      <c r="C406" s="1651" t="s">
        <v>3060</v>
      </c>
      <c r="D406" s="1651" t="s">
        <v>3061</v>
      </c>
      <c r="E406" s="1613">
        <v>4124.9799999999996</v>
      </c>
      <c r="F406" s="1613">
        <v>-2409.0700000000002</v>
      </c>
      <c r="G406" s="1613">
        <f t="shared" si="111"/>
        <v>1715.9099999999994</v>
      </c>
      <c r="H406" s="1578">
        <v>2013</v>
      </c>
      <c r="I406" s="1662">
        <f t="shared" si="112"/>
        <v>2.5</v>
      </c>
      <c r="J406" s="1663">
        <v>36</v>
      </c>
      <c r="K406" s="1664">
        <f t="shared" si="113"/>
        <v>0.33333333333333331</v>
      </c>
      <c r="L406" s="1613">
        <f t="shared" si="114"/>
        <v>1374.9933333333331</v>
      </c>
      <c r="M406" s="1613">
        <f t="shared" si="115"/>
        <v>4124.9799999999996</v>
      </c>
      <c r="N406" s="1613">
        <f t="shared" si="104"/>
        <v>-4124.9799999999996</v>
      </c>
      <c r="O406" s="1652">
        <f t="shared" si="116"/>
        <v>0</v>
      </c>
      <c r="P406" s="1653">
        <f t="shared" si="117"/>
        <v>0</v>
      </c>
      <c r="Q406" s="1653">
        <f t="shared" si="118"/>
        <v>0</v>
      </c>
      <c r="R406" s="1653">
        <f t="shared" si="119"/>
        <v>0</v>
      </c>
      <c r="S406" s="1653">
        <f t="shared" si="120"/>
        <v>0</v>
      </c>
      <c r="T406" s="1653">
        <f t="shared" si="105"/>
        <v>0</v>
      </c>
      <c r="U406" s="1653">
        <f t="shared" si="106"/>
        <v>0</v>
      </c>
      <c r="V406" s="1653">
        <f t="shared" si="107"/>
        <v>0</v>
      </c>
      <c r="W406" s="1653">
        <f t="shared" si="108"/>
        <v>0</v>
      </c>
      <c r="X406" s="1653">
        <f t="shared" si="109"/>
        <v>0</v>
      </c>
      <c r="Y406" s="1653">
        <f t="shared" si="110"/>
        <v>0</v>
      </c>
    </row>
    <row r="407" spans="1:25" ht="15" hidden="1" outlineLevel="1">
      <c r="A407" s="1615">
        <v>399</v>
      </c>
      <c r="C407" s="1651" t="s">
        <v>3062</v>
      </c>
      <c r="D407" s="1651" t="s">
        <v>3063</v>
      </c>
      <c r="E407" s="1613">
        <v>415.36</v>
      </c>
      <c r="F407" s="1613">
        <v>-242.58</v>
      </c>
      <c r="G407" s="1613">
        <f t="shared" si="111"/>
        <v>172.78</v>
      </c>
      <c r="H407" s="1578">
        <v>2013</v>
      </c>
      <c r="I407" s="1662">
        <f t="shared" si="112"/>
        <v>2.5</v>
      </c>
      <c r="J407" s="1663">
        <v>36</v>
      </c>
      <c r="K407" s="1664">
        <f t="shared" si="113"/>
        <v>0.33333333333333331</v>
      </c>
      <c r="L407" s="1613">
        <f t="shared" si="114"/>
        <v>138.45333333333332</v>
      </c>
      <c r="M407" s="1613">
        <f t="shared" si="115"/>
        <v>415.36</v>
      </c>
      <c r="N407" s="1613">
        <f t="shared" si="104"/>
        <v>-415.36</v>
      </c>
      <c r="O407" s="1652">
        <f t="shared" si="116"/>
        <v>0</v>
      </c>
      <c r="P407" s="1653">
        <f t="shared" si="117"/>
        <v>0</v>
      </c>
      <c r="Q407" s="1653">
        <f t="shared" si="118"/>
        <v>0</v>
      </c>
      <c r="R407" s="1653">
        <f t="shared" si="119"/>
        <v>0</v>
      </c>
      <c r="S407" s="1653">
        <f t="shared" si="120"/>
        <v>0</v>
      </c>
      <c r="T407" s="1653">
        <f t="shared" si="105"/>
        <v>0</v>
      </c>
      <c r="U407" s="1653">
        <f t="shared" si="106"/>
        <v>0</v>
      </c>
      <c r="V407" s="1653">
        <f t="shared" si="107"/>
        <v>0</v>
      </c>
      <c r="W407" s="1653">
        <f t="shared" si="108"/>
        <v>0</v>
      </c>
      <c r="X407" s="1653">
        <f t="shared" si="109"/>
        <v>0</v>
      </c>
      <c r="Y407" s="1653">
        <f t="shared" si="110"/>
        <v>0</v>
      </c>
    </row>
    <row r="408" spans="1:25" ht="15" hidden="1" outlineLevel="1">
      <c r="A408" s="1615">
        <v>400</v>
      </c>
      <c r="C408" s="1651" t="s">
        <v>3064</v>
      </c>
      <c r="D408" s="1651" t="s">
        <v>2465</v>
      </c>
      <c r="E408" s="1613">
        <v>1762.8</v>
      </c>
      <c r="F408" s="1613">
        <v>-1029.51</v>
      </c>
      <c r="G408" s="1613">
        <f t="shared" si="111"/>
        <v>733.29</v>
      </c>
      <c r="H408" s="1578">
        <v>2013</v>
      </c>
      <c r="I408" s="1662">
        <f t="shared" si="112"/>
        <v>2.5</v>
      </c>
      <c r="J408" s="1663">
        <v>36</v>
      </c>
      <c r="K408" s="1664">
        <f t="shared" si="113"/>
        <v>0.33333333333333331</v>
      </c>
      <c r="L408" s="1613">
        <f t="shared" si="114"/>
        <v>587.59999999999991</v>
      </c>
      <c r="M408" s="1613">
        <f t="shared" si="115"/>
        <v>1762.8</v>
      </c>
      <c r="N408" s="1613">
        <f t="shared" ref="N408:N471" si="121">-IF(I408+0.5&lt;(J408/12),M408*(I408+0.5)*K408,M408)</f>
        <v>-1762.8</v>
      </c>
      <c r="O408" s="1652">
        <f t="shared" si="116"/>
        <v>0</v>
      </c>
      <c r="P408" s="1653">
        <f t="shared" si="117"/>
        <v>0</v>
      </c>
      <c r="Q408" s="1653">
        <f t="shared" si="118"/>
        <v>0</v>
      </c>
      <c r="R408" s="1653">
        <f t="shared" si="119"/>
        <v>0</v>
      </c>
      <c r="S408" s="1653">
        <f t="shared" si="120"/>
        <v>0</v>
      </c>
      <c r="T408" s="1653">
        <f t="shared" ref="T408:T471" si="122">IF(S408&gt;0,IF(S408&lt;$K408,-$L408,R408-$K408),S408)</f>
        <v>0</v>
      </c>
      <c r="U408" s="1653">
        <f t="shared" ref="U408:U471" si="123">IF(T408&lt;0,$L408+T408,S408)</f>
        <v>0</v>
      </c>
      <c r="V408" s="1653">
        <f t="shared" ref="V408:V471" si="124">IF(U408&gt;0,IF(U408&lt;$K408,-$L408,T408-$K408),U408)</f>
        <v>0</v>
      </c>
      <c r="W408" s="1653">
        <f t="shared" ref="W408:W471" si="125">IF(V408&lt;0,$L408+V408,U408)</f>
        <v>0</v>
      </c>
      <c r="X408" s="1653">
        <f t="shared" ref="X408:X471" si="126">IF(W408&gt;0,IF(W408&lt;$K408,-$L408,V408-$K408),W408)</f>
        <v>0</v>
      </c>
      <c r="Y408" s="1653">
        <f t="shared" ref="Y408:Y471" si="127">IF(X408&lt;0,$L408+X408,W408)</f>
        <v>0</v>
      </c>
    </row>
    <row r="409" spans="1:25" ht="15" hidden="1" outlineLevel="1">
      <c r="A409" s="1615">
        <v>401</v>
      </c>
      <c r="C409" s="1651" t="s">
        <v>3065</v>
      </c>
      <c r="D409" s="1651" t="s">
        <v>2465</v>
      </c>
      <c r="E409" s="1613">
        <v>1654.83</v>
      </c>
      <c r="F409" s="1613">
        <v>-966.45</v>
      </c>
      <c r="G409" s="1613">
        <f t="shared" ref="G409:G472" si="128">E409+F409</f>
        <v>688.37999999999988</v>
      </c>
      <c r="H409" s="1578">
        <v>2013</v>
      </c>
      <c r="I409" s="1662">
        <f t="shared" ref="I409:I472" si="129">IF(H409=2015,0.5,2015.5-H409)</f>
        <v>2.5</v>
      </c>
      <c r="J409" s="1663">
        <v>36</v>
      </c>
      <c r="K409" s="1664">
        <f t="shared" ref="K409:K472" si="130">1/J409*12</f>
        <v>0.33333333333333331</v>
      </c>
      <c r="L409" s="1613">
        <f t="shared" ref="L409:L472" si="131">IF(I409&lt;(J409/12),E409*K409,0)</f>
        <v>551.6099999999999</v>
      </c>
      <c r="M409" s="1613">
        <f t="shared" ref="M409:M472" si="132">E409</f>
        <v>1654.83</v>
      </c>
      <c r="N409" s="1613">
        <f t="shared" si="121"/>
        <v>-1654.83</v>
      </c>
      <c r="O409" s="1652">
        <f t="shared" ref="O409:O472" si="133">M409+N409</f>
        <v>0</v>
      </c>
      <c r="P409" s="1653">
        <f t="shared" ref="P409:P472" si="134">IF(O409&gt;0,IF(O409&lt;$K409,-$L409,N409-$K409),O409)</f>
        <v>0</v>
      </c>
      <c r="Q409" s="1653">
        <f t="shared" ref="Q409:Q472" si="135">IF(P409&lt;0,$L409+P409,O409)</f>
        <v>0</v>
      </c>
      <c r="R409" s="1653">
        <f t="shared" ref="R409:R472" si="136">IF(Q409&gt;0,IF(Q409&lt;$K409,-$L409,P409-$K409),Q409)</f>
        <v>0</v>
      </c>
      <c r="S409" s="1653">
        <f t="shared" ref="S409:S472" si="137">IF(R409&lt;0,$L409+R409,Q409)</f>
        <v>0</v>
      </c>
      <c r="T409" s="1653">
        <f t="shared" si="122"/>
        <v>0</v>
      </c>
      <c r="U409" s="1653">
        <f t="shared" si="123"/>
        <v>0</v>
      </c>
      <c r="V409" s="1653">
        <f t="shared" si="124"/>
        <v>0</v>
      </c>
      <c r="W409" s="1653">
        <f t="shared" si="125"/>
        <v>0</v>
      </c>
      <c r="X409" s="1653">
        <f t="shared" si="126"/>
        <v>0</v>
      </c>
      <c r="Y409" s="1653">
        <f t="shared" si="127"/>
        <v>0</v>
      </c>
    </row>
    <row r="410" spans="1:25" ht="15" hidden="1" outlineLevel="1">
      <c r="A410" s="1615">
        <v>402</v>
      </c>
      <c r="C410" s="1651" t="s">
        <v>3066</v>
      </c>
      <c r="D410" s="1651" t="s">
        <v>3067</v>
      </c>
      <c r="E410" s="1613">
        <v>559.09</v>
      </c>
      <c r="F410" s="1613">
        <v>-326.52</v>
      </c>
      <c r="G410" s="1613">
        <f t="shared" si="128"/>
        <v>232.57000000000005</v>
      </c>
      <c r="H410" s="1578">
        <v>2013</v>
      </c>
      <c r="I410" s="1662">
        <f t="shared" si="129"/>
        <v>2.5</v>
      </c>
      <c r="J410" s="1663">
        <v>36</v>
      </c>
      <c r="K410" s="1664">
        <f t="shared" si="130"/>
        <v>0.33333333333333331</v>
      </c>
      <c r="L410" s="1613">
        <f t="shared" si="131"/>
        <v>186.36333333333334</v>
      </c>
      <c r="M410" s="1613">
        <f t="shared" si="132"/>
        <v>559.09</v>
      </c>
      <c r="N410" s="1613">
        <f t="shared" si="121"/>
        <v>-559.09</v>
      </c>
      <c r="O410" s="1652">
        <f t="shared" si="133"/>
        <v>0</v>
      </c>
      <c r="P410" s="1653">
        <f t="shared" si="134"/>
        <v>0</v>
      </c>
      <c r="Q410" s="1653">
        <f t="shared" si="135"/>
        <v>0</v>
      </c>
      <c r="R410" s="1653">
        <f t="shared" si="136"/>
        <v>0</v>
      </c>
      <c r="S410" s="1653">
        <f t="shared" si="137"/>
        <v>0</v>
      </c>
      <c r="T410" s="1653">
        <f t="shared" si="122"/>
        <v>0</v>
      </c>
      <c r="U410" s="1653">
        <f t="shared" si="123"/>
        <v>0</v>
      </c>
      <c r="V410" s="1653">
        <f t="shared" si="124"/>
        <v>0</v>
      </c>
      <c r="W410" s="1653">
        <f t="shared" si="125"/>
        <v>0</v>
      </c>
      <c r="X410" s="1653">
        <f t="shared" si="126"/>
        <v>0</v>
      </c>
      <c r="Y410" s="1653">
        <f t="shared" si="127"/>
        <v>0</v>
      </c>
    </row>
    <row r="411" spans="1:25" ht="15" hidden="1" outlineLevel="1">
      <c r="A411" s="1615">
        <v>403</v>
      </c>
      <c r="C411" s="1651" t="s">
        <v>3068</v>
      </c>
      <c r="D411" s="1651" t="s">
        <v>3067</v>
      </c>
      <c r="E411" s="1613">
        <v>1589.36</v>
      </c>
      <c r="F411" s="1613">
        <v>-928.21</v>
      </c>
      <c r="G411" s="1613">
        <f t="shared" si="128"/>
        <v>661.14999999999986</v>
      </c>
      <c r="H411" s="1578">
        <v>2013</v>
      </c>
      <c r="I411" s="1662">
        <f t="shared" si="129"/>
        <v>2.5</v>
      </c>
      <c r="J411" s="1663">
        <v>36</v>
      </c>
      <c r="K411" s="1664">
        <f t="shared" si="130"/>
        <v>0.33333333333333331</v>
      </c>
      <c r="L411" s="1613">
        <f t="shared" si="131"/>
        <v>529.78666666666663</v>
      </c>
      <c r="M411" s="1613">
        <f t="shared" si="132"/>
        <v>1589.36</v>
      </c>
      <c r="N411" s="1613">
        <f t="shared" si="121"/>
        <v>-1589.36</v>
      </c>
      <c r="O411" s="1652">
        <f t="shared" si="133"/>
        <v>0</v>
      </c>
      <c r="P411" s="1653">
        <f t="shared" si="134"/>
        <v>0</v>
      </c>
      <c r="Q411" s="1653">
        <f t="shared" si="135"/>
        <v>0</v>
      </c>
      <c r="R411" s="1653">
        <f t="shared" si="136"/>
        <v>0</v>
      </c>
      <c r="S411" s="1653">
        <f t="shared" si="137"/>
        <v>0</v>
      </c>
      <c r="T411" s="1653">
        <f t="shared" si="122"/>
        <v>0</v>
      </c>
      <c r="U411" s="1653">
        <f t="shared" si="123"/>
        <v>0</v>
      </c>
      <c r="V411" s="1653">
        <f t="shared" si="124"/>
        <v>0</v>
      </c>
      <c r="W411" s="1653">
        <f t="shared" si="125"/>
        <v>0</v>
      </c>
      <c r="X411" s="1653">
        <f t="shared" si="126"/>
        <v>0</v>
      </c>
      <c r="Y411" s="1653">
        <f t="shared" si="127"/>
        <v>0</v>
      </c>
    </row>
    <row r="412" spans="1:25" ht="15" hidden="1" outlineLevel="1">
      <c r="A412" s="1615">
        <v>404</v>
      </c>
      <c r="C412" s="1651" t="s">
        <v>3069</v>
      </c>
      <c r="D412" s="1651" t="s">
        <v>3067</v>
      </c>
      <c r="E412" s="1613">
        <v>1139.5</v>
      </c>
      <c r="F412" s="1613">
        <v>-665.5</v>
      </c>
      <c r="G412" s="1613">
        <f t="shared" si="128"/>
        <v>474</v>
      </c>
      <c r="H412" s="1578">
        <v>2013</v>
      </c>
      <c r="I412" s="1662">
        <f t="shared" si="129"/>
        <v>2.5</v>
      </c>
      <c r="J412" s="1663">
        <v>36</v>
      </c>
      <c r="K412" s="1664">
        <f t="shared" si="130"/>
        <v>0.33333333333333331</v>
      </c>
      <c r="L412" s="1613">
        <f t="shared" si="131"/>
        <v>379.83333333333331</v>
      </c>
      <c r="M412" s="1613">
        <f t="shared" si="132"/>
        <v>1139.5</v>
      </c>
      <c r="N412" s="1613">
        <f t="shared" si="121"/>
        <v>-1139.5</v>
      </c>
      <c r="O412" s="1652">
        <f t="shared" si="133"/>
        <v>0</v>
      </c>
      <c r="P412" s="1653">
        <f t="shared" si="134"/>
        <v>0</v>
      </c>
      <c r="Q412" s="1653">
        <f t="shared" si="135"/>
        <v>0</v>
      </c>
      <c r="R412" s="1653">
        <f t="shared" si="136"/>
        <v>0</v>
      </c>
      <c r="S412" s="1653">
        <f t="shared" si="137"/>
        <v>0</v>
      </c>
      <c r="T412" s="1653">
        <f t="shared" si="122"/>
        <v>0</v>
      </c>
      <c r="U412" s="1653">
        <f t="shared" si="123"/>
        <v>0</v>
      </c>
      <c r="V412" s="1653">
        <f t="shared" si="124"/>
        <v>0</v>
      </c>
      <c r="W412" s="1653">
        <f t="shared" si="125"/>
        <v>0</v>
      </c>
      <c r="X412" s="1653">
        <f t="shared" si="126"/>
        <v>0</v>
      </c>
      <c r="Y412" s="1653">
        <f t="shared" si="127"/>
        <v>0</v>
      </c>
    </row>
    <row r="413" spans="1:25" ht="15" hidden="1" outlineLevel="1">
      <c r="A413" s="1615">
        <v>405</v>
      </c>
      <c r="C413" s="1651" t="s">
        <v>3070</v>
      </c>
      <c r="D413" s="1651" t="s">
        <v>2465</v>
      </c>
      <c r="E413" s="1613">
        <v>4272.42</v>
      </c>
      <c r="F413" s="1613">
        <v>-2374.2199999999998</v>
      </c>
      <c r="G413" s="1613">
        <f t="shared" si="128"/>
        <v>1898.2000000000003</v>
      </c>
      <c r="H413" s="1578">
        <v>2013</v>
      </c>
      <c r="I413" s="1662">
        <f t="shared" si="129"/>
        <v>2.5</v>
      </c>
      <c r="J413" s="1663">
        <v>36</v>
      </c>
      <c r="K413" s="1664">
        <f t="shared" si="130"/>
        <v>0.33333333333333331</v>
      </c>
      <c r="L413" s="1613">
        <f t="shared" si="131"/>
        <v>1424.1399999999999</v>
      </c>
      <c r="M413" s="1613">
        <f t="shared" si="132"/>
        <v>4272.42</v>
      </c>
      <c r="N413" s="1613">
        <f t="shared" si="121"/>
        <v>-4272.42</v>
      </c>
      <c r="O413" s="1652">
        <f t="shared" si="133"/>
        <v>0</v>
      </c>
      <c r="P413" s="1653">
        <f t="shared" si="134"/>
        <v>0</v>
      </c>
      <c r="Q413" s="1653">
        <f t="shared" si="135"/>
        <v>0</v>
      </c>
      <c r="R413" s="1653">
        <f t="shared" si="136"/>
        <v>0</v>
      </c>
      <c r="S413" s="1653">
        <f t="shared" si="137"/>
        <v>0</v>
      </c>
      <c r="T413" s="1653">
        <f t="shared" si="122"/>
        <v>0</v>
      </c>
      <c r="U413" s="1653">
        <f t="shared" si="123"/>
        <v>0</v>
      </c>
      <c r="V413" s="1653">
        <f t="shared" si="124"/>
        <v>0</v>
      </c>
      <c r="W413" s="1653">
        <f t="shared" si="125"/>
        <v>0</v>
      </c>
      <c r="X413" s="1653">
        <f t="shared" si="126"/>
        <v>0</v>
      </c>
      <c r="Y413" s="1653">
        <f t="shared" si="127"/>
        <v>0</v>
      </c>
    </row>
    <row r="414" spans="1:25" ht="15" hidden="1" outlineLevel="1">
      <c r="A414" s="1615">
        <v>406</v>
      </c>
      <c r="C414" s="1651" t="s">
        <v>3071</v>
      </c>
      <c r="D414" s="1651" t="s">
        <v>2465</v>
      </c>
      <c r="E414" s="1613">
        <v>643.21</v>
      </c>
      <c r="F414" s="1613">
        <v>-357.44</v>
      </c>
      <c r="G414" s="1613">
        <f t="shared" si="128"/>
        <v>285.77000000000004</v>
      </c>
      <c r="H414" s="1578">
        <v>2013</v>
      </c>
      <c r="I414" s="1662">
        <f t="shared" si="129"/>
        <v>2.5</v>
      </c>
      <c r="J414" s="1663">
        <v>36</v>
      </c>
      <c r="K414" s="1664">
        <f t="shared" si="130"/>
        <v>0.33333333333333331</v>
      </c>
      <c r="L414" s="1613">
        <f t="shared" si="131"/>
        <v>214.40333333333334</v>
      </c>
      <c r="M414" s="1613">
        <f t="shared" si="132"/>
        <v>643.21</v>
      </c>
      <c r="N414" s="1613">
        <f t="shared" si="121"/>
        <v>-643.21</v>
      </c>
      <c r="O414" s="1652">
        <f t="shared" si="133"/>
        <v>0</v>
      </c>
      <c r="P414" s="1653">
        <f t="shared" si="134"/>
        <v>0</v>
      </c>
      <c r="Q414" s="1653">
        <f t="shared" si="135"/>
        <v>0</v>
      </c>
      <c r="R414" s="1653">
        <f t="shared" si="136"/>
        <v>0</v>
      </c>
      <c r="S414" s="1653">
        <f t="shared" si="137"/>
        <v>0</v>
      </c>
      <c r="T414" s="1653">
        <f t="shared" si="122"/>
        <v>0</v>
      </c>
      <c r="U414" s="1653">
        <f t="shared" si="123"/>
        <v>0</v>
      </c>
      <c r="V414" s="1653">
        <f t="shared" si="124"/>
        <v>0</v>
      </c>
      <c r="W414" s="1653">
        <f t="shared" si="125"/>
        <v>0</v>
      </c>
      <c r="X414" s="1653">
        <f t="shared" si="126"/>
        <v>0</v>
      </c>
      <c r="Y414" s="1653">
        <f t="shared" si="127"/>
        <v>0</v>
      </c>
    </row>
    <row r="415" spans="1:25" ht="15" hidden="1" outlineLevel="1">
      <c r="A415" s="1615">
        <v>407</v>
      </c>
      <c r="C415" s="1651" t="s">
        <v>3072</v>
      </c>
      <c r="D415" s="1651" t="s">
        <v>2465</v>
      </c>
      <c r="E415" s="1613">
        <v>128.66</v>
      </c>
      <c r="F415" s="1613">
        <v>-71.489999999999995</v>
      </c>
      <c r="G415" s="1613">
        <f t="shared" si="128"/>
        <v>57.17</v>
      </c>
      <c r="H415" s="1578">
        <v>2013</v>
      </c>
      <c r="I415" s="1662">
        <f t="shared" si="129"/>
        <v>2.5</v>
      </c>
      <c r="J415" s="1663">
        <v>36</v>
      </c>
      <c r="K415" s="1664">
        <f t="shared" si="130"/>
        <v>0.33333333333333331</v>
      </c>
      <c r="L415" s="1613">
        <f t="shared" si="131"/>
        <v>42.886666666666663</v>
      </c>
      <c r="M415" s="1613">
        <f t="shared" si="132"/>
        <v>128.66</v>
      </c>
      <c r="N415" s="1613">
        <f t="shared" si="121"/>
        <v>-128.66</v>
      </c>
      <c r="O415" s="1652">
        <f t="shared" si="133"/>
        <v>0</v>
      </c>
      <c r="P415" s="1653">
        <f t="shared" si="134"/>
        <v>0</v>
      </c>
      <c r="Q415" s="1653">
        <f t="shared" si="135"/>
        <v>0</v>
      </c>
      <c r="R415" s="1653">
        <f t="shared" si="136"/>
        <v>0</v>
      </c>
      <c r="S415" s="1653">
        <f t="shared" si="137"/>
        <v>0</v>
      </c>
      <c r="T415" s="1653">
        <f t="shared" si="122"/>
        <v>0</v>
      </c>
      <c r="U415" s="1653">
        <f t="shared" si="123"/>
        <v>0</v>
      </c>
      <c r="V415" s="1653">
        <f t="shared" si="124"/>
        <v>0</v>
      </c>
      <c r="W415" s="1653">
        <f t="shared" si="125"/>
        <v>0</v>
      </c>
      <c r="X415" s="1653">
        <f t="shared" si="126"/>
        <v>0</v>
      </c>
      <c r="Y415" s="1653">
        <f t="shared" si="127"/>
        <v>0</v>
      </c>
    </row>
    <row r="416" spans="1:25" ht="15" hidden="1" outlineLevel="1">
      <c r="A416" s="1615">
        <v>408</v>
      </c>
      <c r="C416" s="1651" t="s">
        <v>3073</v>
      </c>
      <c r="D416" s="1651" t="s">
        <v>3074</v>
      </c>
      <c r="E416" s="1613">
        <v>1051.8800000000001</v>
      </c>
      <c r="F416" s="1613">
        <v>-584.53</v>
      </c>
      <c r="G416" s="1613">
        <f t="shared" si="128"/>
        <v>467.35000000000014</v>
      </c>
      <c r="H416" s="1578">
        <v>2013</v>
      </c>
      <c r="I416" s="1662">
        <f t="shared" si="129"/>
        <v>2.5</v>
      </c>
      <c r="J416" s="1663">
        <v>36</v>
      </c>
      <c r="K416" s="1664">
        <f t="shared" si="130"/>
        <v>0.33333333333333331</v>
      </c>
      <c r="L416" s="1613">
        <f t="shared" si="131"/>
        <v>350.62666666666667</v>
      </c>
      <c r="M416" s="1613">
        <f t="shared" si="132"/>
        <v>1051.8800000000001</v>
      </c>
      <c r="N416" s="1613">
        <f t="shared" si="121"/>
        <v>-1051.8800000000001</v>
      </c>
      <c r="O416" s="1652">
        <f t="shared" si="133"/>
        <v>0</v>
      </c>
      <c r="P416" s="1653">
        <f t="shared" si="134"/>
        <v>0</v>
      </c>
      <c r="Q416" s="1653">
        <f t="shared" si="135"/>
        <v>0</v>
      </c>
      <c r="R416" s="1653">
        <f t="shared" si="136"/>
        <v>0</v>
      </c>
      <c r="S416" s="1653">
        <f t="shared" si="137"/>
        <v>0</v>
      </c>
      <c r="T416" s="1653">
        <f t="shared" si="122"/>
        <v>0</v>
      </c>
      <c r="U416" s="1653">
        <f t="shared" si="123"/>
        <v>0</v>
      </c>
      <c r="V416" s="1653">
        <f t="shared" si="124"/>
        <v>0</v>
      </c>
      <c r="W416" s="1653">
        <f t="shared" si="125"/>
        <v>0</v>
      </c>
      <c r="X416" s="1653">
        <f t="shared" si="126"/>
        <v>0</v>
      </c>
      <c r="Y416" s="1653">
        <f t="shared" si="127"/>
        <v>0</v>
      </c>
    </row>
    <row r="417" spans="1:25" ht="15" hidden="1" outlineLevel="1">
      <c r="A417" s="1615">
        <v>409</v>
      </c>
      <c r="C417" s="1651" t="s">
        <v>3075</v>
      </c>
      <c r="D417" s="1651" t="s">
        <v>2465</v>
      </c>
      <c r="E417" s="1613">
        <v>556.70000000000005</v>
      </c>
      <c r="F417" s="1613">
        <v>-309.36</v>
      </c>
      <c r="G417" s="1613">
        <f t="shared" si="128"/>
        <v>247.34000000000003</v>
      </c>
      <c r="H417" s="1578">
        <v>2013</v>
      </c>
      <c r="I417" s="1662">
        <f t="shared" si="129"/>
        <v>2.5</v>
      </c>
      <c r="J417" s="1663">
        <v>36</v>
      </c>
      <c r="K417" s="1664">
        <f t="shared" si="130"/>
        <v>0.33333333333333331</v>
      </c>
      <c r="L417" s="1613">
        <f t="shared" si="131"/>
        <v>185.56666666666666</v>
      </c>
      <c r="M417" s="1613">
        <f t="shared" si="132"/>
        <v>556.70000000000005</v>
      </c>
      <c r="N417" s="1613">
        <f t="shared" si="121"/>
        <v>-556.70000000000005</v>
      </c>
      <c r="O417" s="1652">
        <f t="shared" si="133"/>
        <v>0</v>
      </c>
      <c r="P417" s="1653">
        <f t="shared" si="134"/>
        <v>0</v>
      </c>
      <c r="Q417" s="1653">
        <f t="shared" si="135"/>
        <v>0</v>
      </c>
      <c r="R417" s="1653">
        <f t="shared" si="136"/>
        <v>0</v>
      </c>
      <c r="S417" s="1653">
        <f t="shared" si="137"/>
        <v>0</v>
      </c>
      <c r="T417" s="1653">
        <f t="shared" si="122"/>
        <v>0</v>
      </c>
      <c r="U417" s="1653">
        <f t="shared" si="123"/>
        <v>0</v>
      </c>
      <c r="V417" s="1653">
        <f t="shared" si="124"/>
        <v>0</v>
      </c>
      <c r="W417" s="1653">
        <f t="shared" si="125"/>
        <v>0</v>
      </c>
      <c r="X417" s="1653">
        <f t="shared" si="126"/>
        <v>0</v>
      </c>
      <c r="Y417" s="1653">
        <f t="shared" si="127"/>
        <v>0</v>
      </c>
    </row>
    <row r="418" spans="1:25" ht="15" hidden="1" outlineLevel="1">
      <c r="A418" s="1615">
        <v>410</v>
      </c>
      <c r="C418" s="1651" t="s">
        <v>3076</v>
      </c>
      <c r="D418" s="1651" t="s">
        <v>2465</v>
      </c>
      <c r="E418" s="1613">
        <v>4047.73</v>
      </c>
      <c r="F418" s="1613">
        <v>-2249.36</v>
      </c>
      <c r="G418" s="1613">
        <f t="shared" si="128"/>
        <v>1798.37</v>
      </c>
      <c r="H418" s="1578">
        <v>2013</v>
      </c>
      <c r="I418" s="1662">
        <f t="shared" si="129"/>
        <v>2.5</v>
      </c>
      <c r="J418" s="1663">
        <v>36</v>
      </c>
      <c r="K418" s="1664">
        <f t="shared" si="130"/>
        <v>0.33333333333333331</v>
      </c>
      <c r="L418" s="1613">
        <f t="shared" si="131"/>
        <v>1349.2433333333333</v>
      </c>
      <c r="M418" s="1613">
        <f t="shared" si="132"/>
        <v>4047.73</v>
      </c>
      <c r="N418" s="1613">
        <f t="shared" si="121"/>
        <v>-4047.73</v>
      </c>
      <c r="O418" s="1652">
        <f t="shared" si="133"/>
        <v>0</v>
      </c>
      <c r="P418" s="1653">
        <f t="shared" si="134"/>
        <v>0</v>
      </c>
      <c r="Q418" s="1653">
        <f t="shared" si="135"/>
        <v>0</v>
      </c>
      <c r="R418" s="1653">
        <f t="shared" si="136"/>
        <v>0</v>
      </c>
      <c r="S418" s="1653">
        <f t="shared" si="137"/>
        <v>0</v>
      </c>
      <c r="T418" s="1653">
        <f t="shared" si="122"/>
        <v>0</v>
      </c>
      <c r="U418" s="1653">
        <f t="shared" si="123"/>
        <v>0</v>
      </c>
      <c r="V418" s="1653">
        <f t="shared" si="124"/>
        <v>0</v>
      </c>
      <c r="W418" s="1653">
        <f t="shared" si="125"/>
        <v>0</v>
      </c>
      <c r="X418" s="1653">
        <f t="shared" si="126"/>
        <v>0</v>
      </c>
      <c r="Y418" s="1653">
        <f t="shared" si="127"/>
        <v>0</v>
      </c>
    </row>
    <row r="419" spans="1:25" ht="15" hidden="1" outlineLevel="1">
      <c r="A419" s="1615">
        <v>411</v>
      </c>
      <c r="C419" s="1651" t="s">
        <v>3077</v>
      </c>
      <c r="D419" s="1651" t="s">
        <v>2465</v>
      </c>
      <c r="E419" s="1613">
        <v>445.67</v>
      </c>
      <c r="F419" s="1613">
        <v>-247.66</v>
      </c>
      <c r="G419" s="1613">
        <f t="shared" si="128"/>
        <v>198.01000000000002</v>
      </c>
      <c r="H419" s="1578">
        <v>2013</v>
      </c>
      <c r="I419" s="1662">
        <f t="shared" si="129"/>
        <v>2.5</v>
      </c>
      <c r="J419" s="1663">
        <v>36</v>
      </c>
      <c r="K419" s="1664">
        <f t="shared" si="130"/>
        <v>0.33333333333333331</v>
      </c>
      <c r="L419" s="1613">
        <f t="shared" si="131"/>
        <v>148.55666666666667</v>
      </c>
      <c r="M419" s="1613">
        <f t="shared" si="132"/>
        <v>445.67</v>
      </c>
      <c r="N419" s="1613">
        <f t="shared" si="121"/>
        <v>-445.67</v>
      </c>
      <c r="O419" s="1652">
        <f t="shared" si="133"/>
        <v>0</v>
      </c>
      <c r="P419" s="1653">
        <f t="shared" si="134"/>
        <v>0</v>
      </c>
      <c r="Q419" s="1653">
        <f t="shared" si="135"/>
        <v>0</v>
      </c>
      <c r="R419" s="1653">
        <f t="shared" si="136"/>
        <v>0</v>
      </c>
      <c r="S419" s="1653">
        <f t="shared" si="137"/>
        <v>0</v>
      </c>
      <c r="T419" s="1653">
        <f t="shared" si="122"/>
        <v>0</v>
      </c>
      <c r="U419" s="1653">
        <f t="shared" si="123"/>
        <v>0</v>
      </c>
      <c r="V419" s="1653">
        <f t="shared" si="124"/>
        <v>0</v>
      </c>
      <c r="W419" s="1653">
        <f t="shared" si="125"/>
        <v>0</v>
      </c>
      <c r="X419" s="1653">
        <f t="shared" si="126"/>
        <v>0</v>
      </c>
      <c r="Y419" s="1653">
        <f t="shared" si="127"/>
        <v>0</v>
      </c>
    </row>
    <row r="420" spans="1:25" ht="15" hidden="1" outlineLevel="1">
      <c r="A420" s="1615">
        <v>412</v>
      </c>
      <c r="C420" s="1651" t="s">
        <v>3078</v>
      </c>
      <c r="D420" s="1651" t="s">
        <v>2465</v>
      </c>
      <c r="E420" s="1613">
        <v>809.02</v>
      </c>
      <c r="F420" s="1613">
        <v>-449.59</v>
      </c>
      <c r="G420" s="1613">
        <f t="shared" si="128"/>
        <v>359.43</v>
      </c>
      <c r="H420" s="1578">
        <v>2013</v>
      </c>
      <c r="I420" s="1662">
        <f t="shared" si="129"/>
        <v>2.5</v>
      </c>
      <c r="J420" s="1663">
        <v>36</v>
      </c>
      <c r="K420" s="1664">
        <f t="shared" si="130"/>
        <v>0.33333333333333331</v>
      </c>
      <c r="L420" s="1613">
        <f t="shared" si="131"/>
        <v>269.67333333333329</v>
      </c>
      <c r="M420" s="1613">
        <f t="shared" si="132"/>
        <v>809.02</v>
      </c>
      <c r="N420" s="1613">
        <f t="shared" si="121"/>
        <v>-809.02</v>
      </c>
      <c r="O420" s="1652">
        <f t="shared" si="133"/>
        <v>0</v>
      </c>
      <c r="P420" s="1653">
        <f t="shared" si="134"/>
        <v>0</v>
      </c>
      <c r="Q420" s="1653">
        <f t="shared" si="135"/>
        <v>0</v>
      </c>
      <c r="R420" s="1653">
        <f t="shared" si="136"/>
        <v>0</v>
      </c>
      <c r="S420" s="1653">
        <f t="shared" si="137"/>
        <v>0</v>
      </c>
      <c r="T420" s="1653">
        <f t="shared" si="122"/>
        <v>0</v>
      </c>
      <c r="U420" s="1653">
        <f t="shared" si="123"/>
        <v>0</v>
      </c>
      <c r="V420" s="1653">
        <f t="shared" si="124"/>
        <v>0</v>
      </c>
      <c r="W420" s="1653">
        <f t="shared" si="125"/>
        <v>0</v>
      </c>
      <c r="X420" s="1653">
        <f t="shared" si="126"/>
        <v>0</v>
      </c>
      <c r="Y420" s="1653">
        <f t="shared" si="127"/>
        <v>0</v>
      </c>
    </row>
    <row r="421" spans="1:25" ht="15" hidden="1" outlineLevel="1">
      <c r="A421" s="1615">
        <v>413</v>
      </c>
      <c r="C421" s="1651" t="s">
        <v>3079</v>
      </c>
      <c r="D421" s="1651" t="s">
        <v>2465</v>
      </c>
      <c r="E421" s="1613">
        <v>3933.65</v>
      </c>
      <c r="F421" s="1613">
        <v>-2185.96</v>
      </c>
      <c r="G421" s="1613">
        <f t="shared" si="128"/>
        <v>1747.69</v>
      </c>
      <c r="H421" s="1578">
        <v>2013</v>
      </c>
      <c r="I421" s="1662">
        <f t="shared" si="129"/>
        <v>2.5</v>
      </c>
      <c r="J421" s="1663">
        <v>36</v>
      </c>
      <c r="K421" s="1664">
        <f t="shared" si="130"/>
        <v>0.33333333333333331</v>
      </c>
      <c r="L421" s="1613">
        <f t="shared" si="131"/>
        <v>1311.2166666666667</v>
      </c>
      <c r="M421" s="1613">
        <f t="shared" si="132"/>
        <v>3933.65</v>
      </c>
      <c r="N421" s="1613">
        <f t="shared" si="121"/>
        <v>-3933.65</v>
      </c>
      <c r="O421" s="1652">
        <f t="shared" si="133"/>
        <v>0</v>
      </c>
      <c r="P421" s="1653">
        <f t="shared" si="134"/>
        <v>0</v>
      </c>
      <c r="Q421" s="1653">
        <f t="shared" si="135"/>
        <v>0</v>
      </c>
      <c r="R421" s="1653">
        <f t="shared" si="136"/>
        <v>0</v>
      </c>
      <c r="S421" s="1653">
        <f t="shared" si="137"/>
        <v>0</v>
      </c>
      <c r="T421" s="1653">
        <f t="shared" si="122"/>
        <v>0</v>
      </c>
      <c r="U421" s="1653">
        <f t="shared" si="123"/>
        <v>0</v>
      </c>
      <c r="V421" s="1653">
        <f t="shared" si="124"/>
        <v>0</v>
      </c>
      <c r="W421" s="1653">
        <f t="shared" si="125"/>
        <v>0</v>
      </c>
      <c r="X421" s="1653">
        <f t="shared" si="126"/>
        <v>0</v>
      </c>
      <c r="Y421" s="1653">
        <f t="shared" si="127"/>
        <v>0</v>
      </c>
    </row>
    <row r="422" spans="1:25" ht="15" hidden="1" outlineLevel="1">
      <c r="A422" s="1615">
        <v>414</v>
      </c>
      <c r="C422" s="1651" t="s">
        <v>3080</v>
      </c>
      <c r="D422" s="1651" t="s">
        <v>2465</v>
      </c>
      <c r="E422" s="1613">
        <v>85.24</v>
      </c>
      <c r="F422" s="1613">
        <v>-47.38</v>
      </c>
      <c r="G422" s="1613">
        <f t="shared" si="128"/>
        <v>37.859999999999992</v>
      </c>
      <c r="H422" s="1578">
        <v>2013</v>
      </c>
      <c r="I422" s="1662">
        <f t="shared" si="129"/>
        <v>2.5</v>
      </c>
      <c r="J422" s="1663">
        <v>36</v>
      </c>
      <c r="K422" s="1664">
        <f t="shared" si="130"/>
        <v>0.33333333333333331</v>
      </c>
      <c r="L422" s="1613">
        <f t="shared" si="131"/>
        <v>28.41333333333333</v>
      </c>
      <c r="M422" s="1613">
        <f t="shared" si="132"/>
        <v>85.24</v>
      </c>
      <c r="N422" s="1613">
        <f t="shared" si="121"/>
        <v>-85.24</v>
      </c>
      <c r="O422" s="1652">
        <f t="shared" si="133"/>
        <v>0</v>
      </c>
      <c r="P422" s="1653">
        <f t="shared" si="134"/>
        <v>0</v>
      </c>
      <c r="Q422" s="1653">
        <f t="shared" si="135"/>
        <v>0</v>
      </c>
      <c r="R422" s="1653">
        <f t="shared" si="136"/>
        <v>0</v>
      </c>
      <c r="S422" s="1653">
        <f t="shared" si="137"/>
        <v>0</v>
      </c>
      <c r="T422" s="1653">
        <f t="shared" si="122"/>
        <v>0</v>
      </c>
      <c r="U422" s="1653">
        <f t="shared" si="123"/>
        <v>0</v>
      </c>
      <c r="V422" s="1653">
        <f t="shared" si="124"/>
        <v>0</v>
      </c>
      <c r="W422" s="1653">
        <f t="shared" si="125"/>
        <v>0</v>
      </c>
      <c r="X422" s="1653">
        <f t="shared" si="126"/>
        <v>0</v>
      </c>
      <c r="Y422" s="1653">
        <f t="shared" si="127"/>
        <v>0</v>
      </c>
    </row>
    <row r="423" spans="1:25" ht="15" hidden="1" outlineLevel="1">
      <c r="A423" s="1615">
        <v>415</v>
      </c>
      <c r="C423" s="1651" t="s">
        <v>3081</v>
      </c>
      <c r="D423" s="1651" t="s">
        <v>2465</v>
      </c>
      <c r="E423" s="1613">
        <v>71.03</v>
      </c>
      <c r="F423" s="1613">
        <v>-39.47</v>
      </c>
      <c r="G423" s="1613">
        <f t="shared" si="128"/>
        <v>31.560000000000002</v>
      </c>
      <c r="H423" s="1578">
        <v>2013</v>
      </c>
      <c r="I423" s="1662">
        <f t="shared" si="129"/>
        <v>2.5</v>
      </c>
      <c r="J423" s="1663">
        <v>36</v>
      </c>
      <c r="K423" s="1664">
        <f t="shared" si="130"/>
        <v>0.33333333333333331</v>
      </c>
      <c r="L423" s="1613">
        <f t="shared" si="131"/>
        <v>23.676666666666666</v>
      </c>
      <c r="M423" s="1613">
        <f t="shared" si="132"/>
        <v>71.03</v>
      </c>
      <c r="N423" s="1613">
        <f t="shared" si="121"/>
        <v>-71.03</v>
      </c>
      <c r="O423" s="1652">
        <f t="shared" si="133"/>
        <v>0</v>
      </c>
      <c r="P423" s="1653">
        <f t="shared" si="134"/>
        <v>0</v>
      </c>
      <c r="Q423" s="1653">
        <f t="shared" si="135"/>
        <v>0</v>
      </c>
      <c r="R423" s="1653">
        <f t="shared" si="136"/>
        <v>0</v>
      </c>
      <c r="S423" s="1653">
        <f t="shared" si="137"/>
        <v>0</v>
      </c>
      <c r="T423" s="1653">
        <f t="shared" si="122"/>
        <v>0</v>
      </c>
      <c r="U423" s="1653">
        <f t="shared" si="123"/>
        <v>0</v>
      </c>
      <c r="V423" s="1653">
        <f t="shared" si="124"/>
        <v>0</v>
      </c>
      <c r="W423" s="1653">
        <f t="shared" si="125"/>
        <v>0</v>
      </c>
      <c r="X423" s="1653">
        <f t="shared" si="126"/>
        <v>0</v>
      </c>
      <c r="Y423" s="1653">
        <f t="shared" si="127"/>
        <v>0</v>
      </c>
    </row>
    <row r="424" spans="1:25" ht="15" hidden="1" outlineLevel="1">
      <c r="A424" s="1615">
        <v>416</v>
      </c>
      <c r="C424" s="1651" t="s">
        <v>3082</v>
      </c>
      <c r="D424" s="1651" t="s">
        <v>2465</v>
      </c>
      <c r="E424" s="1613">
        <v>248.8</v>
      </c>
      <c r="F424" s="1613">
        <v>-138.27000000000001</v>
      </c>
      <c r="G424" s="1613">
        <f t="shared" si="128"/>
        <v>110.53</v>
      </c>
      <c r="H424" s="1578">
        <v>2013</v>
      </c>
      <c r="I424" s="1662">
        <f t="shared" si="129"/>
        <v>2.5</v>
      </c>
      <c r="J424" s="1663">
        <v>36</v>
      </c>
      <c r="K424" s="1664">
        <f t="shared" si="130"/>
        <v>0.33333333333333331</v>
      </c>
      <c r="L424" s="1613">
        <f t="shared" si="131"/>
        <v>82.933333333333337</v>
      </c>
      <c r="M424" s="1613">
        <f t="shared" si="132"/>
        <v>248.8</v>
      </c>
      <c r="N424" s="1613">
        <f t="shared" si="121"/>
        <v>-248.8</v>
      </c>
      <c r="O424" s="1652">
        <f t="shared" si="133"/>
        <v>0</v>
      </c>
      <c r="P424" s="1653">
        <f t="shared" si="134"/>
        <v>0</v>
      </c>
      <c r="Q424" s="1653">
        <f t="shared" si="135"/>
        <v>0</v>
      </c>
      <c r="R424" s="1653">
        <f t="shared" si="136"/>
        <v>0</v>
      </c>
      <c r="S424" s="1653">
        <f t="shared" si="137"/>
        <v>0</v>
      </c>
      <c r="T424" s="1653">
        <f t="shared" si="122"/>
        <v>0</v>
      </c>
      <c r="U424" s="1653">
        <f t="shared" si="123"/>
        <v>0</v>
      </c>
      <c r="V424" s="1653">
        <f t="shared" si="124"/>
        <v>0</v>
      </c>
      <c r="W424" s="1653">
        <f t="shared" si="125"/>
        <v>0</v>
      </c>
      <c r="X424" s="1653">
        <f t="shared" si="126"/>
        <v>0</v>
      </c>
      <c r="Y424" s="1653">
        <f t="shared" si="127"/>
        <v>0</v>
      </c>
    </row>
    <row r="425" spans="1:25" ht="15" hidden="1" outlineLevel="1">
      <c r="A425" s="1615">
        <v>417</v>
      </c>
      <c r="C425" s="1651" t="s">
        <v>3083</v>
      </c>
      <c r="D425" s="1651" t="s">
        <v>3067</v>
      </c>
      <c r="E425" s="1613">
        <v>1037.98</v>
      </c>
      <c r="F425" s="1613">
        <v>-576.82000000000005</v>
      </c>
      <c r="G425" s="1613">
        <f t="shared" si="128"/>
        <v>461.15999999999997</v>
      </c>
      <c r="H425" s="1578">
        <v>2013</v>
      </c>
      <c r="I425" s="1662">
        <f t="shared" si="129"/>
        <v>2.5</v>
      </c>
      <c r="J425" s="1663">
        <v>36</v>
      </c>
      <c r="K425" s="1664">
        <f t="shared" si="130"/>
        <v>0.33333333333333331</v>
      </c>
      <c r="L425" s="1613">
        <f t="shared" si="131"/>
        <v>345.99333333333334</v>
      </c>
      <c r="M425" s="1613">
        <f t="shared" si="132"/>
        <v>1037.98</v>
      </c>
      <c r="N425" s="1613">
        <f t="shared" si="121"/>
        <v>-1037.98</v>
      </c>
      <c r="O425" s="1652">
        <f t="shared" si="133"/>
        <v>0</v>
      </c>
      <c r="P425" s="1653">
        <f t="shared" si="134"/>
        <v>0</v>
      </c>
      <c r="Q425" s="1653">
        <f t="shared" si="135"/>
        <v>0</v>
      </c>
      <c r="R425" s="1653">
        <f t="shared" si="136"/>
        <v>0</v>
      </c>
      <c r="S425" s="1653">
        <f t="shared" si="137"/>
        <v>0</v>
      </c>
      <c r="T425" s="1653">
        <f t="shared" si="122"/>
        <v>0</v>
      </c>
      <c r="U425" s="1653">
        <f t="shared" si="123"/>
        <v>0</v>
      </c>
      <c r="V425" s="1653">
        <f t="shared" si="124"/>
        <v>0</v>
      </c>
      <c r="W425" s="1653">
        <f t="shared" si="125"/>
        <v>0</v>
      </c>
      <c r="X425" s="1653">
        <f t="shared" si="126"/>
        <v>0</v>
      </c>
      <c r="Y425" s="1653">
        <f t="shared" si="127"/>
        <v>0</v>
      </c>
    </row>
    <row r="426" spans="1:25" ht="15" hidden="1" outlineLevel="1">
      <c r="A426" s="1615">
        <v>418</v>
      </c>
      <c r="C426" s="1651" t="s">
        <v>3084</v>
      </c>
      <c r="D426" s="1651" t="s">
        <v>2465</v>
      </c>
      <c r="E426" s="1613">
        <v>751.89</v>
      </c>
      <c r="F426" s="1613">
        <v>-417.83</v>
      </c>
      <c r="G426" s="1613">
        <f t="shared" si="128"/>
        <v>334.06</v>
      </c>
      <c r="H426" s="1578">
        <v>2013</v>
      </c>
      <c r="I426" s="1662">
        <f t="shared" si="129"/>
        <v>2.5</v>
      </c>
      <c r="J426" s="1663">
        <v>36</v>
      </c>
      <c r="K426" s="1664">
        <f t="shared" si="130"/>
        <v>0.33333333333333331</v>
      </c>
      <c r="L426" s="1613">
        <f t="shared" si="131"/>
        <v>250.63</v>
      </c>
      <c r="M426" s="1613">
        <f t="shared" si="132"/>
        <v>751.89</v>
      </c>
      <c r="N426" s="1613">
        <f t="shared" si="121"/>
        <v>-751.89</v>
      </c>
      <c r="O426" s="1652">
        <f t="shared" si="133"/>
        <v>0</v>
      </c>
      <c r="P426" s="1653">
        <f t="shared" si="134"/>
        <v>0</v>
      </c>
      <c r="Q426" s="1653">
        <f t="shared" si="135"/>
        <v>0</v>
      </c>
      <c r="R426" s="1653">
        <f t="shared" si="136"/>
        <v>0</v>
      </c>
      <c r="S426" s="1653">
        <f t="shared" si="137"/>
        <v>0</v>
      </c>
      <c r="T426" s="1653">
        <f t="shared" si="122"/>
        <v>0</v>
      </c>
      <c r="U426" s="1653">
        <f t="shared" si="123"/>
        <v>0</v>
      </c>
      <c r="V426" s="1653">
        <f t="shared" si="124"/>
        <v>0</v>
      </c>
      <c r="W426" s="1653">
        <f t="shared" si="125"/>
        <v>0</v>
      </c>
      <c r="X426" s="1653">
        <f t="shared" si="126"/>
        <v>0</v>
      </c>
      <c r="Y426" s="1653">
        <f t="shared" si="127"/>
        <v>0</v>
      </c>
    </row>
    <row r="427" spans="1:25" ht="15" hidden="1" outlineLevel="1">
      <c r="A427" s="1615">
        <v>419</v>
      </c>
      <c r="C427" s="1651" t="s">
        <v>3085</v>
      </c>
      <c r="D427" s="1651" t="s">
        <v>2465</v>
      </c>
      <c r="E427" s="1613">
        <v>1926.89</v>
      </c>
      <c r="F427" s="1613">
        <v>-1070.79</v>
      </c>
      <c r="G427" s="1613">
        <f t="shared" si="128"/>
        <v>856.10000000000014</v>
      </c>
      <c r="H427" s="1578">
        <v>2013</v>
      </c>
      <c r="I427" s="1662">
        <f t="shared" si="129"/>
        <v>2.5</v>
      </c>
      <c r="J427" s="1663">
        <v>36</v>
      </c>
      <c r="K427" s="1664">
        <f t="shared" si="130"/>
        <v>0.33333333333333331</v>
      </c>
      <c r="L427" s="1613">
        <f t="shared" si="131"/>
        <v>642.29666666666662</v>
      </c>
      <c r="M427" s="1613">
        <f t="shared" si="132"/>
        <v>1926.89</v>
      </c>
      <c r="N427" s="1613">
        <f t="shared" si="121"/>
        <v>-1926.89</v>
      </c>
      <c r="O427" s="1652">
        <f t="shared" si="133"/>
        <v>0</v>
      </c>
      <c r="P427" s="1653">
        <f t="shared" si="134"/>
        <v>0</v>
      </c>
      <c r="Q427" s="1653">
        <f t="shared" si="135"/>
        <v>0</v>
      </c>
      <c r="R427" s="1653">
        <f t="shared" si="136"/>
        <v>0</v>
      </c>
      <c r="S427" s="1653">
        <f t="shared" si="137"/>
        <v>0</v>
      </c>
      <c r="T427" s="1653">
        <f t="shared" si="122"/>
        <v>0</v>
      </c>
      <c r="U427" s="1653">
        <f t="shared" si="123"/>
        <v>0</v>
      </c>
      <c r="V427" s="1653">
        <f t="shared" si="124"/>
        <v>0</v>
      </c>
      <c r="W427" s="1653">
        <f t="shared" si="125"/>
        <v>0</v>
      </c>
      <c r="X427" s="1653">
        <f t="shared" si="126"/>
        <v>0</v>
      </c>
      <c r="Y427" s="1653">
        <f t="shared" si="127"/>
        <v>0</v>
      </c>
    </row>
    <row r="428" spans="1:25" ht="15" hidden="1" outlineLevel="1">
      <c r="A428" s="1615">
        <v>420</v>
      </c>
      <c r="C428" s="1651" t="s">
        <v>3086</v>
      </c>
      <c r="D428" s="1651" t="s">
        <v>2465</v>
      </c>
      <c r="E428" s="1613">
        <v>367.82</v>
      </c>
      <c r="F428" s="1613">
        <v>-204.39</v>
      </c>
      <c r="G428" s="1613">
        <f t="shared" si="128"/>
        <v>163.43</v>
      </c>
      <c r="H428" s="1578">
        <v>2013</v>
      </c>
      <c r="I428" s="1662">
        <f t="shared" si="129"/>
        <v>2.5</v>
      </c>
      <c r="J428" s="1663">
        <v>36</v>
      </c>
      <c r="K428" s="1664">
        <f t="shared" si="130"/>
        <v>0.33333333333333331</v>
      </c>
      <c r="L428" s="1613">
        <f t="shared" si="131"/>
        <v>122.60666666666665</v>
      </c>
      <c r="M428" s="1613">
        <f t="shared" si="132"/>
        <v>367.82</v>
      </c>
      <c r="N428" s="1613">
        <f t="shared" si="121"/>
        <v>-367.82</v>
      </c>
      <c r="O428" s="1652">
        <f t="shared" si="133"/>
        <v>0</v>
      </c>
      <c r="P428" s="1653">
        <f t="shared" si="134"/>
        <v>0</v>
      </c>
      <c r="Q428" s="1653">
        <f t="shared" si="135"/>
        <v>0</v>
      </c>
      <c r="R428" s="1653">
        <f t="shared" si="136"/>
        <v>0</v>
      </c>
      <c r="S428" s="1653">
        <f t="shared" si="137"/>
        <v>0</v>
      </c>
      <c r="T428" s="1653">
        <f t="shared" si="122"/>
        <v>0</v>
      </c>
      <c r="U428" s="1653">
        <f t="shared" si="123"/>
        <v>0</v>
      </c>
      <c r="V428" s="1653">
        <f t="shared" si="124"/>
        <v>0</v>
      </c>
      <c r="W428" s="1653">
        <f t="shared" si="125"/>
        <v>0</v>
      </c>
      <c r="X428" s="1653">
        <f t="shared" si="126"/>
        <v>0</v>
      </c>
      <c r="Y428" s="1653">
        <f t="shared" si="127"/>
        <v>0</v>
      </c>
    </row>
    <row r="429" spans="1:25" ht="15" hidden="1" outlineLevel="1">
      <c r="A429" s="1615">
        <v>421</v>
      </c>
      <c r="C429" s="1651" t="s">
        <v>3087</v>
      </c>
      <c r="D429" s="1651" t="s">
        <v>2465</v>
      </c>
      <c r="E429" s="1613">
        <v>2690.67</v>
      </c>
      <c r="F429" s="1613">
        <v>-1495.22</v>
      </c>
      <c r="G429" s="1613">
        <f t="shared" si="128"/>
        <v>1195.45</v>
      </c>
      <c r="H429" s="1578">
        <v>2013</v>
      </c>
      <c r="I429" s="1662">
        <f t="shared" si="129"/>
        <v>2.5</v>
      </c>
      <c r="J429" s="1663">
        <v>36</v>
      </c>
      <c r="K429" s="1664">
        <f t="shared" si="130"/>
        <v>0.33333333333333331</v>
      </c>
      <c r="L429" s="1613">
        <f t="shared" si="131"/>
        <v>896.89</v>
      </c>
      <c r="M429" s="1613">
        <f t="shared" si="132"/>
        <v>2690.67</v>
      </c>
      <c r="N429" s="1613">
        <f t="shared" si="121"/>
        <v>-2690.67</v>
      </c>
      <c r="O429" s="1652">
        <f t="shared" si="133"/>
        <v>0</v>
      </c>
      <c r="P429" s="1653">
        <f t="shared" si="134"/>
        <v>0</v>
      </c>
      <c r="Q429" s="1653">
        <f t="shared" si="135"/>
        <v>0</v>
      </c>
      <c r="R429" s="1653">
        <f t="shared" si="136"/>
        <v>0</v>
      </c>
      <c r="S429" s="1653">
        <f t="shared" si="137"/>
        <v>0</v>
      </c>
      <c r="T429" s="1653">
        <f t="shared" si="122"/>
        <v>0</v>
      </c>
      <c r="U429" s="1653">
        <f t="shared" si="123"/>
        <v>0</v>
      </c>
      <c r="V429" s="1653">
        <f t="shared" si="124"/>
        <v>0</v>
      </c>
      <c r="W429" s="1653">
        <f t="shared" si="125"/>
        <v>0</v>
      </c>
      <c r="X429" s="1653">
        <f t="shared" si="126"/>
        <v>0</v>
      </c>
      <c r="Y429" s="1653">
        <f t="shared" si="127"/>
        <v>0</v>
      </c>
    </row>
    <row r="430" spans="1:25" ht="15" hidden="1" outlineLevel="1">
      <c r="A430" s="1615">
        <v>422</v>
      </c>
      <c r="C430" s="1651" t="s">
        <v>3088</v>
      </c>
      <c r="D430" s="1651" t="s">
        <v>2465</v>
      </c>
      <c r="E430" s="1613">
        <v>1488.79</v>
      </c>
      <c r="F430" s="1613">
        <v>-827.33</v>
      </c>
      <c r="G430" s="1613">
        <f t="shared" si="128"/>
        <v>661.45999999999992</v>
      </c>
      <c r="H430" s="1578">
        <v>2013</v>
      </c>
      <c r="I430" s="1662">
        <f t="shared" si="129"/>
        <v>2.5</v>
      </c>
      <c r="J430" s="1663">
        <v>36</v>
      </c>
      <c r="K430" s="1664">
        <f t="shared" si="130"/>
        <v>0.33333333333333331</v>
      </c>
      <c r="L430" s="1613">
        <f t="shared" si="131"/>
        <v>496.26333333333332</v>
      </c>
      <c r="M430" s="1613">
        <f t="shared" si="132"/>
        <v>1488.79</v>
      </c>
      <c r="N430" s="1613">
        <f t="shared" si="121"/>
        <v>-1488.79</v>
      </c>
      <c r="O430" s="1652">
        <f t="shared" si="133"/>
        <v>0</v>
      </c>
      <c r="P430" s="1653">
        <f t="shared" si="134"/>
        <v>0</v>
      </c>
      <c r="Q430" s="1653">
        <f t="shared" si="135"/>
        <v>0</v>
      </c>
      <c r="R430" s="1653">
        <f t="shared" si="136"/>
        <v>0</v>
      </c>
      <c r="S430" s="1653">
        <f t="shared" si="137"/>
        <v>0</v>
      </c>
      <c r="T430" s="1653">
        <f t="shared" si="122"/>
        <v>0</v>
      </c>
      <c r="U430" s="1653">
        <f t="shared" si="123"/>
        <v>0</v>
      </c>
      <c r="V430" s="1653">
        <f t="shared" si="124"/>
        <v>0</v>
      </c>
      <c r="W430" s="1653">
        <f t="shared" si="125"/>
        <v>0</v>
      </c>
      <c r="X430" s="1653">
        <f t="shared" si="126"/>
        <v>0</v>
      </c>
      <c r="Y430" s="1653">
        <f t="shared" si="127"/>
        <v>0</v>
      </c>
    </row>
    <row r="431" spans="1:25" ht="15" hidden="1" outlineLevel="1">
      <c r="A431" s="1615">
        <v>423</v>
      </c>
      <c r="C431" s="1651" t="s">
        <v>3089</v>
      </c>
      <c r="D431" s="1651" t="s">
        <v>2465</v>
      </c>
      <c r="E431" s="1613">
        <v>4028.52</v>
      </c>
      <c r="F431" s="1613">
        <v>-2128.31</v>
      </c>
      <c r="G431" s="1613">
        <f t="shared" si="128"/>
        <v>1900.21</v>
      </c>
      <c r="H431" s="1578">
        <v>2013</v>
      </c>
      <c r="I431" s="1662">
        <f t="shared" si="129"/>
        <v>2.5</v>
      </c>
      <c r="J431" s="1663">
        <v>36</v>
      </c>
      <c r="K431" s="1664">
        <f t="shared" si="130"/>
        <v>0.33333333333333331</v>
      </c>
      <c r="L431" s="1613">
        <f t="shared" si="131"/>
        <v>1342.84</v>
      </c>
      <c r="M431" s="1613">
        <f t="shared" si="132"/>
        <v>4028.52</v>
      </c>
      <c r="N431" s="1613">
        <f t="shared" si="121"/>
        <v>-4028.52</v>
      </c>
      <c r="O431" s="1652">
        <f t="shared" si="133"/>
        <v>0</v>
      </c>
      <c r="P431" s="1653">
        <f t="shared" si="134"/>
        <v>0</v>
      </c>
      <c r="Q431" s="1653">
        <f t="shared" si="135"/>
        <v>0</v>
      </c>
      <c r="R431" s="1653">
        <f t="shared" si="136"/>
        <v>0</v>
      </c>
      <c r="S431" s="1653">
        <f t="shared" si="137"/>
        <v>0</v>
      </c>
      <c r="T431" s="1653">
        <f t="shared" si="122"/>
        <v>0</v>
      </c>
      <c r="U431" s="1653">
        <f t="shared" si="123"/>
        <v>0</v>
      </c>
      <c r="V431" s="1653">
        <f t="shared" si="124"/>
        <v>0</v>
      </c>
      <c r="W431" s="1653">
        <f t="shared" si="125"/>
        <v>0</v>
      </c>
      <c r="X431" s="1653">
        <f t="shared" si="126"/>
        <v>0</v>
      </c>
      <c r="Y431" s="1653">
        <f t="shared" si="127"/>
        <v>0</v>
      </c>
    </row>
    <row r="432" spans="1:25" ht="15" hidden="1" outlineLevel="1">
      <c r="A432" s="1615">
        <v>424</v>
      </c>
      <c r="C432" s="1651" t="s">
        <v>3090</v>
      </c>
      <c r="D432" s="1651" t="s">
        <v>2465</v>
      </c>
      <c r="E432" s="1613">
        <v>352.25</v>
      </c>
      <c r="F432" s="1613">
        <v>-186.1</v>
      </c>
      <c r="G432" s="1613">
        <f t="shared" si="128"/>
        <v>166.15</v>
      </c>
      <c r="H432" s="1578">
        <v>2013</v>
      </c>
      <c r="I432" s="1662">
        <f t="shared" si="129"/>
        <v>2.5</v>
      </c>
      <c r="J432" s="1663">
        <v>36</v>
      </c>
      <c r="K432" s="1664">
        <f t="shared" si="130"/>
        <v>0.33333333333333331</v>
      </c>
      <c r="L432" s="1613">
        <f t="shared" si="131"/>
        <v>117.41666666666666</v>
      </c>
      <c r="M432" s="1613">
        <f t="shared" si="132"/>
        <v>352.25</v>
      </c>
      <c r="N432" s="1613">
        <f t="shared" si="121"/>
        <v>-352.25</v>
      </c>
      <c r="O432" s="1652">
        <f t="shared" si="133"/>
        <v>0</v>
      </c>
      <c r="P432" s="1653">
        <f t="shared" si="134"/>
        <v>0</v>
      </c>
      <c r="Q432" s="1653">
        <f t="shared" si="135"/>
        <v>0</v>
      </c>
      <c r="R432" s="1653">
        <f t="shared" si="136"/>
        <v>0</v>
      </c>
      <c r="S432" s="1653">
        <f t="shared" si="137"/>
        <v>0</v>
      </c>
      <c r="T432" s="1653">
        <f t="shared" si="122"/>
        <v>0</v>
      </c>
      <c r="U432" s="1653">
        <f t="shared" si="123"/>
        <v>0</v>
      </c>
      <c r="V432" s="1653">
        <f t="shared" si="124"/>
        <v>0</v>
      </c>
      <c r="W432" s="1653">
        <f t="shared" si="125"/>
        <v>0</v>
      </c>
      <c r="X432" s="1653">
        <f t="shared" si="126"/>
        <v>0</v>
      </c>
      <c r="Y432" s="1653">
        <f t="shared" si="127"/>
        <v>0</v>
      </c>
    </row>
    <row r="433" spans="1:25" ht="15" hidden="1" outlineLevel="1">
      <c r="A433" s="1615">
        <v>425</v>
      </c>
      <c r="C433" s="1651" t="s">
        <v>3091</v>
      </c>
      <c r="D433" s="1651" t="s">
        <v>2465</v>
      </c>
      <c r="E433" s="1613">
        <v>1927.38</v>
      </c>
      <c r="F433" s="1613">
        <v>-1018.26</v>
      </c>
      <c r="G433" s="1613">
        <f t="shared" si="128"/>
        <v>909.12000000000012</v>
      </c>
      <c r="H433" s="1578">
        <v>2013</v>
      </c>
      <c r="I433" s="1662">
        <f t="shared" si="129"/>
        <v>2.5</v>
      </c>
      <c r="J433" s="1663">
        <v>36</v>
      </c>
      <c r="K433" s="1664">
        <f t="shared" si="130"/>
        <v>0.33333333333333331</v>
      </c>
      <c r="L433" s="1613">
        <f t="shared" si="131"/>
        <v>642.46</v>
      </c>
      <c r="M433" s="1613">
        <f t="shared" si="132"/>
        <v>1927.38</v>
      </c>
      <c r="N433" s="1613">
        <f t="shared" si="121"/>
        <v>-1927.38</v>
      </c>
      <c r="O433" s="1652">
        <f t="shared" si="133"/>
        <v>0</v>
      </c>
      <c r="P433" s="1653">
        <f t="shared" si="134"/>
        <v>0</v>
      </c>
      <c r="Q433" s="1653">
        <f t="shared" si="135"/>
        <v>0</v>
      </c>
      <c r="R433" s="1653">
        <f t="shared" si="136"/>
        <v>0</v>
      </c>
      <c r="S433" s="1653">
        <f t="shared" si="137"/>
        <v>0</v>
      </c>
      <c r="T433" s="1653">
        <f t="shared" si="122"/>
        <v>0</v>
      </c>
      <c r="U433" s="1653">
        <f t="shared" si="123"/>
        <v>0</v>
      </c>
      <c r="V433" s="1653">
        <f t="shared" si="124"/>
        <v>0</v>
      </c>
      <c r="W433" s="1653">
        <f t="shared" si="125"/>
        <v>0</v>
      </c>
      <c r="X433" s="1653">
        <f t="shared" si="126"/>
        <v>0</v>
      </c>
      <c r="Y433" s="1653">
        <f t="shared" si="127"/>
        <v>0</v>
      </c>
    </row>
    <row r="434" spans="1:25" ht="15" hidden="1" outlineLevel="1">
      <c r="A434" s="1615">
        <v>426</v>
      </c>
      <c r="C434" s="1651" t="s">
        <v>3092</v>
      </c>
      <c r="D434" s="1651" t="s">
        <v>2465</v>
      </c>
      <c r="E434" s="1613">
        <v>1390.11</v>
      </c>
      <c r="F434" s="1613">
        <v>-734.4</v>
      </c>
      <c r="G434" s="1613">
        <f t="shared" si="128"/>
        <v>655.70999999999992</v>
      </c>
      <c r="H434" s="1578">
        <v>2013</v>
      </c>
      <c r="I434" s="1662">
        <f t="shared" si="129"/>
        <v>2.5</v>
      </c>
      <c r="J434" s="1663">
        <v>36</v>
      </c>
      <c r="K434" s="1664">
        <f t="shared" si="130"/>
        <v>0.33333333333333331</v>
      </c>
      <c r="L434" s="1613">
        <f t="shared" si="131"/>
        <v>463.36999999999995</v>
      </c>
      <c r="M434" s="1613">
        <f t="shared" si="132"/>
        <v>1390.11</v>
      </c>
      <c r="N434" s="1613">
        <f t="shared" si="121"/>
        <v>-1390.11</v>
      </c>
      <c r="O434" s="1652">
        <f t="shared" si="133"/>
        <v>0</v>
      </c>
      <c r="P434" s="1653">
        <f t="shared" si="134"/>
        <v>0</v>
      </c>
      <c r="Q434" s="1653">
        <f t="shared" si="135"/>
        <v>0</v>
      </c>
      <c r="R434" s="1653">
        <f t="shared" si="136"/>
        <v>0</v>
      </c>
      <c r="S434" s="1653">
        <f t="shared" si="137"/>
        <v>0</v>
      </c>
      <c r="T434" s="1653">
        <f t="shared" si="122"/>
        <v>0</v>
      </c>
      <c r="U434" s="1653">
        <f t="shared" si="123"/>
        <v>0</v>
      </c>
      <c r="V434" s="1653">
        <f t="shared" si="124"/>
        <v>0</v>
      </c>
      <c r="W434" s="1653">
        <f t="shared" si="125"/>
        <v>0</v>
      </c>
      <c r="X434" s="1653">
        <f t="shared" si="126"/>
        <v>0</v>
      </c>
      <c r="Y434" s="1653">
        <f t="shared" si="127"/>
        <v>0</v>
      </c>
    </row>
    <row r="435" spans="1:25" ht="15" hidden="1" outlineLevel="1">
      <c r="A435" s="1615">
        <v>427</v>
      </c>
      <c r="C435" s="1651" t="s">
        <v>3093</v>
      </c>
      <c r="D435" s="1651" t="s">
        <v>2465</v>
      </c>
      <c r="E435" s="1613">
        <v>5631.67</v>
      </c>
      <c r="F435" s="1613">
        <v>-2975.27</v>
      </c>
      <c r="G435" s="1613">
        <f t="shared" si="128"/>
        <v>2656.4</v>
      </c>
      <c r="H435" s="1578">
        <v>2013</v>
      </c>
      <c r="I435" s="1662">
        <f t="shared" si="129"/>
        <v>2.5</v>
      </c>
      <c r="J435" s="1663">
        <v>36</v>
      </c>
      <c r="K435" s="1664">
        <f t="shared" si="130"/>
        <v>0.33333333333333331</v>
      </c>
      <c r="L435" s="1613">
        <f t="shared" si="131"/>
        <v>1877.2233333333334</v>
      </c>
      <c r="M435" s="1613">
        <f t="shared" si="132"/>
        <v>5631.67</v>
      </c>
      <c r="N435" s="1613">
        <f t="shared" si="121"/>
        <v>-5631.67</v>
      </c>
      <c r="O435" s="1652">
        <f t="shared" si="133"/>
        <v>0</v>
      </c>
      <c r="P435" s="1653">
        <f t="shared" si="134"/>
        <v>0</v>
      </c>
      <c r="Q435" s="1653">
        <f t="shared" si="135"/>
        <v>0</v>
      </c>
      <c r="R435" s="1653">
        <f t="shared" si="136"/>
        <v>0</v>
      </c>
      <c r="S435" s="1653">
        <f t="shared" si="137"/>
        <v>0</v>
      </c>
      <c r="T435" s="1653">
        <f t="shared" si="122"/>
        <v>0</v>
      </c>
      <c r="U435" s="1653">
        <f t="shared" si="123"/>
        <v>0</v>
      </c>
      <c r="V435" s="1653">
        <f t="shared" si="124"/>
        <v>0</v>
      </c>
      <c r="W435" s="1653">
        <f t="shared" si="125"/>
        <v>0</v>
      </c>
      <c r="X435" s="1653">
        <f t="shared" si="126"/>
        <v>0</v>
      </c>
      <c r="Y435" s="1653">
        <f t="shared" si="127"/>
        <v>0</v>
      </c>
    </row>
    <row r="436" spans="1:25" ht="15" hidden="1" outlineLevel="1">
      <c r="A436" s="1615">
        <v>428</v>
      </c>
      <c r="C436" s="1651" t="s">
        <v>3094</v>
      </c>
      <c r="D436" s="1651" t="s">
        <v>2465</v>
      </c>
      <c r="E436" s="1613">
        <v>96.95</v>
      </c>
      <c r="F436" s="1613">
        <v>-51.22</v>
      </c>
      <c r="G436" s="1613">
        <f t="shared" si="128"/>
        <v>45.730000000000004</v>
      </c>
      <c r="H436" s="1578">
        <v>2013</v>
      </c>
      <c r="I436" s="1662">
        <f t="shared" si="129"/>
        <v>2.5</v>
      </c>
      <c r="J436" s="1663">
        <v>36</v>
      </c>
      <c r="K436" s="1664">
        <f t="shared" si="130"/>
        <v>0.33333333333333331</v>
      </c>
      <c r="L436" s="1613">
        <f t="shared" si="131"/>
        <v>32.316666666666663</v>
      </c>
      <c r="M436" s="1613">
        <f t="shared" si="132"/>
        <v>96.95</v>
      </c>
      <c r="N436" s="1613">
        <f t="shared" si="121"/>
        <v>-96.95</v>
      </c>
      <c r="O436" s="1652">
        <f t="shared" si="133"/>
        <v>0</v>
      </c>
      <c r="P436" s="1653">
        <f t="shared" si="134"/>
        <v>0</v>
      </c>
      <c r="Q436" s="1653">
        <f t="shared" si="135"/>
        <v>0</v>
      </c>
      <c r="R436" s="1653">
        <f t="shared" si="136"/>
        <v>0</v>
      </c>
      <c r="S436" s="1653">
        <f t="shared" si="137"/>
        <v>0</v>
      </c>
      <c r="T436" s="1653">
        <f t="shared" si="122"/>
        <v>0</v>
      </c>
      <c r="U436" s="1653">
        <f t="shared" si="123"/>
        <v>0</v>
      </c>
      <c r="V436" s="1653">
        <f t="shared" si="124"/>
        <v>0</v>
      </c>
      <c r="W436" s="1653">
        <f t="shared" si="125"/>
        <v>0</v>
      </c>
      <c r="X436" s="1653">
        <f t="shared" si="126"/>
        <v>0</v>
      </c>
      <c r="Y436" s="1653">
        <f t="shared" si="127"/>
        <v>0</v>
      </c>
    </row>
    <row r="437" spans="1:25" ht="15" hidden="1" outlineLevel="1">
      <c r="A437" s="1615">
        <v>429</v>
      </c>
      <c r="C437" s="1651" t="s">
        <v>3095</v>
      </c>
      <c r="D437" s="1651" t="s">
        <v>2465</v>
      </c>
      <c r="E437" s="1613">
        <v>80.97</v>
      </c>
      <c r="F437" s="1613">
        <v>-42.77</v>
      </c>
      <c r="G437" s="1613">
        <f t="shared" si="128"/>
        <v>38.199999999999996</v>
      </c>
      <c r="H437" s="1578">
        <v>2013</v>
      </c>
      <c r="I437" s="1662">
        <f t="shared" si="129"/>
        <v>2.5</v>
      </c>
      <c r="J437" s="1663">
        <v>36</v>
      </c>
      <c r="K437" s="1664">
        <f t="shared" si="130"/>
        <v>0.33333333333333331</v>
      </c>
      <c r="L437" s="1613">
        <f t="shared" si="131"/>
        <v>26.99</v>
      </c>
      <c r="M437" s="1613">
        <f t="shared" si="132"/>
        <v>80.97</v>
      </c>
      <c r="N437" s="1613">
        <f t="shared" si="121"/>
        <v>-80.97</v>
      </c>
      <c r="O437" s="1652">
        <f t="shared" si="133"/>
        <v>0</v>
      </c>
      <c r="P437" s="1653">
        <f t="shared" si="134"/>
        <v>0</v>
      </c>
      <c r="Q437" s="1653">
        <f t="shared" si="135"/>
        <v>0</v>
      </c>
      <c r="R437" s="1653">
        <f t="shared" si="136"/>
        <v>0</v>
      </c>
      <c r="S437" s="1653">
        <f t="shared" si="137"/>
        <v>0</v>
      </c>
      <c r="T437" s="1653">
        <f t="shared" si="122"/>
        <v>0</v>
      </c>
      <c r="U437" s="1653">
        <f t="shared" si="123"/>
        <v>0</v>
      </c>
      <c r="V437" s="1653">
        <f t="shared" si="124"/>
        <v>0</v>
      </c>
      <c r="W437" s="1653">
        <f t="shared" si="125"/>
        <v>0</v>
      </c>
      <c r="X437" s="1653">
        <f t="shared" si="126"/>
        <v>0</v>
      </c>
      <c r="Y437" s="1653">
        <f t="shared" si="127"/>
        <v>0</v>
      </c>
    </row>
    <row r="438" spans="1:25" ht="15" hidden="1" outlineLevel="1">
      <c r="A438" s="1615">
        <v>430</v>
      </c>
      <c r="C438" s="1651" t="s">
        <v>3096</v>
      </c>
      <c r="D438" s="1651" t="s">
        <v>3074</v>
      </c>
      <c r="E438" s="1613">
        <v>855.68</v>
      </c>
      <c r="F438" s="1613">
        <v>-452.06</v>
      </c>
      <c r="G438" s="1613">
        <f t="shared" si="128"/>
        <v>403.61999999999995</v>
      </c>
      <c r="H438" s="1578">
        <v>2013</v>
      </c>
      <c r="I438" s="1662">
        <f t="shared" si="129"/>
        <v>2.5</v>
      </c>
      <c r="J438" s="1663">
        <v>36</v>
      </c>
      <c r="K438" s="1664">
        <f t="shared" si="130"/>
        <v>0.33333333333333331</v>
      </c>
      <c r="L438" s="1613">
        <f t="shared" si="131"/>
        <v>285.22666666666663</v>
      </c>
      <c r="M438" s="1613">
        <f t="shared" si="132"/>
        <v>855.68</v>
      </c>
      <c r="N438" s="1613">
        <f t="shared" si="121"/>
        <v>-855.68</v>
      </c>
      <c r="O438" s="1652">
        <f t="shared" si="133"/>
        <v>0</v>
      </c>
      <c r="P438" s="1653">
        <f t="shared" si="134"/>
        <v>0</v>
      </c>
      <c r="Q438" s="1653">
        <f t="shared" si="135"/>
        <v>0</v>
      </c>
      <c r="R438" s="1653">
        <f t="shared" si="136"/>
        <v>0</v>
      </c>
      <c r="S438" s="1653">
        <f t="shared" si="137"/>
        <v>0</v>
      </c>
      <c r="T438" s="1653">
        <f t="shared" si="122"/>
        <v>0</v>
      </c>
      <c r="U438" s="1653">
        <f t="shared" si="123"/>
        <v>0</v>
      </c>
      <c r="V438" s="1653">
        <f t="shared" si="124"/>
        <v>0</v>
      </c>
      <c r="W438" s="1653">
        <f t="shared" si="125"/>
        <v>0</v>
      </c>
      <c r="X438" s="1653">
        <f t="shared" si="126"/>
        <v>0</v>
      </c>
      <c r="Y438" s="1653">
        <f t="shared" si="127"/>
        <v>0</v>
      </c>
    </row>
    <row r="439" spans="1:25" ht="15" hidden="1" outlineLevel="1">
      <c r="A439" s="1615">
        <v>431</v>
      </c>
      <c r="C439" s="1651" t="s">
        <v>3097</v>
      </c>
      <c r="D439" s="1651" t="s">
        <v>2465</v>
      </c>
      <c r="E439" s="1613">
        <v>239.07</v>
      </c>
      <c r="F439" s="1613">
        <v>-126.3</v>
      </c>
      <c r="G439" s="1613">
        <f t="shared" si="128"/>
        <v>112.77</v>
      </c>
      <c r="H439" s="1578">
        <v>2013</v>
      </c>
      <c r="I439" s="1662">
        <f t="shared" si="129"/>
        <v>2.5</v>
      </c>
      <c r="J439" s="1663">
        <v>36</v>
      </c>
      <c r="K439" s="1664">
        <f t="shared" si="130"/>
        <v>0.33333333333333331</v>
      </c>
      <c r="L439" s="1613">
        <f t="shared" si="131"/>
        <v>79.69</v>
      </c>
      <c r="M439" s="1613">
        <f t="shared" si="132"/>
        <v>239.07</v>
      </c>
      <c r="N439" s="1613">
        <f t="shared" si="121"/>
        <v>-239.07</v>
      </c>
      <c r="O439" s="1652">
        <f t="shared" si="133"/>
        <v>0</v>
      </c>
      <c r="P439" s="1653">
        <f t="shared" si="134"/>
        <v>0</v>
      </c>
      <c r="Q439" s="1653">
        <f t="shared" si="135"/>
        <v>0</v>
      </c>
      <c r="R439" s="1653">
        <f t="shared" si="136"/>
        <v>0</v>
      </c>
      <c r="S439" s="1653">
        <f t="shared" si="137"/>
        <v>0</v>
      </c>
      <c r="T439" s="1653">
        <f t="shared" si="122"/>
        <v>0</v>
      </c>
      <c r="U439" s="1653">
        <f t="shared" si="123"/>
        <v>0</v>
      </c>
      <c r="V439" s="1653">
        <f t="shared" si="124"/>
        <v>0</v>
      </c>
      <c r="W439" s="1653">
        <f t="shared" si="125"/>
        <v>0</v>
      </c>
      <c r="X439" s="1653">
        <f t="shared" si="126"/>
        <v>0</v>
      </c>
      <c r="Y439" s="1653">
        <f t="shared" si="127"/>
        <v>0</v>
      </c>
    </row>
    <row r="440" spans="1:25" ht="15" hidden="1" outlineLevel="1">
      <c r="A440" s="1615">
        <v>432</v>
      </c>
      <c r="C440" s="1651" t="s">
        <v>3098</v>
      </c>
      <c r="D440" s="1651" t="s">
        <v>2465</v>
      </c>
      <c r="E440" s="1613">
        <v>1757.18</v>
      </c>
      <c r="F440" s="1613">
        <v>-928.33</v>
      </c>
      <c r="G440" s="1613">
        <f t="shared" si="128"/>
        <v>828.85</v>
      </c>
      <c r="H440" s="1578">
        <v>2013</v>
      </c>
      <c r="I440" s="1662">
        <f t="shared" si="129"/>
        <v>2.5</v>
      </c>
      <c r="J440" s="1663">
        <v>36</v>
      </c>
      <c r="K440" s="1664">
        <f t="shared" si="130"/>
        <v>0.33333333333333331</v>
      </c>
      <c r="L440" s="1613">
        <f t="shared" si="131"/>
        <v>585.72666666666669</v>
      </c>
      <c r="M440" s="1613">
        <f t="shared" si="132"/>
        <v>1757.18</v>
      </c>
      <c r="N440" s="1613">
        <f t="shared" si="121"/>
        <v>-1757.18</v>
      </c>
      <c r="O440" s="1652">
        <f t="shared" si="133"/>
        <v>0</v>
      </c>
      <c r="P440" s="1653">
        <f t="shared" si="134"/>
        <v>0</v>
      </c>
      <c r="Q440" s="1653">
        <f t="shared" si="135"/>
        <v>0</v>
      </c>
      <c r="R440" s="1653">
        <f t="shared" si="136"/>
        <v>0</v>
      </c>
      <c r="S440" s="1653">
        <f t="shared" si="137"/>
        <v>0</v>
      </c>
      <c r="T440" s="1653">
        <f t="shared" si="122"/>
        <v>0</v>
      </c>
      <c r="U440" s="1653">
        <f t="shared" si="123"/>
        <v>0</v>
      </c>
      <c r="V440" s="1653">
        <f t="shared" si="124"/>
        <v>0</v>
      </c>
      <c r="W440" s="1653">
        <f t="shared" si="125"/>
        <v>0</v>
      </c>
      <c r="X440" s="1653">
        <f t="shared" si="126"/>
        <v>0</v>
      </c>
      <c r="Y440" s="1653">
        <f t="shared" si="127"/>
        <v>0</v>
      </c>
    </row>
    <row r="441" spans="1:25" ht="15" hidden="1" outlineLevel="1">
      <c r="A441" s="1615">
        <v>433</v>
      </c>
      <c r="C441" s="1651" t="s">
        <v>3099</v>
      </c>
      <c r="D441" s="1651" t="s">
        <v>2465</v>
      </c>
      <c r="E441" s="1613">
        <v>3097.86</v>
      </c>
      <c r="F441" s="1613">
        <v>-1636.63</v>
      </c>
      <c r="G441" s="1613">
        <f t="shared" si="128"/>
        <v>1461.23</v>
      </c>
      <c r="H441" s="1578">
        <v>2013</v>
      </c>
      <c r="I441" s="1662">
        <f t="shared" si="129"/>
        <v>2.5</v>
      </c>
      <c r="J441" s="1663">
        <v>36</v>
      </c>
      <c r="K441" s="1664">
        <f t="shared" si="130"/>
        <v>0.33333333333333331</v>
      </c>
      <c r="L441" s="1613">
        <f t="shared" si="131"/>
        <v>1032.6199999999999</v>
      </c>
      <c r="M441" s="1613">
        <f t="shared" si="132"/>
        <v>3097.86</v>
      </c>
      <c r="N441" s="1613">
        <f t="shared" si="121"/>
        <v>-3097.86</v>
      </c>
      <c r="O441" s="1652">
        <f t="shared" si="133"/>
        <v>0</v>
      </c>
      <c r="P441" s="1653">
        <f t="shared" si="134"/>
        <v>0</v>
      </c>
      <c r="Q441" s="1653">
        <f t="shared" si="135"/>
        <v>0</v>
      </c>
      <c r="R441" s="1653">
        <f t="shared" si="136"/>
        <v>0</v>
      </c>
      <c r="S441" s="1653">
        <f t="shared" si="137"/>
        <v>0</v>
      </c>
      <c r="T441" s="1653">
        <f t="shared" si="122"/>
        <v>0</v>
      </c>
      <c r="U441" s="1653">
        <f t="shared" si="123"/>
        <v>0</v>
      </c>
      <c r="V441" s="1653">
        <f t="shared" si="124"/>
        <v>0</v>
      </c>
      <c r="W441" s="1653">
        <f t="shared" si="125"/>
        <v>0</v>
      </c>
      <c r="X441" s="1653">
        <f t="shared" si="126"/>
        <v>0</v>
      </c>
      <c r="Y441" s="1653">
        <f t="shared" si="127"/>
        <v>0</v>
      </c>
    </row>
    <row r="442" spans="1:25" ht="15" hidden="1" outlineLevel="1">
      <c r="A442" s="1615">
        <v>434</v>
      </c>
      <c r="C442" s="1651" t="s">
        <v>3100</v>
      </c>
      <c r="D442" s="1651" t="s">
        <v>2465</v>
      </c>
      <c r="E442" s="1613">
        <v>148.47</v>
      </c>
      <c r="F442" s="1613">
        <v>-74.23</v>
      </c>
      <c r="G442" s="1613">
        <f t="shared" si="128"/>
        <v>74.239999999999995</v>
      </c>
      <c r="H442" s="1578">
        <v>2014</v>
      </c>
      <c r="I442" s="1662">
        <f t="shared" si="129"/>
        <v>1.5</v>
      </c>
      <c r="J442" s="1663">
        <v>36</v>
      </c>
      <c r="K442" s="1664">
        <f t="shared" si="130"/>
        <v>0.33333333333333331</v>
      </c>
      <c r="L442" s="1613">
        <f t="shared" si="131"/>
        <v>49.489999999999995</v>
      </c>
      <c r="M442" s="1613">
        <f t="shared" si="132"/>
        <v>148.47</v>
      </c>
      <c r="N442" s="1613">
        <f t="shared" si="121"/>
        <v>-98.97999999999999</v>
      </c>
      <c r="O442" s="1652">
        <f t="shared" si="133"/>
        <v>49.490000000000009</v>
      </c>
      <c r="P442" s="1653">
        <f t="shared" si="134"/>
        <v>-99.313333333333318</v>
      </c>
      <c r="Q442" s="1653">
        <f t="shared" si="135"/>
        <v>-49.823333333333323</v>
      </c>
      <c r="R442" s="1653">
        <f t="shared" si="136"/>
        <v>-49.823333333333323</v>
      </c>
      <c r="S442" s="1653">
        <f t="shared" si="137"/>
        <v>-0.3333333333333286</v>
      </c>
      <c r="T442" s="1653">
        <f t="shared" si="122"/>
        <v>-0.3333333333333286</v>
      </c>
      <c r="U442" s="1653">
        <f t="shared" si="123"/>
        <v>49.156666666666666</v>
      </c>
      <c r="V442" s="1653">
        <f t="shared" si="124"/>
        <v>-0.66666666666666186</v>
      </c>
      <c r="W442" s="1653">
        <f t="shared" si="125"/>
        <v>48.823333333333331</v>
      </c>
      <c r="X442" s="1653">
        <f t="shared" si="126"/>
        <v>-0.99999999999999512</v>
      </c>
      <c r="Y442" s="1653">
        <f t="shared" si="127"/>
        <v>48.49</v>
      </c>
    </row>
    <row r="443" spans="1:25" ht="15" hidden="1" outlineLevel="1">
      <c r="A443" s="1615">
        <v>435</v>
      </c>
      <c r="C443" s="1651" t="s">
        <v>3101</v>
      </c>
      <c r="D443" s="1651" t="s">
        <v>2465</v>
      </c>
      <c r="E443" s="1613">
        <v>156.13</v>
      </c>
      <c r="F443" s="1613">
        <v>-78.069999999999993</v>
      </c>
      <c r="G443" s="1613">
        <f t="shared" si="128"/>
        <v>78.06</v>
      </c>
      <c r="H443" s="1578">
        <v>2014</v>
      </c>
      <c r="I443" s="1662">
        <f t="shared" si="129"/>
        <v>1.5</v>
      </c>
      <c r="J443" s="1663">
        <v>36</v>
      </c>
      <c r="K443" s="1664">
        <f t="shared" si="130"/>
        <v>0.33333333333333331</v>
      </c>
      <c r="L443" s="1613">
        <f t="shared" si="131"/>
        <v>52.043333333333329</v>
      </c>
      <c r="M443" s="1613">
        <f t="shared" si="132"/>
        <v>156.13</v>
      </c>
      <c r="N443" s="1613">
        <f t="shared" si="121"/>
        <v>-104.08666666666666</v>
      </c>
      <c r="O443" s="1652">
        <f t="shared" si="133"/>
        <v>52.043333333333337</v>
      </c>
      <c r="P443" s="1653">
        <f t="shared" si="134"/>
        <v>-104.41999999999999</v>
      </c>
      <c r="Q443" s="1653">
        <f t="shared" si="135"/>
        <v>-52.376666666666658</v>
      </c>
      <c r="R443" s="1653">
        <f t="shared" si="136"/>
        <v>-52.376666666666658</v>
      </c>
      <c r="S443" s="1653">
        <f t="shared" si="137"/>
        <v>-0.3333333333333286</v>
      </c>
      <c r="T443" s="1653">
        <f t="shared" si="122"/>
        <v>-0.3333333333333286</v>
      </c>
      <c r="U443" s="1653">
        <f t="shared" si="123"/>
        <v>51.71</v>
      </c>
      <c r="V443" s="1653">
        <f t="shared" si="124"/>
        <v>-0.66666666666666186</v>
      </c>
      <c r="W443" s="1653">
        <f t="shared" si="125"/>
        <v>51.376666666666665</v>
      </c>
      <c r="X443" s="1653">
        <f t="shared" si="126"/>
        <v>-0.99999999999999512</v>
      </c>
      <c r="Y443" s="1653">
        <f t="shared" si="127"/>
        <v>51.043333333333337</v>
      </c>
    </row>
    <row r="444" spans="1:25" ht="15" hidden="1" outlineLevel="1">
      <c r="A444" s="1615">
        <v>436</v>
      </c>
      <c r="C444" s="1651" t="s">
        <v>3102</v>
      </c>
      <c r="D444" s="1651" t="s">
        <v>2465</v>
      </c>
      <c r="E444" s="1613">
        <v>1337.84</v>
      </c>
      <c r="F444" s="1613">
        <v>-668.91</v>
      </c>
      <c r="G444" s="1613">
        <f t="shared" si="128"/>
        <v>668.93</v>
      </c>
      <c r="H444" s="1578">
        <v>2014</v>
      </c>
      <c r="I444" s="1662">
        <f t="shared" si="129"/>
        <v>1.5</v>
      </c>
      <c r="J444" s="1663">
        <v>36</v>
      </c>
      <c r="K444" s="1664">
        <f t="shared" si="130"/>
        <v>0.33333333333333331</v>
      </c>
      <c r="L444" s="1613">
        <f t="shared" si="131"/>
        <v>445.9466666666666</v>
      </c>
      <c r="M444" s="1613">
        <f t="shared" si="132"/>
        <v>1337.84</v>
      </c>
      <c r="N444" s="1613">
        <f t="shared" si="121"/>
        <v>-891.8933333333332</v>
      </c>
      <c r="O444" s="1652">
        <f t="shared" si="133"/>
        <v>445.94666666666672</v>
      </c>
      <c r="P444" s="1653">
        <f t="shared" si="134"/>
        <v>-892.22666666666657</v>
      </c>
      <c r="Q444" s="1653">
        <f t="shared" si="135"/>
        <v>-446.28</v>
      </c>
      <c r="R444" s="1653">
        <f t="shared" si="136"/>
        <v>-446.28</v>
      </c>
      <c r="S444" s="1653">
        <f t="shared" si="137"/>
        <v>-0.33333333333337123</v>
      </c>
      <c r="T444" s="1653">
        <f t="shared" si="122"/>
        <v>-0.33333333333337123</v>
      </c>
      <c r="U444" s="1653">
        <f t="shared" si="123"/>
        <v>445.61333333333323</v>
      </c>
      <c r="V444" s="1653">
        <f t="shared" si="124"/>
        <v>-0.66666666666670449</v>
      </c>
      <c r="W444" s="1653">
        <f t="shared" si="125"/>
        <v>445.27999999999992</v>
      </c>
      <c r="X444" s="1653">
        <f t="shared" si="126"/>
        <v>-1.0000000000000377</v>
      </c>
      <c r="Y444" s="1653">
        <f t="shared" si="127"/>
        <v>444.94666666666654</v>
      </c>
    </row>
    <row r="445" spans="1:25" ht="15" hidden="1" outlineLevel="1">
      <c r="A445" s="1615">
        <v>437</v>
      </c>
      <c r="C445" s="1651" t="s">
        <v>3103</v>
      </c>
      <c r="D445" s="1651" t="s">
        <v>2465</v>
      </c>
      <c r="E445" s="1613">
        <v>1349.23</v>
      </c>
      <c r="F445" s="1613">
        <v>-674.62</v>
      </c>
      <c r="G445" s="1613">
        <f t="shared" si="128"/>
        <v>674.61</v>
      </c>
      <c r="H445" s="1578">
        <v>2014</v>
      </c>
      <c r="I445" s="1662">
        <f t="shared" si="129"/>
        <v>1.5</v>
      </c>
      <c r="J445" s="1663">
        <v>36</v>
      </c>
      <c r="K445" s="1664">
        <f t="shared" si="130"/>
        <v>0.33333333333333331</v>
      </c>
      <c r="L445" s="1613">
        <f t="shared" si="131"/>
        <v>449.74333333333334</v>
      </c>
      <c r="M445" s="1613">
        <f t="shared" si="132"/>
        <v>1349.23</v>
      </c>
      <c r="N445" s="1613">
        <f t="shared" si="121"/>
        <v>-899.48666666666668</v>
      </c>
      <c r="O445" s="1652">
        <f t="shared" si="133"/>
        <v>449.74333333333334</v>
      </c>
      <c r="P445" s="1653">
        <f t="shared" si="134"/>
        <v>-899.82</v>
      </c>
      <c r="Q445" s="1653">
        <f t="shared" si="135"/>
        <v>-450.07666666666671</v>
      </c>
      <c r="R445" s="1653">
        <f t="shared" si="136"/>
        <v>-450.07666666666671</v>
      </c>
      <c r="S445" s="1653">
        <f t="shared" si="137"/>
        <v>-0.33333333333337123</v>
      </c>
      <c r="T445" s="1653">
        <f t="shared" si="122"/>
        <v>-0.33333333333337123</v>
      </c>
      <c r="U445" s="1653">
        <f t="shared" si="123"/>
        <v>449.40999999999997</v>
      </c>
      <c r="V445" s="1653">
        <f t="shared" si="124"/>
        <v>-0.66666666666670449</v>
      </c>
      <c r="W445" s="1653">
        <f t="shared" si="125"/>
        <v>449.07666666666665</v>
      </c>
      <c r="X445" s="1653">
        <f t="shared" si="126"/>
        <v>-1.0000000000000377</v>
      </c>
      <c r="Y445" s="1653">
        <f t="shared" si="127"/>
        <v>448.74333333333328</v>
      </c>
    </row>
    <row r="446" spans="1:25" ht="15" hidden="1" outlineLevel="1">
      <c r="A446" s="1615">
        <v>438</v>
      </c>
      <c r="C446" s="1651" t="s">
        <v>3104</v>
      </c>
      <c r="D446" s="1651" t="s">
        <v>2465</v>
      </c>
      <c r="E446" s="1613">
        <v>2684.46</v>
      </c>
      <c r="F446" s="1613">
        <v>-1342.23</v>
      </c>
      <c r="G446" s="1613">
        <f t="shared" si="128"/>
        <v>1342.23</v>
      </c>
      <c r="H446" s="1578">
        <v>2014</v>
      </c>
      <c r="I446" s="1662">
        <f t="shared" si="129"/>
        <v>1.5</v>
      </c>
      <c r="J446" s="1663">
        <v>36</v>
      </c>
      <c r="K446" s="1664">
        <f t="shared" si="130"/>
        <v>0.33333333333333331</v>
      </c>
      <c r="L446" s="1613">
        <f t="shared" si="131"/>
        <v>894.81999999999994</v>
      </c>
      <c r="M446" s="1613">
        <f t="shared" si="132"/>
        <v>2684.46</v>
      </c>
      <c r="N446" s="1613">
        <f t="shared" si="121"/>
        <v>-1789.6399999999999</v>
      </c>
      <c r="O446" s="1652">
        <f t="shared" si="133"/>
        <v>894.82000000000016</v>
      </c>
      <c r="P446" s="1653">
        <f t="shared" si="134"/>
        <v>-1789.9733333333331</v>
      </c>
      <c r="Q446" s="1653">
        <f t="shared" si="135"/>
        <v>-895.15333333333319</v>
      </c>
      <c r="R446" s="1653">
        <f t="shared" si="136"/>
        <v>-895.15333333333319</v>
      </c>
      <c r="S446" s="1653">
        <f t="shared" si="137"/>
        <v>-0.33333333333325754</v>
      </c>
      <c r="T446" s="1653">
        <f t="shared" si="122"/>
        <v>-0.33333333333325754</v>
      </c>
      <c r="U446" s="1653">
        <f t="shared" si="123"/>
        <v>894.48666666666668</v>
      </c>
      <c r="V446" s="1653">
        <f t="shared" si="124"/>
        <v>-0.6666666666665908</v>
      </c>
      <c r="W446" s="1653">
        <f t="shared" si="125"/>
        <v>894.15333333333331</v>
      </c>
      <c r="X446" s="1653">
        <f t="shared" si="126"/>
        <v>-0.99999999999992406</v>
      </c>
      <c r="Y446" s="1653">
        <f t="shared" si="127"/>
        <v>893.82</v>
      </c>
    </row>
    <row r="447" spans="1:25" ht="15" hidden="1" outlineLevel="1">
      <c r="A447" s="1615">
        <v>439</v>
      </c>
      <c r="C447" s="1651" t="s">
        <v>3105</v>
      </c>
      <c r="D447" s="1651" t="s">
        <v>2465</v>
      </c>
      <c r="E447" s="1613">
        <v>504.38</v>
      </c>
      <c r="F447" s="1613">
        <v>-252.18</v>
      </c>
      <c r="G447" s="1613">
        <f t="shared" si="128"/>
        <v>252.2</v>
      </c>
      <c r="H447" s="1578">
        <v>2014</v>
      </c>
      <c r="I447" s="1662">
        <f t="shared" si="129"/>
        <v>1.5</v>
      </c>
      <c r="J447" s="1663">
        <v>36</v>
      </c>
      <c r="K447" s="1664">
        <f t="shared" si="130"/>
        <v>0.33333333333333331</v>
      </c>
      <c r="L447" s="1613">
        <f t="shared" si="131"/>
        <v>168.12666666666667</v>
      </c>
      <c r="M447" s="1613">
        <f t="shared" si="132"/>
        <v>504.38</v>
      </c>
      <c r="N447" s="1613">
        <f t="shared" si="121"/>
        <v>-336.25333333333333</v>
      </c>
      <c r="O447" s="1652">
        <f t="shared" si="133"/>
        <v>168.12666666666667</v>
      </c>
      <c r="P447" s="1653">
        <f t="shared" si="134"/>
        <v>-336.58666666666664</v>
      </c>
      <c r="Q447" s="1653">
        <f t="shared" si="135"/>
        <v>-168.45999999999998</v>
      </c>
      <c r="R447" s="1653">
        <f t="shared" si="136"/>
        <v>-168.45999999999998</v>
      </c>
      <c r="S447" s="1653">
        <f t="shared" si="137"/>
        <v>-0.33333333333331439</v>
      </c>
      <c r="T447" s="1653">
        <f t="shared" si="122"/>
        <v>-0.33333333333331439</v>
      </c>
      <c r="U447" s="1653">
        <f t="shared" si="123"/>
        <v>167.79333333333335</v>
      </c>
      <c r="V447" s="1653">
        <f t="shared" si="124"/>
        <v>-0.66666666666664764</v>
      </c>
      <c r="W447" s="1653">
        <f t="shared" si="125"/>
        <v>167.46</v>
      </c>
      <c r="X447" s="1653">
        <f t="shared" si="126"/>
        <v>-0.9999999999999809</v>
      </c>
      <c r="Y447" s="1653">
        <f t="shared" si="127"/>
        <v>167.12666666666669</v>
      </c>
    </row>
    <row r="448" spans="1:25" ht="15" hidden="1" outlineLevel="1">
      <c r="A448" s="1615">
        <v>440</v>
      </c>
      <c r="C448" s="1651" t="s">
        <v>3106</v>
      </c>
      <c r="D448" s="1651" t="s">
        <v>2465</v>
      </c>
      <c r="E448" s="1613">
        <v>1763.82</v>
      </c>
      <c r="F448" s="1613">
        <v>-881.91</v>
      </c>
      <c r="G448" s="1613">
        <f t="shared" si="128"/>
        <v>881.91</v>
      </c>
      <c r="H448" s="1578">
        <v>2014</v>
      </c>
      <c r="I448" s="1662">
        <f t="shared" si="129"/>
        <v>1.5</v>
      </c>
      <c r="J448" s="1663">
        <v>36</v>
      </c>
      <c r="K448" s="1664">
        <f t="shared" si="130"/>
        <v>0.33333333333333331</v>
      </c>
      <c r="L448" s="1613">
        <f t="shared" si="131"/>
        <v>587.93999999999994</v>
      </c>
      <c r="M448" s="1613">
        <f t="shared" si="132"/>
        <v>1763.82</v>
      </c>
      <c r="N448" s="1613">
        <f t="shared" si="121"/>
        <v>-1175.8799999999999</v>
      </c>
      <c r="O448" s="1652">
        <f t="shared" si="133"/>
        <v>587.94000000000005</v>
      </c>
      <c r="P448" s="1653">
        <f t="shared" si="134"/>
        <v>-1176.2133333333331</v>
      </c>
      <c r="Q448" s="1653">
        <f t="shared" si="135"/>
        <v>-588.2733333333332</v>
      </c>
      <c r="R448" s="1653">
        <f t="shared" si="136"/>
        <v>-588.2733333333332</v>
      </c>
      <c r="S448" s="1653">
        <f t="shared" si="137"/>
        <v>-0.33333333333325754</v>
      </c>
      <c r="T448" s="1653">
        <f t="shared" si="122"/>
        <v>-0.33333333333325754</v>
      </c>
      <c r="U448" s="1653">
        <f t="shared" si="123"/>
        <v>587.60666666666668</v>
      </c>
      <c r="V448" s="1653">
        <f t="shared" si="124"/>
        <v>-0.6666666666665908</v>
      </c>
      <c r="W448" s="1653">
        <f t="shared" si="125"/>
        <v>587.27333333333331</v>
      </c>
      <c r="X448" s="1653">
        <f t="shared" si="126"/>
        <v>-0.99999999999992406</v>
      </c>
      <c r="Y448" s="1653">
        <f t="shared" si="127"/>
        <v>586.94000000000005</v>
      </c>
    </row>
    <row r="449" spans="1:25" ht="15" hidden="1" outlineLevel="1">
      <c r="A449" s="1615">
        <v>441</v>
      </c>
      <c r="C449" s="1651" t="s">
        <v>3107</v>
      </c>
      <c r="D449" s="1651" t="s">
        <v>2465</v>
      </c>
      <c r="E449" s="1613">
        <v>2.54</v>
      </c>
      <c r="F449" s="1613">
        <v>-1.26</v>
      </c>
      <c r="G449" s="1613">
        <f t="shared" si="128"/>
        <v>1.28</v>
      </c>
      <c r="H449" s="1578">
        <v>2014</v>
      </c>
      <c r="I449" s="1662">
        <f t="shared" si="129"/>
        <v>1.5</v>
      </c>
      <c r="J449" s="1663">
        <v>36</v>
      </c>
      <c r="K449" s="1664">
        <f t="shared" si="130"/>
        <v>0.33333333333333331</v>
      </c>
      <c r="L449" s="1613">
        <f t="shared" si="131"/>
        <v>0.84666666666666668</v>
      </c>
      <c r="M449" s="1613">
        <f t="shared" si="132"/>
        <v>2.54</v>
      </c>
      <c r="N449" s="1613">
        <f t="shared" si="121"/>
        <v>-1.6933333333333334</v>
      </c>
      <c r="O449" s="1652">
        <f t="shared" si="133"/>
        <v>0.84666666666666668</v>
      </c>
      <c r="P449" s="1653">
        <f t="shared" si="134"/>
        <v>-2.0266666666666668</v>
      </c>
      <c r="Q449" s="1653">
        <f t="shared" si="135"/>
        <v>-1.1800000000000002</v>
      </c>
      <c r="R449" s="1653">
        <f t="shared" si="136"/>
        <v>-1.1800000000000002</v>
      </c>
      <c r="S449" s="1653">
        <f t="shared" si="137"/>
        <v>-0.33333333333333348</v>
      </c>
      <c r="T449" s="1653">
        <f t="shared" si="122"/>
        <v>-0.33333333333333348</v>
      </c>
      <c r="U449" s="1653">
        <f t="shared" si="123"/>
        <v>0.5133333333333332</v>
      </c>
      <c r="V449" s="1653">
        <f t="shared" si="124"/>
        <v>-0.66666666666666674</v>
      </c>
      <c r="W449" s="1653">
        <f t="shared" si="125"/>
        <v>0.17999999999999994</v>
      </c>
      <c r="X449" s="1653">
        <f t="shared" si="126"/>
        <v>-0.84666666666666668</v>
      </c>
      <c r="Y449" s="1653">
        <f t="shared" si="127"/>
        <v>0</v>
      </c>
    </row>
    <row r="450" spans="1:25" ht="15" hidden="1" outlineLevel="1">
      <c r="A450" s="1615">
        <v>442</v>
      </c>
      <c r="C450" s="1651" t="s">
        <v>3108</v>
      </c>
      <c r="D450" s="1651" t="s">
        <v>2465</v>
      </c>
      <c r="E450" s="1613">
        <v>751.89</v>
      </c>
      <c r="F450" s="1613">
        <v>-375.94</v>
      </c>
      <c r="G450" s="1613">
        <f t="shared" si="128"/>
        <v>375.95</v>
      </c>
      <c r="H450" s="1578">
        <v>2014</v>
      </c>
      <c r="I450" s="1662">
        <f t="shared" si="129"/>
        <v>1.5</v>
      </c>
      <c r="J450" s="1663">
        <v>36</v>
      </c>
      <c r="K450" s="1664">
        <f t="shared" si="130"/>
        <v>0.33333333333333331</v>
      </c>
      <c r="L450" s="1613">
        <f t="shared" si="131"/>
        <v>250.63</v>
      </c>
      <c r="M450" s="1613">
        <f t="shared" si="132"/>
        <v>751.89</v>
      </c>
      <c r="N450" s="1613">
        <f t="shared" si="121"/>
        <v>-501.26</v>
      </c>
      <c r="O450" s="1652">
        <f t="shared" si="133"/>
        <v>250.63</v>
      </c>
      <c r="P450" s="1653">
        <f t="shared" si="134"/>
        <v>-501.59333333333331</v>
      </c>
      <c r="Q450" s="1653">
        <f t="shared" si="135"/>
        <v>-250.96333333333331</v>
      </c>
      <c r="R450" s="1653">
        <f t="shared" si="136"/>
        <v>-250.96333333333331</v>
      </c>
      <c r="S450" s="1653">
        <f t="shared" si="137"/>
        <v>-0.33333333333331439</v>
      </c>
      <c r="T450" s="1653">
        <f t="shared" si="122"/>
        <v>-0.33333333333331439</v>
      </c>
      <c r="U450" s="1653">
        <f t="shared" si="123"/>
        <v>250.29666666666668</v>
      </c>
      <c r="V450" s="1653">
        <f t="shared" si="124"/>
        <v>-0.66666666666664764</v>
      </c>
      <c r="W450" s="1653">
        <f t="shared" si="125"/>
        <v>249.96333333333334</v>
      </c>
      <c r="X450" s="1653">
        <f t="shared" si="126"/>
        <v>-0.9999999999999809</v>
      </c>
      <c r="Y450" s="1653">
        <f t="shared" si="127"/>
        <v>249.63000000000002</v>
      </c>
    </row>
    <row r="451" spans="1:25" ht="15" hidden="1" outlineLevel="1">
      <c r="A451" s="1615">
        <v>443</v>
      </c>
      <c r="C451" s="1651" t="s">
        <v>3109</v>
      </c>
      <c r="D451" s="1651" t="s">
        <v>2465</v>
      </c>
      <c r="E451" s="1613">
        <v>367.82</v>
      </c>
      <c r="F451" s="1613">
        <v>-183.9</v>
      </c>
      <c r="G451" s="1613">
        <f t="shared" si="128"/>
        <v>183.92</v>
      </c>
      <c r="H451" s="1578">
        <v>2014</v>
      </c>
      <c r="I451" s="1662">
        <f t="shared" si="129"/>
        <v>1.5</v>
      </c>
      <c r="J451" s="1663">
        <v>36</v>
      </c>
      <c r="K451" s="1664">
        <f t="shared" si="130"/>
        <v>0.33333333333333331</v>
      </c>
      <c r="L451" s="1613">
        <f t="shared" si="131"/>
        <v>122.60666666666665</v>
      </c>
      <c r="M451" s="1613">
        <f t="shared" si="132"/>
        <v>367.82</v>
      </c>
      <c r="N451" s="1613">
        <f t="shared" si="121"/>
        <v>-245.21333333333331</v>
      </c>
      <c r="O451" s="1652">
        <f t="shared" si="133"/>
        <v>122.60666666666668</v>
      </c>
      <c r="P451" s="1653">
        <f t="shared" si="134"/>
        <v>-245.54666666666665</v>
      </c>
      <c r="Q451" s="1653">
        <f t="shared" si="135"/>
        <v>-122.94</v>
      </c>
      <c r="R451" s="1653">
        <f t="shared" si="136"/>
        <v>-122.94</v>
      </c>
      <c r="S451" s="1653">
        <f t="shared" si="137"/>
        <v>-0.33333333333334281</v>
      </c>
      <c r="T451" s="1653">
        <f t="shared" si="122"/>
        <v>-0.33333333333334281</v>
      </c>
      <c r="U451" s="1653">
        <f t="shared" si="123"/>
        <v>122.27333333333331</v>
      </c>
      <c r="V451" s="1653">
        <f t="shared" si="124"/>
        <v>-0.66666666666667607</v>
      </c>
      <c r="W451" s="1653">
        <f t="shared" si="125"/>
        <v>121.93999999999998</v>
      </c>
      <c r="X451" s="1653">
        <f t="shared" si="126"/>
        <v>-1.0000000000000093</v>
      </c>
      <c r="Y451" s="1653">
        <f t="shared" si="127"/>
        <v>121.60666666666664</v>
      </c>
    </row>
    <row r="452" spans="1:25" ht="15" hidden="1" outlineLevel="1">
      <c r="A452" s="1615">
        <v>444</v>
      </c>
      <c r="C452" s="1651" t="s">
        <v>3110</v>
      </c>
      <c r="D452" s="1651" t="s">
        <v>3074</v>
      </c>
      <c r="E452" s="1613">
        <v>107.29</v>
      </c>
      <c r="F452" s="1613">
        <v>-50.61</v>
      </c>
      <c r="G452" s="1613">
        <f t="shared" si="128"/>
        <v>56.680000000000007</v>
      </c>
      <c r="H452" s="1578">
        <v>2014</v>
      </c>
      <c r="I452" s="1662">
        <f t="shared" si="129"/>
        <v>1.5</v>
      </c>
      <c r="J452" s="1663">
        <v>36</v>
      </c>
      <c r="K452" s="1664">
        <f t="shared" si="130"/>
        <v>0.33333333333333331</v>
      </c>
      <c r="L452" s="1613">
        <f t="shared" si="131"/>
        <v>35.763333333333335</v>
      </c>
      <c r="M452" s="1613">
        <f t="shared" si="132"/>
        <v>107.29</v>
      </c>
      <c r="N452" s="1613">
        <f t="shared" si="121"/>
        <v>-71.526666666666671</v>
      </c>
      <c r="O452" s="1652">
        <f t="shared" si="133"/>
        <v>35.763333333333335</v>
      </c>
      <c r="P452" s="1653">
        <f t="shared" si="134"/>
        <v>-71.86</v>
      </c>
      <c r="Q452" s="1653">
        <f t="shared" si="135"/>
        <v>-36.096666666666664</v>
      </c>
      <c r="R452" s="1653">
        <f t="shared" si="136"/>
        <v>-36.096666666666664</v>
      </c>
      <c r="S452" s="1653">
        <f t="shared" si="137"/>
        <v>-0.3333333333333286</v>
      </c>
      <c r="T452" s="1653">
        <f t="shared" si="122"/>
        <v>-0.3333333333333286</v>
      </c>
      <c r="U452" s="1653">
        <f t="shared" si="123"/>
        <v>35.430000000000007</v>
      </c>
      <c r="V452" s="1653">
        <f t="shared" si="124"/>
        <v>-0.66666666666666186</v>
      </c>
      <c r="W452" s="1653">
        <f t="shared" si="125"/>
        <v>35.096666666666671</v>
      </c>
      <c r="X452" s="1653">
        <f t="shared" si="126"/>
        <v>-0.99999999999999512</v>
      </c>
      <c r="Y452" s="1653">
        <f t="shared" si="127"/>
        <v>34.763333333333343</v>
      </c>
    </row>
    <row r="453" spans="1:25" ht="15" hidden="1" outlineLevel="1">
      <c r="A453" s="1615">
        <v>445</v>
      </c>
      <c r="C453" s="1651" t="s">
        <v>3111</v>
      </c>
      <c r="D453" s="1651" t="s">
        <v>2465</v>
      </c>
      <c r="E453" s="1613">
        <v>2690.67</v>
      </c>
      <c r="F453" s="1613">
        <v>-1345.33</v>
      </c>
      <c r="G453" s="1613">
        <f t="shared" si="128"/>
        <v>1345.3400000000001</v>
      </c>
      <c r="H453" s="1578">
        <v>2014</v>
      </c>
      <c r="I453" s="1662">
        <f t="shared" si="129"/>
        <v>1.5</v>
      </c>
      <c r="J453" s="1663">
        <v>36</v>
      </c>
      <c r="K453" s="1664">
        <f t="shared" si="130"/>
        <v>0.33333333333333331</v>
      </c>
      <c r="L453" s="1613">
        <f t="shared" si="131"/>
        <v>896.89</v>
      </c>
      <c r="M453" s="1613">
        <f t="shared" si="132"/>
        <v>2690.67</v>
      </c>
      <c r="N453" s="1613">
        <f t="shared" si="121"/>
        <v>-1793.78</v>
      </c>
      <c r="O453" s="1652">
        <f t="shared" si="133"/>
        <v>896.8900000000001</v>
      </c>
      <c r="P453" s="1653">
        <f t="shared" si="134"/>
        <v>-1794.1133333333332</v>
      </c>
      <c r="Q453" s="1653">
        <f t="shared" si="135"/>
        <v>-897.22333333333324</v>
      </c>
      <c r="R453" s="1653">
        <f t="shared" si="136"/>
        <v>-897.22333333333324</v>
      </c>
      <c r="S453" s="1653">
        <f t="shared" si="137"/>
        <v>-0.33333333333325754</v>
      </c>
      <c r="T453" s="1653">
        <f t="shared" si="122"/>
        <v>-0.33333333333325754</v>
      </c>
      <c r="U453" s="1653">
        <f t="shared" si="123"/>
        <v>896.55666666666673</v>
      </c>
      <c r="V453" s="1653">
        <f t="shared" si="124"/>
        <v>-0.6666666666665908</v>
      </c>
      <c r="W453" s="1653">
        <f t="shared" si="125"/>
        <v>896.22333333333336</v>
      </c>
      <c r="X453" s="1653">
        <f t="shared" si="126"/>
        <v>-0.99999999999992406</v>
      </c>
      <c r="Y453" s="1653">
        <f t="shared" si="127"/>
        <v>895.8900000000001</v>
      </c>
    </row>
    <row r="454" spans="1:25" ht="15" hidden="1" outlineLevel="1">
      <c r="A454" s="1615">
        <v>446</v>
      </c>
      <c r="C454" s="1651" t="s">
        <v>3112</v>
      </c>
      <c r="D454" s="1651" t="s">
        <v>2465</v>
      </c>
      <c r="E454" s="1613">
        <v>64.040000000000006</v>
      </c>
      <c r="F454" s="1613">
        <v>-30.2</v>
      </c>
      <c r="G454" s="1613">
        <f t="shared" si="128"/>
        <v>33.840000000000003</v>
      </c>
      <c r="H454" s="1578">
        <v>2014</v>
      </c>
      <c r="I454" s="1662">
        <f t="shared" si="129"/>
        <v>1.5</v>
      </c>
      <c r="J454" s="1663">
        <v>36</v>
      </c>
      <c r="K454" s="1664">
        <f t="shared" si="130"/>
        <v>0.33333333333333331</v>
      </c>
      <c r="L454" s="1613">
        <f t="shared" si="131"/>
        <v>21.346666666666668</v>
      </c>
      <c r="M454" s="1613">
        <f t="shared" si="132"/>
        <v>64.040000000000006</v>
      </c>
      <c r="N454" s="1613">
        <f t="shared" si="121"/>
        <v>-42.693333333333335</v>
      </c>
      <c r="O454" s="1652">
        <f t="shared" si="133"/>
        <v>21.346666666666671</v>
      </c>
      <c r="P454" s="1653">
        <f t="shared" si="134"/>
        <v>-43.026666666666671</v>
      </c>
      <c r="Q454" s="1653">
        <f t="shared" si="135"/>
        <v>-21.680000000000003</v>
      </c>
      <c r="R454" s="1653">
        <f t="shared" si="136"/>
        <v>-21.680000000000003</v>
      </c>
      <c r="S454" s="1653">
        <f t="shared" si="137"/>
        <v>-0.3333333333333357</v>
      </c>
      <c r="T454" s="1653">
        <f t="shared" si="122"/>
        <v>-0.3333333333333357</v>
      </c>
      <c r="U454" s="1653">
        <f t="shared" si="123"/>
        <v>21.013333333333332</v>
      </c>
      <c r="V454" s="1653">
        <f t="shared" si="124"/>
        <v>-0.66666666666666896</v>
      </c>
      <c r="W454" s="1653">
        <f t="shared" si="125"/>
        <v>20.68</v>
      </c>
      <c r="X454" s="1653">
        <f t="shared" si="126"/>
        <v>-1.0000000000000022</v>
      </c>
      <c r="Y454" s="1653">
        <f t="shared" si="127"/>
        <v>20.346666666666664</v>
      </c>
    </row>
    <row r="455" spans="1:25" ht="15" hidden="1" outlineLevel="1">
      <c r="A455" s="1615">
        <v>447</v>
      </c>
      <c r="C455" s="1651" t="s">
        <v>3113</v>
      </c>
      <c r="D455" s="1651" t="s">
        <v>2465</v>
      </c>
      <c r="E455" s="1613">
        <v>91.77</v>
      </c>
      <c r="F455" s="1613">
        <v>-43.28</v>
      </c>
      <c r="G455" s="1613">
        <f t="shared" si="128"/>
        <v>48.489999999999995</v>
      </c>
      <c r="H455" s="1578">
        <v>2014</v>
      </c>
      <c r="I455" s="1662">
        <f t="shared" si="129"/>
        <v>1.5</v>
      </c>
      <c r="J455" s="1663">
        <v>36</v>
      </c>
      <c r="K455" s="1664">
        <f t="shared" si="130"/>
        <v>0.33333333333333331</v>
      </c>
      <c r="L455" s="1613">
        <f t="shared" si="131"/>
        <v>30.589999999999996</v>
      </c>
      <c r="M455" s="1613">
        <f t="shared" si="132"/>
        <v>91.77</v>
      </c>
      <c r="N455" s="1613">
        <f t="shared" si="121"/>
        <v>-61.179999999999993</v>
      </c>
      <c r="O455" s="1652">
        <f t="shared" si="133"/>
        <v>30.590000000000003</v>
      </c>
      <c r="P455" s="1653">
        <f t="shared" si="134"/>
        <v>-61.513333333333328</v>
      </c>
      <c r="Q455" s="1653">
        <f t="shared" si="135"/>
        <v>-30.923333333333332</v>
      </c>
      <c r="R455" s="1653">
        <f t="shared" si="136"/>
        <v>-30.923333333333332</v>
      </c>
      <c r="S455" s="1653">
        <f t="shared" si="137"/>
        <v>-0.3333333333333357</v>
      </c>
      <c r="T455" s="1653">
        <f t="shared" si="122"/>
        <v>-0.3333333333333357</v>
      </c>
      <c r="U455" s="1653">
        <f t="shared" si="123"/>
        <v>30.256666666666661</v>
      </c>
      <c r="V455" s="1653">
        <f t="shared" si="124"/>
        <v>-0.66666666666666896</v>
      </c>
      <c r="W455" s="1653">
        <f t="shared" si="125"/>
        <v>29.923333333333328</v>
      </c>
      <c r="X455" s="1653">
        <f t="shared" si="126"/>
        <v>-1.0000000000000022</v>
      </c>
      <c r="Y455" s="1653">
        <f t="shared" si="127"/>
        <v>29.589999999999993</v>
      </c>
    </row>
    <row r="456" spans="1:25" ht="15" hidden="1" outlineLevel="1">
      <c r="A456" s="1615">
        <v>448</v>
      </c>
      <c r="C456" s="1651" t="s">
        <v>3114</v>
      </c>
      <c r="D456" s="1651" t="s">
        <v>2465</v>
      </c>
      <c r="E456" s="1613">
        <v>67.3</v>
      </c>
      <c r="F456" s="1613">
        <v>-31.75</v>
      </c>
      <c r="G456" s="1613">
        <f t="shared" si="128"/>
        <v>35.549999999999997</v>
      </c>
      <c r="H456" s="1578">
        <v>2014</v>
      </c>
      <c r="I456" s="1662">
        <f t="shared" si="129"/>
        <v>1.5</v>
      </c>
      <c r="J456" s="1663">
        <v>36</v>
      </c>
      <c r="K456" s="1664">
        <f t="shared" si="130"/>
        <v>0.33333333333333331</v>
      </c>
      <c r="L456" s="1613">
        <f t="shared" si="131"/>
        <v>22.43333333333333</v>
      </c>
      <c r="M456" s="1613">
        <f t="shared" si="132"/>
        <v>67.3</v>
      </c>
      <c r="N456" s="1613">
        <f t="shared" si="121"/>
        <v>-44.86666666666666</v>
      </c>
      <c r="O456" s="1652">
        <f t="shared" si="133"/>
        <v>22.433333333333337</v>
      </c>
      <c r="P456" s="1653">
        <f t="shared" si="134"/>
        <v>-45.199999999999996</v>
      </c>
      <c r="Q456" s="1653">
        <f t="shared" si="135"/>
        <v>-22.766666666666666</v>
      </c>
      <c r="R456" s="1653">
        <f t="shared" si="136"/>
        <v>-22.766666666666666</v>
      </c>
      <c r="S456" s="1653">
        <f t="shared" si="137"/>
        <v>-0.3333333333333357</v>
      </c>
      <c r="T456" s="1653">
        <f t="shared" si="122"/>
        <v>-0.3333333333333357</v>
      </c>
      <c r="U456" s="1653">
        <f t="shared" si="123"/>
        <v>22.099999999999994</v>
      </c>
      <c r="V456" s="1653">
        <f t="shared" si="124"/>
        <v>-0.66666666666666896</v>
      </c>
      <c r="W456" s="1653">
        <f t="shared" si="125"/>
        <v>21.766666666666662</v>
      </c>
      <c r="X456" s="1653">
        <f t="shared" si="126"/>
        <v>-1.0000000000000022</v>
      </c>
      <c r="Y456" s="1653">
        <f t="shared" si="127"/>
        <v>21.433333333333326</v>
      </c>
    </row>
    <row r="457" spans="1:25" ht="15" hidden="1" outlineLevel="1">
      <c r="A457" s="1615">
        <v>449</v>
      </c>
      <c r="C457" s="1651" t="s">
        <v>3115</v>
      </c>
      <c r="D457" s="1651" t="s">
        <v>2465</v>
      </c>
      <c r="E457" s="1613">
        <v>2690.67</v>
      </c>
      <c r="F457" s="1613">
        <v>-1269.1600000000001</v>
      </c>
      <c r="G457" s="1613">
        <f t="shared" si="128"/>
        <v>1421.51</v>
      </c>
      <c r="H457" s="1578">
        <v>2014</v>
      </c>
      <c r="I457" s="1662">
        <f t="shared" si="129"/>
        <v>1.5</v>
      </c>
      <c r="J457" s="1663">
        <v>36</v>
      </c>
      <c r="K457" s="1664">
        <f t="shared" si="130"/>
        <v>0.33333333333333331</v>
      </c>
      <c r="L457" s="1613">
        <f t="shared" si="131"/>
        <v>896.89</v>
      </c>
      <c r="M457" s="1613">
        <f t="shared" si="132"/>
        <v>2690.67</v>
      </c>
      <c r="N457" s="1613">
        <f t="shared" si="121"/>
        <v>-1793.78</v>
      </c>
      <c r="O457" s="1652">
        <f t="shared" si="133"/>
        <v>896.8900000000001</v>
      </c>
      <c r="P457" s="1653">
        <f t="shared" si="134"/>
        <v>-1794.1133333333332</v>
      </c>
      <c r="Q457" s="1653">
        <f t="shared" si="135"/>
        <v>-897.22333333333324</v>
      </c>
      <c r="R457" s="1653">
        <f t="shared" si="136"/>
        <v>-897.22333333333324</v>
      </c>
      <c r="S457" s="1653">
        <f t="shared" si="137"/>
        <v>-0.33333333333325754</v>
      </c>
      <c r="T457" s="1653">
        <f t="shared" si="122"/>
        <v>-0.33333333333325754</v>
      </c>
      <c r="U457" s="1653">
        <f t="shared" si="123"/>
        <v>896.55666666666673</v>
      </c>
      <c r="V457" s="1653">
        <f t="shared" si="124"/>
        <v>-0.6666666666665908</v>
      </c>
      <c r="W457" s="1653">
        <f t="shared" si="125"/>
        <v>896.22333333333336</v>
      </c>
      <c r="X457" s="1653">
        <f t="shared" si="126"/>
        <v>-0.99999999999992406</v>
      </c>
      <c r="Y457" s="1653">
        <f t="shared" si="127"/>
        <v>895.8900000000001</v>
      </c>
    </row>
    <row r="458" spans="1:25" ht="15" hidden="1" outlineLevel="1">
      <c r="A458" s="1615">
        <v>450</v>
      </c>
      <c r="C458" s="1651" t="s">
        <v>3116</v>
      </c>
      <c r="D458" s="1651" t="s">
        <v>2465</v>
      </c>
      <c r="E458" s="1613">
        <v>1606.07</v>
      </c>
      <c r="F458" s="1613">
        <v>-757.56</v>
      </c>
      <c r="G458" s="1613">
        <f t="shared" si="128"/>
        <v>848.51</v>
      </c>
      <c r="H458" s="1578">
        <v>2014</v>
      </c>
      <c r="I458" s="1662">
        <f t="shared" si="129"/>
        <v>1.5</v>
      </c>
      <c r="J458" s="1663">
        <v>36</v>
      </c>
      <c r="K458" s="1664">
        <f t="shared" si="130"/>
        <v>0.33333333333333331</v>
      </c>
      <c r="L458" s="1613">
        <f t="shared" si="131"/>
        <v>535.35666666666657</v>
      </c>
      <c r="M458" s="1613">
        <f t="shared" si="132"/>
        <v>1606.07</v>
      </c>
      <c r="N458" s="1613">
        <f t="shared" si="121"/>
        <v>-1070.7133333333331</v>
      </c>
      <c r="O458" s="1652">
        <f t="shared" si="133"/>
        <v>535.3566666666668</v>
      </c>
      <c r="P458" s="1653">
        <f t="shared" si="134"/>
        <v>-1071.0466666666664</v>
      </c>
      <c r="Q458" s="1653">
        <f t="shared" si="135"/>
        <v>-535.68999999999983</v>
      </c>
      <c r="R458" s="1653">
        <f t="shared" si="136"/>
        <v>-535.68999999999983</v>
      </c>
      <c r="S458" s="1653">
        <f t="shared" si="137"/>
        <v>-0.33333333333325754</v>
      </c>
      <c r="T458" s="1653">
        <f t="shared" si="122"/>
        <v>-0.33333333333325754</v>
      </c>
      <c r="U458" s="1653">
        <f t="shared" si="123"/>
        <v>535.02333333333331</v>
      </c>
      <c r="V458" s="1653">
        <f t="shared" si="124"/>
        <v>-0.6666666666665908</v>
      </c>
      <c r="W458" s="1653">
        <f t="shared" si="125"/>
        <v>534.68999999999994</v>
      </c>
      <c r="X458" s="1653">
        <f t="shared" si="126"/>
        <v>-0.99999999999992406</v>
      </c>
      <c r="Y458" s="1653">
        <f t="shared" si="127"/>
        <v>534.35666666666668</v>
      </c>
    </row>
    <row r="459" spans="1:25" ht="15" hidden="1" outlineLevel="1">
      <c r="A459" s="1615">
        <v>451</v>
      </c>
      <c r="C459" s="1651" t="s">
        <v>3117</v>
      </c>
      <c r="D459" s="1651" t="s">
        <v>2465</v>
      </c>
      <c r="E459" s="1613">
        <v>287.19</v>
      </c>
      <c r="F459" s="1613">
        <v>-135.46</v>
      </c>
      <c r="G459" s="1613">
        <f t="shared" si="128"/>
        <v>151.72999999999999</v>
      </c>
      <c r="H459" s="1578">
        <v>2014</v>
      </c>
      <c r="I459" s="1662">
        <f t="shared" si="129"/>
        <v>1.5</v>
      </c>
      <c r="J459" s="1663">
        <v>36</v>
      </c>
      <c r="K459" s="1664">
        <f t="shared" si="130"/>
        <v>0.33333333333333331</v>
      </c>
      <c r="L459" s="1613">
        <f t="shared" si="131"/>
        <v>95.72999999999999</v>
      </c>
      <c r="M459" s="1613">
        <f t="shared" si="132"/>
        <v>287.19</v>
      </c>
      <c r="N459" s="1613">
        <f t="shared" si="121"/>
        <v>-191.45999999999998</v>
      </c>
      <c r="O459" s="1652">
        <f t="shared" si="133"/>
        <v>95.730000000000018</v>
      </c>
      <c r="P459" s="1653">
        <f t="shared" si="134"/>
        <v>-191.79333333333332</v>
      </c>
      <c r="Q459" s="1653">
        <f t="shared" si="135"/>
        <v>-96.063333333333333</v>
      </c>
      <c r="R459" s="1653">
        <f t="shared" si="136"/>
        <v>-96.063333333333333</v>
      </c>
      <c r="S459" s="1653">
        <f t="shared" si="137"/>
        <v>-0.33333333333334281</v>
      </c>
      <c r="T459" s="1653">
        <f t="shared" si="122"/>
        <v>-0.33333333333334281</v>
      </c>
      <c r="U459" s="1653">
        <f t="shared" si="123"/>
        <v>95.396666666666647</v>
      </c>
      <c r="V459" s="1653">
        <f t="shared" si="124"/>
        <v>-0.66666666666667607</v>
      </c>
      <c r="W459" s="1653">
        <f t="shared" si="125"/>
        <v>95.063333333333318</v>
      </c>
      <c r="X459" s="1653">
        <f t="shared" si="126"/>
        <v>-1.0000000000000093</v>
      </c>
      <c r="Y459" s="1653">
        <f t="shared" si="127"/>
        <v>94.729999999999976</v>
      </c>
    </row>
    <row r="460" spans="1:25" ht="15" hidden="1" outlineLevel="1">
      <c r="A460" s="1615">
        <v>452</v>
      </c>
      <c r="C460" s="1651" t="s">
        <v>3118</v>
      </c>
      <c r="D460" s="1651" t="s">
        <v>2465</v>
      </c>
      <c r="E460" s="1613">
        <v>720.66</v>
      </c>
      <c r="F460" s="1613">
        <v>-339.93</v>
      </c>
      <c r="G460" s="1613">
        <f t="shared" si="128"/>
        <v>380.72999999999996</v>
      </c>
      <c r="H460" s="1578">
        <v>2014</v>
      </c>
      <c r="I460" s="1662">
        <f t="shared" si="129"/>
        <v>1.5</v>
      </c>
      <c r="J460" s="1663">
        <v>36</v>
      </c>
      <c r="K460" s="1664">
        <f t="shared" si="130"/>
        <v>0.33333333333333331</v>
      </c>
      <c r="L460" s="1613">
        <f t="shared" si="131"/>
        <v>240.21999999999997</v>
      </c>
      <c r="M460" s="1613">
        <f t="shared" si="132"/>
        <v>720.66</v>
      </c>
      <c r="N460" s="1613">
        <f t="shared" si="121"/>
        <v>-480.43999999999994</v>
      </c>
      <c r="O460" s="1652">
        <f t="shared" si="133"/>
        <v>240.22000000000003</v>
      </c>
      <c r="P460" s="1653">
        <f t="shared" si="134"/>
        <v>-480.77333333333326</v>
      </c>
      <c r="Q460" s="1653">
        <f t="shared" si="135"/>
        <v>-240.55333333333328</v>
      </c>
      <c r="R460" s="1653">
        <f t="shared" si="136"/>
        <v>-240.55333333333328</v>
      </c>
      <c r="S460" s="1653">
        <f t="shared" si="137"/>
        <v>-0.33333333333331439</v>
      </c>
      <c r="T460" s="1653">
        <f t="shared" si="122"/>
        <v>-0.33333333333331439</v>
      </c>
      <c r="U460" s="1653">
        <f t="shared" si="123"/>
        <v>239.88666666666666</v>
      </c>
      <c r="V460" s="1653">
        <f t="shared" si="124"/>
        <v>-0.66666666666664764</v>
      </c>
      <c r="W460" s="1653">
        <f t="shared" si="125"/>
        <v>239.55333333333331</v>
      </c>
      <c r="X460" s="1653">
        <f t="shared" si="126"/>
        <v>-0.9999999999999809</v>
      </c>
      <c r="Y460" s="1653">
        <f t="shared" si="127"/>
        <v>239.22</v>
      </c>
    </row>
    <row r="461" spans="1:25" ht="15" hidden="1" outlineLevel="1">
      <c r="A461" s="1615">
        <v>453</v>
      </c>
      <c r="C461" s="1651" t="s">
        <v>3119</v>
      </c>
      <c r="D461" s="1651" t="s">
        <v>2465</v>
      </c>
      <c r="E461" s="1613">
        <v>1078.94</v>
      </c>
      <c r="F461" s="1613">
        <v>-508.92</v>
      </c>
      <c r="G461" s="1613">
        <f t="shared" si="128"/>
        <v>570.02</v>
      </c>
      <c r="H461" s="1578">
        <v>2014</v>
      </c>
      <c r="I461" s="1662">
        <f t="shared" si="129"/>
        <v>1.5</v>
      </c>
      <c r="J461" s="1663">
        <v>36</v>
      </c>
      <c r="K461" s="1664">
        <f t="shared" si="130"/>
        <v>0.33333333333333331</v>
      </c>
      <c r="L461" s="1613">
        <f t="shared" si="131"/>
        <v>359.64666666666665</v>
      </c>
      <c r="M461" s="1613">
        <f t="shared" si="132"/>
        <v>1078.94</v>
      </c>
      <c r="N461" s="1613">
        <f t="shared" si="121"/>
        <v>-719.29333333333329</v>
      </c>
      <c r="O461" s="1652">
        <f t="shared" si="133"/>
        <v>359.64666666666676</v>
      </c>
      <c r="P461" s="1653">
        <f t="shared" si="134"/>
        <v>-719.62666666666667</v>
      </c>
      <c r="Q461" s="1653">
        <f t="shared" si="135"/>
        <v>-359.98</v>
      </c>
      <c r="R461" s="1653">
        <f t="shared" si="136"/>
        <v>-359.98</v>
      </c>
      <c r="S461" s="1653">
        <f t="shared" si="137"/>
        <v>-0.33333333333337123</v>
      </c>
      <c r="T461" s="1653">
        <f t="shared" si="122"/>
        <v>-0.33333333333337123</v>
      </c>
      <c r="U461" s="1653">
        <f t="shared" si="123"/>
        <v>359.31333333333328</v>
      </c>
      <c r="V461" s="1653">
        <f t="shared" si="124"/>
        <v>-0.66666666666670449</v>
      </c>
      <c r="W461" s="1653">
        <f t="shared" si="125"/>
        <v>358.97999999999996</v>
      </c>
      <c r="X461" s="1653">
        <f t="shared" si="126"/>
        <v>-1.0000000000000377</v>
      </c>
      <c r="Y461" s="1653">
        <f t="shared" si="127"/>
        <v>358.64666666666659</v>
      </c>
    </row>
    <row r="462" spans="1:25" ht="15" hidden="1" outlineLevel="1">
      <c r="A462" s="1615">
        <v>454</v>
      </c>
      <c r="C462" s="1651" t="s">
        <v>3120</v>
      </c>
      <c r="D462" s="1651" t="s">
        <v>2465</v>
      </c>
      <c r="E462" s="1613">
        <v>1366.78</v>
      </c>
      <c r="F462" s="1613">
        <v>-609.75</v>
      </c>
      <c r="G462" s="1613">
        <f t="shared" si="128"/>
        <v>757.03</v>
      </c>
      <c r="H462" s="1578">
        <v>2014</v>
      </c>
      <c r="I462" s="1662">
        <f t="shared" si="129"/>
        <v>1.5</v>
      </c>
      <c r="J462" s="1663">
        <v>36</v>
      </c>
      <c r="K462" s="1664">
        <f t="shared" si="130"/>
        <v>0.33333333333333331</v>
      </c>
      <c r="L462" s="1613">
        <f t="shared" si="131"/>
        <v>455.59333333333331</v>
      </c>
      <c r="M462" s="1613">
        <f t="shared" si="132"/>
        <v>1366.78</v>
      </c>
      <c r="N462" s="1613">
        <f t="shared" si="121"/>
        <v>-911.18666666666661</v>
      </c>
      <c r="O462" s="1652">
        <f t="shared" si="133"/>
        <v>455.59333333333336</v>
      </c>
      <c r="P462" s="1653">
        <f t="shared" si="134"/>
        <v>-911.52</v>
      </c>
      <c r="Q462" s="1653">
        <f t="shared" si="135"/>
        <v>-455.92666666666668</v>
      </c>
      <c r="R462" s="1653">
        <f t="shared" si="136"/>
        <v>-455.92666666666668</v>
      </c>
      <c r="S462" s="1653">
        <f t="shared" si="137"/>
        <v>-0.33333333333337123</v>
      </c>
      <c r="T462" s="1653">
        <f t="shared" si="122"/>
        <v>-0.33333333333337123</v>
      </c>
      <c r="U462" s="1653">
        <f t="shared" si="123"/>
        <v>455.25999999999993</v>
      </c>
      <c r="V462" s="1653">
        <f t="shared" si="124"/>
        <v>-0.66666666666670449</v>
      </c>
      <c r="W462" s="1653">
        <f t="shared" si="125"/>
        <v>454.92666666666662</v>
      </c>
      <c r="X462" s="1653">
        <f t="shared" si="126"/>
        <v>-1.0000000000000377</v>
      </c>
      <c r="Y462" s="1653">
        <f t="shared" si="127"/>
        <v>454.59333333333325</v>
      </c>
    </row>
    <row r="463" spans="1:25" ht="15" hidden="1" outlineLevel="1">
      <c r="A463" s="1615">
        <v>455</v>
      </c>
      <c r="C463" s="1651" t="s">
        <v>3121</v>
      </c>
      <c r="D463" s="1651" t="s">
        <v>2465</v>
      </c>
      <c r="E463" s="1613">
        <v>410.28</v>
      </c>
      <c r="F463" s="1613">
        <v>-183.03</v>
      </c>
      <c r="G463" s="1613">
        <f t="shared" si="128"/>
        <v>227.24999999999997</v>
      </c>
      <c r="H463" s="1578">
        <v>2014</v>
      </c>
      <c r="I463" s="1662">
        <f t="shared" si="129"/>
        <v>1.5</v>
      </c>
      <c r="J463" s="1663">
        <v>36</v>
      </c>
      <c r="K463" s="1664">
        <f t="shared" si="130"/>
        <v>0.33333333333333331</v>
      </c>
      <c r="L463" s="1613">
        <f t="shared" si="131"/>
        <v>136.76</v>
      </c>
      <c r="M463" s="1613">
        <f t="shared" si="132"/>
        <v>410.28</v>
      </c>
      <c r="N463" s="1613">
        <f t="shared" si="121"/>
        <v>-273.52</v>
      </c>
      <c r="O463" s="1652">
        <f t="shared" si="133"/>
        <v>136.76</v>
      </c>
      <c r="P463" s="1653">
        <f t="shared" si="134"/>
        <v>-273.8533333333333</v>
      </c>
      <c r="Q463" s="1653">
        <f t="shared" si="135"/>
        <v>-137.09333333333331</v>
      </c>
      <c r="R463" s="1653">
        <f t="shared" si="136"/>
        <v>-137.09333333333331</v>
      </c>
      <c r="S463" s="1653">
        <f t="shared" si="137"/>
        <v>-0.33333333333331439</v>
      </c>
      <c r="T463" s="1653">
        <f t="shared" si="122"/>
        <v>-0.33333333333331439</v>
      </c>
      <c r="U463" s="1653">
        <f t="shared" si="123"/>
        <v>136.42666666666668</v>
      </c>
      <c r="V463" s="1653">
        <f t="shared" si="124"/>
        <v>-0.66666666666664764</v>
      </c>
      <c r="W463" s="1653">
        <f t="shared" si="125"/>
        <v>136.09333333333333</v>
      </c>
      <c r="X463" s="1653">
        <f t="shared" si="126"/>
        <v>-0.9999999999999809</v>
      </c>
      <c r="Y463" s="1653">
        <f t="shared" si="127"/>
        <v>135.76000000000002</v>
      </c>
    </row>
    <row r="464" spans="1:25" ht="15" hidden="1" outlineLevel="1">
      <c r="A464" s="1615">
        <v>456</v>
      </c>
      <c r="C464" s="1651" t="s">
        <v>3122</v>
      </c>
      <c r="D464" s="1651" t="s">
        <v>2465</v>
      </c>
      <c r="E464" s="1613">
        <v>920.48</v>
      </c>
      <c r="F464" s="1613">
        <v>-410.64</v>
      </c>
      <c r="G464" s="1613">
        <f t="shared" si="128"/>
        <v>509.84000000000003</v>
      </c>
      <c r="H464" s="1578">
        <v>2014</v>
      </c>
      <c r="I464" s="1662">
        <f t="shared" si="129"/>
        <v>1.5</v>
      </c>
      <c r="J464" s="1663">
        <v>36</v>
      </c>
      <c r="K464" s="1664">
        <f t="shared" si="130"/>
        <v>0.33333333333333331</v>
      </c>
      <c r="L464" s="1613">
        <f t="shared" si="131"/>
        <v>306.82666666666665</v>
      </c>
      <c r="M464" s="1613">
        <f t="shared" si="132"/>
        <v>920.48</v>
      </c>
      <c r="N464" s="1613">
        <f t="shared" si="121"/>
        <v>-613.65333333333331</v>
      </c>
      <c r="O464" s="1652">
        <f t="shared" si="133"/>
        <v>306.82666666666671</v>
      </c>
      <c r="P464" s="1653">
        <f t="shared" si="134"/>
        <v>-613.98666666666668</v>
      </c>
      <c r="Q464" s="1653">
        <f t="shared" si="135"/>
        <v>-307.16000000000003</v>
      </c>
      <c r="R464" s="1653">
        <f t="shared" si="136"/>
        <v>-307.16000000000003</v>
      </c>
      <c r="S464" s="1653">
        <f t="shared" si="137"/>
        <v>-0.33333333333337123</v>
      </c>
      <c r="T464" s="1653">
        <f t="shared" si="122"/>
        <v>-0.33333333333337123</v>
      </c>
      <c r="U464" s="1653">
        <f t="shared" si="123"/>
        <v>306.49333333333328</v>
      </c>
      <c r="V464" s="1653">
        <f t="shared" si="124"/>
        <v>-0.66666666666670449</v>
      </c>
      <c r="W464" s="1653">
        <f t="shared" si="125"/>
        <v>306.15999999999997</v>
      </c>
      <c r="X464" s="1653">
        <f t="shared" si="126"/>
        <v>-1.0000000000000377</v>
      </c>
      <c r="Y464" s="1653">
        <f t="shared" si="127"/>
        <v>305.8266666666666</v>
      </c>
    </row>
    <row r="465" spans="1:25" ht="15" hidden="1" outlineLevel="1">
      <c r="A465" s="1615">
        <v>457</v>
      </c>
      <c r="C465" s="1651" t="s">
        <v>3123</v>
      </c>
      <c r="D465" s="1651" t="s">
        <v>2465</v>
      </c>
      <c r="E465" s="1613">
        <v>2750.93</v>
      </c>
      <c r="F465" s="1613">
        <v>-1227.24</v>
      </c>
      <c r="G465" s="1613">
        <f t="shared" si="128"/>
        <v>1523.6899999999998</v>
      </c>
      <c r="H465" s="1578">
        <v>2014</v>
      </c>
      <c r="I465" s="1662">
        <f t="shared" si="129"/>
        <v>1.5</v>
      </c>
      <c r="J465" s="1663">
        <v>36</v>
      </c>
      <c r="K465" s="1664">
        <f t="shared" si="130"/>
        <v>0.33333333333333331</v>
      </c>
      <c r="L465" s="1613">
        <f t="shared" si="131"/>
        <v>916.97666666666657</v>
      </c>
      <c r="M465" s="1613">
        <f t="shared" si="132"/>
        <v>2750.93</v>
      </c>
      <c r="N465" s="1613">
        <f t="shared" si="121"/>
        <v>-1833.9533333333331</v>
      </c>
      <c r="O465" s="1652">
        <f t="shared" si="133"/>
        <v>916.97666666666669</v>
      </c>
      <c r="P465" s="1653">
        <f t="shared" si="134"/>
        <v>-1834.2866666666664</v>
      </c>
      <c r="Q465" s="1653">
        <f t="shared" si="135"/>
        <v>-917.30999999999983</v>
      </c>
      <c r="R465" s="1653">
        <f t="shared" si="136"/>
        <v>-917.30999999999983</v>
      </c>
      <c r="S465" s="1653">
        <f t="shared" si="137"/>
        <v>-0.33333333333325754</v>
      </c>
      <c r="T465" s="1653">
        <f t="shared" si="122"/>
        <v>-0.33333333333325754</v>
      </c>
      <c r="U465" s="1653">
        <f t="shared" si="123"/>
        <v>916.64333333333332</v>
      </c>
      <c r="V465" s="1653">
        <f t="shared" si="124"/>
        <v>-0.6666666666665908</v>
      </c>
      <c r="W465" s="1653">
        <f t="shared" si="125"/>
        <v>916.31</v>
      </c>
      <c r="X465" s="1653">
        <f t="shared" si="126"/>
        <v>-0.99999999999992406</v>
      </c>
      <c r="Y465" s="1653">
        <f t="shared" si="127"/>
        <v>915.97666666666669</v>
      </c>
    </row>
    <row r="466" spans="1:25" ht="15" hidden="1" outlineLevel="1">
      <c r="A466" s="1615">
        <v>458</v>
      </c>
      <c r="C466" s="1651" t="s">
        <v>3124</v>
      </c>
      <c r="D466" s="1651" t="s">
        <v>2465</v>
      </c>
      <c r="E466" s="1613">
        <v>642.89</v>
      </c>
      <c r="F466" s="1613">
        <v>-286.8</v>
      </c>
      <c r="G466" s="1613">
        <f t="shared" si="128"/>
        <v>356.09</v>
      </c>
      <c r="H466" s="1578">
        <v>2014</v>
      </c>
      <c r="I466" s="1662">
        <f t="shared" si="129"/>
        <v>1.5</v>
      </c>
      <c r="J466" s="1663">
        <v>36</v>
      </c>
      <c r="K466" s="1664">
        <f t="shared" si="130"/>
        <v>0.33333333333333331</v>
      </c>
      <c r="L466" s="1613">
        <f t="shared" si="131"/>
        <v>214.29666666666665</v>
      </c>
      <c r="M466" s="1613">
        <f t="shared" si="132"/>
        <v>642.89</v>
      </c>
      <c r="N466" s="1613">
        <f t="shared" si="121"/>
        <v>-428.59333333333331</v>
      </c>
      <c r="O466" s="1652">
        <f t="shared" si="133"/>
        <v>214.29666666666668</v>
      </c>
      <c r="P466" s="1653">
        <f t="shared" si="134"/>
        <v>-428.92666666666662</v>
      </c>
      <c r="Q466" s="1653">
        <f t="shared" si="135"/>
        <v>-214.62999999999997</v>
      </c>
      <c r="R466" s="1653">
        <f t="shared" si="136"/>
        <v>-214.62999999999997</v>
      </c>
      <c r="S466" s="1653">
        <f t="shared" si="137"/>
        <v>-0.33333333333331439</v>
      </c>
      <c r="T466" s="1653">
        <f t="shared" si="122"/>
        <v>-0.33333333333331439</v>
      </c>
      <c r="U466" s="1653">
        <f t="shared" si="123"/>
        <v>213.96333333333334</v>
      </c>
      <c r="V466" s="1653">
        <f t="shared" si="124"/>
        <v>-0.66666666666664764</v>
      </c>
      <c r="W466" s="1653">
        <f t="shared" si="125"/>
        <v>213.63</v>
      </c>
      <c r="X466" s="1653">
        <f t="shared" si="126"/>
        <v>-0.9999999999999809</v>
      </c>
      <c r="Y466" s="1653">
        <f t="shared" si="127"/>
        <v>213.29666666666668</v>
      </c>
    </row>
    <row r="467" spans="1:25" ht="15" hidden="1" outlineLevel="1">
      <c r="A467" s="1615">
        <v>459</v>
      </c>
      <c r="C467" s="1651" t="s">
        <v>3125</v>
      </c>
      <c r="D467" s="1651" t="s">
        <v>2465</v>
      </c>
      <c r="E467" s="1613">
        <v>296.93</v>
      </c>
      <c r="F467" s="1613">
        <v>-132.46</v>
      </c>
      <c r="G467" s="1613">
        <f t="shared" si="128"/>
        <v>164.47</v>
      </c>
      <c r="H467" s="1578">
        <v>2014</v>
      </c>
      <c r="I467" s="1662">
        <f t="shared" si="129"/>
        <v>1.5</v>
      </c>
      <c r="J467" s="1663">
        <v>36</v>
      </c>
      <c r="K467" s="1664">
        <f t="shared" si="130"/>
        <v>0.33333333333333331</v>
      </c>
      <c r="L467" s="1613">
        <f t="shared" si="131"/>
        <v>98.976666666666659</v>
      </c>
      <c r="M467" s="1613">
        <f t="shared" si="132"/>
        <v>296.93</v>
      </c>
      <c r="N467" s="1613">
        <f t="shared" si="121"/>
        <v>-197.95333333333332</v>
      </c>
      <c r="O467" s="1652">
        <f t="shared" si="133"/>
        <v>98.976666666666688</v>
      </c>
      <c r="P467" s="1653">
        <f t="shared" si="134"/>
        <v>-198.28666666666666</v>
      </c>
      <c r="Q467" s="1653">
        <f t="shared" si="135"/>
        <v>-99.31</v>
      </c>
      <c r="R467" s="1653">
        <f t="shared" si="136"/>
        <v>-99.31</v>
      </c>
      <c r="S467" s="1653">
        <f t="shared" si="137"/>
        <v>-0.33333333333334281</v>
      </c>
      <c r="T467" s="1653">
        <f t="shared" si="122"/>
        <v>-0.33333333333334281</v>
      </c>
      <c r="U467" s="1653">
        <f t="shared" si="123"/>
        <v>98.643333333333317</v>
      </c>
      <c r="V467" s="1653">
        <f t="shared" si="124"/>
        <v>-0.66666666666667607</v>
      </c>
      <c r="W467" s="1653">
        <f t="shared" si="125"/>
        <v>98.309999999999988</v>
      </c>
      <c r="X467" s="1653">
        <f t="shared" si="126"/>
        <v>-1.0000000000000093</v>
      </c>
      <c r="Y467" s="1653">
        <f t="shared" si="127"/>
        <v>97.976666666666645</v>
      </c>
    </row>
    <row r="468" spans="1:25" ht="15" hidden="1" outlineLevel="1">
      <c r="A468" s="1615">
        <v>460</v>
      </c>
      <c r="C468" s="1651" t="s">
        <v>3126</v>
      </c>
      <c r="D468" s="1651" t="s">
        <v>2465</v>
      </c>
      <c r="E468" s="1613">
        <v>562.92999999999995</v>
      </c>
      <c r="F468" s="1613">
        <v>-251.14</v>
      </c>
      <c r="G468" s="1613">
        <f t="shared" si="128"/>
        <v>311.78999999999996</v>
      </c>
      <c r="H468" s="1578">
        <v>2014</v>
      </c>
      <c r="I468" s="1662">
        <f t="shared" si="129"/>
        <v>1.5</v>
      </c>
      <c r="J468" s="1663">
        <v>36</v>
      </c>
      <c r="K468" s="1664">
        <f t="shared" si="130"/>
        <v>0.33333333333333331</v>
      </c>
      <c r="L468" s="1613">
        <f t="shared" si="131"/>
        <v>187.64333333333332</v>
      </c>
      <c r="M468" s="1613">
        <f t="shared" si="132"/>
        <v>562.92999999999995</v>
      </c>
      <c r="N468" s="1613">
        <f t="shared" si="121"/>
        <v>-375.28666666666663</v>
      </c>
      <c r="O468" s="1652">
        <f t="shared" si="133"/>
        <v>187.64333333333332</v>
      </c>
      <c r="P468" s="1653">
        <f t="shared" si="134"/>
        <v>-375.61999999999995</v>
      </c>
      <c r="Q468" s="1653">
        <f t="shared" si="135"/>
        <v>-187.97666666666663</v>
      </c>
      <c r="R468" s="1653">
        <f t="shared" si="136"/>
        <v>-187.97666666666663</v>
      </c>
      <c r="S468" s="1653">
        <f t="shared" si="137"/>
        <v>-0.33333333333331439</v>
      </c>
      <c r="T468" s="1653">
        <f t="shared" si="122"/>
        <v>-0.33333333333331439</v>
      </c>
      <c r="U468" s="1653">
        <f t="shared" si="123"/>
        <v>187.31</v>
      </c>
      <c r="V468" s="1653">
        <f t="shared" si="124"/>
        <v>-0.66666666666664764</v>
      </c>
      <c r="W468" s="1653">
        <f t="shared" si="125"/>
        <v>186.97666666666666</v>
      </c>
      <c r="X468" s="1653">
        <f t="shared" si="126"/>
        <v>-0.9999999999999809</v>
      </c>
      <c r="Y468" s="1653">
        <f t="shared" si="127"/>
        <v>186.64333333333335</v>
      </c>
    </row>
    <row r="469" spans="1:25" ht="15" hidden="1" outlineLevel="1">
      <c r="A469" s="1615">
        <v>461</v>
      </c>
      <c r="C469" s="1651" t="s">
        <v>3127</v>
      </c>
      <c r="D469" s="1651" t="s">
        <v>2465</v>
      </c>
      <c r="E469" s="1613">
        <v>562.41999999999996</v>
      </c>
      <c r="F469" s="1613">
        <v>-250.91</v>
      </c>
      <c r="G469" s="1613">
        <f t="shared" si="128"/>
        <v>311.51</v>
      </c>
      <c r="H469" s="1578">
        <v>2014</v>
      </c>
      <c r="I469" s="1662">
        <f t="shared" si="129"/>
        <v>1.5</v>
      </c>
      <c r="J469" s="1663">
        <v>36</v>
      </c>
      <c r="K469" s="1664">
        <f t="shared" si="130"/>
        <v>0.33333333333333331</v>
      </c>
      <c r="L469" s="1613">
        <f t="shared" si="131"/>
        <v>187.4733333333333</v>
      </c>
      <c r="M469" s="1613">
        <f t="shared" si="132"/>
        <v>562.41999999999996</v>
      </c>
      <c r="N469" s="1613">
        <f t="shared" si="121"/>
        <v>-374.9466666666666</v>
      </c>
      <c r="O469" s="1652">
        <f t="shared" si="133"/>
        <v>187.47333333333336</v>
      </c>
      <c r="P469" s="1653">
        <f t="shared" si="134"/>
        <v>-375.27999999999992</v>
      </c>
      <c r="Q469" s="1653">
        <f t="shared" si="135"/>
        <v>-187.80666666666662</v>
      </c>
      <c r="R469" s="1653">
        <f t="shared" si="136"/>
        <v>-187.80666666666662</v>
      </c>
      <c r="S469" s="1653">
        <f t="shared" si="137"/>
        <v>-0.33333333333331439</v>
      </c>
      <c r="T469" s="1653">
        <f t="shared" si="122"/>
        <v>-0.33333333333331439</v>
      </c>
      <c r="U469" s="1653">
        <f t="shared" si="123"/>
        <v>187.14</v>
      </c>
      <c r="V469" s="1653">
        <f t="shared" si="124"/>
        <v>-0.66666666666664764</v>
      </c>
      <c r="W469" s="1653">
        <f t="shared" si="125"/>
        <v>186.80666666666664</v>
      </c>
      <c r="X469" s="1653">
        <f t="shared" si="126"/>
        <v>-0.9999999999999809</v>
      </c>
      <c r="Y469" s="1653">
        <f t="shared" si="127"/>
        <v>186.47333333333333</v>
      </c>
    </row>
    <row r="470" spans="1:25" ht="15" hidden="1" outlineLevel="1">
      <c r="A470" s="1615">
        <v>462</v>
      </c>
      <c r="C470" s="1651" t="s">
        <v>3128</v>
      </c>
      <c r="D470" s="1651" t="s">
        <v>2465</v>
      </c>
      <c r="E470" s="1613">
        <v>4641.46</v>
      </c>
      <c r="F470" s="1613">
        <v>-1939.25</v>
      </c>
      <c r="G470" s="1613">
        <f t="shared" si="128"/>
        <v>2702.21</v>
      </c>
      <c r="H470" s="1578">
        <v>2014</v>
      </c>
      <c r="I470" s="1662">
        <f t="shared" si="129"/>
        <v>1.5</v>
      </c>
      <c r="J470" s="1663">
        <v>36</v>
      </c>
      <c r="K470" s="1664">
        <f t="shared" si="130"/>
        <v>0.33333333333333331</v>
      </c>
      <c r="L470" s="1613">
        <f t="shared" si="131"/>
        <v>1547.1533333333332</v>
      </c>
      <c r="M470" s="1613">
        <f t="shared" si="132"/>
        <v>4641.46</v>
      </c>
      <c r="N470" s="1613">
        <f t="shared" si="121"/>
        <v>-3094.3066666666664</v>
      </c>
      <c r="O470" s="1652">
        <f t="shared" si="133"/>
        <v>1547.1533333333336</v>
      </c>
      <c r="P470" s="1653">
        <f t="shared" si="134"/>
        <v>-3094.64</v>
      </c>
      <c r="Q470" s="1653">
        <f t="shared" si="135"/>
        <v>-1547.4866666666667</v>
      </c>
      <c r="R470" s="1653">
        <f t="shared" si="136"/>
        <v>-1547.4866666666667</v>
      </c>
      <c r="S470" s="1653">
        <f t="shared" si="137"/>
        <v>-0.33333333333348492</v>
      </c>
      <c r="T470" s="1653">
        <f t="shared" si="122"/>
        <v>-0.33333333333348492</v>
      </c>
      <c r="U470" s="1653">
        <f t="shared" si="123"/>
        <v>1546.8199999999997</v>
      </c>
      <c r="V470" s="1653">
        <f t="shared" si="124"/>
        <v>-0.66666666666681818</v>
      </c>
      <c r="W470" s="1653">
        <f t="shared" si="125"/>
        <v>1546.4866666666665</v>
      </c>
      <c r="X470" s="1653">
        <f t="shared" si="126"/>
        <v>-1.0000000000001514</v>
      </c>
      <c r="Y470" s="1653">
        <f t="shared" si="127"/>
        <v>1546.153333333333</v>
      </c>
    </row>
    <row r="471" spans="1:25" ht="15" hidden="1" outlineLevel="1">
      <c r="A471" s="1615">
        <v>463</v>
      </c>
      <c r="C471" s="1651" t="s">
        <v>3129</v>
      </c>
      <c r="D471" s="1651" t="s">
        <v>2465</v>
      </c>
      <c r="E471" s="1613">
        <v>876.42</v>
      </c>
      <c r="F471" s="1613">
        <v>-366.18</v>
      </c>
      <c r="G471" s="1613">
        <f t="shared" si="128"/>
        <v>510.23999999999995</v>
      </c>
      <c r="H471" s="1578">
        <v>2014</v>
      </c>
      <c r="I471" s="1662">
        <f t="shared" si="129"/>
        <v>1.5</v>
      </c>
      <c r="J471" s="1663">
        <v>36</v>
      </c>
      <c r="K471" s="1664">
        <f t="shared" si="130"/>
        <v>0.33333333333333331</v>
      </c>
      <c r="L471" s="1613">
        <f t="shared" si="131"/>
        <v>292.14</v>
      </c>
      <c r="M471" s="1613">
        <f t="shared" si="132"/>
        <v>876.42</v>
      </c>
      <c r="N471" s="1613">
        <f t="shared" si="121"/>
        <v>-584.28</v>
      </c>
      <c r="O471" s="1652">
        <f t="shared" si="133"/>
        <v>292.14</v>
      </c>
      <c r="P471" s="1653">
        <f t="shared" si="134"/>
        <v>-584.61333333333334</v>
      </c>
      <c r="Q471" s="1653">
        <f t="shared" si="135"/>
        <v>-292.47333333333336</v>
      </c>
      <c r="R471" s="1653">
        <f t="shared" si="136"/>
        <v>-292.47333333333336</v>
      </c>
      <c r="S471" s="1653">
        <f t="shared" si="137"/>
        <v>-0.33333333333337123</v>
      </c>
      <c r="T471" s="1653">
        <f t="shared" si="122"/>
        <v>-0.33333333333337123</v>
      </c>
      <c r="U471" s="1653">
        <f t="shared" si="123"/>
        <v>291.80666666666662</v>
      </c>
      <c r="V471" s="1653">
        <f t="shared" si="124"/>
        <v>-0.66666666666670449</v>
      </c>
      <c r="W471" s="1653">
        <f t="shared" si="125"/>
        <v>291.4733333333333</v>
      </c>
      <c r="X471" s="1653">
        <f t="shared" si="126"/>
        <v>-1.0000000000000377</v>
      </c>
      <c r="Y471" s="1653">
        <f t="shared" si="127"/>
        <v>291.13999999999993</v>
      </c>
    </row>
    <row r="472" spans="1:25" ht="15" hidden="1" outlineLevel="1">
      <c r="A472" s="1615">
        <v>464</v>
      </c>
      <c r="C472" s="1651" t="s">
        <v>3130</v>
      </c>
      <c r="D472" s="1651" t="s">
        <v>2465</v>
      </c>
      <c r="E472" s="1613">
        <v>59.69</v>
      </c>
      <c r="F472" s="1613">
        <v>-26.63</v>
      </c>
      <c r="G472" s="1613">
        <f t="shared" si="128"/>
        <v>33.06</v>
      </c>
      <c r="H472" s="1578">
        <v>2014</v>
      </c>
      <c r="I472" s="1662">
        <f t="shared" si="129"/>
        <v>1.5</v>
      </c>
      <c r="J472" s="1663">
        <v>36</v>
      </c>
      <c r="K472" s="1664">
        <f t="shared" si="130"/>
        <v>0.33333333333333331</v>
      </c>
      <c r="L472" s="1613">
        <f t="shared" si="131"/>
        <v>19.896666666666665</v>
      </c>
      <c r="M472" s="1613">
        <f t="shared" si="132"/>
        <v>59.69</v>
      </c>
      <c r="N472" s="1613">
        <f t="shared" ref="N472:N535" si="138">-IF(I472+0.5&lt;(J472/12),M472*(I472+0.5)*K472,M472)</f>
        <v>-39.793333333333329</v>
      </c>
      <c r="O472" s="1652">
        <f t="shared" si="133"/>
        <v>19.896666666666668</v>
      </c>
      <c r="P472" s="1653">
        <f t="shared" si="134"/>
        <v>-40.126666666666665</v>
      </c>
      <c r="Q472" s="1653">
        <f t="shared" si="135"/>
        <v>-20.23</v>
      </c>
      <c r="R472" s="1653">
        <f t="shared" si="136"/>
        <v>-20.23</v>
      </c>
      <c r="S472" s="1653">
        <f t="shared" si="137"/>
        <v>-0.3333333333333357</v>
      </c>
      <c r="T472" s="1653">
        <f t="shared" ref="T472:T535" si="139">IF(S472&gt;0,IF(S472&lt;$K472,-$L472,R472-$K472),S472)</f>
        <v>-0.3333333333333357</v>
      </c>
      <c r="U472" s="1653">
        <f t="shared" ref="U472:U535" si="140">IF(T472&lt;0,$L472+T472,S472)</f>
        <v>19.563333333333329</v>
      </c>
      <c r="V472" s="1653">
        <f t="shared" ref="V472:V535" si="141">IF(U472&gt;0,IF(U472&lt;$K472,-$L472,T472-$K472),U472)</f>
        <v>-0.66666666666666896</v>
      </c>
      <c r="W472" s="1653">
        <f t="shared" ref="W472:W535" si="142">IF(V472&lt;0,$L472+V472,U472)</f>
        <v>19.229999999999997</v>
      </c>
      <c r="X472" s="1653">
        <f t="shared" ref="X472:X535" si="143">IF(W472&gt;0,IF(W472&lt;$K472,-$L472,V472-$K472),W472)</f>
        <v>-1.0000000000000022</v>
      </c>
      <c r="Y472" s="1653">
        <f t="shared" ref="Y472:Y535" si="144">IF(X472&lt;0,$L472+X472,W472)</f>
        <v>18.896666666666661</v>
      </c>
    </row>
    <row r="473" spans="1:25" ht="15" hidden="1" outlineLevel="1">
      <c r="A473" s="1615">
        <v>465</v>
      </c>
      <c r="C473" s="1651" t="s">
        <v>3131</v>
      </c>
      <c r="D473" s="1651" t="s">
        <v>2465</v>
      </c>
      <c r="E473" s="1613">
        <v>139.52000000000001</v>
      </c>
      <c r="F473" s="1613">
        <v>-62.24</v>
      </c>
      <c r="G473" s="1613">
        <f t="shared" ref="G473:G536" si="145">E473+F473</f>
        <v>77.28</v>
      </c>
      <c r="H473" s="1578">
        <v>2014</v>
      </c>
      <c r="I473" s="1662">
        <f t="shared" ref="I473:I536" si="146">IF(H473=2015,0.5,2015.5-H473)</f>
        <v>1.5</v>
      </c>
      <c r="J473" s="1663">
        <v>36</v>
      </c>
      <c r="K473" s="1664">
        <f t="shared" ref="K473:K536" si="147">1/J473*12</f>
        <v>0.33333333333333331</v>
      </c>
      <c r="L473" s="1613">
        <f t="shared" ref="L473:L536" si="148">IF(I473&lt;(J473/12),E473*K473,0)</f>
        <v>46.506666666666668</v>
      </c>
      <c r="M473" s="1613">
        <f t="shared" ref="M473:M536" si="149">E473</f>
        <v>139.52000000000001</v>
      </c>
      <c r="N473" s="1613">
        <f t="shared" si="138"/>
        <v>-93.013333333333335</v>
      </c>
      <c r="O473" s="1652">
        <f t="shared" ref="O473:O536" si="150">M473+N473</f>
        <v>46.506666666666675</v>
      </c>
      <c r="P473" s="1653">
        <f t="shared" ref="P473:P536" si="151">IF(O473&gt;0,IF(O473&lt;$K473,-$L473,N473-$K473),O473)</f>
        <v>-93.346666666666664</v>
      </c>
      <c r="Q473" s="1653">
        <f t="shared" ref="Q473:Q536" si="152">IF(P473&lt;0,$L473+P473,O473)</f>
        <v>-46.839999999999996</v>
      </c>
      <c r="R473" s="1653">
        <f t="shared" ref="R473:R536" si="153">IF(Q473&gt;0,IF(Q473&lt;$K473,-$L473,P473-$K473),Q473)</f>
        <v>-46.839999999999996</v>
      </c>
      <c r="S473" s="1653">
        <f t="shared" ref="S473:S536" si="154">IF(R473&lt;0,$L473+R473,Q473)</f>
        <v>-0.3333333333333286</v>
      </c>
      <c r="T473" s="1653">
        <f t="shared" si="139"/>
        <v>-0.3333333333333286</v>
      </c>
      <c r="U473" s="1653">
        <f t="shared" si="140"/>
        <v>46.173333333333339</v>
      </c>
      <c r="V473" s="1653">
        <f t="shared" si="141"/>
        <v>-0.66666666666666186</v>
      </c>
      <c r="W473" s="1653">
        <f t="shared" si="142"/>
        <v>45.84</v>
      </c>
      <c r="X473" s="1653">
        <f t="shared" si="143"/>
        <v>-0.99999999999999512</v>
      </c>
      <c r="Y473" s="1653">
        <f t="shared" si="144"/>
        <v>45.506666666666675</v>
      </c>
    </row>
    <row r="474" spans="1:25" ht="15" hidden="1" outlineLevel="1">
      <c r="A474" s="1615">
        <v>466</v>
      </c>
      <c r="C474" s="1651" t="s">
        <v>3132</v>
      </c>
      <c r="D474" s="1651" t="s">
        <v>2465</v>
      </c>
      <c r="E474" s="1613">
        <v>35.659999999999997</v>
      </c>
      <c r="F474" s="1613">
        <v>-14.89</v>
      </c>
      <c r="G474" s="1613">
        <f t="shared" si="145"/>
        <v>20.769999999999996</v>
      </c>
      <c r="H474" s="1578">
        <v>2014</v>
      </c>
      <c r="I474" s="1662">
        <f t="shared" si="146"/>
        <v>1.5</v>
      </c>
      <c r="J474" s="1663">
        <v>36</v>
      </c>
      <c r="K474" s="1664">
        <f t="shared" si="147"/>
        <v>0.33333333333333331</v>
      </c>
      <c r="L474" s="1613">
        <f t="shared" si="148"/>
        <v>11.886666666666665</v>
      </c>
      <c r="M474" s="1613">
        <f t="shared" si="149"/>
        <v>35.659999999999997</v>
      </c>
      <c r="N474" s="1613">
        <f t="shared" si="138"/>
        <v>-23.77333333333333</v>
      </c>
      <c r="O474" s="1652">
        <f t="shared" si="150"/>
        <v>11.886666666666667</v>
      </c>
      <c r="P474" s="1653">
        <f t="shared" si="151"/>
        <v>-24.106666666666662</v>
      </c>
      <c r="Q474" s="1653">
        <f t="shared" si="152"/>
        <v>-12.219999999999997</v>
      </c>
      <c r="R474" s="1653">
        <f t="shared" si="153"/>
        <v>-12.219999999999997</v>
      </c>
      <c r="S474" s="1653">
        <f t="shared" si="154"/>
        <v>-0.33333333333333215</v>
      </c>
      <c r="T474" s="1653">
        <f t="shared" si="139"/>
        <v>-0.33333333333333215</v>
      </c>
      <c r="U474" s="1653">
        <f t="shared" si="140"/>
        <v>11.553333333333333</v>
      </c>
      <c r="V474" s="1653">
        <f t="shared" si="141"/>
        <v>-0.66666666666666541</v>
      </c>
      <c r="W474" s="1653">
        <f t="shared" si="142"/>
        <v>11.219999999999999</v>
      </c>
      <c r="X474" s="1653">
        <f t="shared" si="143"/>
        <v>-0.99999999999999867</v>
      </c>
      <c r="Y474" s="1653">
        <f t="shared" si="144"/>
        <v>10.886666666666667</v>
      </c>
    </row>
    <row r="475" spans="1:25" ht="15" hidden="1" outlineLevel="1">
      <c r="A475" s="1615">
        <v>467</v>
      </c>
      <c r="C475" s="1651" t="s">
        <v>3133</v>
      </c>
      <c r="D475" s="1651" t="s">
        <v>2465</v>
      </c>
      <c r="E475" s="1613">
        <v>66.650000000000006</v>
      </c>
      <c r="F475" s="1613">
        <v>-27.85</v>
      </c>
      <c r="G475" s="1613">
        <f t="shared" si="145"/>
        <v>38.800000000000004</v>
      </c>
      <c r="H475" s="1578">
        <v>2014</v>
      </c>
      <c r="I475" s="1662">
        <f t="shared" si="146"/>
        <v>1.5</v>
      </c>
      <c r="J475" s="1663">
        <v>36</v>
      </c>
      <c r="K475" s="1664">
        <f t="shared" si="147"/>
        <v>0.33333333333333331</v>
      </c>
      <c r="L475" s="1613">
        <f t="shared" si="148"/>
        <v>22.216666666666669</v>
      </c>
      <c r="M475" s="1613">
        <f t="shared" si="149"/>
        <v>66.650000000000006</v>
      </c>
      <c r="N475" s="1613">
        <f t="shared" si="138"/>
        <v>-44.433333333333337</v>
      </c>
      <c r="O475" s="1652">
        <f t="shared" si="150"/>
        <v>22.216666666666669</v>
      </c>
      <c r="P475" s="1653">
        <f t="shared" si="151"/>
        <v>-44.766666666666673</v>
      </c>
      <c r="Q475" s="1653">
        <f t="shared" si="152"/>
        <v>-22.550000000000004</v>
      </c>
      <c r="R475" s="1653">
        <f t="shared" si="153"/>
        <v>-22.550000000000004</v>
      </c>
      <c r="S475" s="1653">
        <f t="shared" si="154"/>
        <v>-0.3333333333333357</v>
      </c>
      <c r="T475" s="1653">
        <f t="shared" si="139"/>
        <v>-0.3333333333333357</v>
      </c>
      <c r="U475" s="1653">
        <f t="shared" si="140"/>
        <v>21.883333333333333</v>
      </c>
      <c r="V475" s="1653">
        <f t="shared" si="141"/>
        <v>-0.66666666666666896</v>
      </c>
      <c r="W475" s="1653">
        <f t="shared" si="142"/>
        <v>21.55</v>
      </c>
      <c r="X475" s="1653">
        <f t="shared" si="143"/>
        <v>-1.0000000000000022</v>
      </c>
      <c r="Y475" s="1653">
        <f t="shared" si="144"/>
        <v>21.216666666666665</v>
      </c>
    </row>
    <row r="476" spans="1:25" ht="15" hidden="1" outlineLevel="1">
      <c r="A476" s="1615">
        <v>468</v>
      </c>
      <c r="C476" s="1651" t="s">
        <v>3134</v>
      </c>
      <c r="D476" s="1651" t="s">
        <v>2465</v>
      </c>
      <c r="E476" s="1613">
        <v>1118.8499999999999</v>
      </c>
      <c r="F476" s="1613">
        <v>-467.46</v>
      </c>
      <c r="G476" s="1613">
        <f t="shared" si="145"/>
        <v>651.38999999999987</v>
      </c>
      <c r="H476" s="1578">
        <v>2014</v>
      </c>
      <c r="I476" s="1662">
        <f t="shared" si="146"/>
        <v>1.5</v>
      </c>
      <c r="J476" s="1663">
        <v>36</v>
      </c>
      <c r="K476" s="1664">
        <f t="shared" si="147"/>
        <v>0.33333333333333331</v>
      </c>
      <c r="L476" s="1613">
        <f t="shared" si="148"/>
        <v>372.94999999999993</v>
      </c>
      <c r="M476" s="1613">
        <f t="shared" si="149"/>
        <v>1118.8499999999999</v>
      </c>
      <c r="N476" s="1613">
        <f t="shared" si="138"/>
        <v>-745.89999999999986</v>
      </c>
      <c r="O476" s="1652">
        <f t="shared" si="150"/>
        <v>372.95000000000005</v>
      </c>
      <c r="P476" s="1653">
        <f t="shared" si="151"/>
        <v>-746.23333333333323</v>
      </c>
      <c r="Q476" s="1653">
        <f t="shared" si="152"/>
        <v>-373.2833333333333</v>
      </c>
      <c r="R476" s="1653">
        <f t="shared" si="153"/>
        <v>-373.2833333333333</v>
      </c>
      <c r="S476" s="1653">
        <f t="shared" si="154"/>
        <v>-0.33333333333337123</v>
      </c>
      <c r="T476" s="1653">
        <f t="shared" si="139"/>
        <v>-0.33333333333337123</v>
      </c>
      <c r="U476" s="1653">
        <f t="shared" si="140"/>
        <v>372.61666666666656</v>
      </c>
      <c r="V476" s="1653">
        <f t="shared" si="141"/>
        <v>-0.66666666666670449</v>
      </c>
      <c r="W476" s="1653">
        <f t="shared" si="142"/>
        <v>372.28333333333325</v>
      </c>
      <c r="X476" s="1653">
        <f t="shared" si="143"/>
        <v>-1.0000000000000377</v>
      </c>
      <c r="Y476" s="1653">
        <f t="shared" si="144"/>
        <v>371.94999999999987</v>
      </c>
    </row>
    <row r="477" spans="1:25" ht="15" hidden="1" outlineLevel="1">
      <c r="A477" s="1615">
        <v>469</v>
      </c>
      <c r="C477" s="1651" t="s">
        <v>3135</v>
      </c>
      <c r="D477" s="1651" t="s">
        <v>2465</v>
      </c>
      <c r="E477" s="1613">
        <v>362.63</v>
      </c>
      <c r="F477" s="1613">
        <v>-151.51</v>
      </c>
      <c r="G477" s="1613">
        <f t="shared" si="145"/>
        <v>211.12</v>
      </c>
      <c r="H477" s="1578">
        <v>2014</v>
      </c>
      <c r="I477" s="1662">
        <f t="shared" si="146"/>
        <v>1.5</v>
      </c>
      <c r="J477" s="1663">
        <v>36</v>
      </c>
      <c r="K477" s="1664">
        <f t="shared" si="147"/>
        <v>0.33333333333333331</v>
      </c>
      <c r="L477" s="1613">
        <f t="shared" si="148"/>
        <v>120.87666666666667</v>
      </c>
      <c r="M477" s="1613">
        <f t="shared" si="149"/>
        <v>362.63</v>
      </c>
      <c r="N477" s="1613">
        <f t="shared" si="138"/>
        <v>-241.75333333333333</v>
      </c>
      <c r="O477" s="1652">
        <f t="shared" si="150"/>
        <v>120.87666666666667</v>
      </c>
      <c r="P477" s="1653">
        <f t="shared" si="151"/>
        <v>-242.08666666666667</v>
      </c>
      <c r="Q477" s="1653">
        <f t="shared" si="152"/>
        <v>-121.21000000000001</v>
      </c>
      <c r="R477" s="1653">
        <f t="shared" si="153"/>
        <v>-121.21000000000001</v>
      </c>
      <c r="S477" s="1653">
        <f t="shared" si="154"/>
        <v>-0.33333333333334281</v>
      </c>
      <c r="T477" s="1653">
        <f t="shared" si="139"/>
        <v>-0.33333333333334281</v>
      </c>
      <c r="U477" s="1653">
        <f t="shared" si="140"/>
        <v>120.54333333333332</v>
      </c>
      <c r="V477" s="1653">
        <f t="shared" si="141"/>
        <v>-0.66666666666667607</v>
      </c>
      <c r="W477" s="1653">
        <f t="shared" si="142"/>
        <v>120.21</v>
      </c>
      <c r="X477" s="1653">
        <f t="shared" si="143"/>
        <v>-1.0000000000000093</v>
      </c>
      <c r="Y477" s="1653">
        <f t="shared" si="144"/>
        <v>119.87666666666665</v>
      </c>
    </row>
    <row r="478" spans="1:25" ht="15" hidden="1" outlineLevel="1">
      <c r="A478" s="1615">
        <v>470</v>
      </c>
      <c r="C478" s="1651" t="s">
        <v>3136</v>
      </c>
      <c r="D478" s="1651" t="s">
        <v>2465</v>
      </c>
      <c r="E478" s="1613">
        <v>571.28</v>
      </c>
      <c r="F478" s="1613">
        <v>-238.68</v>
      </c>
      <c r="G478" s="1613">
        <f t="shared" si="145"/>
        <v>332.59999999999997</v>
      </c>
      <c r="H478" s="1578">
        <v>2014</v>
      </c>
      <c r="I478" s="1662">
        <f t="shared" si="146"/>
        <v>1.5</v>
      </c>
      <c r="J478" s="1663">
        <v>36</v>
      </c>
      <c r="K478" s="1664">
        <f t="shared" si="147"/>
        <v>0.33333333333333331</v>
      </c>
      <c r="L478" s="1613">
        <f t="shared" si="148"/>
        <v>190.42666666666665</v>
      </c>
      <c r="M478" s="1613">
        <f t="shared" si="149"/>
        <v>571.28</v>
      </c>
      <c r="N478" s="1613">
        <f t="shared" si="138"/>
        <v>-380.8533333333333</v>
      </c>
      <c r="O478" s="1652">
        <f t="shared" si="150"/>
        <v>190.42666666666668</v>
      </c>
      <c r="P478" s="1653">
        <f t="shared" si="151"/>
        <v>-381.18666666666661</v>
      </c>
      <c r="Q478" s="1653">
        <f t="shared" si="152"/>
        <v>-190.75999999999996</v>
      </c>
      <c r="R478" s="1653">
        <f t="shared" si="153"/>
        <v>-190.75999999999996</v>
      </c>
      <c r="S478" s="1653">
        <f t="shared" si="154"/>
        <v>-0.33333333333331439</v>
      </c>
      <c r="T478" s="1653">
        <f t="shared" si="139"/>
        <v>-0.33333333333331439</v>
      </c>
      <c r="U478" s="1653">
        <f t="shared" si="140"/>
        <v>190.09333333333333</v>
      </c>
      <c r="V478" s="1653">
        <f t="shared" si="141"/>
        <v>-0.66666666666664764</v>
      </c>
      <c r="W478" s="1653">
        <f t="shared" si="142"/>
        <v>189.76</v>
      </c>
      <c r="X478" s="1653">
        <f t="shared" si="143"/>
        <v>-0.9999999999999809</v>
      </c>
      <c r="Y478" s="1653">
        <f t="shared" si="144"/>
        <v>189.42666666666668</v>
      </c>
    </row>
    <row r="479" spans="1:25" ht="15" hidden="1" outlineLevel="1">
      <c r="A479" s="1615">
        <v>471</v>
      </c>
      <c r="C479" s="1651" t="s">
        <v>3137</v>
      </c>
      <c r="D479" s="1651" t="s">
        <v>2465</v>
      </c>
      <c r="E479" s="1613">
        <v>5463.89</v>
      </c>
      <c r="F479" s="1613">
        <v>-2282.86</v>
      </c>
      <c r="G479" s="1613">
        <f t="shared" si="145"/>
        <v>3181.03</v>
      </c>
      <c r="H479" s="1578">
        <v>2014</v>
      </c>
      <c r="I479" s="1662">
        <f t="shared" si="146"/>
        <v>1.5</v>
      </c>
      <c r="J479" s="1663">
        <v>36</v>
      </c>
      <c r="K479" s="1664">
        <f t="shared" si="147"/>
        <v>0.33333333333333331</v>
      </c>
      <c r="L479" s="1613">
        <f t="shared" si="148"/>
        <v>1821.2966666666666</v>
      </c>
      <c r="M479" s="1613">
        <f t="shared" si="149"/>
        <v>5463.89</v>
      </c>
      <c r="N479" s="1613">
        <f t="shared" si="138"/>
        <v>-3642.5933333333332</v>
      </c>
      <c r="O479" s="1652">
        <f t="shared" si="150"/>
        <v>1821.2966666666671</v>
      </c>
      <c r="P479" s="1653">
        <f t="shared" si="151"/>
        <v>-3642.9266666666667</v>
      </c>
      <c r="Q479" s="1653">
        <f t="shared" si="152"/>
        <v>-1821.63</v>
      </c>
      <c r="R479" s="1653">
        <f t="shared" si="153"/>
        <v>-1821.63</v>
      </c>
      <c r="S479" s="1653">
        <f t="shared" si="154"/>
        <v>-0.33333333333348492</v>
      </c>
      <c r="T479" s="1653">
        <f t="shared" si="139"/>
        <v>-0.33333333333348492</v>
      </c>
      <c r="U479" s="1653">
        <f t="shared" si="140"/>
        <v>1820.9633333333331</v>
      </c>
      <c r="V479" s="1653">
        <f t="shared" si="141"/>
        <v>-0.66666666666681818</v>
      </c>
      <c r="W479" s="1653">
        <f t="shared" si="142"/>
        <v>1820.6299999999999</v>
      </c>
      <c r="X479" s="1653">
        <f t="shared" si="143"/>
        <v>-1.0000000000001514</v>
      </c>
      <c r="Y479" s="1653">
        <f t="shared" si="144"/>
        <v>1820.2966666666664</v>
      </c>
    </row>
    <row r="480" spans="1:25" ht="15" hidden="1" outlineLevel="1">
      <c r="A480" s="1615">
        <v>472</v>
      </c>
      <c r="C480" s="1651" t="s">
        <v>3138</v>
      </c>
      <c r="D480" s="1651" t="s">
        <v>3139</v>
      </c>
      <c r="E480" s="1613">
        <v>4522.01</v>
      </c>
      <c r="F480" s="1613">
        <v>-1889.33</v>
      </c>
      <c r="G480" s="1613">
        <f t="shared" si="145"/>
        <v>2632.6800000000003</v>
      </c>
      <c r="H480" s="1578">
        <v>2014</v>
      </c>
      <c r="I480" s="1662">
        <f t="shared" si="146"/>
        <v>1.5</v>
      </c>
      <c r="J480" s="1663">
        <v>36</v>
      </c>
      <c r="K480" s="1664">
        <f t="shared" si="147"/>
        <v>0.33333333333333331</v>
      </c>
      <c r="L480" s="1613">
        <f t="shared" si="148"/>
        <v>1507.3366666666666</v>
      </c>
      <c r="M480" s="1613">
        <f t="shared" si="149"/>
        <v>4522.01</v>
      </c>
      <c r="N480" s="1613">
        <f t="shared" si="138"/>
        <v>-3014.6733333333332</v>
      </c>
      <c r="O480" s="1652">
        <f t="shared" si="150"/>
        <v>1507.336666666667</v>
      </c>
      <c r="P480" s="1653">
        <f t="shared" si="151"/>
        <v>-3015.0066666666667</v>
      </c>
      <c r="Q480" s="1653">
        <f t="shared" si="152"/>
        <v>-1507.67</v>
      </c>
      <c r="R480" s="1653">
        <f t="shared" si="153"/>
        <v>-1507.67</v>
      </c>
      <c r="S480" s="1653">
        <f t="shared" si="154"/>
        <v>-0.33333333333348492</v>
      </c>
      <c r="T480" s="1653">
        <f t="shared" si="139"/>
        <v>-0.33333333333348492</v>
      </c>
      <c r="U480" s="1653">
        <f t="shared" si="140"/>
        <v>1507.0033333333331</v>
      </c>
      <c r="V480" s="1653">
        <f t="shared" si="141"/>
        <v>-0.66666666666681818</v>
      </c>
      <c r="W480" s="1653">
        <f t="shared" si="142"/>
        <v>1506.6699999999998</v>
      </c>
      <c r="X480" s="1653">
        <f t="shared" si="143"/>
        <v>-1.0000000000001514</v>
      </c>
      <c r="Y480" s="1653">
        <f t="shared" si="144"/>
        <v>1506.3366666666664</v>
      </c>
    </row>
    <row r="481" spans="1:25" ht="15" hidden="1" outlineLevel="1">
      <c r="A481" s="1615">
        <v>473</v>
      </c>
      <c r="C481" s="1651" t="s">
        <v>3140</v>
      </c>
      <c r="D481" s="1651" t="s">
        <v>2465</v>
      </c>
      <c r="E481" s="1613">
        <v>1398.9</v>
      </c>
      <c r="F481" s="1613">
        <v>-584.47</v>
      </c>
      <c r="G481" s="1613">
        <f t="shared" si="145"/>
        <v>814.43000000000006</v>
      </c>
      <c r="H481" s="1578">
        <v>2014</v>
      </c>
      <c r="I481" s="1662">
        <f t="shared" si="146"/>
        <v>1.5</v>
      </c>
      <c r="J481" s="1663">
        <v>36</v>
      </c>
      <c r="K481" s="1664">
        <f t="shared" si="147"/>
        <v>0.33333333333333331</v>
      </c>
      <c r="L481" s="1613">
        <f t="shared" si="148"/>
        <v>466.3</v>
      </c>
      <c r="M481" s="1613">
        <f t="shared" si="149"/>
        <v>1398.9</v>
      </c>
      <c r="N481" s="1613">
        <f t="shared" si="138"/>
        <v>-932.6</v>
      </c>
      <c r="O481" s="1652">
        <f t="shared" si="150"/>
        <v>466.30000000000007</v>
      </c>
      <c r="P481" s="1653">
        <f t="shared" si="151"/>
        <v>-932.93333333333339</v>
      </c>
      <c r="Q481" s="1653">
        <f t="shared" si="152"/>
        <v>-466.63333333333338</v>
      </c>
      <c r="R481" s="1653">
        <f t="shared" si="153"/>
        <v>-466.63333333333338</v>
      </c>
      <c r="S481" s="1653">
        <f t="shared" si="154"/>
        <v>-0.33333333333337123</v>
      </c>
      <c r="T481" s="1653">
        <f t="shared" si="139"/>
        <v>-0.33333333333337123</v>
      </c>
      <c r="U481" s="1653">
        <f t="shared" si="140"/>
        <v>465.96666666666664</v>
      </c>
      <c r="V481" s="1653">
        <f t="shared" si="141"/>
        <v>-0.66666666666670449</v>
      </c>
      <c r="W481" s="1653">
        <f t="shared" si="142"/>
        <v>465.63333333333333</v>
      </c>
      <c r="X481" s="1653">
        <f t="shared" si="143"/>
        <v>-1.0000000000000377</v>
      </c>
      <c r="Y481" s="1653">
        <f t="shared" si="144"/>
        <v>465.29999999999995</v>
      </c>
    </row>
    <row r="482" spans="1:25" ht="15" hidden="1" outlineLevel="1">
      <c r="A482" s="1615">
        <v>474</v>
      </c>
      <c r="C482" s="1651" t="s">
        <v>3141</v>
      </c>
      <c r="D482" s="1651" t="s">
        <v>2465</v>
      </c>
      <c r="E482" s="1613">
        <v>3969.19</v>
      </c>
      <c r="F482" s="1613">
        <v>-1658.36</v>
      </c>
      <c r="G482" s="1613">
        <f t="shared" si="145"/>
        <v>2310.83</v>
      </c>
      <c r="H482" s="1578">
        <v>2014</v>
      </c>
      <c r="I482" s="1662">
        <f t="shared" si="146"/>
        <v>1.5</v>
      </c>
      <c r="J482" s="1663">
        <v>36</v>
      </c>
      <c r="K482" s="1664">
        <f t="shared" si="147"/>
        <v>0.33333333333333331</v>
      </c>
      <c r="L482" s="1613">
        <f t="shared" si="148"/>
        <v>1323.0633333333333</v>
      </c>
      <c r="M482" s="1613">
        <f t="shared" si="149"/>
        <v>3969.19</v>
      </c>
      <c r="N482" s="1613">
        <f t="shared" si="138"/>
        <v>-2646.1266666666666</v>
      </c>
      <c r="O482" s="1652">
        <f t="shared" si="150"/>
        <v>1323.0633333333335</v>
      </c>
      <c r="P482" s="1653">
        <f t="shared" si="151"/>
        <v>-2646.46</v>
      </c>
      <c r="Q482" s="1653">
        <f t="shared" si="152"/>
        <v>-1323.3966666666668</v>
      </c>
      <c r="R482" s="1653">
        <f t="shared" si="153"/>
        <v>-1323.3966666666668</v>
      </c>
      <c r="S482" s="1653">
        <f t="shared" si="154"/>
        <v>-0.33333333333348492</v>
      </c>
      <c r="T482" s="1653">
        <f t="shared" si="139"/>
        <v>-0.33333333333348492</v>
      </c>
      <c r="U482" s="1653">
        <f t="shared" si="140"/>
        <v>1322.7299999999998</v>
      </c>
      <c r="V482" s="1653">
        <f t="shared" si="141"/>
        <v>-0.66666666666681818</v>
      </c>
      <c r="W482" s="1653">
        <f t="shared" si="142"/>
        <v>1322.3966666666665</v>
      </c>
      <c r="X482" s="1653">
        <f t="shared" si="143"/>
        <v>-1.0000000000001514</v>
      </c>
      <c r="Y482" s="1653">
        <f t="shared" si="144"/>
        <v>1322.063333333333</v>
      </c>
    </row>
    <row r="483" spans="1:25" ht="15" hidden="1" outlineLevel="1">
      <c r="A483" s="1615">
        <v>475</v>
      </c>
      <c r="C483" s="1651" t="s">
        <v>3142</v>
      </c>
      <c r="D483" s="1651" t="s">
        <v>2465</v>
      </c>
      <c r="E483" s="1613">
        <v>669.28</v>
      </c>
      <c r="F483" s="1613">
        <v>-279.64</v>
      </c>
      <c r="G483" s="1613">
        <f t="shared" si="145"/>
        <v>389.64</v>
      </c>
      <c r="H483" s="1578">
        <v>2014</v>
      </c>
      <c r="I483" s="1662">
        <f t="shared" si="146"/>
        <v>1.5</v>
      </c>
      <c r="J483" s="1663">
        <v>36</v>
      </c>
      <c r="K483" s="1664">
        <f t="shared" si="147"/>
        <v>0.33333333333333331</v>
      </c>
      <c r="L483" s="1613">
        <f t="shared" si="148"/>
        <v>223.09333333333331</v>
      </c>
      <c r="M483" s="1613">
        <f t="shared" si="149"/>
        <v>669.28</v>
      </c>
      <c r="N483" s="1613">
        <f t="shared" si="138"/>
        <v>-446.18666666666661</v>
      </c>
      <c r="O483" s="1652">
        <f t="shared" si="150"/>
        <v>223.09333333333336</v>
      </c>
      <c r="P483" s="1653">
        <f t="shared" si="151"/>
        <v>-446.51999999999992</v>
      </c>
      <c r="Q483" s="1653">
        <f t="shared" si="152"/>
        <v>-223.42666666666662</v>
      </c>
      <c r="R483" s="1653">
        <f t="shared" si="153"/>
        <v>-223.42666666666662</v>
      </c>
      <c r="S483" s="1653">
        <f t="shared" si="154"/>
        <v>-0.33333333333331439</v>
      </c>
      <c r="T483" s="1653">
        <f t="shared" si="139"/>
        <v>-0.33333333333331439</v>
      </c>
      <c r="U483" s="1653">
        <f t="shared" si="140"/>
        <v>222.76</v>
      </c>
      <c r="V483" s="1653">
        <f t="shared" si="141"/>
        <v>-0.66666666666664764</v>
      </c>
      <c r="W483" s="1653">
        <f t="shared" si="142"/>
        <v>222.42666666666665</v>
      </c>
      <c r="X483" s="1653">
        <f t="shared" si="143"/>
        <v>-0.9999999999999809</v>
      </c>
      <c r="Y483" s="1653">
        <f t="shared" si="144"/>
        <v>222.09333333333333</v>
      </c>
    </row>
    <row r="484" spans="1:25" ht="15" hidden="1" outlineLevel="1">
      <c r="A484" s="1615">
        <v>476</v>
      </c>
      <c r="C484" s="1651" t="s">
        <v>3143</v>
      </c>
      <c r="D484" s="1651" t="s">
        <v>2465</v>
      </c>
      <c r="E484" s="1613">
        <v>1651.65</v>
      </c>
      <c r="F484" s="1613">
        <v>-690.07</v>
      </c>
      <c r="G484" s="1613">
        <f t="shared" si="145"/>
        <v>961.58</v>
      </c>
      <c r="H484" s="1578">
        <v>2014</v>
      </c>
      <c r="I484" s="1662">
        <f t="shared" si="146"/>
        <v>1.5</v>
      </c>
      <c r="J484" s="1663">
        <v>36</v>
      </c>
      <c r="K484" s="1664">
        <f t="shared" si="147"/>
        <v>0.33333333333333331</v>
      </c>
      <c r="L484" s="1613">
        <f t="shared" si="148"/>
        <v>550.54999999999995</v>
      </c>
      <c r="M484" s="1613">
        <f t="shared" si="149"/>
        <v>1651.65</v>
      </c>
      <c r="N484" s="1613">
        <f t="shared" si="138"/>
        <v>-1101.0999999999999</v>
      </c>
      <c r="O484" s="1652">
        <f t="shared" si="150"/>
        <v>550.55000000000018</v>
      </c>
      <c r="P484" s="1653">
        <f t="shared" si="151"/>
        <v>-1101.4333333333332</v>
      </c>
      <c r="Q484" s="1653">
        <f t="shared" si="152"/>
        <v>-550.88333333333321</v>
      </c>
      <c r="R484" s="1653">
        <f t="shared" si="153"/>
        <v>-550.88333333333321</v>
      </c>
      <c r="S484" s="1653">
        <f t="shared" si="154"/>
        <v>-0.33333333333325754</v>
      </c>
      <c r="T484" s="1653">
        <f t="shared" si="139"/>
        <v>-0.33333333333325754</v>
      </c>
      <c r="U484" s="1653">
        <f t="shared" si="140"/>
        <v>550.2166666666667</v>
      </c>
      <c r="V484" s="1653">
        <f t="shared" si="141"/>
        <v>-0.6666666666665908</v>
      </c>
      <c r="W484" s="1653">
        <f t="shared" si="142"/>
        <v>549.88333333333333</v>
      </c>
      <c r="X484" s="1653">
        <f t="shared" si="143"/>
        <v>-0.99999999999992406</v>
      </c>
      <c r="Y484" s="1653">
        <f t="shared" si="144"/>
        <v>549.55000000000007</v>
      </c>
    </row>
    <row r="485" spans="1:25" ht="15" hidden="1" outlineLevel="1">
      <c r="A485" s="1615">
        <v>477</v>
      </c>
      <c r="C485" s="1651" t="s">
        <v>3144</v>
      </c>
      <c r="D485" s="1651" t="s">
        <v>2465</v>
      </c>
      <c r="E485" s="1613">
        <v>3930.05</v>
      </c>
      <c r="F485" s="1613">
        <v>-1642.01</v>
      </c>
      <c r="G485" s="1613">
        <f t="shared" si="145"/>
        <v>2288.04</v>
      </c>
      <c r="H485" s="1578">
        <v>2014</v>
      </c>
      <c r="I485" s="1662">
        <f t="shared" si="146"/>
        <v>1.5</v>
      </c>
      <c r="J485" s="1663">
        <v>36</v>
      </c>
      <c r="K485" s="1664">
        <f t="shared" si="147"/>
        <v>0.33333333333333331</v>
      </c>
      <c r="L485" s="1613">
        <f t="shared" si="148"/>
        <v>1310.0166666666667</v>
      </c>
      <c r="M485" s="1613">
        <f t="shared" si="149"/>
        <v>3930.05</v>
      </c>
      <c r="N485" s="1613">
        <f t="shared" si="138"/>
        <v>-2620.0333333333333</v>
      </c>
      <c r="O485" s="1652">
        <f t="shared" si="150"/>
        <v>1310.0166666666669</v>
      </c>
      <c r="P485" s="1653">
        <f t="shared" si="151"/>
        <v>-2620.3666666666668</v>
      </c>
      <c r="Q485" s="1653">
        <f t="shared" si="152"/>
        <v>-1310.3500000000001</v>
      </c>
      <c r="R485" s="1653">
        <f t="shared" si="153"/>
        <v>-1310.3500000000001</v>
      </c>
      <c r="S485" s="1653">
        <f t="shared" si="154"/>
        <v>-0.33333333333348492</v>
      </c>
      <c r="T485" s="1653">
        <f t="shared" si="139"/>
        <v>-0.33333333333348492</v>
      </c>
      <c r="U485" s="1653">
        <f t="shared" si="140"/>
        <v>1309.6833333333332</v>
      </c>
      <c r="V485" s="1653">
        <f t="shared" si="141"/>
        <v>-0.66666666666681818</v>
      </c>
      <c r="W485" s="1653">
        <f t="shared" si="142"/>
        <v>1309.3499999999999</v>
      </c>
      <c r="X485" s="1653">
        <f t="shared" si="143"/>
        <v>-1.0000000000001514</v>
      </c>
      <c r="Y485" s="1653">
        <f t="shared" si="144"/>
        <v>1309.0166666666664</v>
      </c>
    </row>
    <row r="486" spans="1:25" ht="15" hidden="1" outlineLevel="1">
      <c r="A486" s="1615">
        <v>478</v>
      </c>
      <c r="C486" s="1651" t="s">
        <v>3145</v>
      </c>
      <c r="D486" s="1651" t="s">
        <v>2465</v>
      </c>
      <c r="E486" s="1613">
        <v>47.87</v>
      </c>
      <c r="F486" s="1613">
        <v>-18.690000000000001</v>
      </c>
      <c r="G486" s="1613">
        <f t="shared" si="145"/>
        <v>29.179999999999996</v>
      </c>
      <c r="H486" s="1578">
        <v>2014</v>
      </c>
      <c r="I486" s="1662">
        <f t="shared" si="146"/>
        <v>1.5</v>
      </c>
      <c r="J486" s="1663">
        <v>36</v>
      </c>
      <c r="K486" s="1664">
        <f t="shared" si="147"/>
        <v>0.33333333333333331</v>
      </c>
      <c r="L486" s="1613">
        <f t="shared" si="148"/>
        <v>15.956666666666665</v>
      </c>
      <c r="M486" s="1613">
        <f t="shared" si="149"/>
        <v>47.87</v>
      </c>
      <c r="N486" s="1613">
        <f t="shared" si="138"/>
        <v>-31.91333333333333</v>
      </c>
      <c r="O486" s="1652">
        <f t="shared" si="150"/>
        <v>15.956666666666667</v>
      </c>
      <c r="P486" s="1653">
        <f t="shared" si="151"/>
        <v>-32.246666666666663</v>
      </c>
      <c r="Q486" s="1653">
        <f t="shared" si="152"/>
        <v>-16.29</v>
      </c>
      <c r="R486" s="1653">
        <f t="shared" si="153"/>
        <v>-16.29</v>
      </c>
      <c r="S486" s="1653">
        <f t="shared" si="154"/>
        <v>-0.33333333333333393</v>
      </c>
      <c r="T486" s="1653">
        <f t="shared" si="139"/>
        <v>-0.33333333333333393</v>
      </c>
      <c r="U486" s="1653">
        <f t="shared" si="140"/>
        <v>15.623333333333331</v>
      </c>
      <c r="V486" s="1653">
        <f t="shared" si="141"/>
        <v>-0.66666666666666718</v>
      </c>
      <c r="W486" s="1653">
        <f t="shared" si="142"/>
        <v>15.289999999999997</v>
      </c>
      <c r="X486" s="1653">
        <f t="shared" si="143"/>
        <v>-1.0000000000000004</v>
      </c>
      <c r="Y486" s="1653">
        <f t="shared" si="144"/>
        <v>14.956666666666665</v>
      </c>
    </row>
    <row r="487" spans="1:25" ht="15" hidden="1" outlineLevel="1">
      <c r="A487" s="1615">
        <v>479</v>
      </c>
      <c r="C487" s="1651" t="s">
        <v>3146</v>
      </c>
      <c r="D487" s="1651" t="s">
        <v>2465</v>
      </c>
      <c r="E487" s="1613">
        <v>3938.22</v>
      </c>
      <c r="F487" s="1613">
        <v>-1537.52</v>
      </c>
      <c r="G487" s="1613">
        <f t="shared" si="145"/>
        <v>2400.6999999999998</v>
      </c>
      <c r="H487" s="1578">
        <v>2014</v>
      </c>
      <c r="I487" s="1662">
        <f t="shared" si="146"/>
        <v>1.5</v>
      </c>
      <c r="J487" s="1663">
        <v>36</v>
      </c>
      <c r="K487" s="1664">
        <f t="shared" si="147"/>
        <v>0.33333333333333331</v>
      </c>
      <c r="L487" s="1613">
        <f t="shared" si="148"/>
        <v>1312.7399999999998</v>
      </c>
      <c r="M487" s="1613">
        <f t="shared" si="149"/>
        <v>3938.22</v>
      </c>
      <c r="N487" s="1613">
        <f t="shared" si="138"/>
        <v>-2625.4799999999996</v>
      </c>
      <c r="O487" s="1652">
        <f t="shared" si="150"/>
        <v>1312.7400000000002</v>
      </c>
      <c r="P487" s="1653">
        <f t="shared" si="151"/>
        <v>-2625.813333333333</v>
      </c>
      <c r="Q487" s="1653">
        <f t="shared" si="152"/>
        <v>-1313.0733333333333</v>
      </c>
      <c r="R487" s="1653">
        <f t="shared" si="153"/>
        <v>-1313.0733333333333</v>
      </c>
      <c r="S487" s="1653">
        <f t="shared" si="154"/>
        <v>-0.33333333333348492</v>
      </c>
      <c r="T487" s="1653">
        <f t="shared" si="139"/>
        <v>-0.33333333333348492</v>
      </c>
      <c r="U487" s="1653">
        <f t="shared" si="140"/>
        <v>1312.4066666666663</v>
      </c>
      <c r="V487" s="1653">
        <f t="shared" si="141"/>
        <v>-0.66666666666681818</v>
      </c>
      <c r="W487" s="1653">
        <f t="shared" si="142"/>
        <v>1312.073333333333</v>
      </c>
      <c r="X487" s="1653">
        <f t="shared" si="143"/>
        <v>-1.0000000000001514</v>
      </c>
      <c r="Y487" s="1653">
        <f t="shared" si="144"/>
        <v>1311.7399999999996</v>
      </c>
    </row>
    <row r="488" spans="1:25" ht="15" hidden="1" outlineLevel="1">
      <c r="A488" s="1615">
        <v>480</v>
      </c>
      <c r="C488" s="1651" t="s">
        <v>3147</v>
      </c>
      <c r="D488" s="1651" t="s">
        <v>2465</v>
      </c>
      <c r="E488" s="1613">
        <v>362.63</v>
      </c>
      <c r="F488" s="1613">
        <v>-141.57</v>
      </c>
      <c r="G488" s="1613">
        <f t="shared" si="145"/>
        <v>221.06</v>
      </c>
      <c r="H488" s="1578">
        <v>2014</v>
      </c>
      <c r="I488" s="1662">
        <f t="shared" si="146"/>
        <v>1.5</v>
      </c>
      <c r="J488" s="1663">
        <v>36</v>
      </c>
      <c r="K488" s="1664">
        <f t="shared" si="147"/>
        <v>0.33333333333333331</v>
      </c>
      <c r="L488" s="1613">
        <f t="shared" si="148"/>
        <v>120.87666666666667</v>
      </c>
      <c r="M488" s="1613">
        <f t="shared" si="149"/>
        <v>362.63</v>
      </c>
      <c r="N488" s="1613">
        <f t="shared" si="138"/>
        <v>-241.75333333333333</v>
      </c>
      <c r="O488" s="1652">
        <f t="shared" si="150"/>
        <v>120.87666666666667</v>
      </c>
      <c r="P488" s="1653">
        <f t="shared" si="151"/>
        <v>-242.08666666666667</v>
      </c>
      <c r="Q488" s="1653">
        <f t="shared" si="152"/>
        <v>-121.21000000000001</v>
      </c>
      <c r="R488" s="1653">
        <f t="shared" si="153"/>
        <v>-121.21000000000001</v>
      </c>
      <c r="S488" s="1653">
        <f t="shared" si="154"/>
        <v>-0.33333333333334281</v>
      </c>
      <c r="T488" s="1653">
        <f t="shared" si="139"/>
        <v>-0.33333333333334281</v>
      </c>
      <c r="U488" s="1653">
        <f t="shared" si="140"/>
        <v>120.54333333333332</v>
      </c>
      <c r="V488" s="1653">
        <f t="shared" si="141"/>
        <v>-0.66666666666667607</v>
      </c>
      <c r="W488" s="1653">
        <f t="shared" si="142"/>
        <v>120.21</v>
      </c>
      <c r="X488" s="1653">
        <f t="shared" si="143"/>
        <v>-1.0000000000000093</v>
      </c>
      <c r="Y488" s="1653">
        <f t="shared" si="144"/>
        <v>119.87666666666665</v>
      </c>
    </row>
    <row r="489" spans="1:25" ht="15" hidden="1" outlineLevel="1">
      <c r="A489" s="1615">
        <v>481</v>
      </c>
      <c r="C489" s="1651" t="s">
        <v>3148</v>
      </c>
      <c r="D489" s="1651" t="s">
        <v>2465</v>
      </c>
      <c r="E489" s="1613">
        <v>45.55</v>
      </c>
      <c r="F489" s="1613">
        <v>-17.78</v>
      </c>
      <c r="G489" s="1613">
        <f t="shared" si="145"/>
        <v>27.769999999999996</v>
      </c>
      <c r="H489" s="1578">
        <v>2014</v>
      </c>
      <c r="I489" s="1662">
        <f t="shared" si="146"/>
        <v>1.5</v>
      </c>
      <c r="J489" s="1663">
        <v>36</v>
      </c>
      <c r="K489" s="1664">
        <f t="shared" si="147"/>
        <v>0.33333333333333331</v>
      </c>
      <c r="L489" s="1613">
        <f t="shared" si="148"/>
        <v>15.183333333333332</v>
      </c>
      <c r="M489" s="1613">
        <f t="shared" si="149"/>
        <v>45.55</v>
      </c>
      <c r="N489" s="1613">
        <f t="shared" si="138"/>
        <v>-30.366666666666664</v>
      </c>
      <c r="O489" s="1652">
        <f t="shared" si="150"/>
        <v>15.183333333333334</v>
      </c>
      <c r="P489" s="1653">
        <f t="shared" si="151"/>
        <v>-30.699999999999996</v>
      </c>
      <c r="Q489" s="1653">
        <f t="shared" si="152"/>
        <v>-15.516666666666664</v>
      </c>
      <c r="R489" s="1653">
        <f t="shared" si="153"/>
        <v>-15.516666666666664</v>
      </c>
      <c r="S489" s="1653">
        <f t="shared" si="154"/>
        <v>-0.33333333333333215</v>
      </c>
      <c r="T489" s="1653">
        <f t="shared" si="139"/>
        <v>-0.33333333333333215</v>
      </c>
      <c r="U489" s="1653">
        <f t="shared" si="140"/>
        <v>14.85</v>
      </c>
      <c r="V489" s="1653">
        <f t="shared" si="141"/>
        <v>-0.66666666666666541</v>
      </c>
      <c r="W489" s="1653">
        <f t="shared" si="142"/>
        <v>14.516666666666666</v>
      </c>
      <c r="X489" s="1653">
        <f t="shared" si="143"/>
        <v>-0.99999999999999867</v>
      </c>
      <c r="Y489" s="1653">
        <f t="shared" si="144"/>
        <v>14.183333333333334</v>
      </c>
    </row>
    <row r="490" spans="1:25" ht="15" hidden="1" outlineLevel="1">
      <c r="A490" s="1615">
        <v>482</v>
      </c>
      <c r="C490" s="1651" t="s">
        <v>3149</v>
      </c>
      <c r="D490" s="1651" t="s">
        <v>2465</v>
      </c>
      <c r="E490" s="1613">
        <v>71.680000000000007</v>
      </c>
      <c r="F490" s="1613">
        <v>-27.99</v>
      </c>
      <c r="G490" s="1613">
        <f t="shared" si="145"/>
        <v>43.690000000000012</v>
      </c>
      <c r="H490" s="1578">
        <v>2014</v>
      </c>
      <c r="I490" s="1662">
        <f t="shared" si="146"/>
        <v>1.5</v>
      </c>
      <c r="J490" s="1663">
        <v>36</v>
      </c>
      <c r="K490" s="1664">
        <f t="shared" si="147"/>
        <v>0.33333333333333331</v>
      </c>
      <c r="L490" s="1613">
        <f t="shared" si="148"/>
        <v>23.893333333333334</v>
      </c>
      <c r="M490" s="1613">
        <f t="shared" si="149"/>
        <v>71.680000000000007</v>
      </c>
      <c r="N490" s="1613">
        <f t="shared" si="138"/>
        <v>-47.786666666666669</v>
      </c>
      <c r="O490" s="1652">
        <f t="shared" si="150"/>
        <v>23.893333333333338</v>
      </c>
      <c r="P490" s="1653">
        <f t="shared" si="151"/>
        <v>-48.120000000000005</v>
      </c>
      <c r="Q490" s="1653">
        <f t="shared" si="152"/>
        <v>-24.22666666666667</v>
      </c>
      <c r="R490" s="1653">
        <f t="shared" si="153"/>
        <v>-24.22666666666667</v>
      </c>
      <c r="S490" s="1653">
        <f t="shared" si="154"/>
        <v>-0.3333333333333357</v>
      </c>
      <c r="T490" s="1653">
        <f t="shared" si="139"/>
        <v>-0.3333333333333357</v>
      </c>
      <c r="U490" s="1653">
        <f t="shared" si="140"/>
        <v>23.56</v>
      </c>
      <c r="V490" s="1653">
        <f t="shared" si="141"/>
        <v>-0.66666666666666896</v>
      </c>
      <c r="W490" s="1653">
        <f t="shared" si="142"/>
        <v>23.226666666666667</v>
      </c>
      <c r="X490" s="1653">
        <f t="shared" si="143"/>
        <v>-1.0000000000000022</v>
      </c>
      <c r="Y490" s="1653">
        <f t="shared" si="144"/>
        <v>22.893333333333331</v>
      </c>
    </row>
    <row r="491" spans="1:25" ht="15" hidden="1" outlineLevel="1">
      <c r="A491" s="1615">
        <v>483</v>
      </c>
      <c r="C491" s="1651" t="s">
        <v>3150</v>
      </c>
      <c r="D491" s="1651" t="s">
        <v>2465</v>
      </c>
      <c r="E491" s="1613">
        <v>287.24</v>
      </c>
      <c r="F491" s="1613">
        <v>-104</v>
      </c>
      <c r="G491" s="1613">
        <f t="shared" si="145"/>
        <v>183.24</v>
      </c>
      <c r="H491" s="1578">
        <v>2014</v>
      </c>
      <c r="I491" s="1662">
        <f t="shared" si="146"/>
        <v>1.5</v>
      </c>
      <c r="J491" s="1663">
        <v>36</v>
      </c>
      <c r="K491" s="1664">
        <f t="shared" si="147"/>
        <v>0.33333333333333331</v>
      </c>
      <c r="L491" s="1613">
        <f t="shared" si="148"/>
        <v>95.74666666666667</v>
      </c>
      <c r="M491" s="1613">
        <f t="shared" si="149"/>
        <v>287.24</v>
      </c>
      <c r="N491" s="1613">
        <f t="shared" si="138"/>
        <v>-191.49333333333334</v>
      </c>
      <c r="O491" s="1652">
        <f t="shared" si="150"/>
        <v>95.74666666666667</v>
      </c>
      <c r="P491" s="1653">
        <f t="shared" si="151"/>
        <v>-191.82666666666668</v>
      </c>
      <c r="Q491" s="1653">
        <f t="shared" si="152"/>
        <v>-96.080000000000013</v>
      </c>
      <c r="R491" s="1653">
        <f t="shared" si="153"/>
        <v>-96.080000000000013</v>
      </c>
      <c r="S491" s="1653">
        <f t="shared" si="154"/>
        <v>-0.33333333333334281</v>
      </c>
      <c r="T491" s="1653">
        <f t="shared" si="139"/>
        <v>-0.33333333333334281</v>
      </c>
      <c r="U491" s="1653">
        <f t="shared" si="140"/>
        <v>95.413333333333327</v>
      </c>
      <c r="V491" s="1653">
        <f t="shared" si="141"/>
        <v>-0.66666666666667607</v>
      </c>
      <c r="W491" s="1653">
        <f t="shared" si="142"/>
        <v>95.08</v>
      </c>
      <c r="X491" s="1653">
        <f t="shared" si="143"/>
        <v>-1.0000000000000093</v>
      </c>
      <c r="Y491" s="1653">
        <f t="shared" si="144"/>
        <v>94.746666666666655</v>
      </c>
    </row>
    <row r="492" spans="1:25" ht="15" hidden="1" outlineLevel="1">
      <c r="A492" s="1615">
        <v>484</v>
      </c>
      <c r="C492" s="1651" t="s">
        <v>3151</v>
      </c>
      <c r="D492" s="1651" t="s">
        <v>2465</v>
      </c>
      <c r="E492" s="1613">
        <v>1127.58</v>
      </c>
      <c r="F492" s="1613">
        <v>-408.3</v>
      </c>
      <c r="G492" s="1613">
        <f t="shared" si="145"/>
        <v>719.28</v>
      </c>
      <c r="H492" s="1578">
        <v>2014</v>
      </c>
      <c r="I492" s="1662">
        <f t="shared" si="146"/>
        <v>1.5</v>
      </c>
      <c r="J492" s="1663">
        <v>36</v>
      </c>
      <c r="K492" s="1664">
        <f t="shared" si="147"/>
        <v>0.33333333333333331</v>
      </c>
      <c r="L492" s="1613">
        <f t="shared" si="148"/>
        <v>375.85999999999996</v>
      </c>
      <c r="M492" s="1613">
        <f t="shared" si="149"/>
        <v>1127.58</v>
      </c>
      <c r="N492" s="1613">
        <f t="shared" si="138"/>
        <v>-751.71999999999991</v>
      </c>
      <c r="O492" s="1652">
        <f t="shared" si="150"/>
        <v>375.86</v>
      </c>
      <c r="P492" s="1653">
        <f t="shared" si="151"/>
        <v>-752.05333333333328</v>
      </c>
      <c r="Q492" s="1653">
        <f t="shared" si="152"/>
        <v>-376.19333333333333</v>
      </c>
      <c r="R492" s="1653">
        <f t="shared" si="153"/>
        <v>-376.19333333333333</v>
      </c>
      <c r="S492" s="1653">
        <f t="shared" si="154"/>
        <v>-0.33333333333337123</v>
      </c>
      <c r="T492" s="1653">
        <f t="shared" si="139"/>
        <v>-0.33333333333337123</v>
      </c>
      <c r="U492" s="1653">
        <f t="shared" si="140"/>
        <v>375.52666666666659</v>
      </c>
      <c r="V492" s="1653">
        <f t="shared" si="141"/>
        <v>-0.66666666666670449</v>
      </c>
      <c r="W492" s="1653">
        <f t="shared" si="142"/>
        <v>375.19333333333327</v>
      </c>
      <c r="X492" s="1653">
        <f t="shared" si="143"/>
        <v>-1.0000000000000377</v>
      </c>
      <c r="Y492" s="1653">
        <f t="shared" si="144"/>
        <v>374.8599999999999</v>
      </c>
    </row>
    <row r="493" spans="1:25" ht="15" hidden="1" outlineLevel="1">
      <c r="A493" s="1615">
        <v>485</v>
      </c>
      <c r="C493" s="1651" t="s">
        <v>3152</v>
      </c>
      <c r="D493" s="1651" t="s">
        <v>2465</v>
      </c>
      <c r="E493" s="1613">
        <v>1126.02</v>
      </c>
      <c r="F493" s="1613">
        <v>-407.73</v>
      </c>
      <c r="G493" s="1613">
        <f t="shared" si="145"/>
        <v>718.29</v>
      </c>
      <c r="H493" s="1578">
        <v>2014</v>
      </c>
      <c r="I493" s="1662">
        <f t="shared" si="146"/>
        <v>1.5</v>
      </c>
      <c r="J493" s="1663">
        <v>36</v>
      </c>
      <c r="K493" s="1664">
        <f t="shared" si="147"/>
        <v>0.33333333333333331</v>
      </c>
      <c r="L493" s="1613">
        <f t="shared" si="148"/>
        <v>375.34</v>
      </c>
      <c r="M493" s="1613">
        <f t="shared" si="149"/>
        <v>1126.02</v>
      </c>
      <c r="N493" s="1613">
        <f t="shared" si="138"/>
        <v>-750.68</v>
      </c>
      <c r="O493" s="1652">
        <f t="shared" si="150"/>
        <v>375.34000000000003</v>
      </c>
      <c r="P493" s="1653">
        <f t="shared" si="151"/>
        <v>-751.01333333333332</v>
      </c>
      <c r="Q493" s="1653">
        <f t="shared" si="152"/>
        <v>-375.67333333333335</v>
      </c>
      <c r="R493" s="1653">
        <f t="shared" si="153"/>
        <v>-375.67333333333335</v>
      </c>
      <c r="S493" s="1653">
        <f t="shared" si="154"/>
        <v>-0.33333333333337123</v>
      </c>
      <c r="T493" s="1653">
        <f t="shared" si="139"/>
        <v>-0.33333333333337123</v>
      </c>
      <c r="U493" s="1653">
        <f t="shared" si="140"/>
        <v>375.0066666666666</v>
      </c>
      <c r="V493" s="1653">
        <f t="shared" si="141"/>
        <v>-0.66666666666670449</v>
      </c>
      <c r="W493" s="1653">
        <f t="shared" si="142"/>
        <v>374.67333333333329</v>
      </c>
      <c r="X493" s="1653">
        <f t="shared" si="143"/>
        <v>-1.0000000000000377</v>
      </c>
      <c r="Y493" s="1653">
        <f t="shared" si="144"/>
        <v>374.33999999999992</v>
      </c>
    </row>
    <row r="494" spans="1:25" ht="15" hidden="1" outlineLevel="1">
      <c r="A494" s="1615">
        <v>486</v>
      </c>
      <c r="C494" s="1651" t="s">
        <v>3153</v>
      </c>
      <c r="D494" s="1651" t="s">
        <v>2465</v>
      </c>
      <c r="E494" s="1613">
        <v>3956.61</v>
      </c>
      <c r="F494" s="1613">
        <v>-1432.69</v>
      </c>
      <c r="G494" s="1613">
        <f t="shared" si="145"/>
        <v>2523.92</v>
      </c>
      <c r="H494" s="1578">
        <v>2014</v>
      </c>
      <c r="I494" s="1662">
        <f t="shared" si="146"/>
        <v>1.5</v>
      </c>
      <c r="J494" s="1663">
        <v>36</v>
      </c>
      <c r="K494" s="1664">
        <f t="shared" si="147"/>
        <v>0.33333333333333331</v>
      </c>
      <c r="L494" s="1613">
        <f t="shared" si="148"/>
        <v>1318.87</v>
      </c>
      <c r="M494" s="1613">
        <f t="shared" si="149"/>
        <v>3956.61</v>
      </c>
      <c r="N494" s="1613">
        <f t="shared" si="138"/>
        <v>-2637.74</v>
      </c>
      <c r="O494" s="1652">
        <f t="shared" si="150"/>
        <v>1318.8700000000003</v>
      </c>
      <c r="P494" s="1653">
        <f t="shared" si="151"/>
        <v>-2638.0733333333333</v>
      </c>
      <c r="Q494" s="1653">
        <f t="shared" si="152"/>
        <v>-1319.2033333333334</v>
      </c>
      <c r="R494" s="1653">
        <f t="shared" si="153"/>
        <v>-1319.2033333333334</v>
      </c>
      <c r="S494" s="1653">
        <f t="shared" si="154"/>
        <v>-0.33333333333348492</v>
      </c>
      <c r="T494" s="1653">
        <f t="shared" si="139"/>
        <v>-0.33333333333348492</v>
      </c>
      <c r="U494" s="1653">
        <f t="shared" si="140"/>
        <v>1318.5366666666664</v>
      </c>
      <c r="V494" s="1653">
        <f t="shared" si="141"/>
        <v>-0.66666666666681818</v>
      </c>
      <c r="W494" s="1653">
        <f t="shared" si="142"/>
        <v>1318.2033333333331</v>
      </c>
      <c r="X494" s="1653">
        <f t="shared" si="143"/>
        <v>-1.0000000000001514</v>
      </c>
      <c r="Y494" s="1653">
        <f t="shared" si="144"/>
        <v>1317.8699999999997</v>
      </c>
    </row>
    <row r="495" spans="1:25" ht="15" hidden="1" outlineLevel="1">
      <c r="A495" s="1615">
        <v>487</v>
      </c>
      <c r="C495" s="1651" t="s">
        <v>3154</v>
      </c>
      <c r="D495" s="1651" t="s">
        <v>2465</v>
      </c>
      <c r="E495" s="1613">
        <v>3938.22</v>
      </c>
      <c r="F495" s="1613">
        <v>-1426.03</v>
      </c>
      <c r="G495" s="1613">
        <f t="shared" si="145"/>
        <v>2512.1899999999996</v>
      </c>
      <c r="H495" s="1578">
        <v>2014</v>
      </c>
      <c r="I495" s="1662">
        <f t="shared" si="146"/>
        <v>1.5</v>
      </c>
      <c r="J495" s="1663">
        <v>36</v>
      </c>
      <c r="K495" s="1664">
        <f t="shared" si="147"/>
        <v>0.33333333333333331</v>
      </c>
      <c r="L495" s="1613">
        <f t="shared" si="148"/>
        <v>1312.7399999999998</v>
      </c>
      <c r="M495" s="1613">
        <f t="shared" si="149"/>
        <v>3938.22</v>
      </c>
      <c r="N495" s="1613">
        <f t="shared" si="138"/>
        <v>-2625.4799999999996</v>
      </c>
      <c r="O495" s="1652">
        <f t="shared" si="150"/>
        <v>1312.7400000000002</v>
      </c>
      <c r="P495" s="1653">
        <f t="shared" si="151"/>
        <v>-2625.813333333333</v>
      </c>
      <c r="Q495" s="1653">
        <f t="shared" si="152"/>
        <v>-1313.0733333333333</v>
      </c>
      <c r="R495" s="1653">
        <f t="shared" si="153"/>
        <v>-1313.0733333333333</v>
      </c>
      <c r="S495" s="1653">
        <f t="shared" si="154"/>
        <v>-0.33333333333348492</v>
      </c>
      <c r="T495" s="1653">
        <f t="shared" si="139"/>
        <v>-0.33333333333348492</v>
      </c>
      <c r="U495" s="1653">
        <f t="shared" si="140"/>
        <v>1312.4066666666663</v>
      </c>
      <c r="V495" s="1653">
        <f t="shared" si="141"/>
        <v>-0.66666666666681818</v>
      </c>
      <c r="W495" s="1653">
        <f t="shared" si="142"/>
        <v>1312.073333333333</v>
      </c>
      <c r="X495" s="1653">
        <f t="shared" si="143"/>
        <v>-1.0000000000001514</v>
      </c>
      <c r="Y495" s="1653">
        <f t="shared" si="144"/>
        <v>1311.7399999999996</v>
      </c>
    </row>
    <row r="496" spans="1:25" ht="15" hidden="1" outlineLevel="1">
      <c r="A496" s="1615">
        <v>488</v>
      </c>
      <c r="C496" s="1651" t="s">
        <v>3155</v>
      </c>
      <c r="D496" s="1651" t="s">
        <v>2465</v>
      </c>
      <c r="E496" s="1613">
        <v>4100.12</v>
      </c>
      <c r="F496" s="1613">
        <v>-1484.65</v>
      </c>
      <c r="G496" s="1613">
        <f t="shared" si="145"/>
        <v>2615.4699999999998</v>
      </c>
      <c r="H496" s="1578">
        <v>2014</v>
      </c>
      <c r="I496" s="1662">
        <f t="shared" si="146"/>
        <v>1.5</v>
      </c>
      <c r="J496" s="1663">
        <v>36</v>
      </c>
      <c r="K496" s="1664">
        <f t="shared" si="147"/>
        <v>0.33333333333333331</v>
      </c>
      <c r="L496" s="1613">
        <f t="shared" si="148"/>
        <v>1366.7066666666665</v>
      </c>
      <c r="M496" s="1613">
        <f t="shared" si="149"/>
        <v>4100.12</v>
      </c>
      <c r="N496" s="1613">
        <f t="shared" si="138"/>
        <v>-2733.413333333333</v>
      </c>
      <c r="O496" s="1652">
        <f t="shared" si="150"/>
        <v>1366.7066666666669</v>
      </c>
      <c r="P496" s="1653">
        <f t="shared" si="151"/>
        <v>-2733.7466666666664</v>
      </c>
      <c r="Q496" s="1653">
        <f t="shared" si="152"/>
        <v>-1367.04</v>
      </c>
      <c r="R496" s="1653">
        <f t="shared" si="153"/>
        <v>-1367.04</v>
      </c>
      <c r="S496" s="1653">
        <f t="shared" si="154"/>
        <v>-0.33333333333348492</v>
      </c>
      <c r="T496" s="1653">
        <f t="shared" si="139"/>
        <v>-0.33333333333348492</v>
      </c>
      <c r="U496" s="1653">
        <f t="shared" si="140"/>
        <v>1366.373333333333</v>
      </c>
      <c r="V496" s="1653">
        <f t="shared" si="141"/>
        <v>-0.66666666666681818</v>
      </c>
      <c r="W496" s="1653">
        <f t="shared" si="142"/>
        <v>1366.0399999999997</v>
      </c>
      <c r="X496" s="1653">
        <f t="shared" si="143"/>
        <v>-1.0000000000001514</v>
      </c>
      <c r="Y496" s="1653">
        <f t="shared" si="144"/>
        <v>1365.7066666666663</v>
      </c>
    </row>
    <row r="497" spans="1:25" ht="15" hidden="1" outlineLevel="1">
      <c r="A497" s="1615">
        <v>489</v>
      </c>
      <c r="C497" s="1651" t="s">
        <v>3156</v>
      </c>
      <c r="D497" s="1651" t="s">
        <v>3157</v>
      </c>
      <c r="E497" s="1613">
        <v>1365</v>
      </c>
      <c r="F497" s="1613">
        <v>-494.27</v>
      </c>
      <c r="G497" s="1613">
        <f t="shared" si="145"/>
        <v>870.73</v>
      </c>
      <c r="H497" s="1578">
        <v>2014</v>
      </c>
      <c r="I497" s="1662">
        <f t="shared" si="146"/>
        <v>1.5</v>
      </c>
      <c r="J497" s="1663">
        <v>36</v>
      </c>
      <c r="K497" s="1664">
        <f t="shared" si="147"/>
        <v>0.33333333333333331</v>
      </c>
      <c r="L497" s="1613">
        <f t="shared" si="148"/>
        <v>455</v>
      </c>
      <c r="M497" s="1613">
        <f t="shared" si="149"/>
        <v>1365</v>
      </c>
      <c r="N497" s="1613">
        <f t="shared" si="138"/>
        <v>-910</v>
      </c>
      <c r="O497" s="1652">
        <f t="shared" si="150"/>
        <v>455</v>
      </c>
      <c r="P497" s="1653">
        <f t="shared" si="151"/>
        <v>-910.33333333333337</v>
      </c>
      <c r="Q497" s="1653">
        <f t="shared" si="152"/>
        <v>-455.33333333333337</v>
      </c>
      <c r="R497" s="1653">
        <f t="shared" si="153"/>
        <v>-455.33333333333337</v>
      </c>
      <c r="S497" s="1653">
        <f t="shared" si="154"/>
        <v>-0.33333333333337123</v>
      </c>
      <c r="T497" s="1653">
        <f t="shared" si="139"/>
        <v>-0.33333333333337123</v>
      </c>
      <c r="U497" s="1653">
        <f t="shared" si="140"/>
        <v>454.66666666666663</v>
      </c>
      <c r="V497" s="1653">
        <f t="shared" si="141"/>
        <v>-0.66666666666670449</v>
      </c>
      <c r="W497" s="1653">
        <f t="shared" si="142"/>
        <v>454.33333333333331</v>
      </c>
      <c r="X497" s="1653">
        <f t="shared" si="143"/>
        <v>-1.0000000000000377</v>
      </c>
      <c r="Y497" s="1653">
        <f t="shared" si="144"/>
        <v>453.99999999999994</v>
      </c>
    </row>
    <row r="498" spans="1:25" ht="15" hidden="1" outlineLevel="1">
      <c r="A498" s="1615">
        <v>490</v>
      </c>
      <c r="C498" s="1651" t="s">
        <v>3158</v>
      </c>
      <c r="D498" s="1651" t="s">
        <v>3157</v>
      </c>
      <c r="E498" s="1613">
        <v>114.32</v>
      </c>
      <c r="F498" s="1613">
        <v>-41.39</v>
      </c>
      <c r="G498" s="1613">
        <f t="shared" si="145"/>
        <v>72.929999999999993</v>
      </c>
      <c r="H498" s="1578">
        <v>2014</v>
      </c>
      <c r="I498" s="1662">
        <f t="shared" si="146"/>
        <v>1.5</v>
      </c>
      <c r="J498" s="1663">
        <v>36</v>
      </c>
      <c r="K498" s="1664">
        <f t="shared" si="147"/>
        <v>0.33333333333333331</v>
      </c>
      <c r="L498" s="1613">
        <f t="shared" si="148"/>
        <v>38.106666666666662</v>
      </c>
      <c r="M498" s="1613">
        <f t="shared" si="149"/>
        <v>114.32</v>
      </c>
      <c r="N498" s="1613">
        <f t="shared" si="138"/>
        <v>-76.213333333333324</v>
      </c>
      <c r="O498" s="1652">
        <f t="shared" si="150"/>
        <v>38.106666666666669</v>
      </c>
      <c r="P498" s="1653">
        <f t="shared" si="151"/>
        <v>-76.546666666666653</v>
      </c>
      <c r="Q498" s="1653">
        <f t="shared" si="152"/>
        <v>-38.439999999999991</v>
      </c>
      <c r="R498" s="1653">
        <f t="shared" si="153"/>
        <v>-38.439999999999991</v>
      </c>
      <c r="S498" s="1653">
        <f t="shared" si="154"/>
        <v>-0.3333333333333286</v>
      </c>
      <c r="T498" s="1653">
        <f t="shared" si="139"/>
        <v>-0.3333333333333286</v>
      </c>
      <c r="U498" s="1653">
        <f t="shared" si="140"/>
        <v>37.773333333333333</v>
      </c>
      <c r="V498" s="1653">
        <f t="shared" si="141"/>
        <v>-0.66666666666666186</v>
      </c>
      <c r="W498" s="1653">
        <f t="shared" si="142"/>
        <v>37.44</v>
      </c>
      <c r="X498" s="1653">
        <f t="shared" si="143"/>
        <v>-0.99999999999999512</v>
      </c>
      <c r="Y498" s="1653">
        <f t="shared" si="144"/>
        <v>37.106666666666669</v>
      </c>
    </row>
    <row r="499" spans="1:25" ht="15" hidden="1" outlineLevel="1">
      <c r="A499" s="1615">
        <v>491</v>
      </c>
      <c r="C499" s="1651" t="s">
        <v>3159</v>
      </c>
      <c r="D499" s="1651" t="s">
        <v>2465</v>
      </c>
      <c r="E499" s="1613">
        <v>1088.1300000000001</v>
      </c>
      <c r="F499" s="1613">
        <v>-394.01</v>
      </c>
      <c r="G499" s="1613">
        <f t="shared" si="145"/>
        <v>694.12000000000012</v>
      </c>
      <c r="H499" s="1578">
        <v>2014</v>
      </c>
      <c r="I499" s="1662">
        <f t="shared" si="146"/>
        <v>1.5</v>
      </c>
      <c r="J499" s="1663">
        <v>36</v>
      </c>
      <c r="K499" s="1664">
        <f t="shared" si="147"/>
        <v>0.33333333333333331</v>
      </c>
      <c r="L499" s="1613">
        <f t="shared" si="148"/>
        <v>362.71000000000004</v>
      </c>
      <c r="M499" s="1613">
        <f t="shared" si="149"/>
        <v>1088.1300000000001</v>
      </c>
      <c r="N499" s="1613">
        <f t="shared" si="138"/>
        <v>-725.42000000000007</v>
      </c>
      <c r="O499" s="1652">
        <f t="shared" si="150"/>
        <v>362.71000000000004</v>
      </c>
      <c r="P499" s="1653">
        <f t="shared" si="151"/>
        <v>-725.75333333333344</v>
      </c>
      <c r="Q499" s="1653">
        <f t="shared" si="152"/>
        <v>-363.04333333333341</v>
      </c>
      <c r="R499" s="1653">
        <f t="shared" si="153"/>
        <v>-363.04333333333341</v>
      </c>
      <c r="S499" s="1653">
        <f t="shared" si="154"/>
        <v>-0.33333333333337123</v>
      </c>
      <c r="T499" s="1653">
        <f t="shared" si="139"/>
        <v>-0.33333333333337123</v>
      </c>
      <c r="U499" s="1653">
        <f t="shared" si="140"/>
        <v>362.37666666666667</v>
      </c>
      <c r="V499" s="1653">
        <f t="shared" si="141"/>
        <v>-0.66666666666670449</v>
      </c>
      <c r="W499" s="1653">
        <f t="shared" si="142"/>
        <v>362.04333333333335</v>
      </c>
      <c r="X499" s="1653">
        <f t="shared" si="143"/>
        <v>-1.0000000000000377</v>
      </c>
      <c r="Y499" s="1653">
        <f t="shared" si="144"/>
        <v>361.71</v>
      </c>
    </row>
    <row r="500" spans="1:25" ht="15" hidden="1" outlineLevel="1">
      <c r="A500" s="1615">
        <v>492</v>
      </c>
      <c r="C500" s="1651" t="s">
        <v>3160</v>
      </c>
      <c r="D500" s="1651" t="s">
        <v>2465</v>
      </c>
      <c r="E500" s="1613">
        <v>288.29000000000002</v>
      </c>
      <c r="F500" s="1613">
        <v>-104.39</v>
      </c>
      <c r="G500" s="1613">
        <f t="shared" si="145"/>
        <v>183.90000000000003</v>
      </c>
      <c r="H500" s="1578">
        <v>2014</v>
      </c>
      <c r="I500" s="1662">
        <f t="shared" si="146"/>
        <v>1.5</v>
      </c>
      <c r="J500" s="1663">
        <v>36</v>
      </c>
      <c r="K500" s="1664">
        <f t="shared" si="147"/>
        <v>0.33333333333333331</v>
      </c>
      <c r="L500" s="1613">
        <f t="shared" si="148"/>
        <v>96.096666666666664</v>
      </c>
      <c r="M500" s="1613">
        <f t="shared" si="149"/>
        <v>288.29000000000002</v>
      </c>
      <c r="N500" s="1613">
        <f t="shared" si="138"/>
        <v>-192.19333333333333</v>
      </c>
      <c r="O500" s="1652">
        <f t="shared" si="150"/>
        <v>96.096666666666692</v>
      </c>
      <c r="P500" s="1653">
        <f t="shared" si="151"/>
        <v>-192.52666666666667</v>
      </c>
      <c r="Q500" s="1653">
        <f t="shared" si="152"/>
        <v>-96.43</v>
      </c>
      <c r="R500" s="1653">
        <f t="shared" si="153"/>
        <v>-96.43</v>
      </c>
      <c r="S500" s="1653">
        <f t="shared" si="154"/>
        <v>-0.33333333333334281</v>
      </c>
      <c r="T500" s="1653">
        <f t="shared" si="139"/>
        <v>-0.33333333333334281</v>
      </c>
      <c r="U500" s="1653">
        <f t="shared" si="140"/>
        <v>95.763333333333321</v>
      </c>
      <c r="V500" s="1653">
        <f t="shared" si="141"/>
        <v>-0.66666666666667607</v>
      </c>
      <c r="W500" s="1653">
        <f t="shared" si="142"/>
        <v>95.429999999999993</v>
      </c>
      <c r="X500" s="1653">
        <f t="shared" si="143"/>
        <v>-1.0000000000000093</v>
      </c>
      <c r="Y500" s="1653">
        <f t="shared" si="144"/>
        <v>95.09666666666665</v>
      </c>
    </row>
    <row r="501" spans="1:25" ht="15" hidden="1" outlineLevel="1">
      <c r="A501" s="1615">
        <v>493</v>
      </c>
      <c r="C501" s="1651" t="s">
        <v>3161</v>
      </c>
      <c r="D501" s="1651" t="s">
        <v>2465</v>
      </c>
      <c r="E501" s="1613">
        <v>432.42</v>
      </c>
      <c r="F501" s="1613">
        <v>-156.58000000000001</v>
      </c>
      <c r="G501" s="1613">
        <f t="shared" si="145"/>
        <v>275.84000000000003</v>
      </c>
      <c r="H501" s="1578">
        <v>2014</v>
      </c>
      <c r="I501" s="1662">
        <f t="shared" si="146"/>
        <v>1.5</v>
      </c>
      <c r="J501" s="1663">
        <v>36</v>
      </c>
      <c r="K501" s="1664">
        <f t="shared" si="147"/>
        <v>0.33333333333333331</v>
      </c>
      <c r="L501" s="1613">
        <f t="shared" si="148"/>
        <v>144.13999999999999</v>
      </c>
      <c r="M501" s="1613">
        <f t="shared" si="149"/>
        <v>432.42</v>
      </c>
      <c r="N501" s="1613">
        <f t="shared" si="138"/>
        <v>-288.27999999999997</v>
      </c>
      <c r="O501" s="1652">
        <f t="shared" si="150"/>
        <v>144.14000000000004</v>
      </c>
      <c r="P501" s="1653">
        <f t="shared" si="151"/>
        <v>-288.61333333333329</v>
      </c>
      <c r="Q501" s="1653">
        <f t="shared" si="152"/>
        <v>-144.4733333333333</v>
      </c>
      <c r="R501" s="1653">
        <f t="shared" si="153"/>
        <v>-144.4733333333333</v>
      </c>
      <c r="S501" s="1653">
        <f t="shared" si="154"/>
        <v>-0.33333333333331439</v>
      </c>
      <c r="T501" s="1653">
        <f t="shared" si="139"/>
        <v>-0.33333333333331439</v>
      </c>
      <c r="U501" s="1653">
        <f t="shared" si="140"/>
        <v>143.80666666666667</v>
      </c>
      <c r="V501" s="1653">
        <f t="shared" si="141"/>
        <v>-0.66666666666664764</v>
      </c>
      <c r="W501" s="1653">
        <f t="shared" si="142"/>
        <v>143.47333333333333</v>
      </c>
      <c r="X501" s="1653">
        <f t="shared" si="143"/>
        <v>-0.9999999999999809</v>
      </c>
      <c r="Y501" s="1653">
        <f t="shared" si="144"/>
        <v>143.14000000000001</v>
      </c>
    </row>
    <row r="502" spans="1:25" ht="15" hidden="1" outlineLevel="1">
      <c r="A502" s="1615">
        <v>494</v>
      </c>
      <c r="C502" s="1651" t="s">
        <v>3162</v>
      </c>
      <c r="D502" s="1651" t="s">
        <v>2465</v>
      </c>
      <c r="E502" s="1613">
        <v>554.66</v>
      </c>
      <c r="F502" s="1613">
        <v>-185.64</v>
      </c>
      <c r="G502" s="1613">
        <f t="shared" si="145"/>
        <v>369.02</v>
      </c>
      <c r="H502" s="1578">
        <v>2014</v>
      </c>
      <c r="I502" s="1662">
        <f t="shared" si="146"/>
        <v>1.5</v>
      </c>
      <c r="J502" s="1663">
        <v>36</v>
      </c>
      <c r="K502" s="1664">
        <f t="shared" si="147"/>
        <v>0.33333333333333331</v>
      </c>
      <c r="L502" s="1613">
        <f t="shared" si="148"/>
        <v>184.88666666666666</v>
      </c>
      <c r="M502" s="1613">
        <f t="shared" si="149"/>
        <v>554.66</v>
      </c>
      <c r="N502" s="1613">
        <f t="shared" si="138"/>
        <v>-369.77333333333331</v>
      </c>
      <c r="O502" s="1652">
        <f t="shared" si="150"/>
        <v>184.88666666666666</v>
      </c>
      <c r="P502" s="1653">
        <f t="shared" si="151"/>
        <v>-370.10666666666663</v>
      </c>
      <c r="Q502" s="1653">
        <f t="shared" si="152"/>
        <v>-185.21999999999997</v>
      </c>
      <c r="R502" s="1653">
        <f t="shared" si="153"/>
        <v>-185.21999999999997</v>
      </c>
      <c r="S502" s="1653">
        <f t="shared" si="154"/>
        <v>-0.33333333333331439</v>
      </c>
      <c r="T502" s="1653">
        <f t="shared" si="139"/>
        <v>-0.33333333333331439</v>
      </c>
      <c r="U502" s="1653">
        <f t="shared" si="140"/>
        <v>184.55333333333334</v>
      </c>
      <c r="V502" s="1653">
        <f t="shared" si="141"/>
        <v>-0.66666666666664764</v>
      </c>
      <c r="W502" s="1653">
        <f t="shared" si="142"/>
        <v>184.22</v>
      </c>
      <c r="X502" s="1653">
        <f t="shared" si="143"/>
        <v>-0.9999999999999809</v>
      </c>
      <c r="Y502" s="1653">
        <f t="shared" si="144"/>
        <v>183.88666666666668</v>
      </c>
    </row>
    <row r="503" spans="1:25" ht="15" hidden="1" outlineLevel="1">
      <c r="A503" s="1615">
        <v>495</v>
      </c>
      <c r="C503" s="1651" t="s">
        <v>3163</v>
      </c>
      <c r="D503" s="1651" t="s">
        <v>2465</v>
      </c>
      <c r="E503" s="1613">
        <v>3930.35</v>
      </c>
      <c r="F503" s="1613">
        <v>-1315.5</v>
      </c>
      <c r="G503" s="1613">
        <f t="shared" si="145"/>
        <v>2614.85</v>
      </c>
      <c r="H503" s="1578">
        <v>2014</v>
      </c>
      <c r="I503" s="1662">
        <f t="shared" si="146"/>
        <v>1.5</v>
      </c>
      <c r="J503" s="1663">
        <v>36</v>
      </c>
      <c r="K503" s="1664">
        <f t="shared" si="147"/>
        <v>0.33333333333333331</v>
      </c>
      <c r="L503" s="1613">
        <f t="shared" si="148"/>
        <v>1310.1166666666666</v>
      </c>
      <c r="M503" s="1613">
        <f t="shared" si="149"/>
        <v>3930.35</v>
      </c>
      <c r="N503" s="1613">
        <f t="shared" si="138"/>
        <v>-2620.2333333333331</v>
      </c>
      <c r="O503" s="1652">
        <f t="shared" si="150"/>
        <v>1310.1166666666668</v>
      </c>
      <c r="P503" s="1653">
        <f t="shared" si="151"/>
        <v>-2620.5666666666666</v>
      </c>
      <c r="Q503" s="1653">
        <f t="shared" si="152"/>
        <v>-1310.45</v>
      </c>
      <c r="R503" s="1653">
        <f t="shared" si="153"/>
        <v>-1310.45</v>
      </c>
      <c r="S503" s="1653">
        <f t="shared" si="154"/>
        <v>-0.33333333333348492</v>
      </c>
      <c r="T503" s="1653">
        <f t="shared" si="139"/>
        <v>-0.33333333333348492</v>
      </c>
      <c r="U503" s="1653">
        <f t="shared" si="140"/>
        <v>1309.7833333333331</v>
      </c>
      <c r="V503" s="1653">
        <f t="shared" si="141"/>
        <v>-0.66666666666681818</v>
      </c>
      <c r="W503" s="1653">
        <f t="shared" si="142"/>
        <v>1309.4499999999998</v>
      </c>
      <c r="X503" s="1653">
        <f t="shared" si="143"/>
        <v>-1.0000000000001514</v>
      </c>
      <c r="Y503" s="1653">
        <f t="shared" si="144"/>
        <v>1309.1166666666663</v>
      </c>
    </row>
    <row r="504" spans="1:25" ht="15" hidden="1" outlineLevel="1">
      <c r="A504" s="1615">
        <v>496</v>
      </c>
      <c r="C504" s="1651" t="s">
        <v>3164</v>
      </c>
      <c r="D504" s="1651" t="s">
        <v>2465</v>
      </c>
      <c r="E504" s="1613">
        <v>717.18</v>
      </c>
      <c r="F504" s="1613">
        <v>-240.04</v>
      </c>
      <c r="G504" s="1613">
        <f t="shared" si="145"/>
        <v>477.14</v>
      </c>
      <c r="H504" s="1578">
        <v>2014</v>
      </c>
      <c r="I504" s="1662">
        <f t="shared" si="146"/>
        <v>1.5</v>
      </c>
      <c r="J504" s="1663">
        <v>36</v>
      </c>
      <c r="K504" s="1664">
        <f t="shared" si="147"/>
        <v>0.33333333333333331</v>
      </c>
      <c r="L504" s="1613">
        <f t="shared" si="148"/>
        <v>239.05999999999997</v>
      </c>
      <c r="M504" s="1613">
        <f t="shared" si="149"/>
        <v>717.18</v>
      </c>
      <c r="N504" s="1613">
        <f t="shared" si="138"/>
        <v>-478.11999999999995</v>
      </c>
      <c r="O504" s="1652">
        <f t="shared" si="150"/>
        <v>239.06</v>
      </c>
      <c r="P504" s="1653">
        <f t="shared" si="151"/>
        <v>-478.45333333333326</v>
      </c>
      <c r="Q504" s="1653">
        <f t="shared" si="152"/>
        <v>-239.39333333333329</v>
      </c>
      <c r="R504" s="1653">
        <f t="shared" si="153"/>
        <v>-239.39333333333329</v>
      </c>
      <c r="S504" s="1653">
        <f t="shared" si="154"/>
        <v>-0.33333333333331439</v>
      </c>
      <c r="T504" s="1653">
        <f t="shared" si="139"/>
        <v>-0.33333333333331439</v>
      </c>
      <c r="U504" s="1653">
        <f t="shared" si="140"/>
        <v>238.72666666666666</v>
      </c>
      <c r="V504" s="1653">
        <f t="shared" si="141"/>
        <v>-0.66666666666664764</v>
      </c>
      <c r="W504" s="1653">
        <f t="shared" si="142"/>
        <v>238.39333333333332</v>
      </c>
      <c r="X504" s="1653">
        <f t="shared" si="143"/>
        <v>-0.9999999999999809</v>
      </c>
      <c r="Y504" s="1653">
        <f t="shared" si="144"/>
        <v>238.06</v>
      </c>
    </row>
    <row r="505" spans="1:25" ht="15" hidden="1" outlineLevel="1">
      <c r="A505" s="1615">
        <v>497</v>
      </c>
      <c r="C505" s="1651" t="s">
        <v>3165</v>
      </c>
      <c r="D505" s="1651" t="s">
        <v>2465</v>
      </c>
      <c r="E505" s="1613">
        <v>803.78</v>
      </c>
      <c r="F505" s="1613">
        <v>-269.02</v>
      </c>
      <c r="G505" s="1613">
        <f t="shared" si="145"/>
        <v>534.76</v>
      </c>
      <c r="H505" s="1578">
        <v>2014</v>
      </c>
      <c r="I505" s="1662">
        <f t="shared" si="146"/>
        <v>1.5</v>
      </c>
      <c r="J505" s="1663">
        <v>36</v>
      </c>
      <c r="K505" s="1664">
        <f t="shared" si="147"/>
        <v>0.33333333333333331</v>
      </c>
      <c r="L505" s="1613">
        <f t="shared" si="148"/>
        <v>267.92666666666662</v>
      </c>
      <c r="M505" s="1613">
        <f t="shared" si="149"/>
        <v>803.78</v>
      </c>
      <c r="N505" s="1613">
        <f t="shared" si="138"/>
        <v>-535.85333333333324</v>
      </c>
      <c r="O505" s="1652">
        <f t="shared" si="150"/>
        <v>267.92666666666673</v>
      </c>
      <c r="P505" s="1653">
        <f t="shared" si="151"/>
        <v>-536.18666666666661</v>
      </c>
      <c r="Q505" s="1653">
        <f t="shared" si="152"/>
        <v>-268.26</v>
      </c>
      <c r="R505" s="1653">
        <f t="shared" si="153"/>
        <v>-268.26</v>
      </c>
      <c r="S505" s="1653">
        <f t="shared" si="154"/>
        <v>-0.33333333333337123</v>
      </c>
      <c r="T505" s="1653">
        <f t="shared" si="139"/>
        <v>-0.33333333333337123</v>
      </c>
      <c r="U505" s="1653">
        <f t="shared" si="140"/>
        <v>267.59333333333325</v>
      </c>
      <c r="V505" s="1653">
        <f t="shared" si="141"/>
        <v>-0.66666666666670449</v>
      </c>
      <c r="W505" s="1653">
        <f t="shared" si="142"/>
        <v>267.25999999999993</v>
      </c>
      <c r="X505" s="1653">
        <f t="shared" si="143"/>
        <v>-1.0000000000000377</v>
      </c>
      <c r="Y505" s="1653">
        <f t="shared" si="144"/>
        <v>266.92666666666656</v>
      </c>
    </row>
    <row r="506" spans="1:25" ht="15" hidden="1" outlineLevel="1">
      <c r="A506" s="1615">
        <v>498</v>
      </c>
      <c r="C506" s="1651" t="s">
        <v>3166</v>
      </c>
      <c r="D506" s="1651" t="s">
        <v>2465</v>
      </c>
      <c r="E506" s="1613">
        <v>290.16000000000003</v>
      </c>
      <c r="F506" s="1613">
        <v>-97.12</v>
      </c>
      <c r="G506" s="1613">
        <f t="shared" si="145"/>
        <v>193.04000000000002</v>
      </c>
      <c r="H506" s="1578">
        <v>2014</v>
      </c>
      <c r="I506" s="1662">
        <f t="shared" si="146"/>
        <v>1.5</v>
      </c>
      <c r="J506" s="1663">
        <v>36</v>
      </c>
      <c r="K506" s="1664">
        <f t="shared" si="147"/>
        <v>0.33333333333333331</v>
      </c>
      <c r="L506" s="1613">
        <f t="shared" si="148"/>
        <v>96.72</v>
      </c>
      <c r="M506" s="1613">
        <f t="shared" si="149"/>
        <v>290.16000000000003</v>
      </c>
      <c r="N506" s="1613">
        <f t="shared" si="138"/>
        <v>-193.44</v>
      </c>
      <c r="O506" s="1652">
        <f t="shared" si="150"/>
        <v>96.720000000000027</v>
      </c>
      <c r="P506" s="1653">
        <f t="shared" si="151"/>
        <v>-193.77333333333334</v>
      </c>
      <c r="Q506" s="1653">
        <f t="shared" si="152"/>
        <v>-97.053333333333342</v>
      </c>
      <c r="R506" s="1653">
        <f t="shared" si="153"/>
        <v>-97.053333333333342</v>
      </c>
      <c r="S506" s="1653">
        <f t="shared" si="154"/>
        <v>-0.33333333333334281</v>
      </c>
      <c r="T506" s="1653">
        <f t="shared" si="139"/>
        <v>-0.33333333333334281</v>
      </c>
      <c r="U506" s="1653">
        <f t="shared" si="140"/>
        <v>96.386666666666656</v>
      </c>
      <c r="V506" s="1653">
        <f t="shared" si="141"/>
        <v>-0.66666666666667607</v>
      </c>
      <c r="W506" s="1653">
        <f t="shared" si="142"/>
        <v>96.053333333333327</v>
      </c>
      <c r="X506" s="1653">
        <f t="shared" si="143"/>
        <v>-1.0000000000000093</v>
      </c>
      <c r="Y506" s="1653">
        <f t="shared" si="144"/>
        <v>95.719999999999985</v>
      </c>
    </row>
    <row r="507" spans="1:25" ht="15" hidden="1" outlineLevel="1">
      <c r="A507" s="1615">
        <v>499</v>
      </c>
      <c r="C507" s="1651" t="s">
        <v>3167</v>
      </c>
      <c r="D507" s="1651" t="s">
        <v>2465</v>
      </c>
      <c r="E507" s="1613">
        <v>803.78</v>
      </c>
      <c r="F507" s="1613">
        <v>-269.02</v>
      </c>
      <c r="G507" s="1613">
        <f t="shared" si="145"/>
        <v>534.76</v>
      </c>
      <c r="H507" s="1578">
        <v>2014</v>
      </c>
      <c r="I507" s="1662">
        <f t="shared" si="146"/>
        <v>1.5</v>
      </c>
      <c r="J507" s="1663">
        <v>36</v>
      </c>
      <c r="K507" s="1664">
        <f t="shared" si="147"/>
        <v>0.33333333333333331</v>
      </c>
      <c r="L507" s="1613">
        <f t="shared" si="148"/>
        <v>267.92666666666662</v>
      </c>
      <c r="M507" s="1613">
        <f t="shared" si="149"/>
        <v>803.78</v>
      </c>
      <c r="N507" s="1613">
        <f t="shared" si="138"/>
        <v>-535.85333333333324</v>
      </c>
      <c r="O507" s="1652">
        <f t="shared" si="150"/>
        <v>267.92666666666673</v>
      </c>
      <c r="P507" s="1653">
        <f t="shared" si="151"/>
        <v>-536.18666666666661</v>
      </c>
      <c r="Q507" s="1653">
        <f t="shared" si="152"/>
        <v>-268.26</v>
      </c>
      <c r="R507" s="1653">
        <f t="shared" si="153"/>
        <v>-268.26</v>
      </c>
      <c r="S507" s="1653">
        <f t="shared" si="154"/>
        <v>-0.33333333333337123</v>
      </c>
      <c r="T507" s="1653">
        <f t="shared" si="139"/>
        <v>-0.33333333333337123</v>
      </c>
      <c r="U507" s="1653">
        <f t="shared" si="140"/>
        <v>267.59333333333325</v>
      </c>
      <c r="V507" s="1653">
        <f t="shared" si="141"/>
        <v>-0.66666666666670449</v>
      </c>
      <c r="W507" s="1653">
        <f t="shared" si="142"/>
        <v>267.25999999999993</v>
      </c>
      <c r="X507" s="1653">
        <f t="shared" si="143"/>
        <v>-1.0000000000000377</v>
      </c>
      <c r="Y507" s="1653">
        <f t="shared" si="144"/>
        <v>266.92666666666656</v>
      </c>
    </row>
    <row r="508" spans="1:25" ht="15" hidden="1" outlineLevel="1">
      <c r="A508" s="1615">
        <v>500</v>
      </c>
      <c r="C508" s="1651" t="s">
        <v>3168</v>
      </c>
      <c r="D508" s="1651" t="s">
        <v>2465</v>
      </c>
      <c r="E508" s="1613">
        <v>571.28</v>
      </c>
      <c r="F508" s="1613">
        <v>-191.2</v>
      </c>
      <c r="G508" s="1613">
        <f t="shared" si="145"/>
        <v>380.08</v>
      </c>
      <c r="H508" s="1578">
        <v>2014</v>
      </c>
      <c r="I508" s="1662">
        <f t="shared" si="146"/>
        <v>1.5</v>
      </c>
      <c r="J508" s="1663">
        <v>36</v>
      </c>
      <c r="K508" s="1664">
        <f t="shared" si="147"/>
        <v>0.33333333333333331</v>
      </c>
      <c r="L508" s="1613">
        <f t="shared" si="148"/>
        <v>190.42666666666665</v>
      </c>
      <c r="M508" s="1613">
        <f t="shared" si="149"/>
        <v>571.28</v>
      </c>
      <c r="N508" s="1613">
        <f t="shared" si="138"/>
        <v>-380.8533333333333</v>
      </c>
      <c r="O508" s="1652">
        <f t="shared" si="150"/>
        <v>190.42666666666668</v>
      </c>
      <c r="P508" s="1653">
        <f t="shared" si="151"/>
        <v>-381.18666666666661</v>
      </c>
      <c r="Q508" s="1653">
        <f t="shared" si="152"/>
        <v>-190.75999999999996</v>
      </c>
      <c r="R508" s="1653">
        <f t="shared" si="153"/>
        <v>-190.75999999999996</v>
      </c>
      <c r="S508" s="1653">
        <f t="shared" si="154"/>
        <v>-0.33333333333331439</v>
      </c>
      <c r="T508" s="1653">
        <f t="shared" si="139"/>
        <v>-0.33333333333331439</v>
      </c>
      <c r="U508" s="1653">
        <f t="shared" si="140"/>
        <v>190.09333333333333</v>
      </c>
      <c r="V508" s="1653">
        <f t="shared" si="141"/>
        <v>-0.66666666666664764</v>
      </c>
      <c r="W508" s="1653">
        <f t="shared" si="142"/>
        <v>189.76</v>
      </c>
      <c r="X508" s="1653">
        <f t="shared" si="143"/>
        <v>-0.9999999999999809</v>
      </c>
      <c r="Y508" s="1653">
        <f t="shared" si="144"/>
        <v>189.42666666666668</v>
      </c>
    </row>
    <row r="509" spans="1:25" ht="15" hidden="1" outlineLevel="1">
      <c r="A509" s="1615">
        <v>501</v>
      </c>
      <c r="C509" s="1651" t="s">
        <v>3169</v>
      </c>
      <c r="D509" s="1651" t="s">
        <v>2465</v>
      </c>
      <c r="E509" s="1613">
        <v>53.38</v>
      </c>
      <c r="F509" s="1613">
        <v>-17.87</v>
      </c>
      <c r="G509" s="1613">
        <f t="shared" si="145"/>
        <v>35.510000000000005</v>
      </c>
      <c r="H509" s="1578">
        <v>2014</v>
      </c>
      <c r="I509" s="1662">
        <f t="shared" si="146"/>
        <v>1.5</v>
      </c>
      <c r="J509" s="1663">
        <v>36</v>
      </c>
      <c r="K509" s="1664">
        <f t="shared" si="147"/>
        <v>0.33333333333333331</v>
      </c>
      <c r="L509" s="1613">
        <f t="shared" si="148"/>
        <v>17.793333333333333</v>
      </c>
      <c r="M509" s="1613">
        <f t="shared" si="149"/>
        <v>53.38</v>
      </c>
      <c r="N509" s="1613">
        <f t="shared" si="138"/>
        <v>-35.586666666666666</v>
      </c>
      <c r="O509" s="1652">
        <f t="shared" si="150"/>
        <v>17.793333333333337</v>
      </c>
      <c r="P509" s="1653">
        <f t="shared" si="151"/>
        <v>-35.92</v>
      </c>
      <c r="Q509" s="1653">
        <f t="shared" si="152"/>
        <v>-18.126666666666669</v>
      </c>
      <c r="R509" s="1653">
        <f t="shared" si="153"/>
        <v>-18.126666666666669</v>
      </c>
      <c r="S509" s="1653">
        <f t="shared" si="154"/>
        <v>-0.3333333333333357</v>
      </c>
      <c r="T509" s="1653">
        <f t="shared" si="139"/>
        <v>-0.3333333333333357</v>
      </c>
      <c r="U509" s="1653">
        <f t="shared" si="140"/>
        <v>17.459999999999997</v>
      </c>
      <c r="V509" s="1653">
        <f t="shared" si="141"/>
        <v>-0.66666666666666896</v>
      </c>
      <c r="W509" s="1653">
        <f t="shared" si="142"/>
        <v>17.126666666666665</v>
      </c>
      <c r="X509" s="1653">
        <f t="shared" si="143"/>
        <v>-1.0000000000000022</v>
      </c>
      <c r="Y509" s="1653">
        <f t="shared" si="144"/>
        <v>16.793333333333329</v>
      </c>
    </row>
    <row r="510" spans="1:25" ht="15" hidden="1" outlineLevel="1">
      <c r="A510" s="1615">
        <v>502</v>
      </c>
      <c r="C510" s="1651" t="s">
        <v>3170</v>
      </c>
      <c r="D510" s="1651" t="s">
        <v>3067</v>
      </c>
      <c r="E510" s="1613">
        <v>747.63</v>
      </c>
      <c r="F510" s="1613">
        <v>-250.23</v>
      </c>
      <c r="G510" s="1613">
        <f t="shared" si="145"/>
        <v>497.4</v>
      </c>
      <c r="H510" s="1578">
        <v>2014</v>
      </c>
      <c r="I510" s="1662">
        <f t="shared" si="146"/>
        <v>1.5</v>
      </c>
      <c r="J510" s="1663">
        <v>36</v>
      </c>
      <c r="K510" s="1664">
        <f t="shared" si="147"/>
        <v>0.33333333333333331</v>
      </c>
      <c r="L510" s="1613">
        <f t="shared" si="148"/>
        <v>249.20999999999998</v>
      </c>
      <c r="M510" s="1613">
        <f t="shared" si="149"/>
        <v>747.63</v>
      </c>
      <c r="N510" s="1613">
        <f t="shared" si="138"/>
        <v>-498.41999999999996</v>
      </c>
      <c r="O510" s="1652">
        <f t="shared" si="150"/>
        <v>249.21000000000004</v>
      </c>
      <c r="P510" s="1653">
        <f t="shared" si="151"/>
        <v>-498.75333333333327</v>
      </c>
      <c r="Q510" s="1653">
        <f t="shared" si="152"/>
        <v>-249.54333333333329</v>
      </c>
      <c r="R510" s="1653">
        <f t="shared" si="153"/>
        <v>-249.54333333333329</v>
      </c>
      <c r="S510" s="1653">
        <f t="shared" si="154"/>
        <v>-0.33333333333331439</v>
      </c>
      <c r="T510" s="1653">
        <f t="shared" si="139"/>
        <v>-0.33333333333331439</v>
      </c>
      <c r="U510" s="1653">
        <f t="shared" si="140"/>
        <v>248.87666666666667</v>
      </c>
      <c r="V510" s="1653">
        <f t="shared" si="141"/>
        <v>-0.66666666666664764</v>
      </c>
      <c r="W510" s="1653">
        <f t="shared" si="142"/>
        <v>248.54333333333332</v>
      </c>
      <c r="X510" s="1653">
        <f t="shared" si="143"/>
        <v>-0.9999999999999809</v>
      </c>
      <c r="Y510" s="1653">
        <f t="shared" si="144"/>
        <v>248.21</v>
      </c>
    </row>
    <row r="511" spans="1:25" ht="15" hidden="1" outlineLevel="1">
      <c r="A511" s="1615">
        <v>503</v>
      </c>
      <c r="C511" s="1651" t="s">
        <v>3171</v>
      </c>
      <c r="D511" s="1651" t="s">
        <v>3067</v>
      </c>
      <c r="E511" s="1613">
        <v>1601</v>
      </c>
      <c r="F511" s="1613">
        <v>-535.85</v>
      </c>
      <c r="G511" s="1613">
        <f t="shared" si="145"/>
        <v>1065.1500000000001</v>
      </c>
      <c r="H511" s="1578">
        <v>2014</v>
      </c>
      <c r="I511" s="1662">
        <f t="shared" si="146"/>
        <v>1.5</v>
      </c>
      <c r="J511" s="1663">
        <v>36</v>
      </c>
      <c r="K511" s="1664">
        <f t="shared" si="147"/>
        <v>0.33333333333333331</v>
      </c>
      <c r="L511" s="1613">
        <f t="shared" si="148"/>
        <v>533.66666666666663</v>
      </c>
      <c r="M511" s="1613">
        <f t="shared" si="149"/>
        <v>1601</v>
      </c>
      <c r="N511" s="1613">
        <f t="shared" si="138"/>
        <v>-1067.3333333333333</v>
      </c>
      <c r="O511" s="1652">
        <f t="shared" si="150"/>
        <v>533.66666666666674</v>
      </c>
      <c r="P511" s="1653">
        <f t="shared" si="151"/>
        <v>-1067.6666666666665</v>
      </c>
      <c r="Q511" s="1653">
        <f t="shared" si="152"/>
        <v>-533.99999999999989</v>
      </c>
      <c r="R511" s="1653">
        <f t="shared" si="153"/>
        <v>-533.99999999999989</v>
      </c>
      <c r="S511" s="1653">
        <f t="shared" si="154"/>
        <v>-0.33333333333325754</v>
      </c>
      <c r="T511" s="1653">
        <f t="shared" si="139"/>
        <v>-0.33333333333325754</v>
      </c>
      <c r="U511" s="1653">
        <f t="shared" si="140"/>
        <v>533.33333333333337</v>
      </c>
      <c r="V511" s="1653">
        <f t="shared" si="141"/>
        <v>-0.6666666666665908</v>
      </c>
      <c r="W511" s="1653">
        <f t="shared" si="142"/>
        <v>533</v>
      </c>
      <c r="X511" s="1653">
        <f t="shared" si="143"/>
        <v>-0.99999999999992406</v>
      </c>
      <c r="Y511" s="1653">
        <f t="shared" si="144"/>
        <v>532.66666666666674</v>
      </c>
    </row>
    <row r="512" spans="1:25" ht="15" hidden="1" outlineLevel="1">
      <c r="A512" s="1615">
        <v>504</v>
      </c>
      <c r="C512" s="1651" t="s">
        <v>3172</v>
      </c>
      <c r="D512" s="1651" t="s">
        <v>3067</v>
      </c>
      <c r="E512" s="1613">
        <v>308.3</v>
      </c>
      <c r="F512" s="1613">
        <v>-103.18</v>
      </c>
      <c r="G512" s="1613">
        <f t="shared" si="145"/>
        <v>205.12</v>
      </c>
      <c r="H512" s="1578">
        <v>2014</v>
      </c>
      <c r="I512" s="1662">
        <f t="shared" si="146"/>
        <v>1.5</v>
      </c>
      <c r="J512" s="1663">
        <v>36</v>
      </c>
      <c r="K512" s="1664">
        <f t="shared" si="147"/>
        <v>0.33333333333333331</v>
      </c>
      <c r="L512" s="1613">
        <f t="shared" si="148"/>
        <v>102.76666666666667</v>
      </c>
      <c r="M512" s="1613">
        <f t="shared" si="149"/>
        <v>308.3</v>
      </c>
      <c r="N512" s="1613">
        <f t="shared" si="138"/>
        <v>-205.53333333333333</v>
      </c>
      <c r="O512" s="1652">
        <f t="shared" si="150"/>
        <v>102.76666666666668</v>
      </c>
      <c r="P512" s="1653">
        <f t="shared" si="151"/>
        <v>-205.86666666666667</v>
      </c>
      <c r="Q512" s="1653">
        <f t="shared" si="152"/>
        <v>-103.10000000000001</v>
      </c>
      <c r="R512" s="1653">
        <f t="shared" si="153"/>
        <v>-103.10000000000001</v>
      </c>
      <c r="S512" s="1653">
        <f t="shared" si="154"/>
        <v>-0.33333333333334281</v>
      </c>
      <c r="T512" s="1653">
        <f t="shared" si="139"/>
        <v>-0.33333333333334281</v>
      </c>
      <c r="U512" s="1653">
        <f t="shared" si="140"/>
        <v>102.43333333333332</v>
      </c>
      <c r="V512" s="1653">
        <f t="shared" si="141"/>
        <v>-0.66666666666667607</v>
      </c>
      <c r="W512" s="1653">
        <f t="shared" si="142"/>
        <v>102.1</v>
      </c>
      <c r="X512" s="1653">
        <f t="shared" si="143"/>
        <v>-1.0000000000000093</v>
      </c>
      <c r="Y512" s="1653">
        <f t="shared" si="144"/>
        <v>101.76666666666665</v>
      </c>
    </row>
    <row r="513" spans="1:25" ht="15" hidden="1" outlineLevel="1">
      <c r="A513" s="1615">
        <v>505</v>
      </c>
      <c r="C513" s="1651" t="s">
        <v>3173</v>
      </c>
      <c r="D513" s="1651" t="s">
        <v>3067</v>
      </c>
      <c r="E513" s="1613">
        <v>637.91999999999996</v>
      </c>
      <c r="F513" s="1613">
        <v>-213.51</v>
      </c>
      <c r="G513" s="1613">
        <f t="shared" si="145"/>
        <v>424.40999999999997</v>
      </c>
      <c r="H513" s="1578">
        <v>2014</v>
      </c>
      <c r="I513" s="1662">
        <f t="shared" si="146"/>
        <v>1.5</v>
      </c>
      <c r="J513" s="1663">
        <v>36</v>
      </c>
      <c r="K513" s="1664">
        <f t="shared" si="147"/>
        <v>0.33333333333333331</v>
      </c>
      <c r="L513" s="1613">
        <f t="shared" si="148"/>
        <v>212.64</v>
      </c>
      <c r="M513" s="1613">
        <f t="shared" si="149"/>
        <v>637.91999999999996</v>
      </c>
      <c r="N513" s="1613">
        <f t="shared" si="138"/>
        <v>-425.28</v>
      </c>
      <c r="O513" s="1652">
        <f t="shared" si="150"/>
        <v>212.64</v>
      </c>
      <c r="P513" s="1653">
        <f t="shared" si="151"/>
        <v>-425.61333333333329</v>
      </c>
      <c r="Q513" s="1653">
        <f t="shared" si="152"/>
        <v>-212.9733333333333</v>
      </c>
      <c r="R513" s="1653">
        <f t="shared" si="153"/>
        <v>-212.9733333333333</v>
      </c>
      <c r="S513" s="1653">
        <f t="shared" si="154"/>
        <v>-0.33333333333331439</v>
      </c>
      <c r="T513" s="1653">
        <f t="shared" si="139"/>
        <v>-0.33333333333331439</v>
      </c>
      <c r="U513" s="1653">
        <f t="shared" si="140"/>
        <v>212.30666666666667</v>
      </c>
      <c r="V513" s="1653">
        <f t="shared" si="141"/>
        <v>-0.66666666666664764</v>
      </c>
      <c r="W513" s="1653">
        <f t="shared" si="142"/>
        <v>211.97333333333333</v>
      </c>
      <c r="X513" s="1653">
        <f t="shared" si="143"/>
        <v>-0.9999999999999809</v>
      </c>
      <c r="Y513" s="1653">
        <f t="shared" si="144"/>
        <v>211.64000000000001</v>
      </c>
    </row>
    <row r="514" spans="1:25" ht="15" hidden="1" outlineLevel="1">
      <c r="A514" s="1615">
        <v>506</v>
      </c>
      <c r="C514" s="1651" t="s">
        <v>3174</v>
      </c>
      <c r="D514" s="1651" t="s">
        <v>3067</v>
      </c>
      <c r="E514" s="1613">
        <v>-84.4</v>
      </c>
      <c r="F514" s="1613">
        <v>28.26</v>
      </c>
      <c r="G514" s="1613">
        <f t="shared" si="145"/>
        <v>-56.14</v>
      </c>
      <c r="H514" s="1578">
        <v>2014</v>
      </c>
      <c r="I514" s="1662">
        <f t="shared" si="146"/>
        <v>1.5</v>
      </c>
      <c r="J514" s="1663">
        <v>36</v>
      </c>
      <c r="K514" s="1664">
        <f t="shared" si="147"/>
        <v>0.33333333333333331</v>
      </c>
      <c r="L514" s="1613">
        <f t="shared" si="148"/>
        <v>-28.133333333333333</v>
      </c>
      <c r="M514" s="1613">
        <f t="shared" si="149"/>
        <v>-84.4</v>
      </c>
      <c r="N514" s="1613">
        <f t="shared" si="138"/>
        <v>56.266666666666666</v>
      </c>
      <c r="O514" s="1652">
        <f t="shared" si="150"/>
        <v>-28.13333333333334</v>
      </c>
      <c r="P514" s="1653">
        <f t="shared" si="151"/>
        <v>-28.13333333333334</v>
      </c>
      <c r="Q514" s="1653">
        <f t="shared" si="152"/>
        <v>-56.266666666666673</v>
      </c>
      <c r="R514" s="1653">
        <f t="shared" si="153"/>
        <v>-56.266666666666673</v>
      </c>
      <c r="S514" s="1653">
        <f t="shared" si="154"/>
        <v>-84.4</v>
      </c>
      <c r="T514" s="1653">
        <f t="shared" si="139"/>
        <v>-84.4</v>
      </c>
      <c r="U514" s="1653">
        <f t="shared" si="140"/>
        <v>-112.53333333333333</v>
      </c>
      <c r="V514" s="1653">
        <f t="shared" si="141"/>
        <v>-112.53333333333333</v>
      </c>
      <c r="W514" s="1653">
        <f t="shared" si="142"/>
        <v>-140.66666666666666</v>
      </c>
      <c r="X514" s="1653">
        <f t="shared" si="143"/>
        <v>-140.66666666666666</v>
      </c>
      <c r="Y514" s="1653">
        <f t="shared" si="144"/>
        <v>-168.79999999999998</v>
      </c>
    </row>
    <row r="515" spans="1:25" ht="15" hidden="1" outlineLevel="1">
      <c r="A515" s="1615">
        <v>507</v>
      </c>
      <c r="C515" s="1651" t="s">
        <v>3175</v>
      </c>
      <c r="D515" s="1651" t="s">
        <v>3067</v>
      </c>
      <c r="E515" s="1613">
        <v>647.91</v>
      </c>
      <c r="F515" s="1613">
        <v>-216.85</v>
      </c>
      <c r="G515" s="1613">
        <f t="shared" si="145"/>
        <v>431.05999999999995</v>
      </c>
      <c r="H515" s="1578">
        <v>2014</v>
      </c>
      <c r="I515" s="1662">
        <f t="shared" si="146"/>
        <v>1.5</v>
      </c>
      <c r="J515" s="1663">
        <v>36</v>
      </c>
      <c r="K515" s="1664">
        <f t="shared" si="147"/>
        <v>0.33333333333333331</v>
      </c>
      <c r="L515" s="1613">
        <f t="shared" si="148"/>
        <v>215.96999999999997</v>
      </c>
      <c r="M515" s="1613">
        <f t="shared" si="149"/>
        <v>647.91</v>
      </c>
      <c r="N515" s="1613">
        <f t="shared" si="138"/>
        <v>-431.93999999999994</v>
      </c>
      <c r="O515" s="1652">
        <f t="shared" si="150"/>
        <v>215.97000000000003</v>
      </c>
      <c r="P515" s="1653">
        <f t="shared" si="151"/>
        <v>-432.27333333333326</v>
      </c>
      <c r="Q515" s="1653">
        <f t="shared" si="152"/>
        <v>-216.30333333333328</v>
      </c>
      <c r="R515" s="1653">
        <f t="shared" si="153"/>
        <v>-216.30333333333328</v>
      </c>
      <c r="S515" s="1653">
        <f t="shared" si="154"/>
        <v>-0.33333333333331439</v>
      </c>
      <c r="T515" s="1653">
        <f t="shared" si="139"/>
        <v>-0.33333333333331439</v>
      </c>
      <c r="U515" s="1653">
        <f t="shared" si="140"/>
        <v>215.63666666666666</v>
      </c>
      <c r="V515" s="1653">
        <f t="shared" si="141"/>
        <v>-0.66666666666664764</v>
      </c>
      <c r="W515" s="1653">
        <f t="shared" si="142"/>
        <v>215.30333333333331</v>
      </c>
      <c r="X515" s="1653">
        <f t="shared" si="143"/>
        <v>-0.9999999999999809</v>
      </c>
      <c r="Y515" s="1653">
        <f t="shared" si="144"/>
        <v>214.97</v>
      </c>
    </row>
    <row r="516" spans="1:25" ht="15" hidden="1" outlineLevel="1">
      <c r="A516" s="1615">
        <v>508</v>
      </c>
      <c r="C516" s="1651" t="s">
        <v>3176</v>
      </c>
      <c r="D516" s="1651" t="s">
        <v>2465</v>
      </c>
      <c r="E516" s="1613">
        <v>213.62</v>
      </c>
      <c r="F516" s="1613">
        <v>-71.489999999999995</v>
      </c>
      <c r="G516" s="1613">
        <f t="shared" si="145"/>
        <v>142.13</v>
      </c>
      <c r="H516" s="1578">
        <v>2014</v>
      </c>
      <c r="I516" s="1662">
        <f t="shared" si="146"/>
        <v>1.5</v>
      </c>
      <c r="J516" s="1663">
        <v>36</v>
      </c>
      <c r="K516" s="1664">
        <f t="shared" si="147"/>
        <v>0.33333333333333331</v>
      </c>
      <c r="L516" s="1613">
        <f t="shared" si="148"/>
        <v>71.206666666666663</v>
      </c>
      <c r="M516" s="1613">
        <f t="shared" si="149"/>
        <v>213.62</v>
      </c>
      <c r="N516" s="1613">
        <f t="shared" si="138"/>
        <v>-142.41333333333333</v>
      </c>
      <c r="O516" s="1652">
        <f t="shared" si="150"/>
        <v>71.206666666666678</v>
      </c>
      <c r="P516" s="1653">
        <f t="shared" si="151"/>
        <v>-142.74666666666667</v>
      </c>
      <c r="Q516" s="1653">
        <f t="shared" si="152"/>
        <v>-71.540000000000006</v>
      </c>
      <c r="R516" s="1653">
        <f t="shared" si="153"/>
        <v>-71.540000000000006</v>
      </c>
      <c r="S516" s="1653">
        <f t="shared" si="154"/>
        <v>-0.33333333333334281</v>
      </c>
      <c r="T516" s="1653">
        <f t="shared" si="139"/>
        <v>-0.33333333333334281</v>
      </c>
      <c r="U516" s="1653">
        <f t="shared" si="140"/>
        <v>70.873333333333321</v>
      </c>
      <c r="V516" s="1653">
        <f t="shared" si="141"/>
        <v>-0.66666666666667607</v>
      </c>
      <c r="W516" s="1653">
        <f t="shared" si="142"/>
        <v>70.539999999999992</v>
      </c>
      <c r="X516" s="1653">
        <f t="shared" si="143"/>
        <v>-1.0000000000000093</v>
      </c>
      <c r="Y516" s="1653">
        <f t="shared" si="144"/>
        <v>70.206666666666649</v>
      </c>
    </row>
    <row r="517" spans="1:25" ht="15" hidden="1" outlineLevel="1">
      <c r="A517" s="1615">
        <v>509</v>
      </c>
      <c r="C517" s="1651" t="s">
        <v>3177</v>
      </c>
      <c r="D517" s="1651" t="s">
        <v>2465</v>
      </c>
      <c r="E517" s="1613">
        <v>216.68</v>
      </c>
      <c r="F517" s="1613">
        <v>-72.52</v>
      </c>
      <c r="G517" s="1613">
        <f t="shared" si="145"/>
        <v>144.16000000000003</v>
      </c>
      <c r="H517" s="1578">
        <v>2014</v>
      </c>
      <c r="I517" s="1662">
        <f t="shared" si="146"/>
        <v>1.5</v>
      </c>
      <c r="J517" s="1663">
        <v>36</v>
      </c>
      <c r="K517" s="1664">
        <f t="shared" si="147"/>
        <v>0.33333333333333331</v>
      </c>
      <c r="L517" s="1613">
        <f t="shared" si="148"/>
        <v>72.226666666666659</v>
      </c>
      <c r="M517" s="1613">
        <f t="shared" si="149"/>
        <v>216.68</v>
      </c>
      <c r="N517" s="1613">
        <f t="shared" si="138"/>
        <v>-144.45333333333332</v>
      </c>
      <c r="O517" s="1652">
        <f t="shared" si="150"/>
        <v>72.226666666666688</v>
      </c>
      <c r="P517" s="1653">
        <f t="shared" si="151"/>
        <v>-144.78666666666666</v>
      </c>
      <c r="Q517" s="1653">
        <f t="shared" si="152"/>
        <v>-72.56</v>
      </c>
      <c r="R517" s="1653">
        <f t="shared" si="153"/>
        <v>-72.56</v>
      </c>
      <c r="S517" s="1653">
        <f t="shared" si="154"/>
        <v>-0.33333333333334281</v>
      </c>
      <c r="T517" s="1653">
        <f t="shared" si="139"/>
        <v>-0.33333333333334281</v>
      </c>
      <c r="U517" s="1653">
        <f t="shared" si="140"/>
        <v>71.893333333333317</v>
      </c>
      <c r="V517" s="1653">
        <f t="shared" si="141"/>
        <v>-0.66666666666667607</v>
      </c>
      <c r="W517" s="1653">
        <f t="shared" si="142"/>
        <v>71.559999999999988</v>
      </c>
      <c r="X517" s="1653">
        <f t="shared" si="143"/>
        <v>-1.0000000000000093</v>
      </c>
      <c r="Y517" s="1653">
        <f t="shared" si="144"/>
        <v>71.226666666666645</v>
      </c>
    </row>
    <row r="518" spans="1:25" ht="15" hidden="1" outlineLevel="1">
      <c r="A518" s="1615">
        <v>510</v>
      </c>
      <c r="C518" s="1651" t="s">
        <v>3178</v>
      </c>
      <c r="D518" s="1651" t="s">
        <v>2465</v>
      </c>
      <c r="E518" s="1613">
        <v>152.66</v>
      </c>
      <c r="F518" s="1613">
        <v>-51.09</v>
      </c>
      <c r="G518" s="1613">
        <f t="shared" si="145"/>
        <v>101.57</v>
      </c>
      <c r="H518" s="1578">
        <v>2014</v>
      </c>
      <c r="I518" s="1662">
        <f t="shared" si="146"/>
        <v>1.5</v>
      </c>
      <c r="J518" s="1663">
        <v>36</v>
      </c>
      <c r="K518" s="1664">
        <f t="shared" si="147"/>
        <v>0.33333333333333331</v>
      </c>
      <c r="L518" s="1613">
        <f t="shared" si="148"/>
        <v>50.886666666666663</v>
      </c>
      <c r="M518" s="1613">
        <f t="shared" si="149"/>
        <v>152.66</v>
      </c>
      <c r="N518" s="1613">
        <f t="shared" si="138"/>
        <v>-101.77333333333333</v>
      </c>
      <c r="O518" s="1652">
        <f t="shared" si="150"/>
        <v>50.88666666666667</v>
      </c>
      <c r="P518" s="1653">
        <f t="shared" si="151"/>
        <v>-102.10666666666665</v>
      </c>
      <c r="Q518" s="1653">
        <f t="shared" si="152"/>
        <v>-51.219999999999992</v>
      </c>
      <c r="R518" s="1653">
        <f t="shared" si="153"/>
        <v>-51.219999999999992</v>
      </c>
      <c r="S518" s="1653">
        <f t="shared" si="154"/>
        <v>-0.3333333333333286</v>
      </c>
      <c r="T518" s="1653">
        <f t="shared" si="139"/>
        <v>-0.3333333333333286</v>
      </c>
      <c r="U518" s="1653">
        <f t="shared" si="140"/>
        <v>50.553333333333335</v>
      </c>
      <c r="V518" s="1653">
        <f t="shared" si="141"/>
        <v>-0.66666666666666186</v>
      </c>
      <c r="W518" s="1653">
        <f t="shared" si="142"/>
        <v>50.22</v>
      </c>
      <c r="X518" s="1653">
        <f t="shared" si="143"/>
        <v>-0.99999999999999512</v>
      </c>
      <c r="Y518" s="1653">
        <f t="shared" si="144"/>
        <v>49.88666666666667</v>
      </c>
    </row>
    <row r="519" spans="1:25" ht="15" hidden="1" outlineLevel="1">
      <c r="A519" s="1615">
        <v>511</v>
      </c>
      <c r="C519" s="1651" t="s">
        <v>3179</v>
      </c>
      <c r="D519" s="1651" t="s">
        <v>2465</v>
      </c>
      <c r="E519" s="1613">
        <v>2619.89</v>
      </c>
      <c r="F519" s="1613">
        <v>-876.88</v>
      </c>
      <c r="G519" s="1613">
        <f t="shared" si="145"/>
        <v>1743.0099999999998</v>
      </c>
      <c r="H519" s="1578">
        <v>2014</v>
      </c>
      <c r="I519" s="1662">
        <f t="shared" si="146"/>
        <v>1.5</v>
      </c>
      <c r="J519" s="1663">
        <v>36</v>
      </c>
      <c r="K519" s="1664">
        <f t="shared" si="147"/>
        <v>0.33333333333333331</v>
      </c>
      <c r="L519" s="1613">
        <f t="shared" si="148"/>
        <v>873.29666666666662</v>
      </c>
      <c r="M519" s="1613">
        <f t="shared" si="149"/>
        <v>2619.89</v>
      </c>
      <c r="N519" s="1613">
        <f t="shared" si="138"/>
        <v>-1746.5933333333332</v>
      </c>
      <c r="O519" s="1652">
        <f t="shared" si="150"/>
        <v>873.29666666666662</v>
      </c>
      <c r="P519" s="1653">
        <f t="shared" si="151"/>
        <v>-1746.9266666666665</v>
      </c>
      <c r="Q519" s="1653">
        <f t="shared" si="152"/>
        <v>-873.62999999999988</v>
      </c>
      <c r="R519" s="1653">
        <f t="shared" si="153"/>
        <v>-873.62999999999988</v>
      </c>
      <c r="S519" s="1653">
        <f t="shared" si="154"/>
        <v>-0.33333333333325754</v>
      </c>
      <c r="T519" s="1653">
        <f t="shared" si="139"/>
        <v>-0.33333333333325754</v>
      </c>
      <c r="U519" s="1653">
        <f t="shared" si="140"/>
        <v>872.96333333333337</v>
      </c>
      <c r="V519" s="1653">
        <f t="shared" si="141"/>
        <v>-0.6666666666665908</v>
      </c>
      <c r="W519" s="1653">
        <f t="shared" si="142"/>
        <v>872.63</v>
      </c>
      <c r="X519" s="1653">
        <f t="shared" si="143"/>
        <v>-0.99999999999992406</v>
      </c>
      <c r="Y519" s="1653">
        <f t="shared" si="144"/>
        <v>872.29666666666674</v>
      </c>
    </row>
    <row r="520" spans="1:25" ht="15" hidden="1" outlineLevel="1">
      <c r="A520" s="1615">
        <v>512</v>
      </c>
      <c r="C520" s="1651" t="s">
        <v>3180</v>
      </c>
      <c r="D520" s="1651" t="s">
        <v>2465</v>
      </c>
      <c r="E520" s="1613">
        <v>1237.74</v>
      </c>
      <c r="F520" s="1613">
        <v>-414.28</v>
      </c>
      <c r="G520" s="1613">
        <f t="shared" si="145"/>
        <v>823.46</v>
      </c>
      <c r="H520" s="1578">
        <v>2014</v>
      </c>
      <c r="I520" s="1662">
        <f t="shared" si="146"/>
        <v>1.5</v>
      </c>
      <c r="J520" s="1663">
        <v>36</v>
      </c>
      <c r="K520" s="1664">
        <f t="shared" si="147"/>
        <v>0.33333333333333331</v>
      </c>
      <c r="L520" s="1613">
        <f t="shared" si="148"/>
        <v>412.58</v>
      </c>
      <c r="M520" s="1613">
        <f t="shared" si="149"/>
        <v>1237.74</v>
      </c>
      <c r="N520" s="1613">
        <f t="shared" si="138"/>
        <v>-825.16</v>
      </c>
      <c r="O520" s="1652">
        <f t="shared" si="150"/>
        <v>412.58000000000004</v>
      </c>
      <c r="P520" s="1653">
        <f t="shared" si="151"/>
        <v>-825.49333333333334</v>
      </c>
      <c r="Q520" s="1653">
        <f t="shared" si="152"/>
        <v>-412.91333333333336</v>
      </c>
      <c r="R520" s="1653">
        <f t="shared" si="153"/>
        <v>-412.91333333333336</v>
      </c>
      <c r="S520" s="1653">
        <f t="shared" si="154"/>
        <v>-0.33333333333337123</v>
      </c>
      <c r="T520" s="1653">
        <f t="shared" si="139"/>
        <v>-0.33333333333337123</v>
      </c>
      <c r="U520" s="1653">
        <f t="shared" si="140"/>
        <v>412.24666666666661</v>
      </c>
      <c r="V520" s="1653">
        <f t="shared" si="141"/>
        <v>-0.66666666666670449</v>
      </c>
      <c r="W520" s="1653">
        <f t="shared" si="142"/>
        <v>411.9133333333333</v>
      </c>
      <c r="X520" s="1653">
        <f t="shared" si="143"/>
        <v>-1.0000000000000377</v>
      </c>
      <c r="Y520" s="1653">
        <f t="shared" si="144"/>
        <v>411.57999999999993</v>
      </c>
    </row>
    <row r="521" spans="1:25" ht="15" hidden="1" outlineLevel="1">
      <c r="A521" s="1615">
        <v>513</v>
      </c>
      <c r="C521" s="1651" t="s">
        <v>3181</v>
      </c>
      <c r="D521" s="1651" t="s">
        <v>2465</v>
      </c>
      <c r="E521" s="1613">
        <v>3343.87</v>
      </c>
      <c r="F521" s="1613">
        <v>-1119.21</v>
      </c>
      <c r="G521" s="1613">
        <f t="shared" si="145"/>
        <v>2224.66</v>
      </c>
      <c r="H521" s="1578">
        <v>2014</v>
      </c>
      <c r="I521" s="1662">
        <f t="shared" si="146"/>
        <v>1.5</v>
      </c>
      <c r="J521" s="1663">
        <v>36</v>
      </c>
      <c r="K521" s="1664">
        <f t="shared" si="147"/>
        <v>0.33333333333333331</v>
      </c>
      <c r="L521" s="1613">
        <f t="shared" si="148"/>
        <v>1114.6233333333332</v>
      </c>
      <c r="M521" s="1613">
        <f t="shared" si="149"/>
        <v>3343.87</v>
      </c>
      <c r="N521" s="1613">
        <f t="shared" si="138"/>
        <v>-2229.2466666666664</v>
      </c>
      <c r="O521" s="1652">
        <f t="shared" si="150"/>
        <v>1114.6233333333334</v>
      </c>
      <c r="P521" s="1653">
        <f t="shared" si="151"/>
        <v>-2229.58</v>
      </c>
      <c r="Q521" s="1653">
        <f t="shared" si="152"/>
        <v>-1114.9566666666667</v>
      </c>
      <c r="R521" s="1653">
        <f t="shared" si="153"/>
        <v>-1114.9566666666667</v>
      </c>
      <c r="S521" s="1653">
        <f t="shared" si="154"/>
        <v>-0.33333333333348492</v>
      </c>
      <c r="T521" s="1653">
        <f t="shared" si="139"/>
        <v>-0.33333333333348492</v>
      </c>
      <c r="U521" s="1653">
        <f t="shared" si="140"/>
        <v>1114.2899999999997</v>
      </c>
      <c r="V521" s="1653">
        <f t="shared" si="141"/>
        <v>-0.66666666666681818</v>
      </c>
      <c r="W521" s="1653">
        <f t="shared" si="142"/>
        <v>1113.9566666666665</v>
      </c>
      <c r="X521" s="1653">
        <f t="shared" si="143"/>
        <v>-1.0000000000001514</v>
      </c>
      <c r="Y521" s="1653">
        <f t="shared" si="144"/>
        <v>1113.623333333333</v>
      </c>
    </row>
    <row r="522" spans="1:25" ht="15" hidden="1" outlineLevel="1">
      <c r="A522" s="1615">
        <v>514</v>
      </c>
      <c r="C522" s="1651" t="s">
        <v>3182</v>
      </c>
      <c r="D522" s="1651" t="s">
        <v>2465</v>
      </c>
      <c r="E522" s="1613">
        <v>19203.32</v>
      </c>
      <c r="F522" s="1613">
        <v>-6427.41</v>
      </c>
      <c r="G522" s="1613">
        <f t="shared" si="145"/>
        <v>12775.91</v>
      </c>
      <c r="H522" s="1578">
        <v>2014</v>
      </c>
      <c r="I522" s="1662">
        <f t="shared" si="146"/>
        <v>1.5</v>
      </c>
      <c r="J522" s="1663">
        <v>36</v>
      </c>
      <c r="K522" s="1664">
        <f t="shared" si="147"/>
        <v>0.33333333333333331</v>
      </c>
      <c r="L522" s="1613">
        <f t="shared" si="148"/>
        <v>6401.1066666666666</v>
      </c>
      <c r="M522" s="1613">
        <f t="shared" si="149"/>
        <v>19203.32</v>
      </c>
      <c r="N522" s="1613">
        <f t="shared" si="138"/>
        <v>-12802.213333333333</v>
      </c>
      <c r="O522" s="1652">
        <f t="shared" si="150"/>
        <v>6401.1066666666666</v>
      </c>
      <c r="P522" s="1653">
        <f t="shared" si="151"/>
        <v>-12802.546666666667</v>
      </c>
      <c r="Q522" s="1653">
        <f t="shared" si="152"/>
        <v>-6401.4400000000005</v>
      </c>
      <c r="R522" s="1653">
        <f t="shared" si="153"/>
        <v>-6401.4400000000005</v>
      </c>
      <c r="S522" s="1653">
        <f t="shared" si="154"/>
        <v>-0.33333333333393966</v>
      </c>
      <c r="T522" s="1653">
        <f t="shared" si="139"/>
        <v>-0.33333333333393966</v>
      </c>
      <c r="U522" s="1653">
        <f t="shared" si="140"/>
        <v>6400.7733333333326</v>
      </c>
      <c r="V522" s="1653">
        <f t="shared" si="141"/>
        <v>-0.66666666666727292</v>
      </c>
      <c r="W522" s="1653">
        <f t="shared" si="142"/>
        <v>6400.44</v>
      </c>
      <c r="X522" s="1653">
        <f t="shared" si="143"/>
        <v>-1.0000000000006062</v>
      </c>
      <c r="Y522" s="1653">
        <f t="shared" si="144"/>
        <v>6400.1066666666657</v>
      </c>
    </row>
    <row r="523" spans="1:25" ht="15" hidden="1" outlineLevel="1">
      <c r="A523" s="1615">
        <v>515</v>
      </c>
      <c r="C523" s="1651" t="s">
        <v>3183</v>
      </c>
      <c r="D523" s="1651" t="s">
        <v>2465</v>
      </c>
      <c r="E523" s="1613">
        <v>81154.06</v>
      </c>
      <c r="F523" s="1613">
        <v>-24865.02</v>
      </c>
      <c r="G523" s="1613">
        <f t="shared" si="145"/>
        <v>56289.039999999994</v>
      </c>
      <c r="H523" s="1578">
        <v>2014</v>
      </c>
      <c r="I523" s="1662">
        <f t="shared" si="146"/>
        <v>1.5</v>
      </c>
      <c r="J523" s="1663">
        <v>36</v>
      </c>
      <c r="K523" s="1664">
        <f t="shared" si="147"/>
        <v>0.33333333333333331</v>
      </c>
      <c r="L523" s="1613">
        <f t="shared" si="148"/>
        <v>27051.353333333333</v>
      </c>
      <c r="M523" s="1613">
        <f t="shared" si="149"/>
        <v>81154.06</v>
      </c>
      <c r="N523" s="1613">
        <f t="shared" si="138"/>
        <v>-54102.706666666665</v>
      </c>
      <c r="O523" s="1652">
        <f t="shared" si="150"/>
        <v>27051.353333333333</v>
      </c>
      <c r="P523" s="1653">
        <f t="shared" si="151"/>
        <v>-54103.040000000001</v>
      </c>
      <c r="Q523" s="1653">
        <f t="shared" si="152"/>
        <v>-27051.686666666668</v>
      </c>
      <c r="R523" s="1653">
        <f t="shared" si="153"/>
        <v>-27051.686666666668</v>
      </c>
      <c r="S523" s="1653">
        <f t="shared" si="154"/>
        <v>-0.33333333333575865</v>
      </c>
      <c r="T523" s="1653">
        <f t="shared" si="139"/>
        <v>-0.33333333333575865</v>
      </c>
      <c r="U523" s="1653">
        <f t="shared" si="140"/>
        <v>27051.019999999997</v>
      </c>
      <c r="V523" s="1653">
        <f t="shared" si="141"/>
        <v>-0.66666666666909191</v>
      </c>
      <c r="W523" s="1653">
        <f t="shared" si="142"/>
        <v>27050.686666666665</v>
      </c>
      <c r="X523" s="1653">
        <f t="shared" si="143"/>
        <v>-1.0000000000024252</v>
      </c>
      <c r="Y523" s="1653">
        <f t="shared" si="144"/>
        <v>27050.353333333329</v>
      </c>
    </row>
    <row r="524" spans="1:25" ht="15" hidden="1" outlineLevel="1">
      <c r="A524" s="1615">
        <v>516</v>
      </c>
      <c r="C524" s="1651" t="s">
        <v>3184</v>
      </c>
      <c r="D524" s="1651" t="s">
        <v>2465</v>
      </c>
      <c r="E524" s="1613">
        <v>19816.39</v>
      </c>
      <c r="F524" s="1613">
        <v>-6632.61</v>
      </c>
      <c r="G524" s="1613">
        <f t="shared" si="145"/>
        <v>13183.779999999999</v>
      </c>
      <c r="H524" s="1578">
        <v>2014</v>
      </c>
      <c r="I524" s="1662">
        <f t="shared" si="146"/>
        <v>1.5</v>
      </c>
      <c r="J524" s="1663">
        <v>36</v>
      </c>
      <c r="K524" s="1664">
        <f t="shared" si="147"/>
        <v>0.33333333333333331</v>
      </c>
      <c r="L524" s="1613">
        <f t="shared" si="148"/>
        <v>6605.4633333333331</v>
      </c>
      <c r="M524" s="1613">
        <f t="shared" si="149"/>
        <v>19816.39</v>
      </c>
      <c r="N524" s="1613">
        <f t="shared" si="138"/>
        <v>-13210.926666666666</v>
      </c>
      <c r="O524" s="1652">
        <f t="shared" si="150"/>
        <v>6605.4633333333331</v>
      </c>
      <c r="P524" s="1653">
        <f t="shared" si="151"/>
        <v>-13211.26</v>
      </c>
      <c r="Q524" s="1653">
        <f t="shared" si="152"/>
        <v>-6605.7966666666671</v>
      </c>
      <c r="R524" s="1653">
        <f t="shared" si="153"/>
        <v>-6605.7966666666671</v>
      </c>
      <c r="S524" s="1653">
        <f t="shared" si="154"/>
        <v>-0.33333333333393966</v>
      </c>
      <c r="T524" s="1653">
        <f t="shared" si="139"/>
        <v>-0.33333333333393966</v>
      </c>
      <c r="U524" s="1653">
        <f t="shared" si="140"/>
        <v>6605.1299999999992</v>
      </c>
      <c r="V524" s="1653">
        <f t="shared" si="141"/>
        <v>-0.66666666666727292</v>
      </c>
      <c r="W524" s="1653">
        <f t="shared" si="142"/>
        <v>6604.7966666666662</v>
      </c>
      <c r="X524" s="1653">
        <f t="shared" si="143"/>
        <v>-1.0000000000006062</v>
      </c>
      <c r="Y524" s="1653">
        <f t="shared" si="144"/>
        <v>6604.4633333333322</v>
      </c>
    </row>
    <row r="525" spans="1:25" ht="15" hidden="1" outlineLevel="1">
      <c r="A525" s="1615">
        <v>517</v>
      </c>
      <c r="C525" s="1651" t="s">
        <v>3185</v>
      </c>
      <c r="D525" s="1651" t="s">
        <v>2465</v>
      </c>
      <c r="E525" s="1613">
        <v>2544.1799999999998</v>
      </c>
      <c r="F525" s="1613">
        <v>-851.55</v>
      </c>
      <c r="G525" s="1613">
        <f t="shared" si="145"/>
        <v>1692.6299999999999</v>
      </c>
      <c r="H525" s="1578">
        <v>2014</v>
      </c>
      <c r="I525" s="1662">
        <f t="shared" si="146"/>
        <v>1.5</v>
      </c>
      <c r="J525" s="1663">
        <v>36</v>
      </c>
      <c r="K525" s="1664">
        <f t="shared" si="147"/>
        <v>0.33333333333333331</v>
      </c>
      <c r="L525" s="1613">
        <f t="shared" si="148"/>
        <v>848.06</v>
      </c>
      <c r="M525" s="1613">
        <f t="shared" si="149"/>
        <v>2544.1799999999998</v>
      </c>
      <c r="N525" s="1613">
        <f t="shared" si="138"/>
        <v>-1696.12</v>
      </c>
      <c r="O525" s="1652">
        <f t="shared" si="150"/>
        <v>848.06</v>
      </c>
      <c r="P525" s="1653">
        <f t="shared" si="151"/>
        <v>-1696.4533333333331</v>
      </c>
      <c r="Q525" s="1653">
        <f t="shared" si="152"/>
        <v>-848.3933333333332</v>
      </c>
      <c r="R525" s="1653">
        <f t="shared" si="153"/>
        <v>-848.3933333333332</v>
      </c>
      <c r="S525" s="1653">
        <f t="shared" si="154"/>
        <v>-0.33333333333325754</v>
      </c>
      <c r="T525" s="1653">
        <f t="shared" si="139"/>
        <v>-0.33333333333325754</v>
      </c>
      <c r="U525" s="1653">
        <f t="shared" si="140"/>
        <v>847.72666666666669</v>
      </c>
      <c r="V525" s="1653">
        <f t="shared" si="141"/>
        <v>-0.6666666666665908</v>
      </c>
      <c r="W525" s="1653">
        <f t="shared" si="142"/>
        <v>847.39333333333332</v>
      </c>
      <c r="X525" s="1653">
        <f t="shared" si="143"/>
        <v>-0.99999999999992406</v>
      </c>
      <c r="Y525" s="1653">
        <f t="shared" si="144"/>
        <v>847.06000000000006</v>
      </c>
    </row>
    <row r="526" spans="1:25" ht="15" hidden="1" outlineLevel="1">
      <c r="A526" s="1615">
        <v>518</v>
      </c>
      <c r="C526" s="1651" t="s">
        <v>3186</v>
      </c>
      <c r="D526" s="1651" t="s">
        <v>2465</v>
      </c>
      <c r="E526" s="1613">
        <v>554.80999999999995</v>
      </c>
      <c r="F526" s="1613">
        <v>-185.7</v>
      </c>
      <c r="G526" s="1613">
        <f t="shared" si="145"/>
        <v>369.10999999999996</v>
      </c>
      <c r="H526" s="1578">
        <v>2014</v>
      </c>
      <c r="I526" s="1662">
        <f t="shared" si="146"/>
        <v>1.5</v>
      </c>
      <c r="J526" s="1663">
        <v>36</v>
      </c>
      <c r="K526" s="1664">
        <f t="shared" si="147"/>
        <v>0.33333333333333331</v>
      </c>
      <c r="L526" s="1613">
        <f t="shared" si="148"/>
        <v>184.93666666666664</v>
      </c>
      <c r="M526" s="1613">
        <f t="shared" si="149"/>
        <v>554.80999999999995</v>
      </c>
      <c r="N526" s="1613">
        <f t="shared" si="138"/>
        <v>-369.87333333333328</v>
      </c>
      <c r="O526" s="1652">
        <f t="shared" si="150"/>
        <v>184.93666666666667</v>
      </c>
      <c r="P526" s="1653">
        <f t="shared" si="151"/>
        <v>-370.20666666666659</v>
      </c>
      <c r="Q526" s="1653">
        <f t="shared" si="152"/>
        <v>-185.26999999999995</v>
      </c>
      <c r="R526" s="1653">
        <f t="shared" si="153"/>
        <v>-185.26999999999995</v>
      </c>
      <c r="S526" s="1653">
        <f t="shared" si="154"/>
        <v>-0.33333333333331439</v>
      </c>
      <c r="T526" s="1653">
        <f t="shared" si="139"/>
        <v>-0.33333333333331439</v>
      </c>
      <c r="U526" s="1653">
        <f t="shared" si="140"/>
        <v>184.60333333333332</v>
      </c>
      <c r="V526" s="1653">
        <f t="shared" si="141"/>
        <v>-0.66666666666664764</v>
      </c>
      <c r="W526" s="1653">
        <f t="shared" si="142"/>
        <v>184.26999999999998</v>
      </c>
      <c r="X526" s="1653">
        <f t="shared" si="143"/>
        <v>-0.9999999999999809</v>
      </c>
      <c r="Y526" s="1653">
        <f t="shared" si="144"/>
        <v>183.93666666666667</v>
      </c>
    </row>
    <row r="527" spans="1:25" ht="15" hidden="1" outlineLevel="1">
      <c r="A527" s="1615">
        <v>519</v>
      </c>
      <c r="C527" s="1651" t="s">
        <v>3187</v>
      </c>
      <c r="D527" s="1651" t="s">
        <v>2465</v>
      </c>
      <c r="E527" s="1613">
        <v>771.1</v>
      </c>
      <c r="F527" s="1613">
        <v>-258.10000000000002</v>
      </c>
      <c r="G527" s="1613">
        <f t="shared" si="145"/>
        <v>513</v>
      </c>
      <c r="H527" s="1578">
        <v>2014</v>
      </c>
      <c r="I527" s="1662">
        <f t="shared" si="146"/>
        <v>1.5</v>
      </c>
      <c r="J527" s="1663">
        <v>36</v>
      </c>
      <c r="K527" s="1664">
        <f t="shared" si="147"/>
        <v>0.33333333333333331</v>
      </c>
      <c r="L527" s="1613">
        <f t="shared" si="148"/>
        <v>257.0333333333333</v>
      </c>
      <c r="M527" s="1613">
        <f t="shared" si="149"/>
        <v>771.1</v>
      </c>
      <c r="N527" s="1613">
        <f t="shared" si="138"/>
        <v>-514.06666666666661</v>
      </c>
      <c r="O527" s="1652">
        <f t="shared" si="150"/>
        <v>257.03333333333342</v>
      </c>
      <c r="P527" s="1653">
        <f t="shared" si="151"/>
        <v>-514.4</v>
      </c>
      <c r="Q527" s="1653">
        <f t="shared" si="152"/>
        <v>-257.36666666666667</v>
      </c>
      <c r="R527" s="1653">
        <f t="shared" si="153"/>
        <v>-257.36666666666667</v>
      </c>
      <c r="S527" s="1653">
        <f t="shared" si="154"/>
        <v>-0.33333333333337123</v>
      </c>
      <c r="T527" s="1653">
        <f t="shared" si="139"/>
        <v>-0.33333333333337123</v>
      </c>
      <c r="U527" s="1653">
        <f t="shared" si="140"/>
        <v>256.69999999999993</v>
      </c>
      <c r="V527" s="1653">
        <f t="shared" si="141"/>
        <v>-0.66666666666670449</v>
      </c>
      <c r="W527" s="1653">
        <f t="shared" si="142"/>
        <v>256.36666666666662</v>
      </c>
      <c r="X527" s="1653">
        <f t="shared" si="143"/>
        <v>-1.0000000000000377</v>
      </c>
      <c r="Y527" s="1653">
        <f t="shared" si="144"/>
        <v>256.03333333333325</v>
      </c>
    </row>
    <row r="528" spans="1:25" ht="15" hidden="1" outlineLevel="1">
      <c r="A528" s="1615">
        <v>520</v>
      </c>
      <c r="C528" s="1651" t="s">
        <v>3188</v>
      </c>
      <c r="D528" s="1651" t="s">
        <v>2465</v>
      </c>
      <c r="E528" s="1613">
        <v>443.74</v>
      </c>
      <c r="F528" s="1613">
        <v>-148.53</v>
      </c>
      <c r="G528" s="1613">
        <f t="shared" si="145"/>
        <v>295.21000000000004</v>
      </c>
      <c r="H528" s="1578">
        <v>2014</v>
      </c>
      <c r="I528" s="1662">
        <f t="shared" si="146"/>
        <v>1.5</v>
      </c>
      <c r="J528" s="1663">
        <v>36</v>
      </c>
      <c r="K528" s="1664">
        <f t="shared" si="147"/>
        <v>0.33333333333333331</v>
      </c>
      <c r="L528" s="1613">
        <f t="shared" si="148"/>
        <v>147.91333333333333</v>
      </c>
      <c r="M528" s="1613">
        <f t="shared" si="149"/>
        <v>443.74</v>
      </c>
      <c r="N528" s="1613">
        <f t="shared" si="138"/>
        <v>-295.82666666666665</v>
      </c>
      <c r="O528" s="1652">
        <f t="shared" si="150"/>
        <v>147.91333333333336</v>
      </c>
      <c r="P528" s="1653">
        <f t="shared" si="151"/>
        <v>-296.15999999999997</v>
      </c>
      <c r="Q528" s="1653">
        <f t="shared" si="152"/>
        <v>-148.24666666666664</v>
      </c>
      <c r="R528" s="1653">
        <f t="shared" si="153"/>
        <v>-148.24666666666664</v>
      </c>
      <c r="S528" s="1653">
        <f t="shared" si="154"/>
        <v>-0.33333333333331439</v>
      </c>
      <c r="T528" s="1653">
        <f t="shared" si="139"/>
        <v>-0.33333333333331439</v>
      </c>
      <c r="U528" s="1653">
        <f t="shared" si="140"/>
        <v>147.58000000000001</v>
      </c>
      <c r="V528" s="1653">
        <f t="shared" si="141"/>
        <v>-0.66666666666664764</v>
      </c>
      <c r="W528" s="1653">
        <f t="shared" si="142"/>
        <v>147.24666666666667</v>
      </c>
      <c r="X528" s="1653">
        <f t="shared" si="143"/>
        <v>-0.9999999999999809</v>
      </c>
      <c r="Y528" s="1653">
        <f t="shared" si="144"/>
        <v>146.91333333333336</v>
      </c>
    </row>
    <row r="529" spans="1:25" ht="15" hidden="1" outlineLevel="1">
      <c r="A529" s="1615">
        <v>521</v>
      </c>
      <c r="C529" s="1651" t="s">
        <v>3189</v>
      </c>
      <c r="D529" s="1651" t="s">
        <v>2465</v>
      </c>
      <c r="E529" s="1613">
        <v>1355.67</v>
      </c>
      <c r="F529" s="1613">
        <v>-453.74</v>
      </c>
      <c r="G529" s="1613">
        <f t="shared" si="145"/>
        <v>901.93000000000006</v>
      </c>
      <c r="H529" s="1578">
        <v>2014</v>
      </c>
      <c r="I529" s="1662">
        <f t="shared" si="146"/>
        <v>1.5</v>
      </c>
      <c r="J529" s="1663">
        <v>36</v>
      </c>
      <c r="K529" s="1664">
        <f t="shared" si="147"/>
        <v>0.33333333333333331</v>
      </c>
      <c r="L529" s="1613">
        <f t="shared" si="148"/>
        <v>451.89</v>
      </c>
      <c r="M529" s="1613">
        <f t="shared" si="149"/>
        <v>1355.67</v>
      </c>
      <c r="N529" s="1613">
        <f t="shared" si="138"/>
        <v>-903.78</v>
      </c>
      <c r="O529" s="1652">
        <f t="shared" si="150"/>
        <v>451.8900000000001</v>
      </c>
      <c r="P529" s="1653">
        <f t="shared" si="151"/>
        <v>-904.11333333333334</v>
      </c>
      <c r="Q529" s="1653">
        <f t="shared" si="152"/>
        <v>-452.22333333333336</v>
      </c>
      <c r="R529" s="1653">
        <f t="shared" si="153"/>
        <v>-452.22333333333336</v>
      </c>
      <c r="S529" s="1653">
        <f t="shared" si="154"/>
        <v>-0.33333333333337123</v>
      </c>
      <c r="T529" s="1653">
        <f t="shared" si="139"/>
        <v>-0.33333333333337123</v>
      </c>
      <c r="U529" s="1653">
        <f t="shared" si="140"/>
        <v>451.55666666666662</v>
      </c>
      <c r="V529" s="1653">
        <f t="shared" si="141"/>
        <v>-0.66666666666670449</v>
      </c>
      <c r="W529" s="1653">
        <f t="shared" si="142"/>
        <v>451.2233333333333</v>
      </c>
      <c r="X529" s="1653">
        <f t="shared" si="143"/>
        <v>-1.0000000000000377</v>
      </c>
      <c r="Y529" s="1653">
        <f t="shared" si="144"/>
        <v>450.88999999999993</v>
      </c>
    </row>
    <row r="530" spans="1:25" ht="15" hidden="1" outlineLevel="1">
      <c r="A530" s="1615">
        <v>522</v>
      </c>
      <c r="C530" s="1651" t="s">
        <v>3190</v>
      </c>
      <c r="D530" s="1651" t="s">
        <v>2465</v>
      </c>
      <c r="E530" s="1613">
        <v>426.98</v>
      </c>
      <c r="F530" s="1613">
        <v>-142.9</v>
      </c>
      <c r="G530" s="1613">
        <f t="shared" si="145"/>
        <v>284.08000000000004</v>
      </c>
      <c r="H530" s="1578">
        <v>2014</v>
      </c>
      <c r="I530" s="1662">
        <f t="shared" si="146"/>
        <v>1.5</v>
      </c>
      <c r="J530" s="1663">
        <v>36</v>
      </c>
      <c r="K530" s="1664">
        <f t="shared" si="147"/>
        <v>0.33333333333333331</v>
      </c>
      <c r="L530" s="1613">
        <f t="shared" si="148"/>
        <v>142.32666666666665</v>
      </c>
      <c r="M530" s="1613">
        <f t="shared" si="149"/>
        <v>426.98</v>
      </c>
      <c r="N530" s="1613">
        <f t="shared" si="138"/>
        <v>-284.65333333333331</v>
      </c>
      <c r="O530" s="1652">
        <f t="shared" si="150"/>
        <v>142.32666666666671</v>
      </c>
      <c r="P530" s="1653">
        <f t="shared" si="151"/>
        <v>-284.98666666666662</v>
      </c>
      <c r="Q530" s="1653">
        <f t="shared" si="152"/>
        <v>-142.65999999999997</v>
      </c>
      <c r="R530" s="1653">
        <f t="shared" si="153"/>
        <v>-142.65999999999997</v>
      </c>
      <c r="S530" s="1653">
        <f t="shared" si="154"/>
        <v>-0.33333333333331439</v>
      </c>
      <c r="T530" s="1653">
        <f t="shared" si="139"/>
        <v>-0.33333333333331439</v>
      </c>
      <c r="U530" s="1653">
        <f t="shared" si="140"/>
        <v>141.99333333333334</v>
      </c>
      <c r="V530" s="1653">
        <f t="shared" si="141"/>
        <v>-0.66666666666664764</v>
      </c>
      <c r="W530" s="1653">
        <f t="shared" si="142"/>
        <v>141.66</v>
      </c>
      <c r="X530" s="1653">
        <f t="shared" si="143"/>
        <v>-0.9999999999999809</v>
      </c>
      <c r="Y530" s="1653">
        <f t="shared" si="144"/>
        <v>141.32666666666668</v>
      </c>
    </row>
    <row r="531" spans="1:25" ht="15" hidden="1" outlineLevel="1">
      <c r="A531" s="1615">
        <v>523</v>
      </c>
      <c r="C531" s="1651" t="s">
        <v>3191</v>
      </c>
      <c r="D531" s="1651" t="s">
        <v>2465</v>
      </c>
      <c r="E531" s="1613">
        <v>169996.52</v>
      </c>
      <c r="F531" s="1613">
        <v>-52085.69</v>
      </c>
      <c r="G531" s="1613">
        <f t="shared" si="145"/>
        <v>117910.82999999999</v>
      </c>
      <c r="H531" s="1578">
        <v>2014</v>
      </c>
      <c r="I531" s="1662">
        <f t="shared" si="146"/>
        <v>1.5</v>
      </c>
      <c r="J531" s="1663">
        <v>36</v>
      </c>
      <c r="K531" s="1664">
        <f t="shared" si="147"/>
        <v>0.33333333333333331</v>
      </c>
      <c r="L531" s="1613">
        <f t="shared" si="148"/>
        <v>56665.506666666661</v>
      </c>
      <c r="M531" s="1613">
        <f t="shared" si="149"/>
        <v>169996.52</v>
      </c>
      <c r="N531" s="1613">
        <f t="shared" si="138"/>
        <v>-113331.01333333332</v>
      </c>
      <c r="O531" s="1652">
        <f t="shared" si="150"/>
        <v>56665.506666666668</v>
      </c>
      <c r="P531" s="1653">
        <f t="shared" si="151"/>
        <v>-113331.34666666665</v>
      </c>
      <c r="Q531" s="1653">
        <f t="shared" si="152"/>
        <v>-56665.839999999989</v>
      </c>
      <c r="R531" s="1653">
        <f t="shared" si="153"/>
        <v>-56665.839999999989</v>
      </c>
      <c r="S531" s="1653">
        <f t="shared" si="154"/>
        <v>-0.33333333332848269</v>
      </c>
      <c r="T531" s="1653">
        <f t="shared" si="139"/>
        <v>-0.33333333332848269</v>
      </c>
      <c r="U531" s="1653">
        <f t="shared" si="140"/>
        <v>56665.173333333332</v>
      </c>
      <c r="V531" s="1653">
        <f t="shared" si="141"/>
        <v>-0.66666666666181595</v>
      </c>
      <c r="W531" s="1653">
        <f t="shared" si="142"/>
        <v>56664.84</v>
      </c>
      <c r="X531" s="1653">
        <f t="shared" si="143"/>
        <v>-0.99999999999514921</v>
      </c>
      <c r="Y531" s="1653">
        <f t="shared" si="144"/>
        <v>56664.506666666668</v>
      </c>
    </row>
    <row r="532" spans="1:25" ht="15" hidden="1" outlineLevel="1">
      <c r="A532" s="1615">
        <v>524</v>
      </c>
      <c r="C532" s="1651" t="s">
        <v>3192</v>
      </c>
      <c r="D532" s="1651" t="s">
        <v>2465</v>
      </c>
      <c r="E532" s="1613">
        <v>86921.95</v>
      </c>
      <c r="F532" s="1613">
        <v>-26632.25</v>
      </c>
      <c r="G532" s="1613">
        <f t="shared" si="145"/>
        <v>60289.7</v>
      </c>
      <c r="H532" s="1578">
        <v>2014</v>
      </c>
      <c r="I532" s="1662">
        <f t="shared" si="146"/>
        <v>1.5</v>
      </c>
      <c r="J532" s="1663">
        <v>36</v>
      </c>
      <c r="K532" s="1664">
        <f t="shared" si="147"/>
        <v>0.33333333333333331</v>
      </c>
      <c r="L532" s="1613">
        <f t="shared" si="148"/>
        <v>28973.98333333333</v>
      </c>
      <c r="M532" s="1613">
        <f t="shared" si="149"/>
        <v>86921.95</v>
      </c>
      <c r="N532" s="1613">
        <f t="shared" si="138"/>
        <v>-57947.96666666666</v>
      </c>
      <c r="O532" s="1652">
        <f t="shared" si="150"/>
        <v>28973.983333333337</v>
      </c>
      <c r="P532" s="1653">
        <f t="shared" si="151"/>
        <v>-57948.299999999996</v>
      </c>
      <c r="Q532" s="1653">
        <f t="shared" si="152"/>
        <v>-28974.316666666666</v>
      </c>
      <c r="R532" s="1653">
        <f t="shared" si="153"/>
        <v>-28974.316666666666</v>
      </c>
      <c r="S532" s="1653">
        <f t="shared" si="154"/>
        <v>-0.33333333333575865</v>
      </c>
      <c r="T532" s="1653">
        <f t="shared" si="139"/>
        <v>-0.33333333333575865</v>
      </c>
      <c r="U532" s="1653">
        <f t="shared" si="140"/>
        <v>28973.649999999994</v>
      </c>
      <c r="V532" s="1653">
        <f t="shared" si="141"/>
        <v>-0.66666666666909191</v>
      </c>
      <c r="W532" s="1653">
        <f t="shared" si="142"/>
        <v>28973.316666666662</v>
      </c>
      <c r="X532" s="1653">
        <f t="shared" si="143"/>
        <v>-1.0000000000024252</v>
      </c>
      <c r="Y532" s="1653">
        <f t="shared" si="144"/>
        <v>28972.983333333326</v>
      </c>
    </row>
    <row r="533" spans="1:25" ht="15" hidden="1" outlineLevel="1">
      <c r="A533" s="1615">
        <v>525</v>
      </c>
      <c r="C533" s="1651" t="s">
        <v>3193</v>
      </c>
      <c r="D533" s="1651" t="s">
        <v>2465</v>
      </c>
      <c r="E533" s="1613">
        <v>3260.13</v>
      </c>
      <c r="F533" s="1613">
        <v>-1091.17</v>
      </c>
      <c r="G533" s="1613">
        <f t="shared" si="145"/>
        <v>2168.96</v>
      </c>
      <c r="H533" s="1578">
        <v>2014</v>
      </c>
      <c r="I533" s="1662">
        <f t="shared" si="146"/>
        <v>1.5</v>
      </c>
      <c r="J533" s="1663">
        <v>36</v>
      </c>
      <c r="K533" s="1664">
        <f t="shared" si="147"/>
        <v>0.33333333333333331</v>
      </c>
      <c r="L533" s="1613">
        <f t="shared" si="148"/>
        <v>1086.71</v>
      </c>
      <c r="M533" s="1613">
        <f t="shared" si="149"/>
        <v>3260.13</v>
      </c>
      <c r="N533" s="1613">
        <f t="shared" si="138"/>
        <v>-2173.42</v>
      </c>
      <c r="O533" s="1652">
        <f t="shared" si="150"/>
        <v>1086.71</v>
      </c>
      <c r="P533" s="1653">
        <f t="shared" si="151"/>
        <v>-2173.7533333333336</v>
      </c>
      <c r="Q533" s="1653">
        <f t="shared" si="152"/>
        <v>-1087.0433333333335</v>
      </c>
      <c r="R533" s="1653">
        <f t="shared" si="153"/>
        <v>-1087.0433333333335</v>
      </c>
      <c r="S533" s="1653">
        <f t="shared" si="154"/>
        <v>-0.33333333333348492</v>
      </c>
      <c r="T533" s="1653">
        <f t="shared" si="139"/>
        <v>-0.33333333333348492</v>
      </c>
      <c r="U533" s="1653">
        <f t="shared" si="140"/>
        <v>1086.3766666666666</v>
      </c>
      <c r="V533" s="1653">
        <f t="shared" si="141"/>
        <v>-0.66666666666681818</v>
      </c>
      <c r="W533" s="1653">
        <f t="shared" si="142"/>
        <v>1086.0433333333333</v>
      </c>
      <c r="X533" s="1653">
        <f t="shared" si="143"/>
        <v>-1.0000000000001514</v>
      </c>
      <c r="Y533" s="1653">
        <f t="shared" si="144"/>
        <v>1085.7099999999998</v>
      </c>
    </row>
    <row r="534" spans="1:25" ht="15" hidden="1" outlineLevel="1">
      <c r="A534" s="1615">
        <v>526</v>
      </c>
      <c r="C534" s="1651" t="s">
        <v>3194</v>
      </c>
      <c r="D534" s="1651" t="s">
        <v>2465</v>
      </c>
      <c r="E534" s="1613">
        <v>15803.98</v>
      </c>
      <c r="F534" s="1613">
        <v>-5289.65</v>
      </c>
      <c r="G534" s="1613">
        <f t="shared" si="145"/>
        <v>10514.33</v>
      </c>
      <c r="H534" s="1578">
        <v>2014</v>
      </c>
      <c r="I534" s="1662">
        <f t="shared" si="146"/>
        <v>1.5</v>
      </c>
      <c r="J534" s="1663">
        <v>36</v>
      </c>
      <c r="K534" s="1664">
        <f t="shared" si="147"/>
        <v>0.33333333333333331</v>
      </c>
      <c r="L534" s="1613">
        <f t="shared" si="148"/>
        <v>5267.9933333333329</v>
      </c>
      <c r="M534" s="1613">
        <f t="shared" si="149"/>
        <v>15803.98</v>
      </c>
      <c r="N534" s="1613">
        <f t="shared" si="138"/>
        <v>-10535.986666666666</v>
      </c>
      <c r="O534" s="1652">
        <f t="shared" si="150"/>
        <v>5267.9933333333338</v>
      </c>
      <c r="P534" s="1653">
        <f t="shared" si="151"/>
        <v>-10536.32</v>
      </c>
      <c r="Q534" s="1653">
        <f t="shared" si="152"/>
        <v>-5268.3266666666668</v>
      </c>
      <c r="R534" s="1653">
        <f t="shared" si="153"/>
        <v>-5268.3266666666668</v>
      </c>
      <c r="S534" s="1653">
        <f t="shared" si="154"/>
        <v>-0.33333333333393966</v>
      </c>
      <c r="T534" s="1653">
        <f t="shared" si="139"/>
        <v>-0.33333333333393966</v>
      </c>
      <c r="U534" s="1653">
        <f t="shared" si="140"/>
        <v>5267.6599999999989</v>
      </c>
      <c r="V534" s="1653">
        <f t="shared" si="141"/>
        <v>-0.66666666666727292</v>
      </c>
      <c r="W534" s="1653">
        <f t="shared" si="142"/>
        <v>5267.3266666666659</v>
      </c>
      <c r="X534" s="1653">
        <f t="shared" si="143"/>
        <v>-1.0000000000006062</v>
      </c>
      <c r="Y534" s="1653">
        <f t="shared" si="144"/>
        <v>5266.993333333332</v>
      </c>
    </row>
    <row r="535" spans="1:25" ht="15" hidden="1" outlineLevel="1">
      <c r="A535" s="1615">
        <v>527</v>
      </c>
      <c r="C535" s="1651" t="s">
        <v>3195</v>
      </c>
      <c r="D535" s="1651" t="s">
        <v>2465</v>
      </c>
      <c r="E535" s="1613">
        <v>2034.63</v>
      </c>
      <c r="F535" s="1613">
        <v>-680.99</v>
      </c>
      <c r="G535" s="1613">
        <f t="shared" si="145"/>
        <v>1353.64</v>
      </c>
      <c r="H535" s="1578">
        <v>2014</v>
      </c>
      <c r="I535" s="1662">
        <f t="shared" si="146"/>
        <v>1.5</v>
      </c>
      <c r="J535" s="1663">
        <v>36</v>
      </c>
      <c r="K535" s="1664">
        <f t="shared" si="147"/>
        <v>0.33333333333333331</v>
      </c>
      <c r="L535" s="1613">
        <f t="shared" si="148"/>
        <v>678.21</v>
      </c>
      <c r="M535" s="1613">
        <f t="shared" si="149"/>
        <v>2034.63</v>
      </c>
      <c r="N535" s="1613">
        <f t="shared" si="138"/>
        <v>-1356.42</v>
      </c>
      <c r="O535" s="1652">
        <f t="shared" si="150"/>
        <v>678.21</v>
      </c>
      <c r="P535" s="1653">
        <f t="shared" si="151"/>
        <v>-1356.7533333333333</v>
      </c>
      <c r="Q535" s="1653">
        <f t="shared" si="152"/>
        <v>-678.54333333333329</v>
      </c>
      <c r="R535" s="1653">
        <f t="shared" si="153"/>
        <v>-678.54333333333329</v>
      </c>
      <c r="S535" s="1653">
        <f t="shared" si="154"/>
        <v>-0.33333333333325754</v>
      </c>
      <c r="T535" s="1653">
        <f t="shared" si="139"/>
        <v>-0.33333333333325754</v>
      </c>
      <c r="U535" s="1653">
        <f t="shared" si="140"/>
        <v>677.87666666666678</v>
      </c>
      <c r="V535" s="1653">
        <f t="shared" si="141"/>
        <v>-0.6666666666665908</v>
      </c>
      <c r="W535" s="1653">
        <f t="shared" si="142"/>
        <v>677.54333333333341</v>
      </c>
      <c r="X535" s="1653">
        <f t="shared" si="143"/>
        <v>-0.99999999999992406</v>
      </c>
      <c r="Y535" s="1653">
        <f t="shared" si="144"/>
        <v>677.21000000000015</v>
      </c>
    </row>
    <row r="536" spans="1:25" ht="15" hidden="1" outlineLevel="1">
      <c r="A536" s="1615">
        <v>528</v>
      </c>
      <c r="C536" s="1651" t="s">
        <v>3196</v>
      </c>
      <c r="D536" s="1651" t="s">
        <v>2465</v>
      </c>
      <c r="E536" s="1613">
        <v>3867.37</v>
      </c>
      <c r="F536" s="1613">
        <v>-1294.42</v>
      </c>
      <c r="G536" s="1613">
        <f t="shared" si="145"/>
        <v>2572.9499999999998</v>
      </c>
      <c r="H536" s="1578">
        <v>2014</v>
      </c>
      <c r="I536" s="1662">
        <f t="shared" si="146"/>
        <v>1.5</v>
      </c>
      <c r="J536" s="1663">
        <v>36</v>
      </c>
      <c r="K536" s="1664">
        <f t="shared" si="147"/>
        <v>0.33333333333333331</v>
      </c>
      <c r="L536" s="1613">
        <f t="shared" si="148"/>
        <v>1289.1233333333332</v>
      </c>
      <c r="M536" s="1613">
        <f t="shared" si="149"/>
        <v>3867.37</v>
      </c>
      <c r="N536" s="1613">
        <f t="shared" ref="N536:N599" si="155">-IF(I536+0.5&lt;(J536/12),M536*(I536+0.5)*K536,M536)</f>
        <v>-2578.2466666666664</v>
      </c>
      <c r="O536" s="1652">
        <f t="shared" si="150"/>
        <v>1289.1233333333334</v>
      </c>
      <c r="P536" s="1653">
        <f t="shared" si="151"/>
        <v>-2578.58</v>
      </c>
      <c r="Q536" s="1653">
        <f t="shared" si="152"/>
        <v>-1289.4566666666667</v>
      </c>
      <c r="R536" s="1653">
        <f t="shared" si="153"/>
        <v>-1289.4566666666667</v>
      </c>
      <c r="S536" s="1653">
        <f t="shared" si="154"/>
        <v>-0.33333333333348492</v>
      </c>
      <c r="T536" s="1653">
        <f t="shared" ref="T536:T599" si="156">IF(S536&gt;0,IF(S536&lt;$K536,-$L536,R536-$K536),S536)</f>
        <v>-0.33333333333348492</v>
      </c>
      <c r="U536" s="1653">
        <f t="shared" ref="U536:U599" si="157">IF(T536&lt;0,$L536+T536,S536)</f>
        <v>1288.7899999999997</v>
      </c>
      <c r="V536" s="1653">
        <f t="shared" ref="V536:V599" si="158">IF(U536&gt;0,IF(U536&lt;$K536,-$L536,T536-$K536),U536)</f>
        <v>-0.66666666666681818</v>
      </c>
      <c r="W536" s="1653">
        <f t="shared" ref="W536:W599" si="159">IF(V536&lt;0,$L536+V536,U536)</f>
        <v>1288.4566666666665</v>
      </c>
      <c r="X536" s="1653">
        <f t="shared" ref="X536:X599" si="160">IF(W536&gt;0,IF(W536&lt;$K536,-$L536,V536-$K536),W536)</f>
        <v>-1.0000000000001514</v>
      </c>
      <c r="Y536" s="1653">
        <f t="shared" ref="Y536:Y599" si="161">IF(X536&lt;0,$L536+X536,W536)</f>
        <v>1288.123333333333</v>
      </c>
    </row>
    <row r="537" spans="1:25" ht="15" hidden="1" outlineLevel="1">
      <c r="A537" s="1615">
        <v>529</v>
      </c>
      <c r="C537" s="1651" t="s">
        <v>3197</v>
      </c>
      <c r="D537" s="1651" t="s">
        <v>2465</v>
      </c>
      <c r="E537" s="1613">
        <v>52303.76</v>
      </c>
      <c r="F537" s="1613">
        <v>-17506.23</v>
      </c>
      <c r="G537" s="1613">
        <f t="shared" ref="G537:G600" si="162">E537+F537</f>
        <v>34797.53</v>
      </c>
      <c r="H537" s="1578">
        <v>2014</v>
      </c>
      <c r="I537" s="1662">
        <f t="shared" ref="I537:I600" si="163">IF(H537=2015,0.5,2015.5-H537)</f>
        <v>1.5</v>
      </c>
      <c r="J537" s="1663">
        <v>36</v>
      </c>
      <c r="K537" s="1664">
        <f t="shared" ref="K537:K600" si="164">1/J537*12</f>
        <v>0.33333333333333331</v>
      </c>
      <c r="L537" s="1613">
        <f t="shared" ref="L537:L600" si="165">IF(I537&lt;(J537/12),E537*K537,0)</f>
        <v>17434.586666666666</v>
      </c>
      <c r="M537" s="1613">
        <f t="shared" ref="M537:M600" si="166">E537</f>
        <v>52303.76</v>
      </c>
      <c r="N537" s="1613">
        <f t="shared" si="155"/>
        <v>-34869.173333333332</v>
      </c>
      <c r="O537" s="1652">
        <f t="shared" ref="O537:O600" si="167">M537+N537</f>
        <v>17434.58666666667</v>
      </c>
      <c r="P537" s="1653">
        <f t="shared" ref="P537:P600" si="168">IF(O537&gt;0,IF(O537&lt;$K537,-$L537,N537-$K537),O537)</f>
        <v>-34869.506666666668</v>
      </c>
      <c r="Q537" s="1653">
        <f t="shared" ref="Q537:Q600" si="169">IF(P537&lt;0,$L537+P537,O537)</f>
        <v>-17434.920000000002</v>
      </c>
      <c r="R537" s="1653">
        <f t="shared" ref="R537:R600" si="170">IF(Q537&gt;0,IF(Q537&lt;$K537,-$L537,P537-$K537),Q537)</f>
        <v>-17434.920000000002</v>
      </c>
      <c r="S537" s="1653">
        <f t="shared" ref="S537:S600" si="171">IF(R537&lt;0,$L537+R537,Q537)</f>
        <v>-0.33333333333575865</v>
      </c>
      <c r="T537" s="1653">
        <f t="shared" si="156"/>
        <v>-0.33333333333575865</v>
      </c>
      <c r="U537" s="1653">
        <f t="shared" si="157"/>
        <v>17434.25333333333</v>
      </c>
      <c r="V537" s="1653">
        <f t="shared" si="158"/>
        <v>-0.66666666666909191</v>
      </c>
      <c r="W537" s="1653">
        <f t="shared" si="159"/>
        <v>17433.919999999998</v>
      </c>
      <c r="X537" s="1653">
        <f t="shared" si="160"/>
        <v>-1.0000000000024252</v>
      </c>
      <c r="Y537" s="1653">
        <f t="shared" si="161"/>
        <v>17433.586666666662</v>
      </c>
    </row>
    <row r="538" spans="1:25" ht="15" hidden="1" outlineLevel="1">
      <c r="A538" s="1615">
        <v>530</v>
      </c>
      <c r="C538" s="1651" t="s">
        <v>3198</v>
      </c>
      <c r="D538" s="1651" t="s">
        <v>2465</v>
      </c>
      <c r="E538" s="1613">
        <v>23728.97</v>
      </c>
      <c r="F538" s="1613">
        <v>-7942.16</v>
      </c>
      <c r="G538" s="1613">
        <f t="shared" si="162"/>
        <v>15786.810000000001</v>
      </c>
      <c r="H538" s="1578">
        <v>2014</v>
      </c>
      <c r="I538" s="1662">
        <f t="shared" si="163"/>
        <v>1.5</v>
      </c>
      <c r="J538" s="1663">
        <v>36</v>
      </c>
      <c r="K538" s="1664">
        <f t="shared" si="164"/>
        <v>0.33333333333333331</v>
      </c>
      <c r="L538" s="1613">
        <f t="shared" si="165"/>
        <v>7909.6566666666668</v>
      </c>
      <c r="M538" s="1613">
        <f t="shared" si="166"/>
        <v>23728.97</v>
      </c>
      <c r="N538" s="1613">
        <f t="shared" si="155"/>
        <v>-15819.313333333334</v>
      </c>
      <c r="O538" s="1652">
        <f t="shared" si="167"/>
        <v>7909.6566666666677</v>
      </c>
      <c r="P538" s="1653">
        <f t="shared" si="168"/>
        <v>-15819.646666666667</v>
      </c>
      <c r="Q538" s="1653">
        <f t="shared" si="169"/>
        <v>-7909.9900000000007</v>
      </c>
      <c r="R538" s="1653">
        <f t="shared" si="170"/>
        <v>-7909.9900000000007</v>
      </c>
      <c r="S538" s="1653">
        <f t="shared" si="171"/>
        <v>-0.33333333333393966</v>
      </c>
      <c r="T538" s="1653">
        <f t="shared" si="156"/>
        <v>-0.33333333333393966</v>
      </c>
      <c r="U538" s="1653">
        <f t="shared" si="157"/>
        <v>7909.3233333333328</v>
      </c>
      <c r="V538" s="1653">
        <f t="shared" si="158"/>
        <v>-0.66666666666727292</v>
      </c>
      <c r="W538" s="1653">
        <f t="shared" si="159"/>
        <v>7908.99</v>
      </c>
      <c r="X538" s="1653">
        <f t="shared" si="160"/>
        <v>-1.0000000000006062</v>
      </c>
      <c r="Y538" s="1653">
        <f t="shared" si="161"/>
        <v>7908.6566666666658</v>
      </c>
    </row>
    <row r="539" spans="1:25" ht="15" hidden="1" outlineLevel="1">
      <c r="A539" s="1615">
        <v>531</v>
      </c>
      <c r="C539" s="1651" t="s">
        <v>3199</v>
      </c>
      <c r="D539" s="1651" t="s">
        <v>2465</v>
      </c>
      <c r="E539" s="1613">
        <v>225.06</v>
      </c>
      <c r="F539" s="1613">
        <v>-75.33</v>
      </c>
      <c r="G539" s="1613">
        <f t="shared" si="162"/>
        <v>149.73000000000002</v>
      </c>
      <c r="H539" s="1578">
        <v>2014</v>
      </c>
      <c r="I539" s="1662">
        <f t="shared" si="163"/>
        <v>1.5</v>
      </c>
      <c r="J539" s="1663">
        <v>36</v>
      </c>
      <c r="K539" s="1664">
        <f t="shared" si="164"/>
        <v>0.33333333333333331</v>
      </c>
      <c r="L539" s="1613">
        <f t="shared" si="165"/>
        <v>75.02</v>
      </c>
      <c r="M539" s="1613">
        <f t="shared" si="166"/>
        <v>225.06</v>
      </c>
      <c r="N539" s="1613">
        <f t="shared" si="155"/>
        <v>-150.04</v>
      </c>
      <c r="O539" s="1652">
        <f t="shared" si="167"/>
        <v>75.02000000000001</v>
      </c>
      <c r="P539" s="1653">
        <f t="shared" si="168"/>
        <v>-150.37333333333333</v>
      </c>
      <c r="Q539" s="1653">
        <f t="shared" si="169"/>
        <v>-75.353333333333339</v>
      </c>
      <c r="R539" s="1653">
        <f t="shared" si="170"/>
        <v>-75.353333333333339</v>
      </c>
      <c r="S539" s="1653">
        <f t="shared" si="171"/>
        <v>-0.33333333333334281</v>
      </c>
      <c r="T539" s="1653">
        <f t="shared" si="156"/>
        <v>-0.33333333333334281</v>
      </c>
      <c r="U539" s="1653">
        <f t="shared" si="157"/>
        <v>74.686666666666653</v>
      </c>
      <c r="V539" s="1653">
        <f t="shared" si="158"/>
        <v>-0.66666666666667607</v>
      </c>
      <c r="W539" s="1653">
        <f t="shared" si="159"/>
        <v>74.353333333333325</v>
      </c>
      <c r="X539" s="1653">
        <f t="shared" si="160"/>
        <v>-1.0000000000000093</v>
      </c>
      <c r="Y539" s="1653">
        <f t="shared" si="161"/>
        <v>74.019999999999982</v>
      </c>
    </row>
    <row r="540" spans="1:25" ht="15" hidden="1" outlineLevel="1">
      <c r="A540" s="1615">
        <v>532</v>
      </c>
      <c r="C540" s="1651" t="s">
        <v>3200</v>
      </c>
      <c r="D540" s="1651" t="s">
        <v>2465</v>
      </c>
      <c r="E540" s="1613">
        <v>126815.85</v>
      </c>
      <c r="F540" s="1613">
        <v>-38855.440000000002</v>
      </c>
      <c r="G540" s="1613">
        <f t="shared" si="162"/>
        <v>87960.41</v>
      </c>
      <c r="H540" s="1578">
        <v>2014</v>
      </c>
      <c r="I540" s="1662">
        <f t="shared" si="163"/>
        <v>1.5</v>
      </c>
      <c r="J540" s="1663">
        <v>36</v>
      </c>
      <c r="K540" s="1664">
        <f t="shared" si="164"/>
        <v>0.33333333333333331</v>
      </c>
      <c r="L540" s="1613">
        <f t="shared" si="165"/>
        <v>42271.95</v>
      </c>
      <c r="M540" s="1613">
        <f t="shared" si="166"/>
        <v>126815.85</v>
      </c>
      <c r="N540" s="1613">
        <f t="shared" si="155"/>
        <v>-84543.9</v>
      </c>
      <c r="O540" s="1652">
        <f t="shared" si="167"/>
        <v>42271.950000000012</v>
      </c>
      <c r="P540" s="1653">
        <f t="shared" si="168"/>
        <v>-84544.233333333323</v>
      </c>
      <c r="Q540" s="1653">
        <f t="shared" si="169"/>
        <v>-42272.283333333326</v>
      </c>
      <c r="R540" s="1653">
        <f t="shared" si="170"/>
        <v>-42272.283333333326</v>
      </c>
      <c r="S540" s="1653">
        <f t="shared" si="171"/>
        <v>-0.33333333332848269</v>
      </c>
      <c r="T540" s="1653">
        <f t="shared" si="156"/>
        <v>-0.33333333332848269</v>
      </c>
      <c r="U540" s="1653">
        <f t="shared" si="157"/>
        <v>42271.616666666669</v>
      </c>
      <c r="V540" s="1653">
        <f t="shared" si="158"/>
        <v>-0.66666666666181595</v>
      </c>
      <c r="W540" s="1653">
        <f t="shared" si="159"/>
        <v>42271.283333333333</v>
      </c>
      <c r="X540" s="1653">
        <f t="shared" si="160"/>
        <v>-0.99999999999514921</v>
      </c>
      <c r="Y540" s="1653">
        <f t="shared" si="161"/>
        <v>42270.950000000004</v>
      </c>
    </row>
    <row r="541" spans="1:25" ht="15" hidden="1" outlineLevel="1">
      <c r="A541" s="1615">
        <v>533</v>
      </c>
      <c r="C541" s="1651" t="s">
        <v>3201</v>
      </c>
      <c r="D541" s="1651" t="s">
        <v>2465</v>
      </c>
      <c r="E541" s="1613">
        <v>145170.23000000001</v>
      </c>
      <c r="F541" s="1613">
        <v>-44479.1</v>
      </c>
      <c r="G541" s="1613">
        <f t="shared" si="162"/>
        <v>100691.13</v>
      </c>
      <c r="H541" s="1578">
        <v>2014</v>
      </c>
      <c r="I541" s="1662">
        <f t="shared" si="163"/>
        <v>1.5</v>
      </c>
      <c r="J541" s="1663">
        <v>36</v>
      </c>
      <c r="K541" s="1664">
        <f t="shared" si="164"/>
        <v>0.33333333333333331</v>
      </c>
      <c r="L541" s="1613">
        <f t="shared" si="165"/>
        <v>48390.076666666668</v>
      </c>
      <c r="M541" s="1613">
        <f t="shared" si="166"/>
        <v>145170.23000000001</v>
      </c>
      <c r="N541" s="1613">
        <f t="shared" si="155"/>
        <v>-96780.153333333335</v>
      </c>
      <c r="O541" s="1652">
        <f t="shared" si="167"/>
        <v>48390.076666666675</v>
      </c>
      <c r="P541" s="1653">
        <f t="shared" si="168"/>
        <v>-96780.486666666664</v>
      </c>
      <c r="Q541" s="1653">
        <f t="shared" si="169"/>
        <v>-48390.409999999996</v>
      </c>
      <c r="R541" s="1653">
        <f t="shared" si="170"/>
        <v>-48390.409999999996</v>
      </c>
      <c r="S541" s="1653">
        <f t="shared" si="171"/>
        <v>-0.33333333332848269</v>
      </c>
      <c r="T541" s="1653">
        <f t="shared" si="156"/>
        <v>-0.33333333332848269</v>
      </c>
      <c r="U541" s="1653">
        <f t="shared" si="157"/>
        <v>48389.743333333339</v>
      </c>
      <c r="V541" s="1653">
        <f t="shared" si="158"/>
        <v>-0.66666666666181595</v>
      </c>
      <c r="W541" s="1653">
        <f t="shared" si="159"/>
        <v>48389.41</v>
      </c>
      <c r="X541" s="1653">
        <f t="shared" si="160"/>
        <v>-0.99999999999514921</v>
      </c>
      <c r="Y541" s="1653">
        <f t="shared" si="161"/>
        <v>48389.076666666675</v>
      </c>
    </row>
    <row r="542" spans="1:25" ht="15" hidden="1" outlineLevel="1">
      <c r="A542" s="1615">
        <v>534</v>
      </c>
      <c r="C542" s="1651" t="s">
        <v>3202</v>
      </c>
      <c r="D542" s="1651" t="s">
        <v>2465</v>
      </c>
      <c r="E542" s="1613">
        <v>568.19000000000005</v>
      </c>
      <c r="F542" s="1613">
        <v>-190.17</v>
      </c>
      <c r="G542" s="1613">
        <f t="shared" si="162"/>
        <v>378.0200000000001</v>
      </c>
      <c r="H542" s="1578">
        <v>2014</v>
      </c>
      <c r="I542" s="1662">
        <f t="shared" si="163"/>
        <v>1.5</v>
      </c>
      <c r="J542" s="1663">
        <v>36</v>
      </c>
      <c r="K542" s="1664">
        <f t="shared" si="164"/>
        <v>0.33333333333333331</v>
      </c>
      <c r="L542" s="1613">
        <f t="shared" si="165"/>
        <v>189.39666666666668</v>
      </c>
      <c r="M542" s="1613">
        <f t="shared" si="166"/>
        <v>568.19000000000005</v>
      </c>
      <c r="N542" s="1613">
        <f t="shared" si="155"/>
        <v>-378.79333333333335</v>
      </c>
      <c r="O542" s="1652">
        <f t="shared" si="167"/>
        <v>189.3966666666667</v>
      </c>
      <c r="P542" s="1653">
        <f t="shared" si="168"/>
        <v>-379.12666666666667</v>
      </c>
      <c r="Q542" s="1653">
        <f t="shared" si="169"/>
        <v>-189.73</v>
      </c>
      <c r="R542" s="1653">
        <f t="shared" si="170"/>
        <v>-189.73</v>
      </c>
      <c r="S542" s="1653">
        <f t="shared" si="171"/>
        <v>-0.33333333333331439</v>
      </c>
      <c r="T542" s="1653">
        <f t="shared" si="156"/>
        <v>-0.33333333333331439</v>
      </c>
      <c r="U542" s="1653">
        <f t="shared" si="157"/>
        <v>189.06333333333336</v>
      </c>
      <c r="V542" s="1653">
        <f t="shared" si="158"/>
        <v>-0.66666666666664764</v>
      </c>
      <c r="W542" s="1653">
        <f t="shared" si="159"/>
        <v>188.73000000000002</v>
      </c>
      <c r="X542" s="1653">
        <f t="shared" si="160"/>
        <v>-0.9999999999999809</v>
      </c>
      <c r="Y542" s="1653">
        <f t="shared" si="161"/>
        <v>188.3966666666667</v>
      </c>
    </row>
    <row r="543" spans="1:25" ht="15" hidden="1" outlineLevel="1">
      <c r="A543" s="1615">
        <v>535</v>
      </c>
      <c r="C543" s="1651" t="s">
        <v>3203</v>
      </c>
      <c r="D543" s="1651" t="s">
        <v>3074</v>
      </c>
      <c r="E543" s="1613">
        <v>764.16</v>
      </c>
      <c r="F543" s="1613">
        <v>-255.77</v>
      </c>
      <c r="G543" s="1613">
        <f t="shared" si="162"/>
        <v>508.39</v>
      </c>
      <c r="H543" s="1578">
        <v>2014</v>
      </c>
      <c r="I543" s="1662">
        <f t="shared" si="163"/>
        <v>1.5</v>
      </c>
      <c r="J543" s="1663">
        <v>36</v>
      </c>
      <c r="K543" s="1664">
        <f t="shared" si="164"/>
        <v>0.33333333333333331</v>
      </c>
      <c r="L543" s="1613">
        <f t="shared" si="165"/>
        <v>254.71999999999997</v>
      </c>
      <c r="M543" s="1613">
        <f t="shared" si="166"/>
        <v>764.16</v>
      </c>
      <c r="N543" s="1613">
        <f t="shared" si="155"/>
        <v>-509.43999999999994</v>
      </c>
      <c r="O543" s="1652">
        <f t="shared" si="167"/>
        <v>254.72000000000003</v>
      </c>
      <c r="P543" s="1653">
        <f t="shared" si="168"/>
        <v>-509.77333333333326</v>
      </c>
      <c r="Q543" s="1653">
        <f t="shared" si="169"/>
        <v>-255.05333333333328</v>
      </c>
      <c r="R543" s="1653">
        <f t="shared" si="170"/>
        <v>-255.05333333333328</v>
      </c>
      <c r="S543" s="1653">
        <f t="shared" si="171"/>
        <v>-0.33333333333331439</v>
      </c>
      <c r="T543" s="1653">
        <f t="shared" si="156"/>
        <v>-0.33333333333331439</v>
      </c>
      <c r="U543" s="1653">
        <f t="shared" si="157"/>
        <v>254.38666666666666</v>
      </c>
      <c r="V543" s="1653">
        <f t="shared" si="158"/>
        <v>-0.66666666666664764</v>
      </c>
      <c r="W543" s="1653">
        <f t="shared" si="159"/>
        <v>254.05333333333331</v>
      </c>
      <c r="X543" s="1653">
        <f t="shared" si="160"/>
        <v>-0.9999999999999809</v>
      </c>
      <c r="Y543" s="1653">
        <f t="shared" si="161"/>
        <v>253.72</v>
      </c>
    </row>
    <row r="544" spans="1:25" ht="15" hidden="1" outlineLevel="1">
      <c r="A544" s="1615">
        <v>536</v>
      </c>
      <c r="C544" s="1651" t="s">
        <v>3204</v>
      </c>
      <c r="D544" s="1651" t="s">
        <v>2465</v>
      </c>
      <c r="E544" s="1613">
        <v>3317.82</v>
      </c>
      <c r="F544" s="1613">
        <v>-1016.56</v>
      </c>
      <c r="G544" s="1613">
        <f t="shared" si="162"/>
        <v>2301.2600000000002</v>
      </c>
      <c r="H544" s="1578">
        <v>2014</v>
      </c>
      <c r="I544" s="1662">
        <f t="shared" si="163"/>
        <v>1.5</v>
      </c>
      <c r="J544" s="1663">
        <v>36</v>
      </c>
      <c r="K544" s="1664">
        <f t="shared" si="164"/>
        <v>0.33333333333333331</v>
      </c>
      <c r="L544" s="1613">
        <f t="shared" si="165"/>
        <v>1105.94</v>
      </c>
      <c r="M544" s="1613">
        <f t="shared" si="166"/>
        <v>3317.82</v>
      </c>
      <c r="N544" s="1613">
        <f t="shared" si="155"/>
        <v>-2211.88</v>
      </c>
      <c r="O544" s="1652">
        <f t="shared" si="167"/>
        <v>1105.94</v>
      </c>
      <c r="P544" s="1653">
        <f t="shared" si="168"/>
        <v>-2212.2133333333336</v>
      </c>
      <c r="Q544" s="1653">
        <f t="shared" si="169"/>
        <v>-1106.2733333333335</v>
      </c>
      <c r="R544" s="1653">
        <f t="shared" si="170"/>
        <v>-1106.2733333333335</v>
      </c>
      <c r="S544" s="1653">
        <f t="shared" si="171"/>
        <v>-0.33333333333348492</v>
      </c>
      <c r="T544" s="1653">
        <f t="shared" si="156"/>
        <v>-0.33333333333348492</v>
      </c>
      <c r="U544" s="1653">
        <f t="shared" si="157"/>
        <v>1105.6066666666666</v>
      </c>
      <c r="V544" s="1653">
        <f t="shared" si="158"/>
        <v>-0.66666666666681818</v>
      </c>
      <c r="W544" s="1653">
        <f t="shared" si="159"/>
        <v>1105.2733333333333</v>
      </c>
      <c r="X544" s="1653">
        <f t="shared" si="160"/>
        <v>-1.0000000000001514</v>
      </c>
      <c r="Y544" s="1653">
        <f t="shared" si="161"/>
        <v>1104.9399999999998</v>
      </c>
    </row>
    <row r="545" spans="1:25" ht="15" hidden="1" outlineLevel="1">
      <c r="A545" s="1615">
        <v>537</v>
      </c>
      <c r="C545" s="1651" t="s">
        <v>3205</v>
      </c>
      <c r="D545" s="1651" t="s">
        <v>2465</v>
      </c>
      <c r="E545" s="1613">
        <v>3926.96</v>
      </c>
      <c r="F545" s="1613">
        <v>-1203.19</v>
      </c>
      <c r="G545" s="1613">
        <f t="shared" si="162"/>
        <v>2723.77</v>
      </c>
      <c r="H545" s="1578">
        <v>2014</v>
      </c>
      <c r="I545" s="1662">
        <f t="shared" si="163"/>
        <v>1.5</v>
      </c>
      <c r="J545" s="1663">
        <v>36</v>
      </c>
      <c r="K545" s="1664">
        <f t="shared" si="164"/>
        <v>0.33333333333333331</v>
      </c>
      <c r="L545" s="1613">
        <f t="shared" si="165"/>
        <v>1308.9866666666667</v>
      </c>
      <c r="M545" s="1613">
        <f t="shared" si="166"/>
        <v>3926.96</v>
      </c>
      <c r="N545" s="1613">
        <f t="shared" si="155"/>
        <v>-2617.9733333333334</v>
      </c>
      <c r="O545" s="1652">
        <f t="shared" si="167"/>
        <v>1308.9866666666667</v>
      </c>
      <c r="P545" s="1653">
        <f t="shared" si="168"/>
        <v>-2618.3066666666668</v>
      </c>
      <c r="Q545" s="1653">
        <f t="shared" si="169"/>
        <v>-1309.3200000000002</v>
      </c>
      <c r="R545" s="1653">
        <f t="shared" si="170"/>
        <v>-1309.3200000000002</v>
      </c>
      <c r="S545" s="1653">
        <f t="shared" si="171"/>
        <v>-0.33333333333348492</v>
      </c>
      <c r="T545" s="1653">
        <f t="shared" si="156"/>
        <v>-0.33333333333348492</v>
      </c>
      <c r="U545" s="1653">
        <f t="shared" si="157"/>
        <v>1308.6533333333332</v>
      </c>
      <c r="V545" s="1653">
        <f t="shared" si="158"/>
        <v>-0.66666666666681818</v>
      </c>
      <c r="W545" s="1653">
        <f t="shared" si="159"/>
        <v>1308.32</v>
      </c>
      <c r="X545" s="1653">
        <f t="shared" si="160"/>
        <v>-1.0000000000001514</v>
      </c>
      <c r="Y545" s="1653">
        <f t="shared" si="161"/>
        <v>1307.9866666666665</v>
      </c>
    </row>
    <row r="546" spans="1:25" ht="15" hidden="1" outlineLevel="1">
      <c r="A546" s="1615">
        <v>538</v>
      </c>
      <c r="C546" s="1651" t="s">
        <v>3206</v>
      </c>
      <c r="D546" s="1651" t="s">
        <v>2465</v>
      </c>
      <c r="E546" s="1613">
        <v>10026.59</v>
      </c>
      <c r="F546" s="1613">
        <v>-3072.07</v>
      </c>
      <c r="G546" s="1613">
        <f t="shared" si="162"/>
        <v>6954.52</v>
      </c>
      <c r="H546" s="1578">
        <v>2014</v>
      </c>
      <c r="I546" s="1662">
        <f t="shared" si="163"/>
        <v>1.5</v>
      </c>
      <c r="J546" s="1663">
        <v>36</v>
      </c>
      <c r="K546" s="1664">
        <f t="shared" si="164"/>
        <v>0.33333333333333331</v>
      </c>
      <c r="L546" s="1613">
        <f t="shared" si="165"/>
        <v>3342.1966666666667</v>
      </c>
      <c r="M546" s="1613">
        <f t="shared" si="166"/>
        <v>10026.59</v>
      </c>
      <c r="N546" s="1613">
        <f t="shared" si="155"/>
        <v>-6684.3933333333334</v>
      </c>
      <c r="O546" s="1652">
        <f t="shared" si="167"/>
        <v>3342.1966666666667</v>
      </c>
      <c r="P546" s="1653">
        <f t="shared" si="168"/>
        <v>-6684.7266666666665</v>
      </c>
      <c r="Q546" s="1653">
        <f t="shared" si="169"/>
        <v>-3342.5299999999997</v>
      </c>
      <c r="R546" s="1653">
        <f t="shared" si="170"/>
        <v>-3342.5299999999997</v>
      </c>
      <c r="S546" s="1653">
        <f t="shared" si="171"/>
        <v>-0.33333333333303017</v>
      </c>
      <c r="T546" s="1653">
        <f t="shared" si="156"/>
        <v>-0.33333333333303017</v>
      </c>
      <c r="U546" s="1653">
        <f t="shared" si="157"/>
        <v>3341.8633333333337</v>
      </c>
      <c r="V546" s="1653">
        <f t="shared" si="158"/>
        <v>-0.66666666666636343</v>
      </c>
      <c r="W546" s="1653">
        <f t="shared" si="159"/>
        <v>3341.53</v>
      </c>
      <c r="X546" s="1653">
        <f t="shared" si="160"/>
        <v>-0.99999999999969669</v>
      </c>
      <c r="Y546" s="1653">
        <f t="shared" si="161"/>
        <v>3341.1966666666672</v>
      </c>
    </row>
    <row r="547" spans="1:25" ht="15" hidden="1" outlineLevel="1">
      <c r="A547" s="1615">
        <v>539</v>
      </c>
      <c r="C547" s="1651" t="s">
        <v>3207</v>
      </c>
      <c r="D547" s="1651" t="s">
        <v>2465</v>
      </c>
      <c r="E547" s="1613">
        <v>3578.04</v>
      </c>
      <c r="F547" s="1613">
        <v>-1096.29</v>
      </c>
      <c r="G547" s="1613">
        <f t="shared" si="162"/>
        <v>2481.75</v>
      </c>
      <c r="H547" s="1578">
        <v>2014</v>
      </c>
      <c r="I547" s="1662">
        <f t="shared" si="163"/>
        <v>1.5</v>
      </c>
      <c r="J547" s="1663">
        <v>36</v>
      </c>
      <c r="K547" s="1664">
        <f t="shared" si="164"/>
        <v>0.33333333333333331</v>
      </c>
      <c r="L547" s="1613">
        <f t="shared" si="165"/>
        <v>1192.6799999999998</v>
      </c>
      <c r="M547" s="1613">
        <f t="shared" si="166"/>
        <v>3578.04</v>
      </c>
      <c r="N547" s="1613">
        <f t="shared" si="155"/>
        <v>-2385.3599999999997</v>
      </c>
      <c r="O547" s="1652">
        <f t="shared" si="167"/>
        <v>1192.6800000000003</v>
      </c>
      <c r="P547" s="1653">
        <f t="shared" si="168"/>
        <v>-2385.6933333333332</v>
      </c>
      <c r="Q547" s="1653">
        <f t="shared" si="169"/>
        <v>-1193.0133333333333</v>
      </c>
      <c r="R547" s="1653">
        <f t="shared" si="170"/>
        <v>-1193.0133333333333</v>
      </c>
      <c r="S547" s="1653">
        <f t="shared" si="171"/>
        <v>-0.33333333333348492</v>
      </c>
      <c r="T547" s="1653">
        <f t="shared" si="156"/>
        <v>-0.33333333333348492</v>
      </c>
      <c r="U547" s="1653">
        <f t="shared" si="157"/>
        <v>1192.3466666666664</v>
      </c>
      <c r="V547" s="1653">
        <f t="shared" si="158"/>
        <v>-0.66666666666681818</v>
      </c>
      <c r="W547" s="1653">
        <f t="shared" si="159"/>
        <v>1192.0133333333331</v>
      </c>
      <c r="X547" s="1653">
        <f t="shared" si="160"/>
        <v>-1.0000000000001514</v>
      </c>
      <c r="Y547" s="1653">
        <f t="shared" si="161"/>
        <v>1191.6799999999996</v>
      </c>
    </row>
    <row r="548" spans="1:25" ht="15" hidden="1" outlineLevel="1">
      <c r="A548" s="1615">
        <v>540</v>
      </c>
      <c r="C548" s="1651" t="s">
        <v>3208</v>
      </c>
      <c r="D548" s="1651" t="s">
        <v>2465</v>
      </c>
      <c r="E548" s="1613">
        <v>431.83</v>
      </c>
      <c r="F548" s="1613">
        <v>-132.31</v>
      </c>
      <c r="G548" s="1613">
        <f t="shared" si="162"/>
        <v>299.52</v>
      </c>
      <c r="H548" s="1578">
        <v>2014</v>
      </c>
      <c r="I548" s="1662">
        <f t="shared" si="163"/>
        <v>1.5</v>
      </c>
      <c r="J548" s="1663">
        <v>36</v>
      </c>
      <c r="K548" s="1664">
        <f t="shared" si="164"/>
        <v>0.33333333333333331</v>
      </c>
      <c r="L548" s="1613">
        <f t="shared" si="165"/>
        <v>143.94333333333333</v>
      </c>
      <c r="M548" s="1613">
        <f t="shared" si="166"/>
        <v>431.83</v>
      </c>
      <c r="N548" s="1613">
        <f t="shared" si="155"/>
        <v>-287.88666666666666</v>
      </c>
      <c r="O548" s="1652">
        <f t="shared" si="167"/>
        <v>143.94333333333333</v>
      </c>
      <c r="P548" s="1653">
        <f t="shared" si="168"/>
        <v>-288.21999999999997</v>
      </c>
      <c r="Q548" s="1653">
        <f t="shared" si="169"/>
        <v>-144.27666666666664</v>
      </c>
      <c r="R548" s="1653">
        <f t="shared" si="170"/>
        <v>-144.27666666666664</v>
      </c>
      <c r="S548" s="1653">
        <f t="shared" si="171"/>
        <v>-0.33333333333331439</v>
      </c>
      <c r="T548" s="1653">
        <f t="shared" si="156"/>
        <v>-0.33333333333331439</v>
      </c>
      <c r="U548" s="1653">
        <f t="shared" si="157"/>
        <v>143.61000000000001</v>
      </c>
      <c r="V548" s="1653">
        <f t="shared" si="158"/>
        <v>-0.66666666666664764</v>
      </c>
      <c r="W548" s="1653">
        <f t="shared" si="159"/>
        <v>143.27666666666667</v>
      </c>
      <c r="X548" s="1653">
        <f t="shared" si="160"/>
        <v>-0.9999999999999809</v>
      </c>
      <c r="Y548" s="1653">
        <f t="shared" si="161"/>
        <v>142.94333333333336</v>
      </c>
    </row>
    <row r="549" spans="1:25" ht="15" hidden="1" outlineLevel="1">
      <c r="A549" s="1615">
        <v>541</v>
      </c>
      <c r="C549" s="1651" t="s">
        <v>3209</v>
      </c>
      <c r="D549" s="1651" t="s">
        <v>2465</v>
      </c>
      <c r="E549" s="1613">
        <v>9659.6200000000008</v>
      </c>
      <c r="F549" s="1613">
        <v>-2959.64</v>
      </c>
      <c r="G549" s="1613">
        <f t="shared" si="162"/>
        <v>6699.9800000000014</v>
      </c>
      <c r="H549" s="1578">
        <v>2014</v>
      </c>
      <c r="I549" s="1662">
        <f t="shared" si="163"/>
        <v>1.5</v>
      </c>
      <c r="J549" s="1663">
        <v>36</v>
      </c>
      <c r="K549" s="1664">
        <f t="shared" si="164"/>
        <v>0.33333333333333331</v>
      </c>
      <c r="L549" s="1613">
        <f t="shared" si="165"/>
        <v>3219.8733333333334</v>
      </c>
      <c r="M549" s="1613">
        <f t="shared" si="166"/>
        <v>9659.6200000000008</v>
      </c>
      <c r="N549" s="1613">
        <f t="shared" si="155"/>
        <v>-6439.7466666666669</v>
      </c>
      <c r="O549" s="1652">
        <f t="shared" si="167"/>
        <v>3219.8733333333339</v>
      </c>
      <c r="P549" s="1653">
        <f t="shared" si="168"/>
        <v>-6440.08</v>
      </c>
      <c r="Q549" s="1653">
        <f t="shared" si="169"/>
        <v>-3220.2066666666665</v>
      </c>
      <c r="R549" s="1653">
        <f t="shared" si="170"/>
        <v>-3220.2066666666665</v>
      </c>
      <c r="S549" s="1653">
        <f t="shared" si="171"/>
        <v>-0.33333333333303017</v>
      </c>
      <c r="T549" s="1653">
        <f t="shared" si="156"/>
        <v>-0.33333333333303017</v>
      </c>
      <c r="U549" s="1653">
        <f t="shared" si="157"/>
        <v>3219.5400000000004</v>
      </c>
      <c r="V549" s="1653">
        <f t="shared" si="158"/>
        <v>-0.66666666666636343</v>
      </c>
      <c r="W549" s="1653">
        <f t="shared" si="159"/>
        <v>3219.2066666666669</v>
      </c>
      <c r="X549" s="1653">
        <f t="shared" si="160"/>
        <v>-0.99999999999969669</v>
      </c>
      <c r="Y549" s="1653">
        <f t="shared" si="161"/>
        <v>3218.8733333333339</v>
      </c>
    </row>
    <row r="550" spans="1:25" ht="15" hidden="1" outlineLevel="1">
      <c r="A550" s="1615">
        <v>542</v>
      </c>
      <c r="C550" s="1651" t="s">
        <v>3210</v>
      </c>
      <c r="D550" s="1651" t="s">
        <v>2465</v>
      </c>
      <c r="E550" s="1613">
        <v>3984</v>
      </c>
      <c r="F550" s="1613">
        <v>-1220.67</v>
      </c>
      <c r="G550" s="1613">
        <f t="shared" si="162"/>
        <v>2763.33</v>
      </c>
      <c r="H550" s="1578">
        <v>2014</v>
      </c>
      <c r="I550" s="1662">
        <f t="shared" si="163"/>
        <v>1.5</v>
      </c>
      <c r="J550" s="1663">
        <v>36</v>
      </c>
      <c r="K550" s="1664">
        <f t="shared" si="164"/>
        <v>0.33333333333333331</v>
      </c>
      <c r="L550" s="1613">
        <f t="shared" si="165"/>
        <v>1328</v>
      </c>
      <c r="M550" s="1613">
        <f t="shared" si="166"/>
        <v>3984</v>
      </c>
      <c r="N550" s="1613">
        <f t="shared" si="155"/>
        <v>-2656</v>
      </c>
      <c r="O550" s="1652">
        <f t="shared" si="167"/>
        <v>1328</v>
      </c>
      <c r="P550" s="1653">
        <f t="shared" si="168"/>
        <v>-2656.3333333333335</v>
      </c>
      <c r="Q550" s="1653">
        <f t="shared" si="169"/>
        <v>-1328.3333333333335</v>
      </c>
      <c r="R550" s="1653">
        <f t="shared" si="170"/>
        <v>-1328.3333333333335</v>
      </c>
      <c r="S550" s="1653">
        <f t="shared" si="171"/>
        <v>-0.33333333333348492</v>
      </c>
      <c r="T550" s="1653">
        <f t="shared" si="156"/>
        <v>-0.33333333333348492</v>
      </c>
      <c r="U550" s="1653">
        <f t="shared" si="157"/>
        <v>1327.6666666666665</v>
      </c>
      <c r="V550" s="1653">
        <f t="shared" si="158"/>
        <v>-0.66666666666681818</v>
      </c>
      <c r="W550" s="1653">
        <f t="shared" si="159"/>
        <v>1327.3333333333333</v>
      </c>
      <c r="X550" s="1653">
        <f t="shared" si="160"/>
        <v>-1.0000000000001514</v>
      </c>
      <c r="Y550" s="1653">
        <f t="shared" si="161"/>
        <v>1326.9999999999998</v>
      </c>
    </row>
    <row r="551" spans="1:25" ht="15" hidden="1" outlineLevel="1">
      <c r="A551" s="1615">
        <v>543</v>
      </c>
      <c r="C551" s="1651" t="s">
        <v>3211</v>
      </c>
      <c r="D551" s="1651" t="s">
        <v>2465</v>
      </c>
      <c r="E551" s="1613">
        <v>0.32</v>
      </c>
      <c r="F551" s="1613">
        <v>-0.09</v>
      </c>
      <c r="G551" s="1613">
        <f t="shared" si="162"/>
        <v>0.23</v>
      </c>
      <c r="H551" s="1578">
        <v>2014</v>
      </c>
      <c r="I551" s="1662">
        <f t="shared" si="163"/>
        <v>1.5</v>
      </c>
      <c r="J551" s="1663">
        <v>36</v>
      </c>
      <c r="K551" s="1664">
        <f t="shared" si="164"/>
        <v>0.33333333333333331</v>
      </c>
      <c r="L551" s="1613">
        <f t="shared" si="165"/>
        <v>0.10666666666666666</v>
      </c>
      <c r="M551" s="1613">
        <f t="shared" si="166"/>
        <v>0.32</v>
      </c>
      <c r="N551" s="1613">
        <f t="shared" si="155"/>
        <v>-0.21333333333333332</v>
      </c>
      <c r="O551" s="1652">
        <f t="shared" si="167"/>
        <v>0.10666666666666669</v>
      </c>
      <c r="P551" s="1653">
        <f t="shared" si="168"/>
        <v>-0.10666666666666666</v>
      </c>
      <c r="Q551" s="1653">
        <f t="shared" si="169"/>
        <v>0</v>
      </c>
      <c r="R551" s="1653">
        <f t="shared" si="170"/>
        <v>0</v>
      </c>
      <c r="S551" s="1653">
        <f t="shared" si="171"/>
        <v>0</v>
      </c>
      <c r="T551" s="1653">
        <f t="shared" si="156"/>
        <v>0</v>
      </c>
      <c r="U551" s="1653">
        <f t="shared" si="157"/>
        <v>0</v>
      </c>
      <c r="V551" s="1653">
        <f t="shared" si="158"/>
        <v>0</v>
      </c>
      <c r="W551" s="1653">
        <f t="shared" si="159"/>
        <v>0</v>
      </c>
      <c r="X551" s="1653">
        <f t="shared" si="160"/>
        <v>0</v>
      </c>
      <c r="Y551" s="1653">
        <f t="shared" si="161"/>
        <v>0</v>
      </c>
    </row>
    <row r="552" spans="1:25" ht="15" hidden="1" outlineLevel="1">
      <c r="A552" s="1615">
        <v>544</v>
      </c>
      <c r="C552" s="1651" t="s">
        <v>3212</v>
      </c>
      <c r="D552" s="1651" t="s">
        <v>2465</v>
      </c>
      <c r="E552" s="1613">
        <v>21044.27</v>
      </c>
      <c r="F552" s="1613">
        <v>-6447.81</v>
      </c>
      <c r="G552" s="1613">
        <f t="shared" si="162"/>
        <v>14596.46</v>
      </c>
      <c r="H552" s="1578">
        <v>2014</v>
      </c>
      <c r="I552" s="1662">
        <f t="shared" si="163"/>
        <v>1.5</v>
      </c>
      <c r="J552" s="1663">
        <v>36</v>
      </c>
      <c r="K552" s="1664">
        <f t="shared" si="164"/>
        <v>0.33333333333333331</v>
      </c>
      <c r="L552" s="1613">
        <f t="shared" si="165"/>
        <v>7014.7566666666662</v>
      </c>
      <c r="M552" s="1613">
        <f t="shared" si="166"/>
        <v>21044.27</v>
      </c>
      <c r="N552" s="1613">
        <f t="shared" si="155"/>
        <v>-14029.513333333332</v>
      </c>
      <c r="O552" s="1652">
        <f t="shared" si="167"/>
        <v>7014.756666666668</v>
      </c>
      <c r="P552" s="1653">
        <f t="shared" si="168"/>
        <v>-14029.846666666666</v>
      </c>
      <c r="Q552" s="1653">
        <f t="shared" si="169"/>
        <v>-7015.09</v>
      </c>
      <c r="R552" s="1653">
        <f t="shared" si="170"/>
        <v>-7015.09</v>
      </c>
      <c r="S552" s="1653">
        <f t="shared" si="171"/>
        <v>-0.33333333333393966</v>
      </c>
      <c r="T552" s="1653">
        <f t="shared" si="156"/>
        <v>-0.33333333333393966</v>
      </c>
      <c r="U552" s="1653">
        <f t="shared" si="157"/>
        <v>7014.4233333333323</v>
      </c>
      <c r="V552" s="1653">
        <f t="shared" si="158"/>
        <v>-0.66666666666727292</v>
      </c>
      <c r="W552" s="1653">
        <f t="shared" si="159"/>
        <v>7014.0899999999992</v>
      </c>
      <c r="X552" s="1653">
        <f t="shared" si="160"/>
        <v>-1.0000000000006062</v>
      </c>
      <c r="Y552" s="1653">
        <f t="shared" si="161"/>
        <v>7013.7566666666653</v>
      </c>
    </row>
    <row r="553" spans="1:25" ht="15" hidden="1" outlineLevel="1">
      <c r="A553" s="1615">
        <v>545</v>
      </c>
      <c r="C553" s="1651" t="s">
        <v>3213</v>
      </c>
      <c r="D553" s="1651" t="s">
        <v>2465</v>
      </c>
      <c r="E553" s="1613">
        <v>20551.740000000002</v>
      </c>
      <c r="F553" s="1613">
        <v>-6296.9</v>
      </c>
      <c r="G553" s="1613">
        <f t="shared" si="162"/>
        <v>14254.840000000002</v>
      </c>
      <c r="H553" s="1578">
        <v>2014</v>
      </c>
      <c r="I553" s="1662">
        <f t="shared" si="163"/>
        <v>1.5</v>
      </c>
      <c r="J553" s="1663">
        <v>36</v>
      </c>
      <c r="K553" s="1664">
        <f t="shared" si="164"/>
        <v>0.33333333333333331</v>
      </c>
      <c r="L553" s="1613">
        <f t="shared" si="165"/>
        <v>6850.58</v>
      </c>
      <c r="M553" s="1613">
        <f t="shared" si="166"/>
        <v>20551.740000000002</v>
      </c>
      <c r="N553" s="1613">
        <f t="shared" si="155"/>
        <v>-13701.16</v>
      </c>
      <c r="O553" s="1652">
        <f t="shared" si="167"/>
        <v>6850.5800000000017</v>
      </c>
      <c r="P553" s="1653">
        <f t="shared" si="168"/>
        <v>-13701.493333333334</v>
      </c>
      <c r="Q553" s="1653">
        <f t="shared" si="169"/>
        <v>-6850.9133333333339</v>
      </c>
      <c r="R553" s="1653">
        <f t="shared" si="170"/>
        <v>-6850.9133333333339</v>
      </c>
      <c r="S553" s="1653">
        <f t="shared" si="171"/>
        <v>-0.33333333333393966</v>
      </c>
      <c r="T553" s="1653">
        <f t="shared" si="156"/>
        <v>-0.33333333333393966</v>
      </c>
      <c r="U553" s="1653">
        <f t="shared" si="157"/>
        <v>6850.246666666666</v>
      </c>
      <c r="V553" s="1653">
        <f t="shared" si="158"/>
        <v>-0.66666666666727292</v>
      </c>
      <c r="W553" s="1653">
        <f t="shared" si="159"/>
        <v>6849.913333333333</v>
      </c>
      <c r="X553" s="1653">
        <f t="shared" si="160"/>
        <v>-1.0000000000006062</v>
      </c>
      <c r="Y553" s="1653">
        <f t="shared" si="161"/>
        <v>6849.579999999999</v>
      </c>
    </row>
    <row r="554" spans="1:25" ht="15" hidden="1" outlineLevel="1">
      <c r="A554" s="1615">
        <v>546</v>
      </c>
      <c r="C554" s="1651" t="s">
        <v>3214</v>
      </c>
      <c r="D554" s="1651" t="s">
        <v>2465</v>
      </c>
      <c r="E554" s="1613">
        <v>6698.98</v>
      </c>
      <c r="F554" s="1613">
        <v>-2052.5300000000002</v>
      </c>
      <c r="G554" s="1613">
        <f t="shared" si="162"/>
        <v>4646.4499999999989</v>
      </c>
      <c r="H554" s="1578">
        <v>2014</v>
      </c>
      <c r="I554" s="1662">
        <f t="shared" si="163"/>
        <v>1.5</v>
      </c>
      <c r="J554" s="1663">
        <v>36</v>
      </c>
      <c r="K554" s="1664">
        <f t="shared" si="164"/>
        <v>0.33333333333333331</v>
      </c>
      <c r="L554" s="1613">
        <f t="shared" si="165"/>
        <v>2232.9933333333329</v>
      </c>
      <c r="M554" s="1613">
        <f t="shared" si="166"/>
        <v>6698.98</v>
      </c>
      <c r="N554" s="1613">
        <f t="shared" si="155"/>
        <v>-4465.9866666666658</v>
      </c>
      <c r="O554" s="1652">
        <f t="shared" si="167"/>
        <v>2232.9933333333338</v>
      </c>
      <c r="P554" s="1653">
        <f t="shared" si="168"/>
        <v>-4466.3199999999988</v>
      </c>
      <c r="Q554" s="1653">
        <f t="shared" si="169"/>
        <v>-2233.3266666666659</v>
      </c>
      <c r="R554" s="1653">
        <f t="shared" si="170"/>
        <v>-2233.3266666666659</v>
      </c>
      <c r="S554" s="1653">
        <f t="shared" si="171"/>
        <v>-0.33333333333303017</v>
      </c>
      <c r="T554" s="1653">
        <f t="shared" si="156"/>
        <v>-0.33333333333303017</v>
      </c>
      <c r="U554" s="1653">
        <f t="shared" si="157"/>
        <v>2232.66</v>
      </c>
      <c r="V554" s="1653">
        <f t="shared" si="158"/>
        <v>-0.66666666666636343</v>
      </c>
      <c r="W554" s="1653">
        <f t="shared" si="159"/>
        <v>2232.3266666666664</v>
      </c>
      <c r="X554" s="1653">
        <f t="shared" si="160"/>
        <v>-0.99999999999969669</v>
      </c>
      <c r="Y554" s="1653">
        <f t="shared" si="161"/>
        <v>2231.9933333333333</v>
      </c>
    </row>
    <row r="555" spans="1:25" ht="15" hidden="1" outlineLevel="1">
      <c r="A555" s="1615">
        <v>547</v>
      </c>
      <c r="C555" s="1651" t="s">
        <v>3215</v>
      </c>
      <c r="D555" s="1651" t="s">
        <v>2465</v>
      </c>
      <c r="E555" s="1613">
        <v>331.64</v>
      </c>
      <c r="F555" s="1613">
        <v>-101.61</v>
      </c>
      <c r="G555" s="1613">
        <f t="shared" si="162"/>
        <v>230.02999999999997</v>
      </c>
      <c r="H555" s="1578">
        <v>2014</v>
      </c>
      <c r="I555" s="1662">
        <f t="shared" si="163"/>
        <v>1.5</v>
      </c>
      <c r="J555" s="1663">
        <v>36</v>
      </c>
      <c r="K555" s="1664">
        <f t="shared" si="164"/>
        <v>0.33333333333333331</v>
      </c>
      <c r="L555" s="1613">
        <f t="shared" si="165"/>
        <v>110.54666666666665</v>
      </c>
      <c r="M555" s="1613">
        <f t="shared" si="166"/>
        <v>331.64</v>
      </c>
      <c r="N555" s="1613">
        <f t="shared" si="155"/>
        <v>-221.09333333333331</v>
      </c>
      <c r="O555" s="1652">
        <f t="shared" si="167"/>
        <v>110.54666666666668</v>
      </c>
      <c r="P555" s="1653">
        <f t="shared" si="168"/>
        <v>-221.42666666666665</v>
      </c>
      <c r="Q555" s="1653">
        <f t="shared" si="169"/>
        <v>-110.88</v>
      </c>
      <c r="R555" s="1653">
        <f t="shared" si="170"/>
        <v>-110.88</v>
      </c>
      <c r="S555" s="1653">
        <f t="shared" si="171"/>
        <v>-0.33333333333334281</v>
      </c>
      <c r="T555" s="1653">
        <f t="shared" si="156"/>
        <v>-0.33333333333334281</v>
      </c>
      <c r="U555" s="1653">
        <f t="shared" si="157"/>
        <v>110.21333333333331</v>
      </c>
      <c r="V555" s="1653">
        <f t="shared" si="158"/>
        <v>-0.66666666666667607</v>
      </c>
      <c r="W555" s="1653">
        <f t="shared" si="159"/>
        <v>109.87999999999998</v>
      </c>
      <c r="X555" s="1653">
        <f t="shared" si="160"/>
        <v>-1.0000000000000093</v>
      </c>
      <c r="Y555" s="1653">
        <f t="shared" si="161"/>
        <v>109.54666666666664</v>
      </c>
    </row>
    <row r="556" spans="1:25" ht="15" hidden="1" outlineLevel="1">
      <c r="A556" s="1615">
        <v>548</v>
      </c>
      <c r="C556" s="1651" t="s">
        <v>3216</v>
      </c>
      <c r="D556" s="1651" t="s">
        <v>2465</v>
      </c>
      <c r="E556" s="1613">
        <v>992.66</v>
      </c>
      <c r="F556" s="1613">
        <v>-304.14</v>
      </c>
      <c r="G556" s="1613">
        <f t="shared" si="162"/>
        <v>688.52</v>
      </c>
      <c r="H556" s="1578">
        <v>2014</v>
      </c>
      <c r="I556" s="1662">
        <f t="shared" si="163"/>
        <v>1.5</v>
      </c>
      <c r="J556" s="1663">
        <v>36</v>
      </c>
      <c r="K556" s="1664">
        <f t="shared" si="164"/>
        <v>0.33333333333333331</v>
      </c>
      <c r="L556" s="1613">
        <f t="shared" si="165"/>
        <v>330.88666666666666</v>
      </c>
      <c r="M556" s="1613">
        <f t="shared" si="166"/>
        <v>992.66</v>
      </c>
      <c r="N556" s="1613">
        <f t="shared" si="155"/>
        <v>-661.77333333333331</v>
      </c>
      <c r="O556" s="1652">
        <f t="shared" si="167"/>
        <v>330.88666666666666</v>
      </c>
      <c r="P556" s="1653">
        <f t="shared" si="168"/>
        <v>-662.10666666666668</v>
      </c>
      <c r="Q556" s="1653">
        <f t="shared" si="169"/>
        <v>-331.22</v>
      </c>
      <c r="R556" s="1653">
        <f t="shared" si="170"/>
        <v>-331.22</v>
      </c>
      <c r="S556" s="1653">
        <f t="shared" si="171"/>
        <v>-0.33333333333337123</v>
      </c>
      <c r="T556" s="1653">
        <f t="shared" si="156"/>
        <v>-0.33333333333337123</v>
      </c>
      <c r="U556" s="1653">
        <f t="shared" si="157"/>
        <v>330.55333333333328</v>
      </c>
      <c r="V556" s="1653">
        <f t="shared" si="158"/>
        <v>-0.66666666666670449</v>
      </c>
      <c r="W556" s="1653">
        <f t="shared" si="159"/>
        <v>330.21999999999997</v>
      </c>
      <c r="X556" s="1653">
        <f t="shared" si="160"/>
        <v>-1.0000000000000377</v>
      </c>
      <c r="Y556" s="1653">
        <f t="shared" si="161"/>
        <v>329.8866666666666</v>
      </c>
    </row>
    <row r="557" spans="1:25" ht="15" hidden="1" outlineLevel="1">
      <c r="A557" s="1615">
        <v>549</v>
      </c>
      <c r="C557" s="1651" t="s">
        <v>3217</v>
      </c>
      <c r="D557" s="1651" t="s">
        <v>2465</v>
      </c>
      <c r="E557" s="1613">
        <v>7968.65</v>
      </c>
      <c r="F557" s="1613">
        <v>-2441.5300000000002</v>
      </c>
      <c r="G557" s="1613">
        <f t="shared" si="162"/>
        <v>5527.119999999999</v>
      </c>
      <c r="H557" s="1578">
        <v>2014</v>
      </c>
      <c r="I557" s="1662">
        <f t="shared" si="163"/>
        <v>1.5</v>
      </c>
      <c r="J557" s="1663">
        <v>36</v>
      </c>
      <c r="K557" s="1664">
        <f t="shared" si="164"/>
        <v>0.33333333333333331</v>
      </c>
      <c r="L557" s="1613">
        <f t="shared" si="165"/>
        <v>2656.2166666666662</v>
      </c>
      <c r="M557" s="1613">
        <f t="shared" si="166"/>
        <v>7968.65</v>
      </c>
      <c r="N557" s="1613">
        <f t="shared" si="155"/>
        <v>-5312.4333333333325</v>
      </c>
      <c r="O557" s="1652">
        <f t="shared" si="167"/>
        <v>2656.2166666666672</v>
      </c>
      <c r="P557" s="1653">
        <f t="shared" si="168"/>
        <v>-5312.7666666666655</v>
      </c>
      <c r="Q557" s="1653">
        <f t="shared" si="169"/>
        <v>-2656.5499999999993</v>
      </c>
      <c r="R557" s="1653">
        <f t="shared" si="170"/>
        <v>-2656.5499999999993</v>
      </c>
      <c r="S557" s="1653">
        <f t="shared" si="171"/>
        <v>-0.33333333333303017</v>
      </c>
      <c r="T557" s="1653">
        <f t="shared" si="156"/>
        <v>-0.33333333333303017</v>
      </c>
      <c r="U557" s="1653">
        <f t="shared" si="157"/>
        <v>2655.8833333333332</v>
      </c>
      <c r="V557" s="1653">
        <f t="shared" si="158"/>
        <v>-0.66666666666636343</v>
      </c>
      <c r="W557" s="1653">
        <f t="shared" si="159"/>
        <v>2655.5499999999997</v>
      </c>
      <c r="X557" s="1653">
        <f t="shared" si="160"/>
        <v>-0.99999999999969669</v>
      </c>
      <c r="Y557" s="1653">
        <f t="shared" si="161"/>
        <v>2655.2166666666667</v>
      </c>
    </row>
    <row r="558" spans="1:25" ht="15" hidden="1" outlineLevel="1">
      <c r="A558" s="1615">
        <v>550</v>
      </c>
      <c r="C558" s="1651" t="s">
        <v>3218</v>
      </c>
      <c r="D558" s="1651" t="s">
        <v>2465</v>
      </c>
      <c r="E558" s="1613">
        <v>27914.49</v>
      </c>
      <c r="F558" s="1613">
        <v>-8552.7900000000009</v>
      </c>
      <c r="G558" s="1613">
        <f t="shared" si="162"/>
        <v>19361.7</v>
      </c>
      <c r="H558" s="1578">
        <v>2014</v>
      </c>
      <c r="I558" s="1662">
        <f t="shared" si="163"/>
        <v>1.5</v>
      </c>
      <c r="J558" s="1663">
        <v>36</v>
      </c>
      <c r="K558" s="1664">
        <f t="shared" si="164"/>
        <v>0.33333333333333331</v>
      </c>
      <c r="L558" s="1613">
        <f t="shared" si="165"/>
        <v>9304.83</v>
      </c>
      <c r="M558" s="1613">
        <f t="shared" si="166"/>
        <v>27914.49</v>
      </c>
      <c r="N558" s="1613">
        <f t="shared" si="155"/>
        <v>-18609.66</v>
      </c>
      <c r="O558" s="1652">
        <f t="shared" si="167"/>
        <v>9304.8300000000017</v>
      </c>
      <c r="P558" s="1653">
        <f t="shared" si="168"/>
        <v>-18609.993333333332</v>
      </c>
      <c r="Q558" s="1653">
        <f t="shared" si="169"/>
        <v>-9305.163333333332</v>
      </c>
      <c r="R558" s="1653">
        <f t="shared" si="170"/>
        <v>-9305.163333333332</v>
      </c>
      <c r="S558" s="1653">
        <f t="shared" si="171"/>
        <v>-0.33333333333212067</v>
      </c>
      <c r="T558" s="1653">
        <f t="shared" si="156"/>
        <v>-0.33333333333212067</v>
      </c>
      <c r="U558" s="1653">
        <f t="shared" si="157"/>
        <v>9304.4966666666678</v>
      </c>
      <c r="V558" s="1653">
        <f t="shared" si="158"/>
        <v>-0.66666666666545393</v>
      </c>
      <c r="W558" s="1653">
        <f t="shared" si="159"/>
        <v>9304.1633333333339</v>
      </c>
      <c r="X558" s="1653">
        <f t="shared" si="160"/>
        <v>-0.99999999999878719</v>
      </c>
      <c r="Y558" s="1653">
        <f t="shared" si="161"/>
        <v>9303.8300000000017</v>
      </c>
    </row>
    <row r="559" spans="1:25" ht="15" hidden="1" outlineLevel="1">
      <c r="A559" s="1615">
        <v>551</v>
      </c>
      <c r="C559" s="1651" t="s">
        <v>3219</v>
      </c>
      <c r="D559" s="1651" t="s">
        <v>2465</v>
      </c>
      <c r="E559" s="1613">
        <v>643.94000000000005</v>
      </c>
      <c r="F559" s="1613">
        <v>-197.29</v>
      </c>
      <c r="G559" s="1613">
        <f t="shared" si="162"/>
        <v>446.65000000000009</v>
      </c>
      <c r="H559" s="1578">
        <v>2014</v>
      </c>
      <c r="I559" s="1662">
        <f t="shared" si="163"/>
        <v>1.5</v>
      </c>
      <c r="J559" s="1663">
        <v>36</v>
      </c>
      <c r="K559" s="1664">
        <f t="shared" si="164"/>
        <v>0.33333333333333331</v>
      </c>
      <c r="L559" s="1613">
        <f t="shared" si="165"/>
        <v>214.64666666666668</v>
      </c>
      <c r="M559" s="1613">
        <f t="shared" si="166"/>
        <v>643.94000000000005</v>
      </c>
      <c r="N559" s="1613">
        <f t="shared" si="155"/>
        <v>-429.29333333333335</v>
      </c>
      <c r="O559" s="1652">
        <f t="shared" si="167"/>
        <v>214.6466666666667</v>
      </c>
      <c r="P559" s="1653">
        <f t="shared" si="168"/>
        <v>-429.62666666666667</v>
      </c>
      <c r="Q559" s="1653">
        <f t="shared" si="169"/>
        <v>-214.98</v>
      </c>
      <c r="R559" s="1653">
        <f t="shared" si="170"/>
        <v>-214.98</v>
      </c>
      <c r="S559" s="1653">
        <f t="shared" si="171"/>
        <v>-0.33333333333331439</v>
      </c>
      <c r="T559" s="1653">
        <f t="shared" si="156"/>
        <v>-0.33333333333331439</v>
      </c>
      <c r="U559" s="1653">
        <f t="shared" si="157"/>
        <v>214.31333333333336</v>
      </c>
      <c r="V559" s="1653">
        <f t="shared" si="158"/>
        <v>-0.66666666666664764</v>
      </c>
      <c r="W559" s="1653">
        <f t="shared" si="159"/>
        <v>213.98000000000002</v>
      </c>
      <c r="X559" s="1653">
        <f t="shared" si="160"/>
        <v>-0.9999999999999809</v>
      </c>
      <c r="Y559" s="1653">
        <f t="shared" si="161"/>
        <v>213.6466666666667</v>
      </c>
    </row>
    <row r="560" spans="1:25" ht="15" hidden="1" outlineLevel="1">
      <c r="A560" s="1615">
        <v>552</v>
      </c>
      <c r="C560" s="1651" t="s">
        <v>3220</v>
      </c>
      <c r="D560" s="1651" t="s">
        <v>2465</v>
      </c>
      <c r="E560" s="1613">
        <v>297.27999999999997</v>
      </c>
      <c r="F560" s="1613">
        <v>-91.09</v>
      </c>
      <c r="G560" s="1613">
        <f t="shared" si="162"/>
        <v>206.18999999999997</v>
      </c>
      <c r="H560" s="1578">
        <v>2014</v>
      </c>
      <c r="I560" s="1662">
        <f t="shared" si="163"/>
        <v>1.5</v>
      </c>
      <c r="J560" s="1663">
        <v>36</v>
      </c>
      <c r="K560" s="1664">
        <f t="shared" si="164"/>
        <v>0.33333333333333331</v>
      </c>
      <c r="L560" s="1613">
        <f t="shared" si="165"/>
        <v>99.09333333333332</v>
      </c>
      <c r="M560" s="1613">
        <f t="shared" si="166"/>
        <v>297.27999999999997</v>
      </c>
      <c r="N560" s="1613">
        <f t="shared" si="155"/>
        <v>-198.18666666666664</v>
      </c>
      <c r="O560" s="1652">
        <f t="shared" si="167"/>
        <v>99.093333333333334</v>
      </c>
      <c r="P560" s="1653">
        <f t="shared" si="168"/>
        <v>-198.51999999999998</v>
      </c>
      <c r="Q560" s="1653">
        <f t="shared" si="169"/>
        <v>-99.426666666666662</v>
      </c>
      <c r="R560" s="1653">
        <f t="shared" si="170"/>
        <v>-99.426666666666662</v>
      </c>
      <c r="S560" s="1653">
        <f t="shared" si="171"/>
        <v>-0.33333333333334281</v>
      </c>
      <c r="T560" s="1653">
        <f t="shared" si="156"/>
        <v>-0.33333333333334281</v>
      </c>
      <c r="U560" s="1653">
        <f t="shared" si="157"/>
        <v>98.759999999999977</v>
      </c>
      <c r="V560" s="1653">
        <f t="shared" si="158"/>
        <v>-0.66666666666667607</v>
      </c>
      <c r="W560" s="1653">
        <f t="shared" si="159"/>
        <v>98.426666666666648</v>
      </c>
      <c r="X560" s="1653">
        <f t="shared" si="160"/>
        <v>-1.0000000000000093</v>
      </c>
      <c r="Y560" s="1653">
        <f t="shared" si="161"/>
        <v>98.093333333333305</v>
      </c>
    </row>
    <row r="561" spans="1:25" ht="15" hidden="1" outlineLevel="1">
      <c r="A561" s="1615">
        <v>553</v>
      </c>
      <c r="C561" s="1651" t="s">
        <v>3221</v>
      </c>
      <c r="D561" s="1651" t="s">
        <v>2465</v>
      </c>
      <c r="E561" s="1613">
        <v>881.3</v>
      </c>
      <c r="F561" s="1613">
        <v>-270.02</v>
      </c>
      <c r="G561" s="1613">
        <f t="shared" si="162"/>
        <v>611.28</v>
      </c>
      <c r="H561" s="1578">
        <v>2014</v>
      </c>
      <c r="I561" s="1662">
        <f t="shared" si="163"/>
        <v>1.5</v>
      </c>
      <c r="J561" s="1663">
        <v>36</v>
      </c>
      <c r="K561" s="1664">
        <f t="shared" si="164"/>
        <v>0.33333333333333331</v>
      </c>
      <c r="L561" s="1613">
        <f t="shared" si="165"/>
        <v>293.76666666666665</v>
      </c>
      <c r="M561" s="1613">
        <f t="shared" si="166"/>
        <v>881.3</v>
      </c>
      <c r="N561" s="1613">
        <f t="shared" si="155"/>
        <v>-587.5333333333333</v>
      </c>
      <c r="O561" s="1652">
        <f t="shared" si="167"/>
        <v>293.76666666666665</v>
      </c>
      <c r="P561" s="1653">
        <f t="shared" si="168"/>
        <v>-587.86666666666667</v>
      </c>
      <c r="Q561" s="1653">
        <f t="shared" si="169"/>
        <v>-294.10000000000002</v>
      </c>
      <c r="R561" s="1653">
        <f t="shared" si="170"/>
        <v>-294.10000000000002</v>
      </c>
      <c r="S561" s="1653">
        <f t="shared" si="171"/>
        <v>-0.33333333333337123</v>
      </c>
      <c r="T561" s="1653">
        <f t="shared" si="156"/>
        <v>-0.33333333333337123</v>
      </c>
      <c r="U561" s="1653">
        <f t="shared" si="157"/>
        <v>293.43333333333328</v>
      </c>
      <c r="V561" s="1653">
        <f t="shared" si="158"/>
        <v>-0.66666666666670449</v>
      </c>
      <c r="W561" s="1653">
        <f t="shared" si="159"/>
        <v>293.09999999999997</v>
      </c>
      <c r="X561" s="1653">
        <f t="shared" si="160"/>
        <v>-1.0000000000000377</v>
      </c>
      <c r="Y561" s="1653">
        <f t="shared" si="161"/>
        <v>292.76666666666659</v>
      </c>
    </row>
    <row r="562" spans="1:25" ht="15" hidden="1" outlineLevel="1">
      <c r="A562" s="1615">
        <v>554</v>
      </c>
      <c r="C562" s="1651" t="s">
        <v>3222</v>
      </c>
      <c r="D562" s="1651" t="s">
        <v>2465</v>
      </c>
      <c r="E562" s="1613">
        <v>998.46</v>
      </c>
      <c r="F562" s="1613">
        <v>-305.92</v>
      </c>
      <c r="G562" s="1613">
        <f t="shared" si="162"/>
        <v>692.54</v>
      </c>
      <c r="H562" s="1578">
        <v>2014</v>
      </c>
      <c r="I562" s="1662">
        <f t="shared" si="163"/>
        <v>1.5</v>
      </c>
      <c r="J562" s="1663">
        <v>36</v>
      </c>
      <c r="K562" s="1664">
        <f t="shared" si="164"/>
        <v>0.33333333333333331</v>
      </c>
      <c r="L562" s="1613">
        <f t="shared" si="165"/>
        <v>332.82</v>
      </c>
      <c r="M562" s="1613">
        <f t="shared" si="166"/>
        <v>998.46</v>
      </c>
      <c r="N562" s="1613">
        <f t="shared" si="155"/>
        <v>-665.64</v>
      </c>
      <c r="O562" s="1652">
        <f t="shared" si="167"/>
        <v>332.82000000000005</v>
      </c>
      <c r="P562" s="1653">
        <f t="shared" si="168"/>
        <v>-665.97333333333336</v>
      </c>
      <c r="Q562" s="1653">
        <f t="shared" si="169"/>
        <v>-333.15333333333336</v>
      </c>
      <c r="R562" s="1653">
        <f t="shared" si="170"/>
        <v>-333.15333333333336</v>
      </c>
      <c r="S562" s="1653">
        <f t="shared" si="171"/>
        <v>-0.33333333333337123</v>
      </c>
      <c r="T562" s="1653">
        <f t="shared" si="156"/>
        <v>-0.33333333333337123</v>
      </c>
      <c r="U562" s="1653">
        <f t="shared" si="157"/>
        <v>332.48666666666662</v>
      </c>
      <c r="V562" s="1653">
        <f t="shared" si="158"/>
        <v>-0.66666666666670449</v>
      </c>
      <c r="W562" s="1653">
        <f t="shared" si="159"/>
        <v>332.15333333333331</v>
      </c>
      <c r="X562" s="1653">
        <f t="shared" si="160"/>
        <v>-1.0000000000000377</v>
      </c>
      <c r="Y562" s="1653">
        <f t="shared" si="161"/>
        <v>331.81999999999994</v>
      </c>
    </row>
    <row r="563" spans="1:25" ht="15" hidden="1" outlineLevel="1">
      <c r="A563" s="1615">
        <v>555</v>
      </c>
      <c r="C563" s="1651" t="s">
        <v>3223</v>
      </c>
      <c r="D563" s="1651" t="s">
        <v>2465</v>
      </c>
      <c r="E563" s="1613">
        <v>1104.02</v>
      </c>
      <c r="F563" s="1613">
        <v>-338.26</v>
      </c>
      <c r="G563" s="1613">
        <f t="shared" si="162"/>
        <v>765.76</v>
      </c>
      <c r="H563" s="1578">
        <v>2014</v>
      </c>
      <c r="I563" s="1662">
        <f t="shared" si="163"/>
        <v>1.5</v>
      </c>
      <c r="J563" s="1663">
        <v>36</v>
      </c>
      <c r="K563" s="1664">
        <f t="shared" si="164"/>
        <v>0.33333333333333331</v>
      </c>
      <c r="L563" s="1613">
        <f t="shared" si="165"/>
        <v>368.00666666666666</v>
      </c>
      <c r="M563" s="1613">
        <f t="shared" si="166"/>
        <v>1104.02</v>
      </c>
      <c r="N563" s="1613">
        <f t="shared" si="155"/>
        <v>-736.01333333333332</v>
      </c>
      <c r="O563" s="1652">
        <f t="shared" si="167"/>
        <v>368.00666666666666</v>
      </c>
      <c r="P563" s="1653">
        <f t="shared" si="168"/>
        <v>-736.34666666666669</v>
      </c>
      <c r="Q563" s="1653">
        <f t="shared" si="169"/>
        <v>-368.34000000000003</v>
      </c>
      <c r="R563" s="1653">
        <f t="shared" si="170"/>
        <v>-368.34000000000003</v>
      </c>
      <c r="S563" s="1653">
        <f t="shared" si="171"/>
        <v>-0.33333333333337123</v>
      </c>
      <c r="T563" s="1653">
        <f t="shared" si="156"/>
        <v>-0.33333333333337123</v>
      </c>
      <c r="U563" s="1653">
        <f t="shared" si="157"/>
        <v>367.67333333333329</v>
      </c>
      <c r="V563" s="1653">
        <f t="shared" si="158"/>
        <v>-0.66666666666670449</v>
      </c>
      <c r="W563" s="1653">
        <f t="shared" si="159"/>
        <v>367.34</v>
      </c>
      <c r="X563" s="1653">
        <f t="shared" si="160"/>
        <v>-1.0000000000000377</v>
      </c>
      <c r="Y563" s="1653">
        <f t="shared" si="161"/>
        <v>367.0066666666666</v>
      </c>
    </row>
    <row r="564" spans="1:25" ht="15" hidden="1" outlineLevel="1">
      <c r="A564" s="1615">
        <v>556</v>
      </c>
      <c r="C564" s="1651" t="s">
        <v>3224</v>
      </c>
      <c r="D564" s="1651" t="s">
        <v>2465</v>
      </c>
      <c r="E564" s="1613">
        <v>13855.21</v>
      </c>
      <c r="F564" s="1613">
        <v>-4245.1400000000003</v>
      </c>
      <c r="G564" s="1613">
        <f t="shared" si="162"/>
        <v>9610.07</v>
      </c>
      <c r="H564" s="1578">
        <v>2014</v>
      </c>
      <c r="I564" s="1662">
        <f t="shared" si="163"/>
        <v>1.5</v>
      </c>
      <c r="J564" s="1663">
        <v>36</v>
      </c>
      <c r="K564" s="1664">
        <f t="shared" si="164"/>
        <v>0.33333333333333331</v>
      </c>
      <c r="L564" s="1613">
        <f t="shared" si="165"/>
        <v>4618.4033333333327</v>
      </c>
      <c r="M564" s="1613">
        <f t="shared" si="166"/>
        <v>13855.21</v>
      </c>
      <c r="N564" s="1613">
        <f t="shared" si="155"/>
        <v>-9236.8066666666655</v>
      </c>
      <c r="O564" s="1652">
        <f t="shared" si="167"/>
        <v>4618.4033333333336</v>
      </c>
      <c r="P564" s="1653">
        <f t="shared" si="168"/>
        <v>-9237.14</v>
      </c>
      <c r="Q564" s="1653">
        <f t="shared" si="169"/>
        <v>-4618.7366666666667</v>
      </c>
      <c r="R564" s="1653">
        <f t="shared" si="170"/>
        <v>-4618.7366666666667</v>
      </c>
      <c r="S564" s="1653">
        <f t="shared" si="171"/>
        <v>-0.33333333333393966</v>
      </c>
      <c r="T564" s="1653">
        <f t="shared" si="156"/>
        <v>-0.33333333333393966</v>
      </c>
      <c r="U564" s="1653">
        <f t="shared" si="157"/>
        <v>4618.0699999999988</v>
      </c>
      <c r="V564" s="1653">
        <f t="shared" si="158"/>
        <v>-0.66666666666727292</v>
      </c>
      <c r="W564" s="1653">
        <f t="shared" si="159"/>
        <v>4617.7366666666658</v>
      </c>
      <c r="X564" s="1653">
        <f t="shared" si="160"/>
        <v>-1.0000000000006062</v>
      </c>
      <c r="Y564" s="1653">
        <f t="shared" si="161"/>
        <v>4617.4033333333318</v>
      </c>
    </row>
    <row r="565" spans="1:25" ht="15" hidden="1" outlineLevel="1">
      <c r="A565" s="1615">
        <v>557</v>
      </c>
      <c r="C565" s="1651" t="s">
        <v>3225</v>
      </c>
      <c r="D565" s="1651" t="s">
        <v>2465</v>
      </c>
      <c r="E565" s="1613">
        <v>6640.98</v>
      </c>
      <c r="F565" s="1613">
        <v>-2034.75</v>
      </c>
      <c r="G565" s="1613">
        <f t="shared" si="162"/>
        <v>4606.2299999999996</v>
      </c>
      <c r="H565" s="1578">
        <v>2014</v>
      </c>
      <c r="I565" s="1662">
        <f t="shared" si="163"/>
        <v>1.5</v>
      </c>
      <c r="J565" s="1663">
        <v>36</v>
      </c>
      <c r="K565" s="1664">
        <f t="shared" si="164"/>
        <v>0.33333333333333331</v>
      </c>
      <c r="L565" s="1613">
        <f t="shared" si="165"/>
        <v>2213.66</v>
      </c>
      <c r="M565" s="1613">
        <f t="shared" si="166"/>
        <v>6640.98</v>
      </c>
      <c r="N565" s="1613">
        <f t="shared" si="155"/>
        <v>-4427.32</v>
      </c>
      <c r="O565" s="1652">
        <f t="shared" si="167"/>
        <v>2213.66</v>
      </c>
      <c r="P565" s="1653">
        <f t="shared" si="168"/>
        <v>-4427.6533333333327</v>
      </c>
      <c r="Q565" s="1653">
        <f t="shared" si="169"/>
        <v>-2213.9933333333329</v>
      </c>
      <c r="R565" s="1653">
        <f t="shared" si="170"/>
        <v>-2213.9933333333329</v>
      </c>
      <c r="S565" s="1653">
        <f t="shared" si="171"/>
        <v>-0.33333333333303017</v>
      </c>
      <c r="T565" s="1653">
        <f t="shared" si="156"/>
        <v>-0.33333333333303017</v>
      </c>
      <c r="U565" s="1653">
        <f t="shared" si="157"/>
        <v>2213.3266666666668</v>
      </c>
      <c r="V565" s="1653">
        <f t="shared" si="158"/>
        <v>-0.66666666666636343</v>
      </c>
      <c r="W565" s="1653">
        <f t="shared" si="159"/>
        <v>2212.9933333333333</v>
      </c>
      <c r="X565" s="1653">
        <f t="shared" si="160"/>
        <v>-0.99999999999969669</v>
      </c>
      <c r="Y565" s="1653">
        <f t="shared" si="161"/>
        <v>2212.6600000000003</v>
      </c>
    </row>
    <row r="566" spans="1:25" ht="15" hidden="1" outlineLevel="1">
      <c r="A566" s="1615">
        <v>558</v>
      </c>
      <c r="C566" s="1651" t="s">
        <v>3226</v>
      </c>
      <c r="D566" s="1651" t="s">
        <v>2465</v>
      </c>
      <c r="E566" s="1613">
        <v>3621.29</v>
      </c>
      <c r="F566" s="1613">
        <v>-1109.54</v>
      </c>
      <c r="G566" s="1613">
        <f t="shared" si="162"/>
        <v>2511.75</v>
      </c>
      <c r="H566" s="1578">
        <v>2014</v>
      </c>
      <c r="I566" s="1662">
        <f t="shared" si="163"/>
        <v>1.5</v>
      </c>
      <c r="J566" s="1663">
        <v>36</v>
      </c>
      <c r="K566" s="1664">
        <f t="shared" si="164"/>
        <v>0.33333333333333331</v>
      </c>
      <c r="L566" s="1613">
        <f t="shared" si="165"/>
        <v>1207.0966666666666</v>
      </c>
      <c r="M566" s="1613">
        <f t="shared" si="166"/>
        <v>3621.29</v>
      </c>
      <c r="N566" s="1613">
        <f t="shared" si="155"/>
        <v>-2414.1933333333332</v>
      </c>
      <c r="O566" s="1652">
        <f t="shared" si="167"/>
        <v>1207.0966666666668</v>
      </c>
      <c r="P566" s="1653">
        <f t="shared" si="168"/>
        <v>-2414.5266666666666</v>
      </c>
      <c r="Q566" s="1653">
        <f t="shared" si="169"/>
        <v>-1207.43</v>
      </c>
      <c r="R566" s="1653">
        <f t="shared" si="170"/>
        <v>-1207.43</v>
      </c>
      <c r="S566" s="1653">
        <f t="shared" si="171"/>
        <v>-0.33333333333348492</v>
      </c>
      <c r="T566" s="1653">
        <f t="shared" si="156"/>
        <v>-0.33333333333348492</v>
      </c>
      <c r="U566" s="1653">
        <f t="shared" si="157"/>
        <v>1206.7633333333331</v>
      </c>
      <c r="V566" s="1653">
        <f t="shared" si="158"/>
        <v>-0.66666666666681818</v>
      </c>
      <c r="W566" s="1653">
        <f t="shared" si="159"/>
        <v>1206.4299999999998</v>
      </c>
      <c r="X566" s="1653">
        <f t="shared" si="160"/>
        <v>-1.0000000000001514</v>
      </c>
      <c r="Y566" s="1653">
        <f t="shared" si="161"/>
        <v>1206.0966666666664</v>
      </c>
    </row>
    <row r="567" spans="1:25" ht="15" hidden="1" outlineLevel="1">
      <c r="A567" s="1615">
        <v>559</v>
      </c>
      <c r="C567" s="1651" t="s">
        <v>3227</v>
      </c>
      <c r="D567" s="1651" t="s">
        <v>2465</v>
      </c>
      <c r="E567" s="1613">
        <v>1101.5899999999999</v>
      </c>
      <c r="F567" s="1613">
        <v>-337.52</v>
      </c>
      <c r="G567" s="1613">
        <f t="shared" si="162"/>
        <v>764.06999999999994</v>
      </c>
      <c r="H567" s="1578">
        <v>2014</v>
      </c>
      <c r="I567" s="1662">
        <f t="shared" si="163"/>
        <v>1.5</v>
      </c>
      <c r="J567" s="1663">
        <v>36</v>
      </c>
      <c r="K567" s="1664">
        <f t="shared" si="164"/>
        <v>0.33333333333333331</v>
      </c>
      <c r="L567" s="1613">
        <f t="shared" si="165"/>
        <v>367.1966666666666</v>
      </c>
      <c r="M567" s="1613">
        <f t="shared" si="166"/>
        <v>1101.5899999999999</v>
      </c>
      <c r="N567" s="1613">
        <f t="shared" si="155"/>
        <v>-734.3933333333332</v>
      </c>
      <c r="O567" s="1652">
        <f t="shared" si="167"/>
        <v>367.19666666666672</v>
      </c>
      <c r="P567" s="1653">
        <f t="shared" si="168"/>
        <v>-734.72666666666657</v>
      </c>
      <c r="Q567" s="1653">
        <f t="shared" si="169"/>
        <v>-367.53</v>
      </c>
      <c r="R567" s="1653">
        <f t="shared" si="170"/>
        <v>-367.53</v>
      </c>
      <c r="S567" s="1653">
        <f t="shared" si="171"/>
        <v>-0.33333333333337123</v>
      </c>
      <c r="T567" s="1653">
        <f t="shared" si="156"/>
        <v>-0.33333333333337123</v>
      </c>
      <c r="U567" s="1653">
        <f t="shared" si="157"/>
        <v>366.86333333333323</v>
      </c>
      <c r="V567" s="1653">
        <f t="shared" si="158"/>
        <v>-0.66666666666670449</v>
      </c>
      <c r="W567" s="1653">
        <f t="shared" si="159"/>
        <v>366.52999999999992</v>
      </c>
      <c r="X567" s="1653">
        <f t="shared" si="160"/>
        <v>-1.0000000000000377</v>
      </c>
      <c r="Y567" s="1653">
        <f t="shared" si="161"/>
        <v>366.19666666666654</v>
      </c>
    </row>
    <row r="568" spans="1:25" ht="15" hidden="1" outlineLevel="1">
      <c r="A568" s="1615">
        <v>560</v>
      </c>
      <c r="C568" s="1651" t="s">
        <v>3228</v>
      </c>
      <c r="D568" s="1651" t="s">
        <v>2465</v>
      </c>
      <c r="E568" s="1613">
        <v>39284.53</v>
      </c>
      <c r="F568" s="1613">
        <v>-12036.49</v>
      </c>
      <c r="G568" s="1613">
        <f t="shared" si="162"/>
        <v>27248.04</v>
      </c>
      <c r="H568" s="1578">
        <v>2014</v>
      </c>
      <c r="I568" s="1662">
        <f t="shared" si="163"/>
        <v>1.5</v>
      </c>
      <c r="J568" s="1663">
        <v>36</v>
      </c>
      <c r="K568" s="1664">
        <f t="shared" si="164"/>
        <v>0.33333333333333331</v>
      </c>
      <c r="L568" s="1613">
        <f t="shared" si="165"/>
        <v>13094.843333333332</v>
      </c>
      <c r="M568" s="1613">
        <f t="shared" si="166"/>
        <v>39284.53</v>
      </c>
      <c r="N568" s="1613">
        <f t="shared" si="155"/>
        <v>-26189.686666666665</v>
      </c>
      <c r="O568" s="1652">
        <f t="shared" si="167"/>
        <v>13094.843333333334</v>
      </c>
      <c r="P568" s="1653">
        <f t="shared" si="168"/>
        <v>-26190.019999999997</v>
      </c>
      <c r="Q568" s="1653">
        <f t="shared" si="169"/>
        <v>-13095.176666666664</v>
      </c>
      <c r="R568" s="1653">
        <f t="shared" si="170"/>
        <v>-13095.176666666664</v>
      </c>
      <c r="S568" s="1653">
        <f t="shared" si="171"/>
        <v>-0.33333333333212067</v>
      </c>
      <c r="T568" s="1653">
        <f t="shared" si="156"/>
        <v>-0.33333333333212067</v>
      </c>
      <c r="U568" s="1653">
        <f t="shared" si="157"/>
        <v>13094.51</v>
      </c>
      <c r="V568" s="1653">
        <f t="shared" si="158"/>
        <v>-0.66666666666545393</v>
      </c>
      <c r="W568" s="1653">
        <f t="shared" si="159"/>
        <v>13094.176666666666</v>
      </c>
      <c r="X568" s="1653">
        <f t="shared" si="160"/>
        <v>-0.99999999999878719</v>
      </c>
      <c r="Y568" s="1653">
        <f t="shared" si="161"/>
        <v>13093.843333333334</v>
      </c>
    </row>
    <row r="569" spans="1:25" ht="15" hidden="1" outlineLevel="1">
      <c r="A569" s="1615">
        <v>561</v>
      </c>
      <c r="C569" s="1651" t="s">
        <v>3229</v>
      </c>
      <c r="D569" s="1651" t="s">
        <v>2465</v>
      </c>
      <c r="E569" s="1613">
        <v>990.49</v>
      </c>
      <c r="F569" s="1613">
        <v>-303.48</v>
      </c>
      <c r="G569" s="1613">
        <f t="shared" si="162"/>
        <v>687.01</v>
      </c>
      <c r="H569" s="1578">
        <v>2014</v>
      </c>
      <c r="I569" s="1662">
        <f t="shared" si="163"/>
        <v>1.5</v>
      </c>
      <c r="J569" s="1663">
        <v>36</v>
      </c>
      <c r="K569" s="1664">
        <f t="shared" si="164"/>
        <v>0.33333333333333331</v>
      </c>
      <c r="L569" s="1613">
        <f t="shared" si="165"/>
        <v>330.1633333333333</v>
      </c>
      <c r="M569" s="1613">
        <f t="shared" si="166"/>
        <v>990.49</v>
      </c>
      <c r="N569" s="1613">
        <f t="shared" si="155"/>
        <v>-660.3266666666666</v>
      </c>
      <c r="O569" s="1652">
        <f t="shared" si="167"/>
        <v>330.16333333333341</v>
      </c>
      <c r="P569" s="1653">
        <f t="shared" si="168"/>
        <v>-660.66</v>
      </c>
      <c r="Q569" s="1653">
        <f t="shared" si="169"/>
        <v>-330.49666666666667</v>
      </c>
      <c r="R569" s="1653">
        <f t="shared" si="170"/>
        <v>-330.49666666666667</v>
      </c>
      <c r="S569" s="1653">
        <f t="shared" si="171"/>
        <v>-0.33333333333337123</v>
      </c>
      <c r="T569" s="1653">
        <f t="shared" si="156"/>
        <v>-0.33333333333337123</v>
      </c>
      <c r="U569" s="1653">
        <f t="shared" si="157"/>
        <v>329.82999999999993</v>
      </c>
      <c r="V569" s="1653">
        <f t="shared" si="158"/>
        <v>-0.66666666666670449</v>
      </c>
      <c r="W569" s="1653">
        <f t="shared" si="159"/>
        <v>329.49666666666661</v>
      </c>
      <c r="X569" s="1653">
        <f t="shared" si="160"/>
        <v>-1.0000000000000377</v>
      </c>
      <c r="Y569" s="1653">
        <f t="shared" si="161"/>
        <v>329.16333333333324</v>
      </c>
    </row>
    <row r="570" spans="1:25" ht="15" hidden="1" outlineLevel="1">
      <c r="A570" s="1615">
        <v>562</v>
      </c>
      <c r="C570" s="1651" t="s">
        <v>3230</v>
      </c>
      <c r="D570" s="1651" t="s">
        <v>2465</v>
      </c>
      <c r="E570" s="1613">
        <v>326.33</v>
      </c>
      <c r="F570" s="1613">
        <v>-99.98</v>
      </c>
      <c r="G570" s="1613">
        <f t="shared" si="162"/>
        <v>226.34999999999997</v>
      </c>
      <c r="H570" s="1578">
        <v>2014</v>
      </c>
      <c r="I570" s="1662">
        <f t="shared" si="163"/>
        <v>1.5</v>
      </c>
      <c r="J570" s="1663">
        <v>36</v>
      </c>
      <c r="K570" s="1664">
        <f t="shared" si="164"/>
        <v>0.33333333333333331</v>
      </c>
      <c r="L570" s="1613">
        <f t="shared" si="165"/>
        <v>108.77666666666666</v>
      </c>
      <c r="M570" s="1613">
        <f t="shared" si="166"/>
        <v>326.33</v>
      </c>
      <c r="N570" s="1613">
        <f t="shared" si="155"/>
        <v>-217.55333333333331</v>
      </c>
      <c r="O570" s="1652">
        <f t="shared" si="167"/>
        <v>108.77666666666667</v>
      </c>
      <c r="P570" s="1653">
        <f t="shared" si="168"/>
        <v>-217.88666666666666</v>
      </c>
      <c r="Q570" s="1653">
        <f t="shared" si="169"/>
        <v>-109.11</v>
      </c>
      <c r="R570" s="1653">
        <f t="shared" si="170"/>
        <v>-109.11</v>
      </c>
      <c r="S570" s="1653">
        <f t="shared" si="171"/>
        <v>-0.33333333333334281</v>
      </c>
      <c r="T570" s="1653">
        <f t="shared" si="156"/>
        <v>-0.33333333333334281</v>
      </c>
      <c r="U570" s="1653">
        <f t="shared" si="157"/>
        <v>108.44333333333331</v>
      </c>
      <c r="V570" s="1653">
        <f t="shared" si="158"/>
        <v>-0.66666666666667607</v>
      </c>
      <c r="W570" s="1653">
        <f t="shared" si="159"/>
        <v>108.10999999999999</v>
      </c>
      <c r="X570" s="1653">
        <f t="shared" si="160"/>
        <v>-1.0000000000000093</v>
      </c>
      <c r="Y570" s="1653">
        <f t="shared" si="161"/>
        <v>107.77666666666664</v>
      </c>
    </row>
    <row r="571" spans="1:25" ht="15" hidden="1" outlineLevel="1">
      <c r="A571" s="1615">
        <v>563</v>
      </c>
      <c r="C571" s="1651" t="s">
        <v>3231</v>
      </c>
      <c r="D571" s="1651" t="s">
        <v>2465</v>
      </c>
      <c r="E571" s="1613">
        <v>31415.61</v>
      </c>
      <c r="F571" s="1613">
        <v>-9625.51</v>
      </c>
      <c r="G571" s="1613">
        <f t="shared" si="162"/>
        <v>21790.1</v>
      </c>
      <c r="H571" s="1578">
        <v>2014</v>
      </c>
      <c r="I571" s="1662">
        <f t="shared" si="163"/>
        <v>1.5</v>
      </c>
      <c r="J571" s="1663">
        <v>36</v>
      </c>
      <c r="K571" s="1664">
        <f t="shared" si="164"/>
        <v>0.33333333333333331</v>
      </c>
      <c r="L571" s="1613">
        <f t="shared" si="165"/>
        <v>10471.869999999999</v>
      </c>
      <c r="M571" s="1613">
        <f t="shared" si="166"/>
        <v>31415.61</v>
      </c>
      <c r="N571" s="1613">
        <f t="shared" si="155"/>
        <v>-20943.739999999998</v>
      </c>
      <c r="O571" s="1652">
        <f t="shared" si="167"/>
        <v>10471.870000000003</v>
      </c>
      <c r="P571" s="1653">
        <f t="shared" si="168"/>
        <v>-20944.07333333333</v>
      </c>
      <c r="Q571" s="1653">
        <f t="shared" si="169"/>
        <v>-10472.203333333331</v>
      </c>
      <c r="R571" s="1653">
        <f t="shared" si="170"/>
        <v>-10472.203333333331</v>
      </c>
      <c r="S571" s="1653">
        <f t="shared" si="171"/>
        <v>-0.33333333333212067</v>
      </c>
      <c r="T571" s="1653">
        <f t="shared" si="156"/>
        <v>-0.33333333333212067</v>
      </c>
      <c r="U571" s="1653">
        <f t="shared" si="157"/>
        <v>10471.536666666667</v>
      </c>
      <c r="V571" s="1653">
        <f t="shared" si="158"/>
        <v>-0.66666666666545393</v>
      </c>
      <c r="W571" s="1653">
        <f t="shared" si="159"/>
        <v>10471.203333333333</v>
      </c>
      <c r="X571" s="1653">
        <f t="shared" si="160"/>
        <v>-0.99999999999878719</v>
      </c>
      <c r="Y571" s="1653">
        <f t="shared" si="161"/>
        <v>10470.870000000001</v>
      </c>
    </row>
    <row r="572" spans="1:25" ht="15" hidden="1" outlineLevel="1">
      <c r="A572" s="1615">
        <v>564</v>
      </c>
      <c r="C572" s="1651" t="s">
        <v>3232</v>
      </c>
      <c r="D572" s="1651" t="s">
        <v>2465</v>
      </c>
      <c r="E572" s="1613">
        <v>43803.27</v>
      </c>
      <c r="F572" s="1613">
        <v>-13421</v>
      </c>
      <c r="G572" s="1613">
        <f t="shared" si="162"/>
        <v>30382.269999999997</v>
      </c>
      <c r="H572" s="1578">
        <v>2014</v>
      </c>
      <c r="I572" s="1662">
        <f t="shared" si="163"/>
        <v>1.5</v>
      </c>
      <c r="J572" s="1663">
        <v>36</v>
      </c>
      <c r="K572" s="1664">
        <f t="shared" si="164"/>
        <v>0.33333333333333331</v>
      </c>
      <c r="L572" s="1613">
        <f t="shared" si="165"/>
        <v>14601.089999999998</v>
      </c>
      <c r="M572" s="1613">
        <f t="shared" si="166"/>
        <v>43803.27</v>
      </c>
      <c r="N572" s="1613">
        <f t="shared" si="155"/>
        <v>-29202.179999999997</v>
      </c>
      <c r="O572" s="1652">
        <f t="shared" si="167"/>
        <v>14601.09</v>
      </c>
      <c r="P572" s="1653">
        <f t="shared" si="168"/>
        <v>-29202.513333333329</v>
      </c>
      <c r="Q572" s="1653">
        <f t="shared" si="169"/>
        <v>-14601.42333333333</v>
      </c>
      <c r="R572" s="1653">
        <f t="shared" si="170"/>
        <v>-14601.42333333333</v>
      </c>
      <c r="S572" s="1653">
        <f t="shared" si="171"/>
        <v>-0.33333333333212067</v>
      </c>
      <c r="T572" s="1653">
        <f t="shared" si="156"/>
        <v>-0.33333333333212067</v>
      </c>
      <c r="U572" s="1653">
        <f t="shared" si="157"/>
        <v>14600.756666666666</v>
      </c>
      <c r="V572" s="1653">
        <f t="shared" si="158"/>
        <v>-0.66666666666545393</v>
      </c>
      <c r="W572" s="1653">
        <f t="shared" si="159"/>
        <v>14600.423333333332</v>
      </c>
      <c r="X572" s="1653">
        <f t="shared" si="160"/>
        <v>-0.99999999999878719</v>
      </c>
      <c r="Y572" s="1653">
        <f t="shared" si="161"/>
        <v>14600.09</v>
      </c>
    </row>
    <row r="573" spans="1:25" ht="15" hidden="1" outlineLevel="1">
      <c r="A573" s="1615">
        <v>565</v>
      </c>
      <c r="C573" s="1651" t="s">
        <v>3233</v>
      </c>
      <c r="D573" s="1651" t="s">
        <v>2465</v>
      </c>
      <c r="E573" s="1613">
        <v>18331.330000000002</v>
      </c>
      <c r="F573" s="1613">
        <v>-5097.62</v>
      </c>
      <c r="G573" s="1613">
        <f t="shared" si="162"/>
        <v>13233.710000000003</v>
      </c>
      <c r="H573" s="1578">
        <v>2014</v>
      </c>
      <c r="I573" s="1662">
        <f t="shared" si="163"/>
        <v>1.5</v>
      </c>
      <c r="J573" s="1663">
        <v>36</v>
      </c>
      <c r="K573" s="1664">
        <f t="shared" si="164"/>
        <v>0.33333333333333331</v>
      </c>
      <c r="L573" s="1613">
        <f t="shared" si="165"/>
        <v>6110.4433333333336</v>
      </c>
      <c r="M573" s="1613">
        <f t="shared" si="166"/>
        <v>18331.330000000002</v>
      </c>
      <c r="N573" s="1613">
        <f t="shared" si="155"/>
        <v>-12220.886666666667</v>
      </c>
      <c r="O573" s="1652">
        <f t="shared" si="167"/>
        <v>6110.4433333333345</v>
      </c>
      <c r="P573" s="1653">
        <f t="shared" si="168"/>
        <v>-12221.220000000001</v>
      </c>
      <c r="Q573" s="1653">
        <f t="shared" si="169"/>
        <v>-6110.7766666666676</v>
      </c>
      <c r="R573" s="1653">
        <f t="shared" si="170"/>
        <v>-6110.7766666666676</v>
      </c>
      <c r="S573" s="1653">
        <f t="shared" si="171"/>
        <v>-0.33333333333393966</v>
      </c>
      <c r="T573" s="1653">
        <f t="shared" si="156"/>
        <v>-0.33333333333393966</v>
      </c>
      <c r="U573" s="1653">
        <f t="shared" si="157"/>
        <v>6110.11</v>
      </c>
      <c r="V573" s="1653">
        <f t="shared" si="158"/>
        <v>-0.66666666666727292</v>
      </c>
      <c r="W573" s="1653">
        <f t="shared" si="159"/>
        <v>6109.7766666666666</v>
      </c>
      <c r="X573" s="1653">
        <f t="shared" si="160"/>
        <v>-1.0000000000006062</v>
      </c>
      <c r="Y573" s="1653">
        <f t="shared" si="161"/>
        <v>6109.4433333333327</v>
      </c>
    </row>
    <row r="574" spans="1:25" ht="15" hidden="1" outlineLevel="1">
      <c r="A574" s="1615">
        <v>566</v>
      </c>
      <c r="C574" s="1651" t="s">
        <v>3234</v>
      </c>
      <c r="D574" s="1651" t="s">
        <v>3157</v>
      </c>
      <c r="E574" s="1613">
        <v>14496.43</v>
      </c>
      <c r="F574" s="1613">
        <v>-4031.2</v>
      </c>
      <c r="G574" s="1613">
        <f t="shared" si="162"/>
        <v>10465.23</v>
      </c>
      <c r="H574" s="1578">
        <v>2014</v>
      </c>
      <c r="I574" s="1662">
        <f t="shared" si="163"/>
        <v>1.5</v>
      </c>
      <c r="J574" s="1663">
        <v>36</v>
      </c>
      <c r="K574" s="1664">
        <f t="shared" si="164"/>
        <v>0.33333333333333331</v>
      </c>
      <c r="L574" s="1613">
        <f t="shared" si="165"/>
        <v>4832.1433333333334</v>
      </c>
      <c r="M574" s="1613">
        <f t="shared" si="166"/>
        <v>14496.43</v>
      </c>
      <c r="N574" s="1613">
        <f t="shared" si="155"/>
        <v>-9664.2866666666669</v>
      </c>
      <c r="O574" s="1652">
        <f t="shared" si="167"/>
        <v>4832.1433333333334</v>
      </c>
      <c r="P574" s="1653">
        <f t="shared" si="168"/>
        <v>-9664.6200000000008</v>
      </c>
      <c r="Q574" s="1653">
        <f t="shared" si="169"/>
        <v>-4832.4766666666674</v>
      </c>
      <c r="R574" s="1653">
        <f t="shared" si="170"/>
        <v>-4832.4766666666674</v>
      </c>
      <c r="S574" s="1653">
        <f t="shared" si="171"/>
        <v>-0.33333333333393966</v>
      </c>
      <c r="T574" s="1653">
        <f t="shared" si="156"/>
        <v>-0.33333333333393966</v>
      </c>
      <c r="U574" s="1653">
        <f t="shared" si="157"/>
        <v>4831.8099999999995</v>
      </c>
      <c r="V574" s="1653">
        <f t="shared" si="158"/>
        <v>-0.66666666666727292</v>
      </c>
      <c r="W574" s="1653">
        <f t="shared" si="159"/>
        <v>4831.4766666666665</v>
      </c>
      <c r="X574" s="1653">
        <f t="shared" si="160"/>
        <v>-1.0000000000006062</v>
      </c>
      <c r="Y574" s="1653">
        <f t="shared" si="161"/>
        <v>4831.1433333333325</v>
      </c>
    </row>
    <row r="575" spans="1:25" ht="15" hidden="1" outlineLevel="1">
      <c r="A575" s="1615">
        <v>567</v>
      </c>
      <c r="C575" s="1651" t="s">
        <v>3235</v>
      </c>
      <c r="D575" s="1651" t="s">
        <v>2465</v>
      </c>
      <c r="E575" s="1613">
        <v>3976.01</v>
      </c>
      <c r="F575" s="1613">
        <v>-1105.6600000000001</v>
      </c>
      <c r="G575" s="1613">
        <f t="shared" si="162"/>
        <v>2870.3500000000004</v>
      </c>
      <c r="H575" s="1578">
        <v>2014</v>
      </c>
      <c r="I575" s="1662">
        <f t="shared" si="163"/>
        <v>1.5</v>
      </c>
      <c r="J575" s="1663">
        <v>36</v>
      </c>
      <c r="K575" s="1664">
        <f t="shared" si="164"/>
        <v>0.33333333333333331</v>
      </c>
      <c r="L575" s="1613">
        <f t="shared" si="165"/>
        <v>1325.3366666666666</v>
      </c>
      <c r="M575" s="1613">
        <f t="shared" si="166"/>
        <v>3976.01</v>
      </c>
      <c r="N575" s="1613">
        <f t="shared" si="155"/>
        <v>-2650.6733333333332</v>
      </c>
      <c r="O575" s="1652">
        <f t="shared" si="167"/>
        <v>1325.336666666667</v>
      </c>
      <c r="P575" s="1653">
        <f t="shared" si="168"/>
        <v>-2651.0066666666667</v>
      </c>
      <c r="Q575" s="1653">
        <f t="shared" si="169"/>
        <v>-1325.67</v>
      </c>
      <c r="R575" s="1653">
        <f t="shared" si="170"/>
        <v>-1325.67</v>
      </c>
      <c r="S575" s="1653">
        <f t="shared" si="171"/>
        <v>-0.33333333333348492</v>
      </c>
      <c r="T575" s="1653">
        <f t="shared" si="156"/>
        <v>-0.33333333333348492</v>
      </c>
      <c r="U575" s="1653">
        <f t="shared" si="157"/>
        <v>1325.0033333333331</v>
      </c>
      <c r="V575" s="1653">
        <f t="shared" si="158"/>
        <v>-0.66666666666681818</v>
      </c>
      <c r="W575" s="1653">
        <f t="shared" si="159"/>
        <v>1324.6699999999998</v>
      </c>
      <c r="X575" s="1653">
        <f t="shared" si="160"/>
        <v>-1.0000000000001514</v>
      </c>
      <c r="Y575" s="1653">
        <f t="shared" si="161"/>
        <v>1324.3366666666664</v>
      </c>
    </row>
    <row r="576" spans="1:25" ht="15" hidden="1" outlineLevel="1">
      <c r="A576" s="1615">
        <v>568</v>
      </c>
      <c r="C576" s="1651" t="s">
        <v>3236</v>
      </c>
      <c r="D576" s="1651" t="s">
        <v>2465</v>
      </c>
      <c r="E576" s="1613">
        <v>3202.33</v>
      </c>
      <c r="F576" s="1613">
        <v>-890.51</v>
      </c>
      <c r="G576" s="1613">
        <f t="shared" si="162"/>
        <v>2311.8199999999997</v>
      </c>
      <c r="H576" s="1578">
        <v>2014</v>
      </c>
      <c r="I576" s="1662">
        <f t="shared" si="163"/>
        <v>1.5</v>
      </c>
      <c r="J576" s="1663">
        <v>36</v>
      </c>
      <c r="K576" s="1664">
        <f t="shared" si="164"/>
        <v>0.33333333333333331</v>
      </c>
      <c r="L576" s="1613">
        <f t="shared" si="165"/>
        <v>1067.4433333333332</v>
      </c>
      <c r="M576" s="1613">
        <f t="shared" si="166"/>
        <v>3202.33</v>
      </c>
      <c r="N576" s="1613">
        <f t="shared" si="155"/>
        <v>-2134.8866666666663</v>
      </c>
      <c r="O576" s="1652">
        <f t="shared" si="167"/>
        <v>1067.4433333333336</v>
      </c>
      <c r="P576" s="1653">
        <f t="shared" si="168"/>
        <v>-2135.2199999999998</v>
      </c>
      <c r="Q576" s="1653">
        <f t="shared" si="169"/>
        <v>-1067.7766666666666</v>
      </c>
      <c r="R576" s="1653">
        <f t="shared" si="170"/>
        <v>-1067.7766666666666</v>
      </c>
      <c r="S576" s="1653">
        <f t="shared" si="171"/>
        <v>-0.33333333333348492</v>
      </c>
      <c r="T576" s="1653">
        <f t="shared" si="156"/>
        <v>-0.33333333333348492</v>
      </c>
      <c r="U576" s="1653">
        <f t="shared" si="157"/>
        <v>1067.1099999999997</v>
      </c>
      <c r="V576" s="1653">
        <f t="shared" si="158"/>
        <v>-0.66666666666681818</v>
      </c>
      <c r="W576" s="1653">
        <f t="shared" si="159"/>
        <v>1066.7766666666664</v>
      </c>
      <c r="X576" s="1653">
        <f t="shared" si="160"/>
        <v>-1.0000000000001514</v>
      </c>
      <c r="Y576" s="1653">
        <f t="shared" si="161"/>
        <v>1066.4433333333329</v>
      </c>
    </row>
    <row r="577" spans="1:25" ht="15" hidden="1" outlineLevel="1">
      <c r="A577" s="1615">
        <v>569</v>
      </c>
      <c r="C577" s="1651" t="s">
        <v>3237</v>
      </c>
      <c r="D577" s="1651" t="s">
        <v>2465</v>
      </c>
      <c r="E577" s="1613">
        <v>441.37</v>
      </c>
      <c r="F577" s="1613">
        <v>-122.74</v>
      </c>
      <c r="G577" s="1613">
        <f t="shared" si="162"/>
        <v>318.63</v>
      </c>
      <c r="H577" s="1578">
        <v>2014</v>
      </c>
      <c r="I577" s="1662">
        <f t="shared" si="163"/>
        <v>1.5</v>
      </c>
      <c r="J577" s="1663">
        <v>36</v>
      </c>
      <c r="K577" s="1664">
        <f t="shared" si="164"/>
        <v>0.33333333333333331</v>
      </c>
      <c r="L577" s="1613">
        <f t="shared" si="165"/>
        <v>147.12333333333333</v>
      </c>
      <c r="M577" s="1613">
        <f t="shared" si="166"/>
        <v>441.37</v>
      </c>
      <c r="N577" s="1613">
        <f t="shared" si="155"/>
        <v>-294.24666666666667</v>
      </c>
      <c r="O577" s="1652">
        <f t="shared" si="167"/>
        <v>147.12333333333333</v>
      </c>
      <c r="P577" s="1653">
        <f t="shared" si="168"/>
        <v>-294.58</v>
      </c>
      <c r="Q577" s="1653">
        <f t="shared" si="169"/>
        <v>-147.45666666666665</v>
      </c>
      <c r="R577" s="1653">
        <f t="shared" si="170"/>
        <v>-147.45666666666665</v>
      </c>
      <c r="S577" s="1653">
        <f t="shared" si="171"/>
        <v>-0.33333333333331439</v>
      </c>
      <c r="T577" s="1653">
        <f t="shared" si="156"/>
        <v>-0.33333333333331439</v>
      </c>
      <c r="U577" s="1653">
        <f t="shared" si="157"/>
        <v>146.79000000000002</v>
      </c>
      <c r="V577" s="1653">
        <f t="shared" si="158"/>
        <v>-0.66666666666664764</v>
      </c>
      <c r="W577" s="1653">
        <f t="shared" si="159"/>
        <v>146.45666666666668</v>
      </c>
      <c r="X577" s="1653">
        <f t="shared" si="160"/>
        <v>-0.9999999999999809</v>
      </c>
      <c r="Y577" s="1653">
        <f t="shared" si="161"/>
        <v>146.12333333333336</v>
      </c>
    </row>
    <row r="578" spans="1:25" ht="15" hidden="1" outlineLevel="1">
      <c r="A578" s="1615">
        <v>570</v>
      </c>
      <c r="C578" s="1651" t="s">
        <v>3238</v>
      </c>
      <c r="D578" s="1651" t="s">
        <v>2465</v>
      </c>
      <c r="E578" s="1613">
        <v>201.65</v>
      </c>
      <c r="F578" s="1613">
        <v>-61.78</v>
      </c>
      <c r="G578" s="1613">
        <f t="shared" si="162"/>
        <v>139.87</v>
      </c>
      <c r="H578" s="1578">
        <v>2014</v>
      </c>
      <c r="I578" s="1662">
        <f t="shared" si="163"/>
        <v>1.5</v>
      </c>
      <c r="J578" s="1663">
        <v>36</v>
      </c>
      <c r="K578" s="1664">
        <f t="shared" si="164"/>
        <v>0.33333333333333331</v>
      </c>
      <c r="L578" s="1613">
        <f t="shared" si="165"/>
        <v>67.216666666666669</v>
      </c>
      <c r="M578" s="1613">
        <f t="shared" si="166"/>
        <v>201.65</v>
      </c>
      <c r="N578" s="1613">
        <f t="shared" si="155"/>
        <v>-134.43333333333334</v>
      </c>
      <c r="O578" s="1652">
        <f t="shared" si="167"/>
        <v>67.216666666666669</v>
      </c>
      <c r="P578" s="1653">
        <f t="shared" si="168"/>
        <v>-134.76666666666668</v>
      </c>
      <c r="Q578" s="1653">
        <f t="shared" si="169"/>
        <v>-67.550000000000011</v>
      </c>
      <c r="R578" s="1653">
        <f t="shared" si="170"/>
        <v>-67.550000000000011</v>
      </c>
      <c r="S578" s="1653">
        <f t="shared" si="171"/>
        <v>-0.33333333333334281</v>
      </c>
      <c r="T578" s="1653">
        <f t="shared" si="156"/>
        <v>-0.33333333333334281</v>
      </c>
      <c r="U578" s="1653">
        <f t="shared" si="157"/>
        <v>66.883333333333326</v>
      </c>
      <c r="V578" s="1653">
        <f t="shared" si="158"/>
        <v>-0.66666666666667607</v>
      </c>
      <c r="W578" s="1653">
        <f t="shared" si="159"/>
        <v>66.55</v>
      </c>
      <c r="X578" s="1653">
        <f t="shared" si="160"/>
        <v>-1.0000000000000093</v>
      </c>
      <c r="Y578" s="1653">
        <f t="shared" si="161"/>
        <v>66.216666666666654</v>
      </c>
    </row>
    <row r="579" spans="1:25" ht="15" hidden="1" outlineLevel="1">
      <c r="A579" s="1615">
        <v>571</v>
      </c>
      <c r="C579" s="1651" t="s">
        <v>3239</v>
      </c>
      <c r="D579" s="1651" t="s">
        <v>2465</v>
      </c>
      <c r="E579" s="1613">
        <v>218.27</v>
      </c>
      <c r="F579" s="1613">
        <v>-66.87</v>
      </c>
      <c r="G579" s="1613">
        <f t="shared" si="162"/>
        <v>151.4</v>
      </c>
      <c r="H579" s="1578">
        <v>2014</v>
      </c>
      <c r="I579" s="1662">
        <f t="shared" si="163"/>
        <v>1.5</v>
      </c>
      <c r="J579" s="1663">
        <v>36</v>
      </c>
      <c r="K579" s="1664">
        <f t="shared" si="164"/>
        <v>0.33333333333333331</v>
      </c>
      <c r="L579" s="1613">
        <f t="shared" si="165"/>
        <v>72.756666666666661</v>
      </c>
      <c r="M579" s="1613">
        <f t="shared" si="166"/>
        <v>218.27</v>
      </c>
      <c r="N579" s="1613">
        <f t="shared" si="155"/>
        <v>-145.51333333333332</v>
      </c>
      <c r="O579" s="1652">
        <f t="shared" si="167"/>
        <v>72.756666666666689</v>
      </c>
      <c r="P579" s="1653">
        <f t="shared" si="168"/>
        <v>-145.84666666666666</v>
      </c>
      <c r="Q579" s="1653">
        <f t="shared" si="169"/>
        <v>-73.09</v>
      </c>
      <c r="R579" s="1653">
        <f t="shared" si="170"/>
        <v>-73.09</v>
      </c>
      <c r="S579" s="1653">
        <f t="shared" si="171"/>
        <v>-0.33333333333334281</v>
      </c>
      <c r="T579" s="1653">
        <f t="shared" si="156"/>
        <v>-0.33333333333334281</v>
      </c>
      <c r="U579" s="1653">
        <f t="shared" si="157"/>
        <v>72.423333333333318</v>
      </c>
      <c r="V579" s="1653">
        <f t="shared" si="158"/>
        <v>-0.66666666666667607</v>
      </c>
      <c r="W579" s="1653">
        <f t="shared" si="159"/>
        <v>72.089999999999989</v>
      </c>
      <c r="X579" s="1653">
        <f t="shared" si="160"/>
        <v>-1.0000000000000093</v>
      </c>
      <c r="Y579" s="1653">
        <f t="shared" si="161"/>
        <v>71.756666666666646</v>
      </c>
    </row>
    <row r="580" spans="1:25" ht="15" hidden="1" outlineLevel="1">
      <c r="A580" s="1615">
        <v>572</v>
      </c>
      <c r="C580" s="1651" t="s">
        <v>3240</v>
      </c>
      <c r="D580" s="1651" t="s">
        <v>2465</v>
      </c>
      <c r="E580" s="1613">
        <v>110.08</v>
      </c>
      <c r="F580" s="1613">
        <v>-33.729999999999997</v>
      </c>
      <c r="G580" s="1613">
        <f t="shared" si="162"/>
        <v>76.349999999999994</v>
      </c>
      <c r="H580" s="1578">
        <v>2014</v>
      </c>
      <c r="I580" s="1662">
        <f t="shared" si="163"/>
        <v>1.5</v>
      </c>
      <c r="J580" s="1663">
        <v>36</v>
      </c>
      <c r="K580" s="1664">
        <f t="shared" si="164"/>
        <v>0.33333333333333331</v>
      </c>
      <c r="L580" s="1613">
        <f t="shared" si="165"/>
        <v>36.693333333333328</v>
      </c>
      <c r="M580" s="1613">
        <f t="shared" si="166"/>
        <v>110.08</v>
      </c>
      <c r="N580" s="1613">
        <f t="shared" si="155"/>
        <v>-73.386666666666656</v>
      </c>
      <c r="O580" s="1652">
        <f t="shared" si="167"/>
        <v>36.693333333333342</v>
      </c>
      <c r="P580" s="1653">
        <f t="shared" si="168"/>
        <v>-73.719999999999985</v>
      </c>
      <c r="Q580" s="1653">
        <f t="shared" si="169"/>
        <v>-37.026666666666657</v>
      </c>
      <c r="R580" s="1653">
        <f t="shared" si="170"/>
        <v>-37.026666666666657</v>
      </c>
      <c r="S580" s="1653">
        <f t="shared" si="171"/>
        <v>-0.3333333333333286</v>
      </c>
      <c r="T580" s="1653">
        <f t="shared" si="156"/>
        <v>-0.3333333333333286</v>
      </c>
      <c r="U580" s="1653">
        <f t="shared" si="157"/>
        <v>36.36</v>
      </c>
      <c r="V580" s="1653">
        <f t="shared" si="158"/>
        <v>-0.66666666666666186</v>
      </c>
      <c r="W580" s="1653">
        <f t="shared" si="159"/>
        <v>36.026666666666664</v>
      </c>
      <c r="X580" s="1653">
        <f t="shared" si="160"/>
        <v>-0.99999999999999512</v>
      </c>
      <c r="Y580" s="1653">
        <f t="shared" si="161"/>
        <v>35.693333333333335</v>
      </c>
    </row>
    <row r="581" spans="1:25" ht="15" hidden="1" outlineLevel="1">
      <c r="A581" s="1615">
        <v>573</v>
      </c>
      <c r="C581" s="1651" t="s">
        <v>3241</v>
      </c>
      <c r="D581" s="1651" t="s">
        <v>2465</v>
      </c>
      <c r="E581" s="1613">
        <v>110.54</v>
      </c>
      <c r="F581" s="1613">
        <v>-33.86</v>
      </c>
      <c r="G581" s="1613">
        <f t="shared" si="162"/>
        <v>76.680000000000007</v>
      </c>
      <c r="H581" s="1578">
        <v>2014</v>
      </c>
      <c r="I581" s="1662">
        <f t="shared" si="163"/>
        <v>1.5</v>
      </c>
      <c r="J581" s="1663">
        <v>36</v>
      </c>
      <c r="K581" s="1664">
        <f t="shared" si="164"/>
        <v>0.33333333333333331</v>
      </c>
      <c r="L581" s="1613">
        <f t="shared" si="165"/>
        <v>36.846666666666664</v>
      </c>
      <c r="M581" s="1613">
        <f t="shared" si="166"/>
        <v>110.54</v>
      </c>
      <c r="N581" s="1613">
        <f t="shared" si="155"/>
        <v>-73.693333333333328</v>
      </c>
      <c r="O581" s="1652">
        <f t="shared" si="167"/>
        <v>36.846666666666678</v>
      </c>
      <c r="P581" s="1653">
        <f t="shared" si="168"/>
        <v>-74.026666666666657</v>
      </c>
      <c r="Q581" s="1653">
        <f t="shared" si="169"/>
        <v>-37.179999999999993</v>
      </c>
      <c r="R581" s="1653">
        <f t="shared" si="170"/>
        <v>-37.179999999999993</v>
      </c>
      <c r="S581" s="1653">
        <f t="shared" si="171"/>
        <v>-0.3333333333333286</v>
      </c>
      <c r="T581" s="1653">
        <f t="shared" si="156"/>
        <v>-0.3333333333333286</v>
      </c>
      <c r="U581" s="1653">
        <f t="shared" si="157"/>
        <v>36.513333333333335</v>
      </c>
      <c r="V581" s="1653">
        <f t="shared" si="158"/>
        <v>-0.66666666666666186</v>
      </c>
      <c r="W581" s="1653">
        <f t="shared" si="159"/>
        <v>36.18</v>
      </c>
      <c r="X581" s="1653">
        <f t="shared" si="160"/>
        <v>-0.99999999999999512</v>
      </c>
      <c r="Y581" s="1653">
        <f t="shared" si="161"/>
        <v>35.846666666666671</v>
      </c>
    </row>
    <row r="582" spans="1:25" ht="15" hidden="1" outlineLevel="1">
      <c r="A582" s="1615">
        <v>574</v>
      </c>
      <c r="C582" s="1651" t="s">
        <v>3242</v>
      </c>
      <c r="D582" s="1651" t="s">
        <v>2465</v>
      </c>
      <c r="E582" s="1613">
        <v>221.11</v>
      </c>
      <c r="F582" s="1613">
        <v>-67.75</v>
      </c>
      <c r="G582" s="1613">
        <f t="shared" si="162"/>
        <v>153.36000000000001</v>
      </c>
      <c r="H582" s="1578">
        <v>2014</v>
      </c>
      <c r="I582" s="1662">
        <f t="shared" si="163"/>
        <v>1.5</v>
      </c>
      <c r="J582" s="1663">
        <v>36</v>
      </c>
      <c r="K582" s="1664">
        <f t="shared" si="164"/>
        <v>0.33333333333333331</v>
      </c>
      <c r="L582" s="1613">
        <f t="shared" si="165"/>
        <v>73.703333333333333</v>
      </c>
      <c r="M582" s="1613">
        <f t="shared" si="166"/>
        <v>221.11</v>
      </c>
      <c r="N582" s="1613">
        <f t="shared" si="155"/>
        <v>-147.40666666666667</v>
      </c>
      <c r="O582" s="1652">
        <f t="shared" si="167"/>
        <v>73.703333333333347</v>
      </c>
      <c r="P582" s="1653">
        <f t="shared" si="168"/>
        <v>-147.74</v>
      </c>
      <c r="Q582" s="1653">
        <f t="shared" si="169"/>
        <v>-74.036666666666676</v>
      </c>
      <c r="R582" s="1653">
        <f t="shared" si="170"/>
        <v>-74.036666666666676</v>
      </c>
      <c r="S582" s="1653">
        <f t="shared" si="171"/>
        <v>-0.33333333333334281</v>
      </c>
      <c r="T582" s="1653">
        <f t="shared" si="156"/>
        <v>-0.33333333333334281</v>
      </c>
      <c r="U582" s="1653">
        <f t="shared" si="157"/>
        <v>73.36999999999999</v>
      </c>
      <c r="V582" s="1653">
        <f t="shared" si="158"/>
        <v>-0.66666666666667607</v>
      </c>
      <c r="W582" s="1653">
        <f t="shared" si="159"/>
        <v>73.036666666666662</v>
      </c>
      <c r="X582" s="1653">
        <f t="shared" si="160"/>
        <v>-1.0000000000000093</v>
      </c>
      <c r="Y582" s="1653">
        <f t="shared" si="161"/>
        <v>72.703333333333319</v>
      </c>
    </row>
    <row r="583" spans="1:25" ht="15" hidden="1" outlineLevel="1">
      <c r="A583" s="1615">
        <v>575</v>
      </c>
      <c r="C583" s="1651" t="s">
        <v>3243</v>
      </c>
      <c r="D583" s="1651" t="s">
        <v>2465</v>
      </c>
      <c r="E583" s="1613">
        <v>110.88</v>
      </c>
      <c r="F583" s="1613">
        <v>-33.97</v>
      </c>
      <c r="G583" s="1613">
        <f t="shared" si="162"/>
        <v>76.91</v>
      </c>
      <c r="H583" s="1578">
        <v>2014</v>
      </c>
      <c r="I583" s="1662">
        <f t="shared" si="163"/>
        <v>1.5</v>
      </c>
      <c r="J583" s="1663">
        <v>36</v>
      </c>
      <c r="K583" s="1664">
        <f t="shared" si="164"/>
        <v>0.33333333333333331</v>
      </c>
      <c r="L583" s="1613">
        <f t="shared" si="165"/>
        <v>36.959999999999994</v>
      </c>
      <c r="M583" s="1613">
        <f t="shared" si="166"/>
        <v>110.88</v>
      </c>
      <c r="N583" s="1613">
        <f t="shared" si="155"/>
        <v>-73.919999999999987</v>
      </c>
      <c r="O583" s="1652">
        <f t="shared" si="167"/>
        <v>36.960000000000008</v>
      </c>
      <c r="P583" s="1653">
        <f t="shared" si="168"/>
        <v>-74.253333333333316</v>
      </c>
      <c r="Q583" s="1653">
        <f t="shared" si="169"/>
        <v>-37.293333333333322</v>
      </c>
      <c r="R583" s="1653">
        <f t="shared" si="170"/>
        <v>-37.293333333333322</v>
      </c>
      <c r="S583" s="1653">
        <f t="shared" si="171"/>
        <v>-0.3333333333333286</v>
      </c>
      <c r="T583" s="1653">
        <f t="shared" si="156"/>
        <v>-0.3333333333333286</v>
      </c>
      <c r="U583" s="1653">
        <f t="shared" si="157"/>
        <v>36.626666666666665</v>
      </c>
      <c r="V583" s="1653">
        <f t="shared" si="158"/>
        <v>-0.66666666666666186</v>
      </c>
      <c r="W583" s="1653">
        <f t="shared" si="159"/>
        <v>36.293333333333329</v>
      </c>
      <c r="X583" s="1653">
        <f t="shared" si="160"/>
        <v>-0.99999999999999512</v>
      </c>
      <c r="Y583" s="1653">
        <f t="shared" si="161"/>
        <v>35.96</v>
      </c>
    </row>
    <row r="584" spans="1:25" ht="15" hidden="1" outlineLevel="1">
      <c r="A584" s="1615">
        <v>576</v>
      </c>
      <c r="C584" s="1651" t="s">
        <v>3244</v>
      </c>
      <c r="D584" s="1651" t="s">
        <v>2465</v>
      </c>
      <c r="E584" s="1613">
        <v>9952.7800000000007</v>
      </c>
      <c r="F584" s="1613">
        <v>-3049.47</v>
      </c>
      <c r="G584" s="1613">
        <f t="shared" si="162"/>
        <v>6903.3100000000013</v>
      </c>
      <c r="H584" s="1578">
        <v>2014</v>
      </c>
      <c r="I584" s="1662">
        <f t="shared" si="163"/>
        <v>1.5</v>
      </c>
      <c r="J584" s="1663">
        <v>36</v>
      </c>
      <c r="K584" s="1664">
        <f t="shared" si="164"/>
        <v>0.33333333333333331</v>
      </c>
      <c r="L584" s="1613">
        <f t="shared" si="165"/>
        <v>3317.5933333333332</v>
      </c>
      <c r="M584" s="1613">
        <f t="shared" si="166"/>
        <v>9952.7800000000007</v>
      </c>
      <c r="N584" s="1613">
        <f t="shared" si="155"/>
        <v>-6635.1866666666665</v>
      </c>
      <c r="O584" s="1652">
        <f t="shared" si="167"/>
        <v>3317.5933333333342</v>
      </c>
      <c r="P584" s="1653">
        <f t="shared" si="168"/>
        <v>-6635.5199999999995</v>
      </c>
      <c r="Q584" s="1653">
        <f t="shared" si="169"/>
        <v>-3317.9266666666663</v>
      </c>
      <c r="R584" s="1653">
        <f t="shared" si="170"/>
        <v>-3317.9266666666663</v>
      </c>
      <c r="S584" s="1653">
        <f t="shared" si="171"/>
        <v>-0.33333333333303017</v>
      </c>
      <c r="T584" s="1653">
        <f t="shared" si="156"/>
        <v>-0.33333333333303017</v>
      </c>
      <c r="U584" s="1653">
        <f t="shared" si="157"/>
        <v>3317.26</v>
      </c>
      <c r="V584" s="1653">
        <f t="shared" si="158"/>
        <v>-0.66666666666636343</v>
      </c>
      <c r="W584" s="1653">
        <f t="shared" si="159"/>
        <v>3316.9266666666667</v>
      </c>
      <c r="X584" s="1653">
        <f t="shared" si="160"/>
        <v>-0.99999999999969669</v>
      </c>
      <c r="Y584" s="1653">
        <f t="shared" si="161"/>
        <v>3316.5933333333337</v>
      </c>
    </row>
    <row r="585" spans="1:25" ht="15" hidden="1" outlineLevel="1">
      <c r="A585" s="1615">
        <v>577</v>
      </c>
      <c r="C585" s="1651" t="s">
        <v>3245</v>
      </c>
      <c r="D585" s="1651" t="s">
        <v>2465</v>
      </c>
      <c r="E585" s="1613">
        <v>70.44</v>
      </c>
      <c r="F585" s="1613">
        <v>-21.58</v>
      </c>
      <c r="G585" s="1613">
        <f t="shared" si="162"/>
        <v>48.86</v>
      </c>
      <c r="H585" s="1578">
        <v>2014</v>
      </c>
      <c r="I585" s="1662">
        <f t="shared" si="163"/>
        <v>1.5</v>
      </c>
      <c r="J585" s="1663">
        <v>36</v>
      </c>
      <c r="K585" s="1664">
        <f t="shared" si="164"/>
        <v>0.33333333333333331</v>
      </c>
      <c r="L585" s="1613">
        <f t="shared" si="165"/>
        <v>23.479999999999997</v>
      </c>
      <c r="M585" s="1613">
        <f t="shared" si="166"/>
        <v>70.44</v>
      </c>
      <c r="N585" s="1613">
        <f t="shared" si="155"/>
        <v>-46.959999999999994</v>
      </c>
      <c r="O585" s="1652">
        <f t="shared" si="167"/>
        <v>23.480000000000004</v>
      </c>
      <c r="P585" s="1653">
        <f t="shared" si="168"/>
        <v>-47.293333333333329</v>
      </c>
      <c r="Q585" s="1653">
        <f t="shared" si="169"/>
        <v>-23.813333333333333</v>
      </c>
      <c r="R585" s="1653">
        <f t="shared" si="170"/>
        <v>-23.813333333333333</v>
      </c>
      <c r="S585" s="1653">
        <f t="shared" si="171"/>
        <v>-0.3333333333333357</v>
      </c>
      <c r="T585" s="1653">
        <f t="shared" si="156"/>
        <v>-0.3333333333333357</v>
      </c>
      <c r="U585" s="1653">
        <f t="shared" si="157"/>
        <v>23.146666666666661</v>
      </c>
      <c r="V585" s="1653">
        <f t="shared" si="158"/>
        <v>-0.66666666666666896</v>
      </c>
      <c r="W585" s="1653">
        <f t="shared" si="159"/>
        <v>22.813333333333329</v>
      </c>
      <c r="X585" s="1653">
        <f t="shared" si="160"/>
        <v>-1.0000000000000022</v>
      </c>
      <c r="Y585" s="1653">
        <f t="shared" si="161"/>
        <v>22.479999999999993</v>
      </c>
    </row>
    <row r="586" spans="1:25" ht="15" hidden="1" outlineLevel="1">
      <c r="A586" s="1615">
        <v>578</v>
      </c>
      <c r="C586" s="1651" t="s">
        <v>3246</v>
      </c>
      <c r="D586" s="1651" t="s">
        <v>2465</v>
      </c>
      <c r="E586" s="1613">
        <v>89.25</v>
      </c>
      <c r="F586" s="1613">
        <v>-24.81</v>
      </c>
      <c r="G586" s="1613">
        <f t="shared" si="162"/>
        <v>64.44</v>
      </c>
      <c r="H586" s="1578">
        <v>2014</v>
      </c>
      <c r="I586" s="1662">
        <f t="shared" si="163"/>
        <v>1.5</v>
      </c>
      <c r="J586" s="1663">
        <v>36</v>
      </c>
      <c r="K586" s="1664">
        <f t="shared" si="164"/>
        <v>0.33333333333333331</v>
      </c>
      <c r="L586" s="1613">
        <f t="shared" si="165"/>
        <v>29.75</v>
      </c>
      <c r="M586" s="1613">
        <f t="shared" si="166"/>
        <v>89.25</v>
      </c>
      <c r="N586" s="1613">
        <f t="shared" si="155"/>
        <v>-59.5</v>
      </c>
      <c r="O586" s="1652">
        <f t="shared" si="167"/>
        <v>29.75</v>
      </c>
      <c r="P586" s="1653">
        <f t="shared" si="168"/>
        <v>-59.833333333333336</v>
      </c>
      <c r="Q586" s="1653">
        <f t="shared" si="169"/>
        <v>-30.083333333333336</v>
      </c>
      <c r="R586" s="1653">
        <f t="shared" si="170"/>
        <v>-30.083333333333336</v>
      </c>
      <c r="S586" s="1653">
        <f t="shared" si="171"/>
        <v>-0.3333333333333357</v>
      </c>
      <c r="T586" s="1653">
        <f t="shared" si="156"/>
        <v>-0.3333333333333357</v>
      </c>
      <c r="U586" s="1653">
        <f t="shared" si="157"/>
        <v>29.416666666666664</v>
      </c>
      <c r="V586" s="1653">
        <f t="shared" si="158"/>
        <v>-0.66666666666666896</v>
      </c>
      <c r="W586" s="1653">
        <f t="shared" si="159"/>
        <v>29.083333333333332</v>
      </c>
      <c r="X586" s="1653">
        <f t="shared" si="160"/>
        <v>-1.0000000000000022</v>
      </c>
      <c r="Y586" s="1653">
        <f t="shared" si="161"/>
        <v>28.749999999999996</v>
      </c>
    </row>
    <row r="587" spans="1:25" ht="15" hidden="1" outlineLevel="1">
      <c r="A587" s="1615">
        <v>579</v>
      </c>
      <c r="C587" s="1651" t="s">
        <v>3247</v>
      </c>
      <c r="D587" s="1651" t="s">
        <v>2465</v>
      </c>
      <c r="E587" s="1613">
        <v>3888.33</v>
      </c>
      <c r="F587" s="1613">
        <v>-1191.3499999999999</v>
      </c>
      <c r="G587" s="1613">
        <f t="shared" si="162"/>
        <v>2696.98</v>
      </c>
      <c r="H587" s="1578">
        <v>2014</v>
      </c>
      <c r="I587" s="1662">
        <f t="shared" si="163"/>
        <v>1.5</v>
      </c>
      <c r="J587" s="1663">
        <v>36</v>
      </c>
      <c r="K587" s="1664">
        <f t="shared" si="164"/>
        <v>0.33333333333333331</v>
      </c>
      <c r="L587" s="1613">
        <f t="shared" si="165"/>
        <v>1296.1099999999999</v>
      </c>
      <c r="M587" s="1613">
        <f t="shared" si="166"/>
        <v>3888.33</v>
      </c>
      <c r="N587" s="1613">
        <f t="shared" si="155"/>
        <v>-2592.2199999999998</v>
      </c>
      <c r="O587" s="1652">
        <f t="shared" si="167"/>
        <v>1296.1100000000001</v>
      </c>
      <c r="P587" s="1653">
        <f t="shared" si="168"/>
        <v>-2592.5533333333333</v>
      </c>
      <c r="Q587" s="1653">
        <f t="shared" si="169"/>
        <v>-1296.4433333333334</v>
      </c>
      <c r="R587" s="1653">
        <f t="shared" si="170"/>
        <v>-1296.4433333333334</v>
      </c>
      <c r="S587" s="1653">
        <f t="shared" si="171"/>
        <v>-0.33333333333348492</v>
      </c>
      <c r="T587" s="1653">
        <f t="shared" si="156"/>
        <v>-0.33333333333348492</v>
      </c>
      <c r="U587" s="1653">
        <f t="shared" si="157"/>
        <v>1295.7766666666664</v>
      </c>
      <c r="V587" s="1653">
        <f t="shared" si="158"/>
        <v>-0.66666666666681818</v>
      </c>
      <c r="W587" s="1653">
        <f t="shared" si="159"/>
        <v>1295.4433333333332</v>
      </c>
      <c r="X587" s="1653">
        <f t="shared" si="160"/>
        <v>-1.0000000000001514</v>
      </c>
      <c r="Y587" s="1653">
        <f t="shared" si="161"/>
        <v>1295.1099999999997</v>
      </c>
    </row>
    <row r="588" spans="1:25" ht="15" hidden="1" outlineLevel="1">
      <c r="A588" s="1615">
        <v>580</v>
      </c>
      <c r="C588" s="1651" t="s">
        <v>3248</v>
      </c>
      <c r="D588" s="1651" t="s">
        <v>3139</v>
      </c>
      <c r="E588" s="1613">
        <v>5018.03</v>
      </c>
      <c r="F588" s="1613">
        <v>-1395.42</v>
      </c>
      <c r="G588" s="1613">
        <f t="shared" si="162"/>
        <v>3622.6099999999997</v>
      </c>
      <c r="H588" s="1578">
        <v>2014</v>
      </c>
      <c r="I588" s="1662">
        <f t="shared" si="163"/>
        <v>1.5</v>
      </c>
      <c r="J588" s="1663">
        <v>36</v>
      </c>
      <c r="K588" s="1664">
        <f t="shared" si="164"/>
        <v>0.33333333333333331</v>
      </c>
      <c r="L588" s="1613">
        <f t="shared" si="165"/>
        <v>1672.6766666666665</v>
      </c>
      <c r="M588" s="1613">
        <f t="shared" si="166"/>
        <v>5018.03</v>
      </c>
      <c r="N588" s="1613">
        <f t="shared" si="155"/>
        <v>-3345.353333333333</v>
      </c>
      <c r="O588" s="1652">
        <f t="shared" si="167"/>
        <v>1672.6766666666667</v>
      </c>
      <c r="P588" s="1653">
        <f t="shared" si="168"/>
        <v>-3345.6866666666665</v>
      </c>
      <c r="Q588" s="1653">
        <f t="shared" si="169"/>
        <v>-1673.01</v>
      </c>
      <c r="R588" s="1653">
        <f t="shared" si="170"/>
        <v>-1673.01</v>
      </c>
      <c r="S588" s="1653">
        <f t="shared" si="171"/>
        <v>-0.33333333333348492</v>
      </c>
      <c r="T588" s="1653">
        <f t="shared" si="156"/>
        <v>-0.33333333333348492</v>
      </c>
      <c r="U588" s="1653">
        <f t="shared" si="157"/>
        <v>1672.343333333333</v>
      </c>
      <c r="V588" s="1653">
        <f t="shared" si="158"/>
        <v>-0.66666666666681818</v>
      </c>
      <c r="W588" s="1653">
        <f t="shared" si="159"/>
        <v>1672.0099999999998</v>
      </c>
      <c r="X588" s="1653">
        <f t="shared" si="160"/>
        <v>-1.0000000000001514</v>
      </c>
      <c r="Y588" s="1653">
        <f t="shared" si="161"/>
        <v>1671.6766666666663</v>
      </c>
    </row>
    <row r="589" spans="1:25" ht="15" hidden="1" outlineLevel="1">
      <c r="A589" s="1615">
        <v>581</v>
      </c>
      <c r="C589" s="1651" t="s">
        <v>3249</v>
      </c>
      <c r="D589" s="1651" t="s">
        <v>3139</v>
      </c>
      <c r="E589" s="1613">
        <v>37.18</v>
      </c>
      <c r="F589" s="1613">
        <v>-10.35</v>
      </c>
      <c r="G589" s="1613">
        <f t="shared" si="162"/>
        <v>26.83</v>
      </c>
      <c r="H589" s="1578">
        <v>2014</v>
      </c>
      <c r="I589" s="1662">
        <f t="shared" si="163"/>
        <v>1.5</v>
      </c>
      <c r="J589" s="1663">
        <v>36</v>
      </c>
      <c r="K589" s="1664">
        <f t="shared" si="164"/>
        <v>0.33333333333333331</v>
      </c>
      <c r="L589" s="1613">
        <f t="shared" si="165"/>
        <v>12.393333333333333</v>
      </c>
      <c r="M589" s="1613">
        <f t="shared" si="166"/>
        <v>37.18</v>
      </c>
      <c r="N589" s="1613">
        <f t="shared" si="155"/>
        <v>-24.786666666666665</v>
      </c>
      <c r="O589" s="1652">
        <f t="shared" si="167"/>
        <v>12.393333333333334</v>
      </c>
      <c r="P589" s="1653">
        <f t="shared" si="168"/>
        <v>-25.119999999999997</v>
      </c>
      <c r="Q589" s="1653">
        <f t="shared" si="169"/>
        <v>-12.726666666666665</v>
      </c>
      <c r="R589" s="1653">
        <f t="shared" si="170"/>
        <v>-12.726666666666665</v>
      </c>
      <c r="S589" s="1653">
        <f t="shared" si="171"/>
        <v>-0.33333333333333215</v>
      </c>
      <c r="T589" s="1653">
        <f t="shared" si="156"/>
        <v>-0.33333333333333215</v>
      </c>
      <c r="U589" s="1653">
        <f t="shared" si="157"/>
        <v>12.06</v>
      </c>
      <c r="V589" s="1653">
        <f t="shared" si="158"/>
        <v>-0.66666666666666541</v>
      </c>
      <c r="W589" s="1653">
        <f t="shared" si="159"/>
        <v>11.726666666666667</v>
      </c>
      <c r="X589" s="1653">
        <f t="shared" si="160"/>
        <v>-0.99999999999999867</v>
      </c>
      <c r="Y589" s="1653">
        <f t="shared" si="161"/>
        <v>11.393333333333334</v>
      </c>
    </row>
    <row r="590" spans="1:25" ht="15" hidden="1" outlineLevel="1">
      <c r="A590" s="1615">
        <v>582</v>
      </c>
      <c r="C590" s="1651" t="s">
        <v>3250</v>
      </c>
      <c r="D590" s="1651" t="s">
        <v>2465</v>
      </c>
      <c r="E590" s="1613">
        <v>1883.2</v>
      </c>
      <c r="F590" s="1613">
        <v>-523.69000000000005</v>
      </c>
      <c r="G590" s="1613">
        <f t="shared" si="162"/>
        <v>1359.51</v>
      </c>
      <c r="H590" s="1578">
        <v>2014</v>
      </c>
      <c r="I590" s="1662">
        <f t="shared" si="163"/>
        <v>1.5</v>
      </c>
      <c r="J590" s="1663">
        <v>36</v>
      </c>
      <c r="K590" s="1664">
        <f t="shared" si="164"/>
        <v>0.33333333333333331</v>
      </c>
      <c r="L590" s="1613">
        <f t="shared" si="165"/>
        <v>627.73333333333335</v>
      </c>
      <c r="M590" s="1613">
        <f t="shared" si="166"/>
        <v>1883.2</v>
      </c>
      <c r="N590" s="1613">
        <f t="shared" si="155"/>
        <v>-1255.4666666666667</v>
      </c>
      <c r="O590" s="1652">
        <f t="shared" si="167"/>
        <v>627.73333333333335</v>
      </c>
      <c r="P590" s="1653">
        <f t="shared" si="168"/>
        <v>-1255.8</v>
      </c>
      <c r="Q590" s="1653">
        <f t="shared" si="169"/>
        <v>-628.06666666666661</v>
      </c>
      <c r="R590" s="1653">
        <f t="shared" si="170"/>
        <v>-628.06666666666661</v>
      </c>
      <c r="S590" s="1653">
        <f t="shared" si="171"/>
        <v>-0.33333333333325754</v>
      </c>
      <c r="T590" s="1653">
        <f t="shared" si="156"/>
        <v>-0.33333333333325754</v>
      </c>
      <c r="U590" s="1653">
        <f t="shared" si="157"/>
        <v>627.40000000000009</v>
      </c>
      <c r="V590" s="1653">
        <f t="shared" si="158"/>
        <v>-0.6666666666665908</v>
      </c>
      <c r="W590" s="1653">
        <f t="shared" si="159"/>
        <v>627.06666666666672</v>
      </c>
      <c r="X590" s="1653">
        <f t="shared" si="160"/>
        <v>-0.99999999999992406</v>
      </c>
      <c r="Y590" s="1653">
        <f t="shared" si="161"/>
        <v>626.73333333333346</v>
      </c>
    </row>
    <row r="591" spans="1:25" ht="15" hidden="1" outlineLevel="1">
      <c r="A591" s="1615">
        <v>583</v>
      </c>
      <c r="C591" s="1651" t="s">
        <v>3251</v>
      </c>
      <c r="D591" s="1651" t="s">
        <v>2465</v>
      </c>
      <c r="E591" s="1613">
        <v>382.69</v>
      </c>
      <c r="F591" s="1613">
        <v>-106.42</v>
      </c>
      <c r="G591" s="1613">
        <f t="shared" si="162"/>
        <v>276.27</v>
      </c>
      <c r="H591" s="1578">
        <v>2014</v>
      </c>
      <c r="I591" s="1662">
        <f t="shared" si="163"/>
        <v>1.5</v>
      </c>
      <c r="J591" s="1663">
        <v>36</v>
      </c>
      <c r="K591" s="1664">
        <f t="shared" si="164"/>
        <v>0.33333333333333331</v>
      </c>
      <c r="L591" s="1613">
        <f t="shared" si="165"/>
        <v>127.56333333333333</v>
      </c>
      <c r="M591" s="1613">
        <f t="shared" si="166"/>
        <v>382.69</v>
      </c>
      <c r="N591" s="1613">
        <f t="shared" si="155"/>
        <v>-255.12666666666667</v>
      </c>
      <c r="O591" s="1652">
        <f t="shared" si="167"/>
        <v>127.56333333333333</v>
      </c>
      <c r="P591" s="1653">
        <f t="shared" si="168"/>
        <v>-255.46</v>
      </c>
      <c r="Q591" s="1653">
        <f t="shared" si="169"/>
        <v>-127.89666666666668</v>
      </c>
      <c r="R591" s="1653">
        <f t="shared" si="170"/>
        <v>-127.89666666666668</v>
      </c>
      <c r="S591" s="1653">
        <f t="shared" si="171"/>
        <v>-0.33333333333334281</v>
      </c>
      <c r="T591" s="1653">
        <f t="shared" si="156"/>
        <v>-0.33333333333334281</v>
      </c>
      <c r="U591" s="1653">
        <f t="shared" si="157"/>
        <v>127.22999999999999</v>
      </c>
      <c r="V591" s="1653">
        <f t="shared" si="158"/>
        <v>-0.66666666666667607</v>
      </c>
      <c r="W591" s="1653">
        <f t="shared" si="159"/>
        <v>126.89666666666666</v>
      </c>
      <c r="X591" s="1653">
        <f t="shared" si="160"/>
        <v>-1.0000000000000093</v>
      </c>
      <c r="Y591" s="1653">
        <f t="shared" si="161"/>
        <v>126.56333333333332</v>
      </c>
    </row>
    <row r="592" spans="1:25" ht="15" hidden="1" outlineLevel="1">
      <c r="A592" s="1615">
        <v>584</v>
      </c>
      <c r="C592" s="1651" t="s">
        <v>3252</v>
      </c>
      <c r="D592" s="1651" t="s">
        <v>2465</v>
      </c>
      <c r="E592" s="1613">
        <v>4772.66</v>
      </c>
      <c r="F592" s="1613">
        <v>-1327.19</v>
      </c>
      <c r="G592" s="1613">
        <f t="shared" si="162"/>
        <v>3445.47</v>
      </c>
      <c r="H592" s="1578">
        <v>2014</v>
      </c>
      <c r="I592" s="1662">
        <f t="shared" si="163"/>
        <v>1.5</v>
      </c>
      <c r="J592" s="1663">
        <v>36</v>
      </c>
      <c r="K592" s="1664">
        <f t="shared" si="164"/>
        <v>0.33333333333333331</v>
      </c>
      <c r="L592" s="1613">
        <f t="shared" si="165"/>
        <v>1590.8866666666665</v>
      </c>
      <c r="M592" s="1613">
        <f t="shared" si="166"/>
        <v>4772.66</v>
      </c>
      <c r="N592" s="1613">
        <f t="shared" si="155"/>
        <v>-3181.7733333333331</v>
      </c>
      <c r="O592" s="1652">
        <f t="shared" si="167"/>
        <v>1590.8866666666668</v>
      </c>
      <c r="P592" s="1653">
        <f t="shared" si="168"/>
        <v>-3182.1066666666666</v>
      </c>
      <c r="Q592" s="1653">
        <f t="shared" si="169"/>
        <v>-1591.22</v>
      </c>
      <c r="R592" s="1653">
        <f t="shared" si="170"/>
        <v>-1591.22</v>
      </c>
      <c r="S592" s="1653">
        <f t="shared" si="171"/>
        <v>-0.33333333333348492</v>
      </c>
      <c r="T592" s="1653">
        <f t="shared" si="156"/>
        <v>-0.33333333333348492</v>
      </c>
      <c r="U592" s="1653">
        <f t="shared" si="157"/>
        <v>1590.5533333333331</v>
      </c>
      <c r="V592" s="1653">
        <f t="shared" si="158"/>
        <v>-0.66666666666681818</v>
      </c>
      <c r="W592" s="1653">
        <f t="shared" si="159"/>
        <v>1590.2199999999998</v>
      </c>
      <c r="X592" s="1653">
        <f t="shared" si="160"/>
        <v>-1.0000000000001514</v>
      </c>
      <c r="Y592" s="1653">
        <f t="shared" si="161"/>
        <v>1589.8866666666663</v>
      </c>
    </row>
    <row r="593" spans="1:25" ht="15" hidden="1" outlineLevel="1">
      <c r="A593" s="1615">
        <v>585</v>
      </c>
      <c r="C593" s="1651" t="s">
        <v>3253</v>
      </c>
      <c r="D593" s="1651" t="s">
        <v>2465</v>
      </c>
      <c r="E593" s="1613">
        <v>677.81</v>
      </c>
      <c r="F593" s="1613">
        <v>-188.49</v>
      </c>
      <c r="G593" s="1613">
        <f t="shared" si="162"/>
        <v>489.31999999999994</v>
      </c>
      <c r="H593" s="1578">
        <v>2014</v>
      </c>
      <c r="I593" s="1662">
        <f t="shared" si="163"/>
        <v>1.5</v>
      </c>
      <c r="J593" s="1663">
        <v>36</v>
      </c>
      <c r="K593" s="1664">
        <f t="shared" si="164"/>
        <v>0.33333333333333331</v>
      </c>
      <c r="L593" s="1613">
        <f t="shared" si="165"/>
        <v>225.93666666666664</v>
      </c>
      <c r="M593" s="1613">
        <f t="shared" si="166"/>
        <v>677.81</v>
      </c>
      <c r="N593" s="1613">
        <f t="shared" si="155"/>
        <v>-451.87333333333328</v>
      </c>
      <c r="O593" s="1652">
        <f t="shared" si="167"/>
        <v>225.93666666666667</v>
      </c>
      <c r="P593" s="1653">
        <f t="shared" si="168"/>
        <v>-452.20666666666659</v>
      </c>
      <c r="Q593" s="1653">
        <f t="shared" si="169"/>
        <v>-226.26999999999995</v>
      </c>
      <c r="R593" s="1653">
        <f t="shared" si="170"/>
        <v>-226.26999999999995</v>
      </c>
      <c r="S593" s="1653">
        <f t="shared" si="171"/>
        <v>-0.33333333333331439</v>
      </c>
      <c r="T593" s="1653">
        <f t="shared" si="156"/>
        <v>-0.33333333333331439</v>
      </c>
      <c r="U593" s="1653">
        <f t="shared" si="157"/>
        <v>225.60333333333332</v>
      </c>
      <c r="V593" s="1653">
        <f t="shared" si="158"/>
        <v>-0.66666666666664764</v>
      </c>
      <c r="W593" s="1653">
        <f t="shared" si="159"/>
        <v>225.26999999999998</v>
      </c>
      <c r="X593" s="1653">
        <f t="shared" si="160"/>
        <v>-0.9999999999999809</v>
      </c>
      <c r="Y593" s="1653">
        <f t="shared" si="161"/>
        <v>224.93666666666667</v>
      </c>
    </row>
    <row r="594" spans="1:25" ht="15" hidden="1" outlineLevel="1">
      <c r="A594" s="1615">
        <v>586</v>
      </c>
      <c r="C594" s="1651" t="s">
        <v>3254</v>
      </c>
      <c r="D594" s="1651" t="s">
        <v>2465</v>
      </c>
      <c r="E594" s="1613">
        <v>990.4</v>
      </c>
      <c r="F594" s="1613">
        <v>-275.42</v>
      </c>
      <c r="G594" s="1613">
        <f t="shared" si="162"/>
        <v>714.98</v>
      </c>
      <c r="H594" s="1578">
        <v>2014</v>
      </c>
      <c r="I594" s="1662">
        <f t="shared" si="163"/>
        <v>1.5</v>
      </c>
      <c r="J594" s="1663">
        <v>36</v>
      </c>
      <c r="K594" s="1664">
        <f t="shared" si="164"/>
        <v>0.33333333333333331</v>
      </c>
      <c r="L594" s="1613">
        <f t="shared" si="165"/>
        <v>330.13333333333333</v>
      </c>
      <c r="M594" s="1613">
        <f t="shared" si="166"/>
        <v>990.4</v>
      </c>
      <c r="N594" s="1613">
        <f t="shared" si="155"/>
        <v>-660.26666666666665</v>
      </c>
      <c r="O594" s="1652">
        <f t="shared" si="167"/>
        <v>330.13333333333333</v>
      </c>
      <c r="P594" s="1653">
        <f t="shared" si="168"/>
        <v>-660.6</v>
      </c>
      <c r="Q594" s="1653">
        <f t="shared" si="169"/>
        <v>-330.4666666666667</v>
      </c>
      <c r="R594" s="1653">
        <f t="shared" si="170"/>
        <v>-330.4666666666667</v>
      </c>
      <c r="S594" s="1653">
        <f t="shared" si="171"/>
        <v>-0.33333333333337123</v>
      </c>
      <c r="T594" s="1653">
        <f t="shared" si="156"/>
        <v>-0.33333333333337123</v>
      </c>
      <c r="U594" s="1653">
        <f t="shared" si="157"/>
        <v>329.79999999999995</v>
      </c>
      <c r="V594" s="1653">
        <f t="shared" si="158"/>
        <v>-0.66666666666670449</v>
      </c>
      <c r="W594" s="1653">
        <f t="shared" si="159"/>
        <v>329.46666666666664</v>
      </c>
      <c r="X594" s="1653">
        <f t="shared" si="160"/>
        <v>-1.0000000000000377</v>
      </c>
      <c r="Y594" s="1653">
        <f t="shared" si="161"/>
        <v>329.13333333333327</v>
      </c>
    </row>
    <row r="595" spans="1:25" ht="15" hidden="1" outlineLevel="1">
      <c r="A595" s="1615">
        <v>587</v>
      </c>
      <c r="C595" s="1651" t="s">
        <v>3255</v>
      </c>
      <c r="D595" s="1651" t="s">
        <v>2465</v>
      </c>
      <c r="E595" s="1613">
        <v>529.70000000000005</v>
      </c>
      <c r="F595" s="1613">
        <v>-147.29</v>
      </c>
      <c r="G595" s="1613">
        <f t="shared" si="162"/>
        <v>382.41000000000008</v>
      </c>
      <c r="H595" s="1578">
        <v>2014</v>
      </c>
      <c r="I595" s="1662">
        <f t="shared" si="163"/>
        <v>1.5</v>
      </c>
      <c r="J595" s="1663">
        <v>36</v>
      </c>
      <c r="K595" s="1664">
        <f t="shared" si="164"/>
        <v>0.33333333333333331</v>
      </c>
      <c r="L595" s="1613">
        <f t="shared" si="165"/>
        <v>176.56666666666666</v>
      </c>
      <c r="M595" s="1613">
        <f t="shared" si="166"/>
        <v>529.70000000000005</v>
      </c>
      <c r="N595" s="1613">
        <f t="shared" si="155"/>
        <v>-353.13333333333333</v>
      </c>
      <c r="O595" s="1652">
        <f t="shared" si="167"/>
        <v>176.56666666666672</v>
      </c>
      <c r="P595" s="1653">
        <f t="shared" si="168"/>
        <v>-353.46666666666664</v>
      </c>
      <c r="Q595" s="1653">
        <f t="shared" si="169"/>
        <v>-176.89999999999998</v>
      </c>
      <c r="R595" s="1653">
        <f t="shared" si="170"/>
        <v>-176.89999999999998</v>
      </c>
      <c r="S595" s="1653">
        <f t="shared" si="171"/>
        <v>-0.33333333333331439</v>
      </c>
      <c r="T595" s="1653">
        <f t="shared" si="156"/>
        <v>-0.33333333333331439</v>
      </c>
      <c r="U595" s="1653">
        <f t="shared" si="157"/>
        <v>176.23333333333335</v>
      </c>
      <c r="V595" s="1653">
        <f t="shared" si="158"/>
        <v>-0.66666666666664764</v>
      </c>
      <c r="W595" s="1653">
        <f t="shared" si="159"/>
        <v>175.9</v>
      </c>
      <c r="X595" s="1653">
        <f t="shared" si="160"/>
        <v>-0.9999999999999809</v>
      </c>
      <c r="Y595" s="1653">
        <f t="shared" si="161"/>
        <v>175.56666666666669</v>
      </c>
    </row>
    <row r="596" spans="1:25" ht="15" hidden="1" outlineLevel="1">
      <c r="A596" s="1615">
        <v>588</v>
      </c>
      <c r="C596" s="1651" t="s">
        <v>3256</v>
      </c>
      <c r="D596" s="1651" t="s">
        <v>2465</v>
      </c>
      <c r="E596" s="1613">
        <v>269.06</v>
      </c>
      <c r="F596" s="1613">
        <v>-74.81</v>
      </c>
      <c r="G596" s="1613">
        <f t="shared" si="162"/>
        <v>194.25</v>
      </c>
      <c r="H596" s="1578">
        <v>2014</v>
      </c>
      <c r="I596" s="1662">
        <f t="shared" si="163"/>
        <v>1.5</v>
      </c>
      <c r="J596" s="1663">
        <v>36</v>
      </c>
      <c r="K596" s="1664">
        <f t="shared" si="164"/>
        <v>0.33333333333333331</v>
      </c>
      <c r="L596" s="1613">
        <f t="shared" si="165"/>
        <v>89.686666666666667</v>
      </c>
      <c r="M596" s="1613">
        <f t="shared" si="166"/>
        <v>269.06</v>
      </c>
      <c r="N596" s="1613">
        <f t="shared" si="155"/>
        <v>-179.37333333333333</v>
      </c>
      <c r="O596" s="1652">
        <f t="shared" si="167"/>
        <v>89.686666666666667</v>
      </c>
      <c r="P596" s="1653">
        <f t="shared" si="168"/>
        <v>-179.70666666666668</v>
      </c>
      <c r="Q596" s="1653">
        <f t="shared" si="169"/>
        <v>-90.02000000000001</v>
      </c>
      <c r="R596" s="1653">
        <f t="shared" si="170"/>
        <v>-90.02000000000001</v>
      </c>
      <c r="S596" s="1653">
        <f t="shared" si="171"/>
        <v>-0.33333333333334281</v>
      </c>
      <c r="T596" s="1653">
        <f t="shared" si="156"/>
        <v>-0.33333333333334281</v>
      </c>
      <c r="U596" s="1653">
        <f t="shared" si="157"/>
        <v>89.353333333333325</v>
      </c>
      <c r="V596" s="1653">
        <f t="shared" si="158"/>
        <v>-0.66666666666667607</v>
      </c>
      <c r="W596" s="1653">
        <f t="shared" si="159"/>
        <v>89.02</v>
      </c>
      <c r="X596" s="1653">
        <f t="shared" si="160"/>
        <v>-1.0000000000000093</v>
      </c>
      <c r="Y596" s="1653">
        <f t="shared" si="161"/>
        <v>88.686666666666653</v>
      </c>
    </row>
    <row r="597" spans="1:25" ht="15" hidden="1" outlineLevel="1">
      <c r="A597" s="1615">
        <v>589</v>
      </c>
      <c r="C597" s="1651" t="s">
        <v>3257</v>
      </c>
      <c r="D597" s="1651" t="s">
        <v>2465</v>
      </c>
      <c r="E597" s="1613">
        <v>738.85</v>
      </c>
      <c r="F597" s="1613">
        <v>-205.46</v>
      </c>
      <c r="G597" s="1613">
        <f t="shared" si="162"/>
        <v>533.39</v>
      </c>
      <c r="H597" s="1578">
        <v>2014</v>
      </c>
      <c r="I597" s="1662">
        <f t="shared" si="163"/>
        <v>1.5</v>
      </c>
      <c r="J597" s="1663">
        <v>36</v>
      </c>
      <c r="K597" s="1664">
        <f t="shared" si="164"/>
        <v>0.33333333333333331</v>
      </c>
      <c r="L597" s="1613">
        <f t="shared" si="165"/>
        <v>246.28333333333333</v>
      </c>
      <c r="M597" s="1613">
        <f t="shared" si="166"/>
        <v>738.85</v>
      </c>
      <c r="N597" s="1613">
        <f t="shared" si="155"/>
        <v>-492.56666666666666</v>
      </c>
      <c r="O597" s="1652">
        <f t="shared" si="167"/>
        <v>246.28333333333336</v>
      </c>
      <c r="P597" s="1653">
        <f t="shared" si="168"/>
        <v>-492.9</v>
      </c>
      <c r="Q597" s="1653">
        <f t="shared" si="169"/>
        <v>-246.61666666666665</v>
      </c>
      <c r="R597" s="1653">
        <f t="shared" si="170"/>
        <v>-246.61666666666665</v>
      </c>
      <c r="S597" s="1653">
        <f t="shared" si="171"/>
        <v>-0.33333333333331439</v>
      </c>
      <c r="T597" s="1653">
        <f t="shared" si="156"/>
        <v>-0.33333333333331439</v>
      </c>
      <c r="U597" s="1653">
        <f t="shared" si="157"/>
        <v>245.95000000000002</v>
      </c>
      <c r="V597" s="1653">
        <f t="shared" si="158"/>
        <v>-0.66666666666664764</v>
      </c>
      <c r="W597" s="1653">
        <f t="shared" si="159"/>
        <v>245.61666666666667</v>
      </c>
      <c r="X597" s="1653">
        <f t="shared" si="160"/>
        <v>-0.9999999999999809</v>
      </c>
      <c r="Y597" s="1653">
        <f t="shared" si="161"/>
        <v>245.28333333333336</v>
      </c>
    </row>
    <row r="598" spans="1:25" ht="15" hidden="1" outlineLevel="1">
      <c r="A598" s="1615">
        <v>590</v>
      </c>
      <c r="C598" s="1651" t="s">
        <v>3258</v>
      </c>
      <c r="D598" s="1651" t="s">
        <v>2465</v>
      </c>
      <c r="E598" s="1613">
        <v>346.07</v>
      </c>
      <c r="F598" s="1613">
        <v>-96.23</v>
      </c>
      <c r="G598" s="1613">
        <f t="shared" si="162"/>
        <v>249.83999999999997</v>
      </c>
      <c r="H598" s="1578">
        <v>2014</v>
      </c>
      <c r="I598" s="1662">
        <f t="shared" si="163"/>
        <v>1.5</v>
      </c>
      <c r="J598" s="1663">
        <v>36</v>
      </c>
      <c r="K598" s="1664">
        <f t="shared" si="164"/>
        <v>0.33333333333333331</v>
      </c>
      <c r="L598" s="1613">
        <f t="shared" si="165"/>
        <v>115.35666666666665</v>
      </c>
      <c r="M598" s="1613">
        <f t="shared" si="166"/>
        <v>346.07</v>
      </c>
      <c r="N598" s="1613">
        <f t="shared" si="155"/>
        <v>-230.71333333333331</v>
      </c>
      <c r="O598" s="1652">
        <f t="shared" si="167"/>
        <v>115.35666666666668</v>
      </c>
      <c r="P598" s="1653">
        <f t="shared" si="168"/>
        <v>-231.04666666666665</v>
      </c>
      <c r="Q598" s="1653">
        <f t="shared" si="169"/>
        <v>-115.69</v>
      </c>
      <c r="R598" s="1653">
        <f t="shared" si="170"/>
        <v>-115.69</v>
      </c>
      <c r="S598" s="1653">
        <f t="shared" si="171"/>
        <v>-0.33333333333334281</v>
      </c>
      <c r="T598" s="1653">
        <f t="shared" si="156"/>
        <v>-0.33333333333334281</v>
      </c>
      <c r="U598" s="1653">
        <f t="shared" si="157"/>
        <v>115.02333333333331</v>
      </c>
      <c r="V598" s="1653">
        <f t="shared" si="158"/>
        <v>-0.66666666666667607</v>
      </c>
      <c r="W598" s="1653">
        <f t="shared" si="159"/>
        <v>114.68999999999998</v>
      </c>
      <c r="X598" s="1653">
        <f t="shared" si="160"/>
        <v>-1.0000000000000093</v>
      </c>
      <c r="Y598" s="1653">
        <f t="shared" si="161"/>
        <v>114.35666666666664</v>
      </c>
    </row>
    <row r="599" spans="1:25" ht="15" hidden="1" outlineLevel="1">
      <c r="A599" s="1615">
        <v>591</v>
      </c>
      <c r="C599" s="1651" t="s">
        <v>3259</v>
      </c>
      <c r="D599" s="1651" t="s">
        <v>2465</v>
      </c>
      <c r="E599" s="1613">
        <v>6271.37</v>
      </c>
      <c r="F599" s="1613">
        <v>-1743.95</v>
      </c>
      <c r="G599" s="1613">
        <f t="shared" si="162"/>
        <v>4527.42</v>
      </c>
      <c r="H599" s="1578">
        <v>2014</v>
      </c>
      <c r="I599" s="1662">
        <f t="shared" si="163"/>
        <v>1.5</v>
      </c>
      <c r="J599" s="1663">
        <v>36</v>
      </c>
      <c r="K599" s="1664">
        <f t="shared" si="164"/>
        <v>0.33333333333333331</v>
      </c>
      <c r="L599" s="1613">
        <f t="shared" si="165"/>
        <v>2090.4566666666665</v>
      </c>
      <c r="M599" s="1613">
        <f t="shared" si="166"/>
        <v>6271.37</v>
      </c>
      <c r="N599" s="1613">
        <f t="shared" si="155"/>
        <v>-4180.913333333333</v>
      </c>
      <c r="O599" s="1652">
        <f t="shared" si="167"/>
        <v>2090.4566666666669</v>
      </c>
      <c r="P599" s="1653">
        <f t="shared" si="168"/>
        <v>-4181.246666666666</v>
      </c>
      <c r="Q599" s="1653">
        <f t="shared" si="169"/>
        <v>-2090.7899999999995</v>
      </c>
      <c r="R599" s="1653">
        <f t="shared" si="170"/>
        <v>-2090.7899999999995</v>
      </c>
      <c r="S599" s="1653">
        <f t="shared" si="171"/>
        <v>-0.33333333333303017</v>
      </c>
      <c r="T599" s="1653">
        <f t="shared" si="156"/>
        <v>-0.33333333333303017</v>
      </c>
      <c r="U599" s="1653">
        <f t="shared" si="157"/>
        <v>2090.1233333333334</v>
      </c>
      <c r="V599" s="1653">
        <f t="shared" si="158"/>
        <v>-0.66666666666636343</v>
      </c>
      <c r="W599" s="1653">
        <f t="shared" si="159"/>
        <v>2089.79</v>
      </c>
      <c r="X599" s="1653">
        <f t="shared" si="160"/>
        <v>-0.99999999999969669</v>
      </c>
      <c r="Y599" s="1653">
        <f t="shared" si="161"/>
        <v>2089.4566666666669</v>
      </c>
    </row>
    <row r="600" spans="1:25" ht="15" hidden="1" outlineLevel="1">
      <c r="A600" s="1615">
        <v>592</v>
      </c>
      <c r="C600" s="1651" t="s">
        <v>3260</v>
      </c>
      <c r="D600" s="1651" t="s">
        <v>2465</v>
      </c>
      <c r="E600" s="1613">
        <v>112.98</v>
      </c>
      <c r="F600" s="1613">
        <v>-31.42</v>
      </c>
      <c r="G600" s="1613">
        <f t="shared" si="162"/>
        <v>81.56</v>
      </c>
      <c r="H600" s="1578">
        <v>2014</v>
      </c>
      <c r="I600" s="1662">
        <f t="shared" si="163"/>
        <v>1.5</v>
      </c>
      <c r="J600" s="1663">
        <v>36</v>
      </c>
      <c r="K600" s="1664">
        <f t="shared" si="164"/>
        <v>0.33333333333333331</v>
      </c>
      <c r="L600" s="1613">
        <f t="shared" si="165"/>
        <v>37.659999999999997</v>
      </c>
      <c r="M600" s="1613">
        <f t="shared" si="166"/>
        <v>112.98</v>
      </c>
      <c r="N600" s="1613">
        <f t="shared" ref="N600:N663" si="172">-IF(I600+0.5&lt;(J600/12),M600*(I600+0.5)*K600,M600)</f>
        <v>-75.319999999999993</v>
      </c>
      <c r="O600" s="1652">
        <f t="shared" si="167"/>
        <v>37.660000000000011</v>
      </c>
      <c r="P600" s="1653">
        <f t="shared" si="168"/>
        <v>-75.653333333333322</v>
      </c>
      <c r="Q600" s="1653">
        <f t="shared" si="169"/>
        <v>-37.993333333333325</v>
      </c>
      <c r="R600" s="1653">
        <f t="shared" si="170"/>
        <v>-37.993333333333325</v>
      </c>
      <c r="S600" s="1653">
        <f t="shared" si="171"/>
        <v>-0.3333333333333286</v>
      </c>
      <c r="T600" s="1653">
        <f t="shared" ref="T600:T663" si="173">IF(S600&gt;0,IF(S600&lt;$K600,-$L600,R600-$K600),S600)</f>
        <v>-0.3333333333333286</v>
      </c>
      <c r="U600" s="1653">
        <f t="shared" ref="U600:U663" si="174">IF(T600&lt;0,$L600+T600,S600)</f>
        <v>37.326666666666668</v>
      </c>
      <c r="V600" s="1653">
        <f t="shared" ref="V600:V663" si="175">IF(U600&gt;0,IF(U600&lt;$K600,-$L600,T600-$K600),U600)</f>
        <v>-0.66666666666666186</v>
      </c>
      <c r="W600" s="1653">
        <f t="shared" ref="W600:W663" si="176">IF(V600&lt;0,$L600+V600,U600)</f>
        <v>36.993333333333332</v>
      </c>
      <c r="X600" s="1653">
        <f t="shared" ref="X600:X663" si="177">IF(W600&gt;0,IF(W600&lt;$K600,-$L600,V600-$K600),W600)</f>
        <v>-0.99999999999999512</v>
      </c>
      <c r="Y600" s="1653">
        <f t="shared" ref="Y600:Y663" si="178">IF(X600&lt;0,$L600+X600,W600)</f>
        <v>36.660000000000004</v>
      </c>
    </row>
    <row r="601" spans="1:25" ht="15" hidden="1" outlineLevel="1">
      <c r="A601" s="1615">
        <v>593</v>
      </c>
      <c r="C601" s="1651" t="s">
        <v>3261</v>
      </c>
      <c r="D601" s="1651" t="s">
        <v>2465</v>
      </c>
      <c r="E601" s="1613">
        <v>90.12</v>
      </c>
      <c r="F601" s="1613">
        <v>-25.06</v>
      </c>
      <c r="G601" s="1613">
        <f t="shared" ref="G601:G664" si="179">E601+F601</f>
        <v>65.06</v>
      </c>
      <c r="H601" s="1578">
        <v>2014</v>
      </c>
      <c r="I601" s="1662">
        <f t="shared" ref="I601:I664" si="180">IF(H601=2015,0.5,2015.5-H601)</f>
        <v>1.5</v>
      </c>
      <c r="J601" s="1663">
        <v>36</v>
      </c>
      <c r="K601" s="1664">
        <f t="shared" ref="K601:K664" si="181">1/J601*12</f>
        <v>0.33333333333333331</v>
      </c>
      <c r="L601" s="1613">
        <f t="shared" ref="L601:L664" si="182">IF(I601&lt;(J601/12),E601*K601,0)</f>
        <v>30.04</v>
      </c>
      <c r="M601" s="1613">
        <f t="shared" ref="M601:M664" si="183">E601</f>
        <v>90.12</v>
      </c>
      <c r="N601" s="1613">
        <f t="shared" si="172"/>
        <v>-60.08</v>
      </c>
      <c r="O601" s="1652">
        <f t="shared" ref="O601:O664" si="184">M601+N601</f>
        <v>30.040000000000006</v>
      </c>
      <c r="P601" s="1653">
        <f t="shared" ref="P601:P664" si="185">IF(O601&gt;0,IF(O601&lt;$K601,-$L601,N601-$K601),O601)</f>
        <v>-60.413333333333334</v>
      </c>
      <c r="Q601" s="1653">
        <f t="shared" ref="Q601:Q664" si="186">IF(P601&lt;0,$L601+P601,O601)</f>
        <v>-30.373333333333335</v>
      </c>
      <c r="R601" s="1653">
        <f t="shared" ref="R601:R664" si="187">IF(Q601&gt;0,IF(Q601&lt;$K601,-$L601,P601-$K601),Q601)</f>
        <v>-30.373333333333335</v>
      </c>
      <c r="S601" s="1653">
        <f t="shared" ref="S601:S664" si="188">IF(R601&lt;0,$L601+R601,Q601)</f>
        <v>-0.3333333333333357</v>
      </c>
      <c r="T601" s="1653">
        <f t="shared" si="173"/>
        <v>-0.3333333333333357</v>
      </c>
      <c r="U601" s="1653">
        <f t="shared" si="174"/>
        <v>29.706666666666663</v>
      </c>
      <c r="V601" s="1653">
        <f t="shared" si="175"/>
        <v>-0.66666666666666896</v>
      </c>
      <c r="W601" s="1653">
        <f t="shared" si="176"/>
        <v>29.373333333333331</v>
      </c>
      <c r="X601" s="1653">
        <f t="shared" si="177"/>
        <v>-1.0000000000000022</v>
      </c>
      <c r="Y601" s="1653">
        <f t="shared" si="178"/>
        <v>29.039999999999996</v>
      </c>
    </row>
    <row r="602" spans="1:25" ht="15" hidden="1" outlineLevel="1">
      <c r="A602" s="1615">
        <v>594</v>
      </c>
      <c r="C602" s="1651" t="s">
        <v>3262</v>
      </c>
      <c r="D602" s="1651" t="s">
        <v>2465</v>
      </c>
      <c r="E602" s="1613">
        <v>111.91</v>
      </c>
      <c r="F602" s="1613">
        <v>-31.12</v>
      </c>
      <c r="G602" s="1613">
        <f t="shared" si="179"/>
        <v>80.789999999999992</v>
      </c>
      <c r="H602" s="1578">
        <v>2014</v>
      </c>
      <c r="I602" s="1662">
        <f t="shared" si="180"/>
        <v>1.5</v>
      </c>
      <c r="J602" s="1663">
        <v>36</v>
      </c>
      <c r="K602" s="1664">
        <f t="shared" si="181"/>
        <v>0.33333333333333331</v>
      </c>
      <c r="L602" s="1613">
        <f t="shared" si="182"/>
        <v>37.303333333333327</v>
      </c>
      <c r="M602" s="1613">
        <f t="shared" si="183"/>
        <v>111.91</v>
      </c>
      <c r="N602" s="1613">
        <f t="shared" si="172"/>
        <v>-74.606666666666655</v>
      </c>
      <c r="O602" s="1652">
        <f t="shared" si="184"/>
        <v>37.303333333333342</v>
      </c>
      <c r="P602" s="1653">
        <f t="shared" si="185"/>
        <v>-74.939999999999984</v>
      </c>
      <c r="Q602" s="1653">
        <f t="shared" si="186"/>
        <v>-37.636666666666656</v>
      </c>
      <c r="R602" s="1653">
        <f t="shared" si="187"/>
        <v>-37.636666666666656</v>
      </c>
      <c r="S602" s="1653">
        <f t="shared" si="188"/>
        <v>-0.3333333333333286</v>
      </c>
      <c r="T602" s="1653">
        <f t="shared" si="173"/>
        <v>-0.3333333333333286</v>
      </c>
      <c r="U602" s="1653">
        <f t="shared" si="174"/>
        <v>36.97</v>
      </c>
      <c r="V602" s="1653">
        <f t="shared" si="175"/>
        <v>-0.66666666666666186</v>
      </c>
      <c r="W602" s="1653">
        <f t="shared" si="176"/>
        <v>36.636666666666663</v>
      </c>
      <c r="X602" s="1653">
        <f t="shared" si="177"/>
        <v>-0.99999999999999512</v>
      </c>
      <c r="Y602" s="1653">
        <f t="shared" si="178"/>
        <v>36.303333333333335</v>
      </c>
    </row>
    <row r="603" spans="1:25" ht="15" hidden="1" outlineLevel="1">
      <c r="A603" s="1615">
        <v>595</v>
      </c>
      <c r="C603" s="1651" t="s">
        <v>3263</v>
      </c>
      <c r="D603" s="1651" t="s">
        <v>2465</v>
      </c>
      <c r="E603" s="1613">
        <v>110.05</v>
      </c>
      <c r="F603" s="1613">
        <v>-30.6</v>
      </c>
      <c r="G603" s="1613">
        <f t="shared" si="179"/>
        <v>79.449999999999989</v>
      </c>
      <c r="H603" s="1578">
        <v>2014</v>
      </c>
      <c r="I603" s="1662">
        <f t="shared" si="180"/>
        <v>1.5</v>
      </c>
      <c r="J603" s="1663">
        <v>36</v>
      </c>
      <c r="K603" s="1664">
        <f t="shared" si="181"/>
        <v>0.33333333333333331</v>
      </c>
      <c r="L603" s="1613">
        <f t="shared" si="182"/>
        <v>36.68333333333333</v>
      </c>
      <c r="M603" s="1613">
        <f t="shared" si="183"/>
        <v>110.05</v>
      </c>
      <c r="N603" s="1613">
        <f t="shared" si="172"/>
        <v>-73.36666666666666</v>
      </c>
      <c r="O603" s="1652">
        <f t="shared" si="184"/>
        <v>36.683333333333337</v>
      </c>
      <c r="P603" s="1653">
        <f t="shared" si="185"/>
        <v>-73.699999999999989</v>
      </c>
      <c r="Q603" s="1653">
        <f t="shared" si="186"/>
        <v>-37.016666666666659</v>
      </c>
      <c r="R603" s="1653">
        <f t="shared" si="187"/>
        <v>-37.016666666666659</v>
      </c>
      <c r="S603" s="1653">
        <f t="shared" si="188"/>
        <v>-0.3333333333333286</v>
      </c>
      <c r="T603" s="1653">
        <f t="shared" si="173"/>
        <v>-0.3333333333333286</v>
      </c>
      <c r="U603" s="1653">
        <f t="shared" si="174"/>
        <v>36.35</v>
      </c>
      <c r="V603" s="1653">
        <f t="shared" si="175"/>
        <v>-0.66666666666666186</v>
      </c>
      <c r="W603" s="1653">
        <f t="shared" si="176"/>
        <v>36.016666666666666</v>
      </c>
      <c r="X603" s="1653">
        <f t="shared" si="177"/>
        <v>-0.99999999999999512</v>
      </c>
      <c r="Y603" s="1653">
        <f t="shared" si="178"/>
        <v>35.683333333333337</v>
      </c>
    </row>
    <row r="604" spans="1:25" ht="15" hidden="1" outlineLevel="1">
      <c r="A604" s="1615">
        <v>596</v>
      </c>
      <c r="C604" s="1651" t="s">
        <v>3264</v>
      </c>
      <c r="D604" s="1651" t="s">
        <v>2465</v>
      </c>
      <c r="E604" s="1613">
        <v>90.12</v>
      </c>
      <c r="F604" s="1613">
        <v>-25.06</v>
      </c>
      <c r="G604" s="1613">
        <f t="shared" si="179"/>
        <v>65.06</v>
      </c>
      <c r="H604" s="1578">
        <v>2014</v>
      </c>
      <c r="I604" s="1662">
        <f t="shared" si="180"/>
        <v>1.5</v>
      </c>
      <c r="J604" s="1663">
        <v>36</v>
      </c>
      <c r="K604" s="1664">
        <f t="shared" si="181"/>
        <v>0.33333333333333331</v>
      </c>
      <c r="L604" s="1613">
        <f t="shared" si="182"/>
        <v>30.04</v>
      </c>
      <c r="M604" s="1613">
        <f t="shared" si="183"/>
        <v>90.12</v>
      </c>
      <c r="N604" s="1613">
        <f t="shared" si="172"/>
        <v>-60.08</v>
      </c>
      <c r="O604" s="1652">
        <f t="shared" si="184"/>
        <v>30.040000000000006</v>
      </c>
      <c r="P604" s="1653">
        <f t="shared" si="185"/>
        <v>-60.413333333333334</v>
      </c>
      <c r="Q604" s="1653">
        <f t="shared" si="186"/>
        <v>-30.373333333333335</v>
      </c>
      <c r="R604" s="1653">
        <f t="shared" si="187"/>
        <v>-30.373333333333335</v>
      </c>
      <c r="S604" s="1653">
        <f t="shared" si="188"/>
        <v>-0.3333333333333357</v>
      </c>
      <c r="T604" s="1653">
        <f t="shared" si="173"/>
        <v>-0.3333333333333357</v>
      </c>
      <c r="U604" s="1653">
        <f t="shared" si="174"/>
        <v>29.706666666666663</v>
      </c>
      <c r="V604" s="1653">
        <f t="shared" si="175"/>
        <v>-0.66666666666666896</v>
      </c>
      <c r="W604" s="1653">
        <f t="shared" si="176"/>
        <v>29.373333333333331</v>
      </c>
      <c r="X604" s="1653">
        <f t="shared" si="177"/>
        <v>-1.0000000000000022</v>
      </c>
      <c r="Y604" s="1653">
        <f t="shared" si="178"/>
        <v>29.039999999999996</v>
      </c>
    </row>
    <row r="605" spans="1:25" ht="15" hidden="1" outlineLevel="1">
      <c r="A605" s="1615">
        <v>597</v>
      </c>
      <c r="C605" s="1651" t="s">
        <v>3265</v>
      </c>
      <c r="D605" s="1651" t="s">
        <v>2465</v>
      </c>
      <c r="E605" s="1613">
        <v>114.76</v>
      </c>
      <c r="F605" s="1613">
        <v>-28.78</v>
      </c>
      <c r="G605" s="1613">
        <f t="shared" si="179"/>
        <v>85.98</v>
      </c>
      <c r="H605" s="1578">
        <v>2014</v>
      </c>
      <c r="I605" s="1662">
        <f t="shared" si="180"/>
        <v>1.5</v>
      </c>
      <c r="J605" s="1663">
        <v>36</v>
      </c>
      <c r="K605" s="1664">
        <f t="shared" si="181"/>
        <v>0.33333333333333331</v>
      </c>
      <c r="L605" s="1613">
        <f t="shared" si="182"/>
        <v>38.25333333333333</v>
      </c>
      <c r="M605" s="1613">
        <f t="shared" si="183"/>
        <v>114.76</v>
      </c>
      <c r="N605" s="1613">
        <f t="shared" si="172"/>
        <v>-76.506666666666661</v>
      </c>
      <c r="O605" s="1652">
        <f t="shared" si="184"/>
        <v>38.253333333333345</v>
      </c>
      <c r="P605" s="1653">
        <f t="shared" si="185"/>
        <v>-76.839999999999989</v>
      </c>
      <c r="Q605" s="1653">
        <f t="shared" si="186"/>
        <v>-38.586666666666659</v>
      </c>
      <c r="R605" s="1653">
        <f t="shared" si="187"/>
        <v>-38.586666666666659</v>
      </c>
      <c r="S605" s="1653">
        <f t="shared" si="188"/>
        <v>-0.3333333333333286</v>
      </c>
      <c r="T605" s="1653">
        <f t="shared" si="173"/>
        <v>-0.3333333333333286</v>
      </c>
      <c r="U605" s="1653">
        <f t="shared" si="174"/>
        <v>37.92</v>
      </c>
      <c r="V605" s="1653">
        <f t="shared" si="175"/>
        <v>-0.66666666666666186</v>
      </c>
      <c r="W605" s="1653">
        <f t="shared" si="176"/>
        <v>37.586666666666666</v>
      </c>
      <c r="X605" s="1653">
        <f t="shared" si="177"/>
        <v>-0.99999999999999512</v>
      </c>
      <c r="Y605" s="1653">
        <f t="shared" si="178"/>
        <v>37.253333333333337</v>
      </c>
    </row>
    <row r="606" spans="1:25" ht="15" hidden="1" outlineLevel="1">
      <c r="A606" s="1615">
        <v>598</v>
      </c>
      <c r="C606" s="1651" t="s">
        <v>3266</v>
      </c>
      <c r="D606" s="1651" t="s">
        <v>2465</v>
      </c>
      <c r="E606" s="1613">
        <v>51.65</v>
      </c>
      <c r="F606" s="1613">
        <v>-12.95</v>
      </c>
      <c r="G606" s="1613">
        <f t="shared" si="179"/>
        <v>38.700000000000003</v>
      </c>
      <c r="H606" s="1578">
        <v>2014</v>
      </c>
      <c r="I606" s="1662">
        <f t="shared" si="180"/>
        <v>1.5</v>
      </c>
      <c r="J606" s="1663">
        <v>36</v>
      </c>
      <c r="K606" s="1664">
        <f t="shared" si="181"/>
        <v>0.33333333333333331</v>
      </c>
      <c r="L606" s="1613">
        <f t="shared" si="182"/>
        <v>17.216666666666665</v>
      </c>
      <c r="M606" s="1613">
        <f t="shared" si="183"/>
        <v>51.65</v>
      </c>
      <c r="N606" s="1613">
        <f t="shared" si="172"/>
        <v>-34.43333333333333</v>
      </c>
      <c r="O606" s="1652">
        <f t="shared" si="184"/>
        <v>17.216666666666669</v>
      </c>
      <c r="P606" s="1653">
        <f t="shared" si="185"/>
        <v>-34.766666666666666</v>
      </c>
      <c r="Q606" s="1653">
        <f t="shared" si="186"/>
        <v>-17.55</v>
      </c>
      <c r="R606" s="1653">
        <f t="shared" si="187"/>
        <v>-17.55</v>
      </c>
      <c r="S606" s="1653">
        <f t="shared" si="188"/>
        <v>-0.3333333333333357</v>
      </c>
      <c r="T606" s="1653">
        <f t="shared" si="173"/>
        <v>-0.3333333333333357</v>
      </c>
      <c r="U606" s="1653">
        <f t="shared" si="174"/>
        <v>16.883333333333329</v>
      </c>
      <c r="V606" s="1653">
        <f t="shared" si="175"/>
        <v>-0.66666666666666896</v>
      </c>
      <c r="W606" s="1653">
        <f t="shared" si="176"/>
        <v>16.549999999999997</v>
      </c>
      <c r="X606" s="1653">
        <f t="shared" si="177"/>
        <v>-1.0000000000000022</v>
      </c>
      <c r="Y606" s="1653">
        <f t="shared" si="178"/>
        <v>16.216666666666661</v>
      </c>
    </row>
    <row r="607" spans="1:25" ht="15" hidden="1" outlineLevel="1">
      <c r="A607" s="1615">
        <v>599</v>
      </c>
      <c r="C607" s="1651" t="s">
        <v>3267</v>
      </c>
      <c r="D607" s="1651" t="s">
        <v>2465</v>
      </c>
      <c r="E607" s="1613">
        <v>108.37</v>
      </c>
      <c r="F607" s="1613">
        <v>-27.17</v>
      </c>
      <c r="G607" s="1613">
        <f t="shared" si="179"/>
        <v>81.2</v>
      </c>
      <c r="H607" s="1578">
        <v>2014</v>
      </c>
      <c r="I607" s="1662">
        <f t="shared" si="180"/>
        <v>1.5</v>
      </c>
      <c r="J607" s="1663">
        <v>36</v>
      </c>
      <c r="K607" s="1664">
        <f t="shared" si="181"/>
        <v>0.33333333333333331</v>
      </c>
      <c r="L607" s="1613">
        <f t="shared" si="182"/>
        <v>36.123333333333335</v>
      </c>
      <c r="M607" s="1613">
        <f t="shared" si="183"/>
        <v>108.37</v>
      </c>
      <c r="N607" s="1613">
        <f t="shared" si="172"/>
        <v>-72.24666666666667</v>
      </c>
      <c r="O607" s="1652">
        <f t="shared" si="184"/>
        <v>36.123333333333335</v>
      </c>
      <c r="P607" s="1653">
        <f t="shared" si="185"/>
        <v>-72.58</v>
      </c>
      <c r="Q607" s="1653">
        <f t="shared" si="186"/>
        <v>-36.456666666666663</v>
      </c>
      <c r="R607" s="1653">
        <f t="shared" si="187"/>
        <v>-36.456666666666663</v>
      </c>
      <c r="S607" s="1653">
        <f t="shared" si="188"/>
        <v>-0.3333333333333286</v>
      </c>
      <c r="T607" s="1653">
        <f t="shared" si="173"/>
        <v>-0.3333333333333286</v>
      </c>
      <c r="U607" s="1653">
        <f t="shared" si="174"/>
        <v>35.790000000000006</v>
      </c>
      <c r="V607" s="1653">
        <f t="shared" si="175"/>
        <v>-0.66666666666666186</v>
      </c>
      <c r="W607" s="1653">
        <f t="shared" si="176"/>
        <v>35.456666666666671</v>
      </c>
      <c r="X607" s="1653">
        <f t="shared" si="177"/>
        <v>-0.99999999999999512</v>
      </c>
      <c r="Y607" s="1653">
        <f t="shared" si="178"/>
        <v>35.123333333333342</v>
      </c>
    </row>
    <row r="608" spans="1:25" ht="15" hidden="1" outlineLevel="1">
      <c r="A608" s="1615">
        <v>600</v>
      </c>
      <c r="C608" s="1651" t="s">
        <v>3268</v>
      </c>
      <c r="D608" s="1651" t="s">
        <v>2465</v>
      </c>
      <c r="E608" s="1613">
        <v>5760.62</v>
      </c>
      <c r="F608" s="1613">
        <v>-1444.09</v>
      </c>
      <c r="G608" s="1613">
        <f t="shared" si="179"/>
        <v>4316.53</v>
      </c>
      <c r="H608" s="1578">
        <v>2014</v>
      </c>
      <c r="I608" s="1662">
        <f t="shared" si="180"/>
        <v>1.5</v>
      </c>
      <c r="J608" s="1663">
        <v>36</v>
      </c>
      <c r="K608" s="1664">
        <f t="shared" si="181"/>
        <v>0.33333333333333331</v>
      </c>
      <c r="L608" s="1613">
        <f t="shared" si="182"/>
        <v>1920.2066666666665</v>
      </c>
      <c r="M608" s="1613">
        <f t="shared" si="183"/>
        <v>5760.62</v>
      </c>
      <c r="N608" s="1613">
        <f t="shared" si="172"/>
        <v>-3840.413333333333</v>
      </c>
      <c r="O608" s="1652">
        <f t="shared" si="184"/>
        <v>1920.2066666666669</v>
      </c>
      <c r="P608" s="1653">
        <f t="shared" si="185"/>
        <v>-3840.7466666666664</v>
      </c>
      <c r="Q608" s="1653">
        <f t="shared" si="186"/>
        <v>-1920.54</v>
      </c>
      <c r="R608" s="1653">
        <f t="shared" si="187"/>
        <v>-1920.54</v>
      </c>
      <c r="S608" s="1653">
        <f t="shared" si="188"/>
        <v>-0.33333333333348492</v>
      </c>
      <c r="T608" s="1653">
        <f t="shared" si="173"/>
        <v>-0.33333333333348492</v>
      </c>
      <c r="U608" s="1653">
        <f t="shared" si="174"/>
        <v>1919.873333333333</v>
      </c>
      <c r="V608" s="1653">
        <f t="shared" si="175"/>
        <v>-0.66666666666681818</v>
      </c>
      <c r="W608" s="1653">
        <f t="shared" si="176"/>
        <v>1919.5399999999997</v>
      </c>
      <c r="X608" s="1653">
        <f t="shared" si="177"/>
        <v>-1.0000000000001514</v>
      </c>
      <c r="Y608" s="1653">
        <f t="shared" si="178"/>
        <v>1919.2066666666663</v>
      </c>
    </row>
    <row r="609" spans="1:25" ht="15" hidden="1" outlineLevel="1">
      <c r="A609" s="1615">
        <v>601</v>
      </c>
      <c r="C609" s="1651" t="s">
        <v>3269</v>
      </c>
      <c r="D609" s="1651" t="s">
        <v>3270</v>
      </c>
      <c r="E609" s="1613">
        <v>42700</v>
      </c>
      <c r="F609" s="1613">
        <v>-10704.25</v>
      </c>
      <c r="G609" s="1613">
        <f t="shared" si="179"/>
        <v>31995.75</v>
      </c>
      <c r="H609" s="1578">
        <v>2014</v>
      </c>
      <c r="I609" s="1662">
        <f t="shared" si="180"/>
        <v>1.5</v>
      </c>
      <c r="J609" s="1663">
        <v>36</v>
      </c>
      <c r="K609" s="1664">
        <f t="shared" si="181"/>
        <v>0.33333333333333331</v>
      </c>
      <c r="L609" s="1613">
        <f t="shared" si="182"/>
        <v>14233.333333333332</v>
      </c>
      <c r="M609" s="1613">
        <f t="shared" si="183"/>
        <v>42700</v>
      </c>
      <c r="N609" s="1613">
        <f t="shared" si="172"/>
        <v>-28466.666666666664</v>
      </c>
      <c r="O609" s="1652">
        <f t="shared" si="184"/>
        <v>14233.333333333336</v>
      </c>
      <c r="P609" s="1653">
        <f t="shared" si="185"/>
        <v>-28466.999999999996</v>
      </c>
      <c r="Q609" s="1653">
        <f t="shared" si="186"/>
        <v>-14233.666666666664</v>
      </c>
      <c r="R609" s="1653">
        <f t="shared" si="187"/>
        <v>-14233.666666666664</v>
      </c>
      <c r="S609" s="1653">
        <f t="shared" si="188"/>
        <v>-0.33333333333212067</v>
      </c>
      <c r="T609" s="1653">
        <f t="shared" si="173"/>
        <v>-0.33333333333212067</v>
      </c>
      <c r="U609" s="1653">
        <f t="shared" si="174"/>
        <v>14233</v>
      </c>
      <c r="V609" s="1653">
        <f t="shared" si="175"/>
        <v>-0.66666666666545393</v>
      </c>
      <c r="W609" s="1653">
        <f t="shared" si="176"/>
        <v>14232.666666666666</v>
      </c>
      <c r="X609" s="1653">
        <f t="shared" si="177"/>
        <v>-0.99999999999878719</v>
      </c>
      <c r="Y609" s="1653">
        <f t="shared" si="178"/>
        <v>14232.333333333334</v>
      </c>
    </row>
    <row r="610" spans="1:25" ht="15" hidden="1" outlineLevel="1">
      <c r="A610" s="1615">
        <v>602</v>
      </c>
      <c r="C610" s="1651" t="s">
        <v>3271</v>
      </c>
      <c r="D610" s="1651" t="s">
        <v>2465</v>
      </c>
      <c r="E610" s="1613">
        <v>41.51</v>
      </c>
      <c r="F610" s="1613">
        <v>-10.4</v>
      </c>
      <c r="G610" s="1613">
        <f t="shared" si="179"/>
        <v>31.11</v>
      </c>
      <c r="H610" s="1578">
        <v>2014</v>
      </c>
      <c r="I610" s="1662">
        <f t="shared" si="180"/>
        <v>1.5</v>
      </c>
      <c r="J610" s="1663">
        <v>36</v>
      </c>
      <c r="K610" s="1664">
        <f t="shared" si="181"/>
        <v>0.33333333333333331</v>
      </c>
      <c r="L610" s="1613">
        <f t="shared" si="182"/>
        <v>13.836666666666666</v>
      </c>
      <c r="M610" s="1613">
        <f t="shared" si="183"/>
        <v>41.51</v>
      </c>
      <c r="N610" s="1613">
        <f t="shared" si="172"/>
        <v>-27.673333333333332</v>
      </c>
      <c r="O610" s="1652">
        <f t="shared" si="184"/>
        <v>13.836666666666666</v>
      </c>
      <c r="P610" s="1653">
        <f t="shared" si="185"/>
        <v>-28.006666666666664</v>
      </c>
      <c r="Q610" s="1653">
        <f t="shared" si="186"/>
        <v>-14.169999999999998</v>
      </c>
      <c r="R610" s="1653">
        <f t="shared" si="187"/>
        <v>-14.169999999999998</v>
      </c>
      <c r="S610" s="1653">
        <f t="shared" si="188"/>
        <v>-0.33333333333333215</v>
      </c>
      <c r="T610" s="1653">
        <f t="shared" si="173"/>
        <v>-0.33333333333333215</v>
      </c>
      <c r="U610" s="1653">
        <f t="shared" si="174"/>
        <v>13.503333333333334</v>
      </c>
      <c r="V610" s="1653">
        <f t="shared" si="175"/>
        <v>-0.66666666666666541</v>
      </c>
      <c r="W610" s="1653">
        <f t="shared" si="176"/>
        <v>13.17</v>
      </c>
      <c r="X610" s="1653">
        <f t="shared" si="177"/>
        <v>-0.99999999999999867</v>
      </c>
      <c r="Y610" s="1653">
        <f t="shared" si="178"/>
        <v>12.836666666666668</v>
      </c>
    </row>
    <row r="611" spans="1:25" ht="15" hidden="1" outlineLevel="1">
      <c r="A611" s="1615">
        <v>603</v>
      </c>
      <c r="C611" s="1651" t="s">
        <v>3272</v>
      </c>
      <c r="D611" s="1651" t="s">
        <v>2465</v>
      </c>
      <c r="E611" s="1613">
        <v>124.93</v>
      </c>
      <c r="F611" s="1613">
        <v>-31.32</v>
      </c>
      <c r="G611" s="1613">
        <f t="shared" si="179"/>
        <v>93.610000000000014</v>
      </c>
      <c r="H611" s="1578">
        <v>2014</v>
      </c>
      <c r="I611" s="1662">
        <f t="shared" si="180"/>
        <v>1.5</v>
      </c>
      <c r="J611" s="1663">
        <v>36</v>
      </c>
      <c r="K611" s="1664">
        <f t="shared" si="181"/>
        <v>0.33333333333333331</v>
      </c>
      <c r="L611" s="1613">
        <f t="shared" si="182"/>
        <v>41.643333333333331</v>
      </c>
      <c r="M611" s="1613">
        <f t="shared" si="183"/>
        <v>124.93</v>
      </c>
      <c r="N611" s="1613">
        <f t="shared" si="172"/>
        <v>-83.286666666666662</v>
      </c>
      <c r="O611" s="1652">
        <f t="shared" si="184"/>
        <v>41.643333333333345</v>
      </c>
      <c r="P611" s="1653">
        <f t="shared" si="185"/>
        <v>-83.61999999999999</v>
      </c>
      <c r="Q611" s="1653">
        <f t="shared" si="186"/>
        <v>-41.976666666666659</v>
      </c>
      <c r="R611" s="1653">
        <f t="shared" si="187"/>
        <v>-41.976666666666659</v>
      </c>
      <c r="S611" s="1653">
        <f t="shared" si="188"/>
        <v>-0.3333333333333286</v>
      </c>
      <c r="T611" s="1653">
        <f t="shared" si="173"/>
        <v>-0.3333333333333286</v>
      </c>
      <c r="U611" s="1653">
        <f t="shared" si="174"/>
        <v>41.31</v>
      </c>
      <c r="V611" s="1653">
        <f t="shared" si="175"/>
        <v>-0.66666666666666186</v>
      </c>
      <c r="W611" s="1653">
        <f t="shared" si="176"/>
        <v>40.976666666666667</v>
      </c>
      <c r="X611" s="1653">
        <f t="shared" si="177"/>
        <v>-0.99999999999999512</v>
      </c>
      <c r="Y611" s="1653">
        <f t="shared" si="178"/>
        <v>40.643333333333338</v>
      </c>
    </row>
    <row r="612" spans="1:25" ht="15" hidden="1" outlineLevel="1">
      <c r="A612" s="1615">
        <v>604</v>
      </c>
      <c r="C612" s="1651" t="s">
        <v>3273</v>
      </c>
      <c r="D612" s="1651" t="s">
        <v>2465</v>
      </c>
      <c r="E612" s="1613">
        <v>87.7</v>
      </c>
      <c r="F612" s="1613">
        <v>-21.99</v>
      </c>
      <c r="G612" s="1613">
        <f t="shared" si="179"/>
        <v>65.710000000000008</v>
      </c>
      <c r="H612" s="1578">
        <v>2014</v>
      </c>
      <c r="I612" s="1662">
        <f t="shared" si="180"/>
        <v>1.5</v>
      </c>
      <c r="J612" s="1663">
        <v>36</v>
      </c>
      <c r="K612" s="1664">
        <f t="shared" si="181"/>
        <v>0.33333333333333331</v>
      </c>
      <c r="L612" s="1613">
        <f t="shared" si="182"/>
        <v>29.233333333333334</v>
      </c>
      <c r="M612" s="1613">
        <f t="shared" si="183"/>
        <v>87.7</v>
      </c>
      <c r="N612" s="1613">
        <f t="shared" si="172"/>
        <v>-58.466666666666669</v>
      </c>
      <c r="O612" s="1652">
        <f t="shared" si="184"/>
        <v>29.233333333333334</v>
      </c>
      <c r="P612" s="1653">
        <f t="shared" si="185"/>
        <v>-58.800000000000004</v>
      </c>
      <c r="Q612" s="1653">
        <f t="shared" si="186"/>
        <v>-29.56666666666667</v>
      </c>
      <c r="R612" s="1653">
        <f t="shared" si="187"/>
        <v>-29.56666666666667</v>
      </c>
      <c r="S612" s="1653">
        <f t="shared" si="188"/>
        <v>-0.3333333333333357</v>
      </c>
      <c r="T612" s="1653">
        <f t="shared" si="173"/>
        <v>-0.3333333333333357</v>
      </c>
      <c r="U612" s="1653">
        <f t="shared" si="174"/>
        <v>28.9</v>
      </c>
      <c r="V612" s="1653">
        <f t="shared" si="175"/>
        <v>-0.66666666666666896</v>
      </c>
      <c r="W612" s="1653">
        <f t="shared" si="176"/>
        <v>28.566666666666666</v>
      </c>
      <c r="X612" s="1653">
        <f t="shared" si="177"/>
        <v>-1.0000000000000022</v>
      </c>
      <c r="Y612" s="1653">
        <f t="shared" si="178"/>
        <v>28.233333333333331</v>
      </c>
    </row>
    <row r="613" spans="1:25" ht="15" hidden="1" outlineLevel="1">
      <c r="A613" s="1615">
        <v>605</v>
      </c>
      <c r="C613" s="1651" t="s">
        <v>3274</v>
      </c>
      <c r="D613" s="1651" t="s">
        <v>2465</v>
      </c>
      <c r="E613" s="1613">
        <v>3920.12</v>
      </c>
      <c r="F613" s="1613">
        <v>-982.71</v>
      </c>
      <c r="G613" s="1613">
        <f t="shared" si="179"/>
        <v>2937.41</v>
      </c>
      <c r="H613" s="1578">
        <v>2014</v>
      </c>
      <c r="I613" s="1662">
        <f t="shared" si="180"/>
        <v>1.5</v>
      </c>
      <c r="J613" s="1663">
        <v>36</v>
      </c>
      <c r="K613" s="1664">
        <f t="shared" si="181"/>
        <v>0.33333333333333331</v>
      </c>
      <c r="L613" s="1613">
        <f t="shared" si="182"/>
        <v>1306.7066666666665</v>
      </c>
      <c r="M613" s="1613">
        <f t="shared" si="183"/>
        <v>3920.12</v>
      </c>
      <c r="N613" s="1613">
        <f t="shared" si="172"/>
        <v>-2613.413333333333</v>
      </c>
      <c r="O613" s="1652">
        <f t="shared" si="184"/>
        <v>1306.7066666666669</v>
      </c>
      <c r="P613" s="1653">
        <f t="shared" si="185"/>
        <v>-2613.7466666666664</v>
      </c>
      <c r="Q613" s="1653">
        <f t="shared" si="186"/>
        <v>-1307.04</v>
      </c>
      <c r="R613" s="1653">
        <f t="shared" si="187"/>
        <v>-1307.04</v>
      </c>
      <c r="S613" s="1653">
        <f t="shared" si="188"/>
        <v>-0.33333333333348492</v>
      </c>
      <c r="T613" s="1653">
        <f t="shared" si="173"/>
        <v>-0.33333333333348492</v>
      </c>
      <c r="U613" s="1653">
        <f t="shared" si="174"/>
        <v>1306.373333333333</v>
      </c>
      <c r="V613" s="1653">
        <f t="shared" si="175"/>
        <v>-0.66666666666681818</v>
      </c>
      <c r="W613" s="1653">
        <f t="shared" si="176"/>
        <v>1306.0399999999997</v>
      </c>
      <c r="X613" s="1653">
        <f t="shared" si="177"/>
        <v>-1.0000000000001514</v>
      </c>
      <c r="Y613" s="1653">
        <f t="shared" si="178"/>
        <v>1305.7066666666663</v>
      </c>
    </row>
    <row r="614" spans="1:25" ht="15" hidden="1" outlineLevel="1">
      <c r="A614" s="1615">
        <v>606</v>
      </c>
      <c r="C614" s="1651" t="s">
        <v>3275</v>
      </c>
      <c r="D614" s="1651" t="s">
        <v>2465</v>
      </c>
      <c r="E614" s="1613">
        <v>261.32</v>
      </c>
      <c r="F614" s="1613">
        <v>-65.5</v>
      </c>
      <c r="G614" s="1613">
        <f t="shared" si="179"/>
        <v>195.82</v>
      </c>
      <c r="H614" s="1578">
        <v>2014</v>
      </c>
      <c r="I614" s="1662">
        <f t="shared" si="180"/>
        <v>1.5</v>
      </c>
      <c r="J614" s="1663">
        <v>36</v>
      </c>
      <c r="K614" s="1664">
        <f t="shared" si="181"/>
        <v>0.33333333333333331</v>
      </c>
      <c r="L614" s="1613">
        <f t="shared" si="182"/>
        <v>87.106666666666655</v>
      </c>
      <c r="M614" s="1613">
        <f t="shared" si="183"/>
        <v>261.32</v>
      </c>
      <c r="N614" s="1613">
        <f t="shared" si="172"/>
        <v>-174.21333333333331</v>
      </c>
      <c r="O614" s="1652">
        <f t="shared" si="184"/>
        <v>87.106666666666683</v>
      </c>
      <c r="P614" s="1653">
        <f t="shared" si="185"/>
        <v>-174.54666666666665</v>
      </c>
      <c r="Q614" s="1653">
        <f t="shared" si="186"/>
        <v>-87.44</v>
      </c>
      <c r="R614" s="1653">
        <f t="shared" si="187"/>
        <v>-87.44</v>
      </c>
      <c r="S614" s="1653">
        <f t="shared" si="188"/>
        <v>-0.33333333333334281</v>
      </c>
      <c r="T614" s="1653">
        <f t="shared" si="173"/>
        <v>-0.33333333333334281</v>
      </c>
      <c r="U614" s="1653">
        <f t="shared" si="174"/>
        <v>86.773333333333312</v>
      </c>
      <c r="V614" s="1653">
        <f t="shared" si="175"/>
        <v>-0.66666666666667607</v>
      </c>
      <c r="W614" s="1653">
        <f t="shared" si="176"/>
        <v>86.439999999999984</v>
      </c>
      <c r="X614" s="1653">
        <f t="shared" si="177"/>
        <v>-1.0000000000000093</v>
      </c>
      <c r="Y614" s="1653">
        <f t="shared" si="178"/>
        <v>86.106666666666641</v>
      </c>
    </row>
    <row r="615" spans="1:25" ht="15" hidden="1" outlineLevel="1">
      <c r="A615" s="1615">
        <v>607</v>
      </c>
      <c r="C615" s="1651" t="s">
        <v>3276</v>
      </c>
      <c r="D615" s="1651" t="s">
        <v>2465</v>
      </c>
      <c r="E615" s="1613">
        <v>7279.17</v>
      </c>
      <c r="F615" s="1613">
        <v>-1824.77</v>
      </c>
      <c r="G615" s="1613">
        <f t="shared" si="179"/>
        <v>5454.4</v>
      </c>
      <c r="H615" s="1578">
        <v>2014</v>
      </c>
      <c r="I615" s="1662">
        <f t="shared" si="180"/>
        <v>1.5</v>
      </c>
      <c r="J615" s="1663">
        <v>36</v>
      </c>
      <c r="K615" s="1664">
        <f t="shared" si="181"/>
        <v>0.33333333333333331</v>
      </c>
      <c r="L615" s="1613">
        <f t="shared" si="182"/>
        <v>2426.39</v>
      </c>
      <c r="M615" s="1613">
        <f t="shared" si="183"/>
        <v>7279.17</v>
      </c>
      <c r="N615" s="1613">
        <f t="shared" si="172"/>
        <v>-4852.78</v>
      </c>
      <c r="O615" s="1652">
        <f t="shared" si="184"/>
        <v>2426.3900000000003</v>
      </c>
      <c r="P615" s="1653">
        <f t="shared" si="185"/>
        <v>-4853.1133333333328</v>
      </c>
      <c r="Q615" s="1653">
        <f t="shared" si="186"/>
        <v>-2426.7233333333329</v>
      </c>
      <c r="R615" s="1653">
        <f t="shared" si="187"/>
        <v>-2426.7233333333329</v>
      </c>
      <c r="S615" s="1653">
        <f t="shared" si="188"/>
        <v>-0.33333333333303017</v>
      </c>
      <c r="T615" s="1653">
        <f t="shared" si="173"/>
        <v>-0.33333333333303017</v>
      </c>
      <c r="U615" s="1653">
        <f t="shared" si="174"/>
        <v>2426.0566666666668</v>
      </c>
      <c r="V615" s="1653">
        <f t="shared" si="175"/>
        <v>-0.66666666666636343</v>
      </c>
      <c r="W615" s="1653">
        <f t="shared" si="176"/>
        <v>2425.7233333333334</v>
      </c>
      <c r="X615" s="1653">
        <f t="shared" si="177"/>
        <v>-0.99999999999969669</v>
      </c>
      <c r="Y615" s="1653">
        <f t="shared" si="178"/>
        <v>2425.3900000000003</v>
      </c>
    </row>
    <row r="616" spans="1:25" ht="15" hidden="1" outlineLevel="1">
      <c r="A616" s="1615">
        <v>608</v>
      </c>
      <c r="C616" s="1651" t="s">
        <v>3277</v>
      </c>
      <c r="D616" s="1651" t="s">
        <v>2465</v>
      </c>
      <c r="E616" s="1613">
        <v>404.52</v>
      </c>
      <c r="F616" s="1613">
        <v>-101.41</v>
      </c>
      <c r="G616" s="1613">
        <f t="shared" si="179"/>
        <v>303.11</v>
      </c>
      <c r="H616" s="1578">
        <v>2014</v>
      </c>
      <c r="I616" s="1662">
        <f t="shared" si="180"/>
        <v>1.5</v>
      </c>
      <c r="J616" s="1663">
        <v>36</v>
      </c>
      <c r="K616" s="1664">
        <f t="shared" si="181"/>
        <v>0.33333333333333331</v>
      </c>
      <c r="L616" s="1613">
        <f t="shared" si="182"/>
        <v>134.83999999999997</v>
      </c>
      <c r="M616" s="1613">
        <f t="shared" si="183"/>
        <v>404.52</v>
      </c>
      <c r="N616" s="1613">
        <f t="shared" si="172"/>
        <v>-269.67999999999995</v>
      </c>
      <c r="O616" s="1652">
        <f t="shared" si="184"/>
        <v>134.84000000000003</v>
      </c>
      <c r="P616" s="1653">
        <f t="shared" si="185"/>
        <v>-270.01333333333326</v>
      </c>
      <c r="Q616" s="1653">
        <f t="shared" si="186"/>
        <v>-135.17333333333329</v>
      </c>
      <c r="R616" s="1653">
        <f t="shared" si="187"/>
        <v>-135.17333333333329</v>
      </c>
      <c r="S616" s="1653">
        <f t="shared" si="188"/>
        <v>-0.33333333333331439</v>
      </c>
      <c r="T616" s="1653">
        <f t="shared" si="173"/>
        <v>-0.33333333333331439</v>
      </c>
      <c r="U616" s="1653">
        <f t="shared" si="174"/>
        <v>134.50666666666666</v>
      </c>
      <c r="V616" s="1653">
        <f t="shared" si="175"/>
        <v>-0.66666666666664764</v>
      </c>
      <c r="W616" s="1653">
        <f t="shared" si="176"/>
        <v>134.17333333333332</v>
      </c>
      <c r="X616" s="1653">
        <f t="shared" si="177"/>
        <v>-0.9999999999999809</v>
      </c>
      <c r="Y616" s="1653">
        <f t="shared" si="178"/>
        <v>133.84</v>
      </c>
    </row>
    <row r="617" spans="1:25" ht="15" hidden="1" outlineLevel="1">
      <c r="A617" s="1615">
        <v>609</v>
      </c>
      <c r="C617" s="1651" t="s">
        <v>3278</v>
      </c>
      <c r="D617" s="1651" t="s">
        <v>2465</v>
      </c>
      <c r="E617" s="1613">
        <v>525.87</v>
      </c>
      <c r="F617" s="1613">
        <v>-131.82</v>
      </c>
      <c r="G617" s="1613">
        <f t="shared" si="179"/>
        <v>394.05</v>
      </c>
      <c r="H617" s="1578">
        <v>2014</v>
      </c>
      <c r="I617" s="1662">
        <f t="shared" si="180"/>
        <v>1.5</v>
      </c>
      <c r="J617" s="1663">
        <v>36</v>
      </c>
      <c r="K617" s="1664">
        <f t="shared" si="181"/>
        <v>0.33333333333333331</v>
      </c>
      <c r="L617" s="1613">
        <f t="shared" si="182"/>
        <v>175.29</v>
      </c>
      <c r="M617" s="1613">
        <f t="shared" si="183"/>
        <v>525.87</v>
      </c>
      <c r="N617" s="1613">
        <f t="shared" si="172"/>
        <v>-350.58</v>
      </c>
      <c r="O617" s="1652">
        <f t="shared" si="184"/>
        <v>175.29000000000002</v>
      </c>
      <c r="P617" s="1653">
        <f t="shared" si="185"/>
        <v>-350.9133333333333</v>
      </c>
      <c r="Q617" s="1653">
        <f t="shared" si="186"/>
        <v>-175.62333333333331</v>
      </c>
      <c r="R617" s="1653">
        <f t="shared" si="187"/>
        <v>-175.62333333333331</v>
      </c>
      <c r="S617" s="1653">
        <f t="shared" si="188"/>
        <v>-0.33333333333331439</v>
      </c>
      <c r="T617" s="1653">
        <f t="shared" si="173"/>
        <v>-0.33333333333331439</v>
      </c>
      <c r="U617" s="1653">
        <f t="shared" si="174"/>
        <v>174.95666666666668</v>
      </c>
      <c r="V617" s="1653">
        <f t="shared" si="175"/>
        <v>-0.66666666666664764</v>
      </c>
      <c r="W617" s="1653">
        <f t="shared" si="176"/>
        <v>174.62333333333333</v>
      </c>
      <c r="X617" s="1653">
        <f t="shared" si="177"/>
        <v>-0.9999999999999809</v>
      </c>
      <c r="Y617" s="1653">
        <f t="shared" si="178"/>
        <v>174.29000000000002</v>
      </c>
    </row>
    <row r="618" spans="1:25" ht="15" hidden="1" outlineLevel="1">
      <c r="A618" s="1615">
        <v>610</v>
      </c>
      <c r="C618" s="1651" t="s">
        <v>3279</v>
      </c>
      <c r="D618" s="1651" t="s">
        <v>2465</v>
      </c>
      <c r="E618" s="1613">
        <v>1592.58</v>
      </c>
      <c r="F618" s="1613">
        <v>-399.24</v>
      </c>
      <c r="G618" s="1613">
        <f t="shared" si="179"/>
        <v>1193.3399999999999</v>
      </c>
      <c r="H618" s="1578">
        <v>2014</v>
      </c>
      <c r="I618" s="1662">
        <f t="shared" si="180"/>
        <v>1.5</v>
      </c>
      <c r="J618" s="1663">
        <v>36</v>
      </c>
      <c r="K618" s="1664">
        <f t="shared" si="181"/>
        <v>0.33333333333333331</v>
      </c>
      <c r="L618" s="1613">
        <f t="shared" si="182"/>
        <v>530.8599999999999</v>
      </c>
      <c r="M618" s="1613">
        <f t="shared" si="183"/>
        <v>1592.58</v>
      </c>
      <c r="N618" s="1613">
        <f t="shared" si="172"/>
        <v>-1061.7199999999998</v>
      </c>
      <c r="O618" s="1652">
        <f t="shared" si="184"/>
        <v>530.86000000000013</v>
      </c>
      <c r="P618" s="1653">
        <f t="shared" si="185"/>
        <v>-1062.0533333333331</v>
      </c>
      <c r="Q618" s="1653">
        <f t="shared" si="186"/>
        <v>-531.19333333333316</v>
      </c>
      <c r="R618" s="1653">
        <f t="shared" si="187"/>
        <v>-531.19333333333316</v>
      </c>
      <c r="S618" s="1653">
        <f t="shared" si="188"/>
        <v>-0.33333333333325754</v>
      </c>
      <c r="T618" s="1653">
        <f t="shared" si="173"/>
        <v>-0.33333333333325754</v>
      </c>
      <c r="U618" s="1653">
        <f t="shared" si="174"/>
        <v>530.52666666666664</v>
      </c>
      <c r="V618" s="1653">
        <f t="shared" si="175"/>
        <v>-0.6666666666665908</v>
      </c>
      <c r="W618" s="1653">
        <f t="shared" si="176"/>
        <v>530.19333333333327</v>
      </c>
      <c r="X618" s="1653">
        <f t="shared" si="177"/>
        <v>-0.99999999999992406</v>
      </c>
      <c r="Y618" s="1653">
        <f t="shared" si="178"/>
        <v>529.86</v>
      </c>
    </row>
    <row r="619" spans="1:25" ht="15" hidden="1" outlineLevel="1">
      <c r="A619" s="1615">
        <v>611</v>
      </c>
      <c r="C619" s="1651" t="s">
        <v>3280</v>
      </c>
      <c r="D619" s="1651" t="s">
        <v>2465</v>
      </c>
      <c r="E619" s="1613">
        <v>14514.08</v>
      </c>
      <c r="F619" s="1613">
        <v>-3638.45</v>
      </c>
      <c r="G619" s="1613">
        <f t="shared" si="179"/>
        <v>10875.630000000001</v>
      </c>
      <c r="H619" s="1578">
        <v>2014</v>
      </c>
      <c r="I619" s="1662">
        <f t="shared" si="180"/>
        <v>1.5</v>
      </c>
      <c r="J619" s="1663">
        <v>36</v>
      </c>
      <c r="K619" s="1664">
        <f t="shared" si="181"/>
        <v>0.33333333333333331</v>
      </c>
      <c r="L619" s="1613">
        <f t="shared" si="182"/>
        <v>4838.0266666666666</v>
      </c>
      <c r="M619" s="1613">
        <f t="shared" si="183"/>
        <v>14514.08</v>
      </c>
      <c r="N619" s="1613">
        <f t="shared" si="172"/>
        <v>-9676.0533333333333</v>
      </c>
      <c r="O619" s="1652">
        <f t="shared" si="184"/>
        <v>4838.0266666666666</v>
      </c>
      <c r="P619" s="1653">
        <f t="shared" si="185"/>
        <v>-9676.3866666666672</v>
      </c>
      <c r="Q619" s="1653">
        <f t="shared" si="186"/>
        <v>-4838.3600000000006</v>
      </c>
      <c r="R619" s="1653">
        <f t="shared" si="187"/>
        <v>-4838.3600000000006</v>
      </c>
      <c r="S619" s="1653">
        <f t="shared" si="188"/>
        <v>-0.33333333333393966</v>
      </c>
      <c r="T619" s="1653">
        <f t="shared" si="173"/>
        <v>-0.33333333333393966</v>
      </c>
      <c r="U619" s="1653">
        <f t="shared" si="174"/>
        <v>4837.6933333333327</v>
      </c>
      <c r="V619" s="1653">
        <f t="shared" si="175"/>
        <v>-0.66666666666727292</v>
      </c>
      <c r="W619" s="1653">
        <f t="shared" si="176"/>
        <v>4837.3599999999997</v>
      </c>
      <c r="X619" s="1653">
        <f t="shared" si="177"/>
        <v>-1.0000000000006062</v>
      </c>
      <c r="Y619" s="1653">
        <f t="shared" si="178"/>
        <v>4837.0266666666657</v>
      </c>
    </row>
    <row r="620" spans="1:25" ht="15" hidden="1" outlineLevel="1">
      <c r="A620" s="1615">
        <v>612</v>
      </c>
      <c r="C620" s="1651" t="s">
        <v>3281</v>
      </c>
      <c r="D620" s="1651" t="s">
        <v>2465</v>
      </c>
      <c r="E620" s="1613">
        <v>86.18</v>
      </c>
      <c r="F620" s="1613">
        <v>-21.6</v>
      </c>
      <c r="G620" s="1613">
        <f t="shared" si="179"/>
        <v>64.580000000000013</v>
      </c>
      <c r="H620" s="1578">
        <v>2014</v>
      </c>
      <c r="I620" s="1662">
        <f t="shared" si="180"/>
        <v>1.5</v>
      </c>
      <c r="J620" s="1663">
        <v>36</v>
      </c>
      <c r="K620" s="1664">
        <f t="shared" si="181"/>
        <v>0.33333333333333331</v>
      </c>
      <c r="L620" s="1613">
        <f t="shared" si="182"/>
        <v>28.726666666666667</v>
      </c>
      <c r="M620" s="1613">
        <f t="shared" si="183"/>
        <v>86.18</v>
      </c>
      <c r="N620" s="1613">
        <f t="shared" si="172"/>
        <v>-57.453333333333333</v>
      </c>
      <c r="O620" s="1652">
        <f t="shared" si="184"/>
        <v>28.726666666666674</v>
      </c>
      <c r="P620" s="1653">
        <f t="shared" si="185"/>
        <v>-57.786666666666669</v>
      </c>
      <c r="Q620" s="1653">
        <f t="shared" si="186"/>
        <v>-29.060000000000002</v>
      </c>
      <c r="R620" s="1653">
        <f t="shared" si="187"/>
        <v>-29.060000000000002</v>
      </c>
      <c r="S620" s="1653">
        <f t="shared" si="188"/>
        <v>-0.3333333333333357</v>
      </c>
      <c r="T620" s="1653">
        <f t="shared" si="173"/>
        <v>-0.3333333333333357</v>
      </c>
      <c r="U620" s="1653">
        <f t="shared" si="174"/>
        <v>28.393333333333331</v>
      </c>
      <c r="V620" s="1653">
        <f t="shared" si="175"/>
        <v>-0.66666666666666896</v>
      </c>
      <c r="W620" s="1653">
        <f t="shared" si="176"/>
        <v>28.06</v>
      </c>
      <c r="X620" s="1653">
        <f t="shared" si="177"/>
        <v>-1.0000000000000022</v>
      </c>
      <c r="Y620" s="1653">
        <f t="shared" si="178"/>
        <v>27.726666666666663</v>
      </c>
    </row>
    <row r="621" spans="1:25" ht="15" hidden="1" outlineLevel="1">
      <c r="A621" s="1615">
        <v>613</v>
      </c>
      <c r="C621" s="1651" t="s">
        <v>3282</v>
      </c>
      <c r="D621" s="1651" t="s">
        <v>2465</v>
      </c>
      <c r="E621" s="1613">
        <v>207.08</v>
      </c>
      <c r="F621" s="1613">
        <v>-51.91</v>
      </c>
      <c r="G621" s="1613">
        <f t="shared" si="179"/>
        <v>155.17000000000002</v>
      </c>
      <c r="H621" s="1578">
        <v>2014</v>
      </c>
      <c r="I621" s="1662">
        <f t="shared" si="180"/>
        <v>1.5</v>
      </c>
      <c r="J621" s="1663">
        <v>36</v>
      </c>
      <c r="K621" s="1664">
        <f t="shared" si="181"/>
        <v>0.33333333333333331</v>
      </c>
      <c r="L621" s="1613">
        <f t="shared" si="182"/>
        <v>69.026666666666671</v>
      </c>
      <c r="M621" s="1613">
        <f t="shared" si="183"/>
        <v>207.08</v>
      </c>
      <c r="N621" s="1613">
        <f t="shared" si="172"/>
        <v>-138.05333333333334</v>
      </c>
      <c r="O621" s="1652">
        <f t="shared" si="184"/>
        <v>69.026666666666671</v>
      </c>
      <c r="P621" s="1653">
        <f t="shared" si="185"/>
        <v>-138.38666666666668</v>
      </c>
      <c r="Q621" s="1653">
        <f t="shared" si="186"/>
        <v>-69.360000000000014</v>
      </c>
      <c r="R621" s="1653">
        <f t="shared" si="187"/>
        <v>-69.360000000000014</v>
      </c>
      <c r="S621" s="1653">
        <f t="shared" si="188"/>
        <v>-0.33333333333334281</v>
      </c>
      <c r="T621" s="1653">
        <f t="shared" si="173"/>
        <v>-0.33333333333334281</v>
      </c>
      <c r="U621" s="1653">
        <f t="shared" si="174"/>
        <v>68.693333333333328</v>
      </c>
      <c r="V621" s="1653">
        <f t="shared" si="175"/>
        <v>-0.66666666666667607</v>
      </c>
      <c r="W621" s="1653">
        <f t="shared" si="176"/>
        <v>68.36</v>
      </c>
      <c r="X621" s="1653">
        <f t="shared" si="177"/>
        <v>-1.0000000000000093</v>
      </c>
      <c r="Y621" s="1653">
        <f t="shared" si="178"/>
        <v>68.026666666666657</v>
      </c>
    </row>
    <row r="622" spans="1:25" ht="15" hidden="1" outlineLevel="1">
      <c r="A622" s="1615">
        <v>614</v>
      </c>
      <c r="C622" s="1651" t="s">
        <v>3283</v>
      </c>
      <c r="D622" s="1651" t="s">
        <v>2465</v>
      </c>
      <c r="E622" s="1613">
        <v>738.85</v>
      </c>
      <c r="F622" s="1613">
        <v>-185.22</v>
      </c>
      <c r="G622" s="1613">
        <f t="shared" si="179"/>
        <v>553.63</v>
      </c>
      <c r="H622" s="1578">
        <v>2014</v>
      </c>
      <c r="I622" s="1662">
        <f t="shared" si="180"/>
        <v>1.5</v>
      </c>
      <c r="J622" s="1663">
        <v>36</v>
      </c>
      <c r="K622" s="1664">
        <f t="shared" si="181"/>
        <v>0.33333333333333331</v>
      </c>
      <c r="L622" s="1613">
        <f t="shared" si="182"/>
        <v>246.28333333333333</v>
      </c>
      <c r="M622" s="1613">
        <f t="shared" si="183"/>
        <v>738.85</v>
      </c>
      <c r="N622" s="1613">
        <f t="shared" si="172"/>
        <v>-492.56666666666666</v>
      </c>
      <c r="O622" s="1652">
        <f t="shared" si="184"/>
        <v>246.28333333333336</v>
      </c>
      <c r="P622" s="1653">
        <f t="shared" si="185"/>
        <v>-492.9</v>
      </c>
      <c r="Q622" s="1653">
        <f t="shared" si="186"/>
        <v>-246.61666666666665</v>
      </c>
      <c r="R622" s="1653">
        <f t="shared" si="187"/>
        <v>-246.61666666666665</v>
      </c>
      <c r="S622" s="1653">
        <f t="shared" si="188"/>
        <v>-0.33333333333331439</v>
      </c>
      <c r="T622" s="1653">
        <f t="shared" si="173"/>
        <v>-0.33333333333331439</v>
      </c>
      <c r="U622" s="1653">
        <f t="shared" si="174"/>
        <v>245.95000000000002</v>
      </c>
      <c r="V622" s="1653">
        <f t="shared" si="175"/>
        <v>-0.66666666666664764</v>
      </c>
      <c r="W622" s="1653">
        <f t="shared" si="176"/>
        <v>245.61666666666667</v>
      </c>
      <c r="X622" s="1653">
        <f t="shared" si="177"/>
        <v>-0.9999999999999809</v>
      </c>
      <c r="Y622" s="1653">
        <f t="shared" si="178"/>
        <v>245.28333333333336</v>
      </c>
    </row>
    <row r="623" spans="1:25" ht="15" hidden="1" outlineLevel="1">
      <c r="A623" s="1615">
        <v>615</v>
      </c>
      <c r="C623" s="1651" t="s">
        <v>3284</v>
      </c>
      <c r="D623" s="1651" t="s">
        <v>2465</v>
      </c>
      <c r="E623" s="1613">
        <v>944.41</v>
      </c>
      <c r="F623" s="1613">
        <v>-236.75</v>
      </c>
      <c r="G623" s="1613">
        <f t="shared" si="179"/>
        <v>707.66</v>
      </c>
      <c r="H623" s="1578">
        <v>2014</v>
      </c>
      <c r="I623" s="1662">
        <f t="shared" si="180"/>
        <v>1.5</v>
      </c>
      <c r="J623" s="1663">
        <v>36</v>
      </c>
      <c r="K623" s="1664">
        <f t="shared" si="181"/>
        <v>0.33333333333333331</v>
      </c>
      <c r="L623" s="1613">
        <f t="shared" si="182"/>
        <v>314.80333333333328</v>
      </c>
      <c r="M623" s="1613">
        <f t="shared" si="183"/>
        <v>944.41</v>
      </c>
      <c r="N623" s="1613">
        <f t="shared" si="172"/>
        <v>-629.60666666666657</v>
      </c>
      <c r="O623" s="1652">
        <f t="shared" si="184"/>
        <v>314.8033333333334</v>
      </c>
      <c r="P623" s="1653">
        <f t="shared" si="185"/>
        <v>-629.93999999999994</v>
      </c>
      <c r="Q623" s="1653">
        <f t="shared" si="186"/>
        <v>-315.13666666666666</v>
      </c>
      <c r="R623" s="1653">
        <f t="shared" si="187"/>
        <v>-315.13666666666666</v>
      </c>
      <c r="S623" s="1653">
        <f t="shared" si="188"/>
        <v>-0.33333333333337123</v>
      </c>
      <c r="T623" s="1653">
        <f t="shared" si="173"/>
        <v>-0.33333333333337123</v>
      </c>
      <c r="U623" s="1653">
        <f t="shared" si="174"/>
        <v>314.46999999999991</v>
      </c>
      <c r="V623" s="1653">
        <f t="shared" si="175"/>
        <v>-0.66666666666670449</v>
      </c>
      <c r="W623" s="1653">
        <f t="shared" si="176"/>
        <v>314.1366666666666</v>
      </c>
      <c r="X623" s="1653">
        <f t="shared" si="177"/>
        <v>-1.0000000000000377</v>
      </c>
      <c r="Y623" s="1653">
        <f t="shared" si="178"/>
        <v>313.80333333333323</v>
      </c>
    </row>
    <row r="624" spans="1:25" ht="15" hidden="1" outlineLevel="1">
      <c r="A624" s="1615">
        <v>616</v>
      </c>
      <c r="C624" s="1651" t="s">
        <v>3285</v>
      </c>
      <c r="D624" s="1651" t="s">
        <v>2465</v>
      </c>
      <c r="E624" s="1613">
        <v>45473.73</v>
      </c>
      <c r="F624" s="1613">
        <v>-11399.57</v>
      </c>
      <c r="G624" s="1613">
        <f t="shared" si="179"/>
        <v>34074.160000000003</v>
      </c>
      <c r="H624" s="1578">
        <v>2014</v>
      </c>
      <c r="I624" s="1662">
        <f t="shared" si="180"/>
        <v>1.5</v>
      </c>
      <c r="J624" s="1663">
        <v>36</v>
      </c>
      <c r="K624" s="1664">
        <f t="shared" si="181"/>
        <v>0.33333333333333331</v>
      </c>
      <c r="L624" s="1613">
        <f t="shared" si="182"/>
        <v>15157.91</v>
      </c>
      <c r="M624" s="1613">
        <f t="shared" si="183"/>
        <v>45473.73</v>
      </c>
      <c r="N624" s="1613">
        <f t="shared" si="172"/>
        <v>-30315.82</v>
      </c>
      <c r="O624" s="1652">
        <f t="shared" si="184"/>
        <v>15157.910000000003</v>
      </c>
      <c r="P624" s="1653">
        <f t="shared" si="185"/>
        <v>-30316.153333333332</v>
      </c>
      <c r="Q624" s="1653">
        <f t="shared" si="186"/>
        <v>-15158.243333333332</v>
      </c>
      <c r="R624" s="1653">
        <f t="shared" si="187"/>
        <v>-15158.243333333332</v>
      </c>
      <c r="S624" s="1653">
        <f t="shared" si="188"/>
        <v>-0.33333333333212067</v>
      </c>
      <c r="T624" s="1653">
        <f t="shared" si="173"/>
        <v>-0.33333333333212067</v>
      </c>
      <c r="U624" s="1653">
        <f t="shared" si="174"/>
        <v>15157.576666666668</v>
      </c>
      <c r="V624" s="1653">
        <f t="shared" si="175"/>
        <v>-0.66666666666545393</v>
      </c>
      <c r="W624" s="1653">
        <f t="shared" si="176"/>
        <v>15157.243333333334</v>
      </c>
      <c r="X624" s="1653">
        <f t="shared" si="177"/>
        <v>-0.99999999999878719</v>
      </c>
      <c r="Y624" s="1653">
        <f t="shared" si="178"/>
        <v>15156.910000000002</v>
      </c>
    </row>
    <row r="625" spans="1:25" ht="15" hidden="1" outlineLevel="1">
      <c r="A625" s="1615">
        <v>617</v>
      </c>
      <c r="C625" s="1651" t="s">
        <v>3286</v>
      </c>
      <c r="D625" s="1651" t="s">
        <v>2465</v>
      </c>
      <c r="E625" s="1613">
        <v>1835.36</v>
      </c>
      <c r="F625" s="1613">
        <v>-460.09</v>
      </c>
      <c r="G625" s="1613">
        <f t="shared" si="179"/>
        <v>1375.27</v>
      </c>
      <c r="H625" s="1578">
        <v>2014</v>
      </c>
      <c r="I625" s="1662">
        <f t="shared" si="180"/>
        <v>1.5</v>
      </c>
      <c r="J625" s="1663">
        <v>36</v>
      </c>
      <c r="K625" s="1664">
        <f t="shared" si="181"/>
        <v>0.33333333333333331</v>
      </c>
      <c r="L625" s="1613">
        <f t="shared" si="182"/>
        <v>611.78666666666663</v>
      </c>
      <c r="M625" s="1613">
        <f t="shared" si="183"/>
        <v>1835.36</v>
      </c>
      <c r="N625" s="1613">
        <f t="shared" si="172"/>
        <v>-1223.5733333333333</v>
      </c>
      <c r="O625" s="1652">
        <f t="shared" si="184"/>
        <v>611.78666666666663</v>
      </c>
      <c r="P625" s="1653">
        <f t="shared" si="185"/>
        <v>-1223.9066666666665</v>
      </c>
      <c r="Q625" s="1653">
        <f t="shared" si="186"/>
        <v>-612.11999999999989</v>
      </c>
      <c r="R625" s="1653">
        <f t="shared" si="187"/>
        <v>-612.11999999999989</v>
      </c>
      <c r="S625" s="1653">
        <f t="shared" si="188"/>
        <v>-0.33333333333325754</v>
      </c>
      <c r="T625" s="1653">
        <f t="shared" si="173"/>
        <v>-0.33333333333325754</v>
      </c>
      <c r="U625" s="1653">
        <f t="shared" si="174"/>
        <v>611.45333333333338</v>
      </c>
      <c r="V625" s="1653">
        <f t="shared" si="175"/>
        <v>-0.6666666666665908</v>
      </c>
      <c r="W625" s="1653">
        <f t="shared" si="176"/>
        <v>611.12</v>
      </c>
      <c r="X625" s="1653">
        <f t="shared" si="177"/>
        <v>-0.99999999999992406</v>
      </c>
      <c r="Y625" s="1653">
        <f t="shared" si="178"/>
        <v>610.78666666666675</v>
      </c>
    </row>
    <row r="626" spans="1:25" ht="15" hidden="1" outlineLevel="1">
      <c r="A626" s="1615">
        <v>618</v>
      </c>
      <c r="C626" s="1651" t="s">
        <v>3287</v>
      </c>
      <c r="D626" s="1651" t="s">
        <v>2465</v>
      </c>
      <c r="E626" s="1613">
        <v>3198.46</v>
      </c>
      <c r="F626" s="1613">
        <v>-801.81</v>
      </c>
      <c r="G626" s="1613">
        <f t="shared" si="179"/>
        <v>2396.65</v>
      </c>
      <c r="H626" s="1578">
        <v>2014</v>
      </c>
      <c r="I626" s="1662">
        <f t="shared" si="180"/>
        <v>1.5</v>
      </c>
      <c r="J626" s="1663">
        <v>36</v>
      </c>
      <c r="K626" s="1664">
        <f t="shared" si="181"/>
        <v>0.33333333333333331</v>
      </c>
      <c r="L626" s="1613">
        <f t="shared" si="182"/>
        <v>1066.1533333333332</v>
      </c>
      <c r="M626" s="1613">
        <f t="shared" si="183"/>
        <v>3198.46</v>
      </c>
      <c r="N626" s="1613">
        <f t="shared" si="172"/>
        <v>-2132.3066666666664</v>
      </c>
      <c r="O626" s="1652">
        <f t="shared" si="184"/>
        <v>1066.1533333333336</v>
      </c>
      <c r="P626" s="1653">
        <f t="shared" si="185"/>
        <v>-2132.64</v>
      </c>
      <c r="Q626" s="1653">
        <f t="shared" si="186"/>
        <v>-1066.4866666666667</v>
      </c>
      <c r="R626" s="1653">
        <f t="shared" si="187"/>
        <v>-1066.4866666666667</v>
      </c>
      <c r="S626" s="1653">
        <f t="shared" si="188"/>
        <v>-0.33333333333348492</v>
      </c>
      <c r="T626" s="1653">
        <f t="shared" si="173"/>
        <v>-0.33333333333348492</v>
      </c>
      <c r="U626" s="1653">
        <f t="shared" si="174"/>
        <v>1065.8199999999997</v>
      </c>
      <c r="V626" s="1653">
        <f t="shared" si="175"/>
        <v>-0.66666666666681818</v>
      </c>
      <c r="W626" s="1653">
        <f t="shared" si="176"/>
        <v>1065.4866666666665</v>
      </c>
      <c r="X626" s="1653">
        <f t="shared" si="177"/>
        <v>-1.0000000000001514</v>
      </c>
      <c r="Y626" s="1653">
        <f t="shared" si="178"/>
        <v>1065.153333333333</v>
      </c>
    </row>
    <row r="627" spans="1:25" ht="15" hidden="1" outlineLevel="1">
      <c r="A627" s="1615">
        <v>619</v>
      </c>
      <c r="C627" s="1651" t="s">
        <v>3288</v>
      </c>
      <c r="D627" s="1651" t="s">
        <v>2465</v>
      </c>
      <c r="E627" s="1613">
        <v>11780.96</v>
      </c>
      <c r="F627" s="1613">
        <v>-2953.3</v>
      </c>
      <c r="G627" s="1613">
        <f t="shared" si="179"/>
        <v>8827.66</v>
      </c>
      <c r="H627" s="1578">
        <v>2014</v>
      </c>
      <c r="I627" s="1662">
        <f t="shared" si="180"/>
        <v>1.5</v>
      </c>
      <c r="J627" s="1663">
        <v>36</v>
      </c>
      <c r="K627" s="1664">
        <f t="shared" si="181"/>
        <v>0.33333333333333331</v>
      </c>
      <c r="L627" s="1613">
        <f t="shared" si="182"/>
        <v>3926.9866666666662</v>
      </c>
      <c r="M627" s="1613">
        <f t="shared" si="183"/>
        <v>11780.96</v>
      </c>
      <c r="N627" s="1613">
        <f t="shared" si="172"/>
        <v>-7853.9733333333324</v>
      </c>
      <c r="O627" s="1652">
        <f t="shared" si="184"/>
        <v>3926.9866666666667</v>
      </c>
      <c r="P627" s="1653">
        <f t="shared" si="185"/>
        <v>-7854.3066666666655</v>
      </c>
      <c r="Q627" s="1653">
        <f t="shared" si="186"/>
        <v>-3927.3199999999993</v>
      </c>
      <c r="R627" s="1653">
        <f t="shared" si="187"/>
        <v>-3927.3199999999993</v>
      </c>
      <c r="S627" s="1653">
        <f t="shared" si="188"/>
        <v>-0.33333333333303017</v>
      </c>
      <c r="T627" s="1653">
        <f t="shared" si="173"/>
        <v>-0.33333333333303017</v>
      </c>
      <c r="U627" s="1653">
        <f t="shared" si="174"/>
        <v>3926.6533333333332</v>
      </c>
      <c r="V627" s="1653">
        <f t="shared" si="175"/>
        <v>-0.66666666666636343</v>
      </c>
      <c r="W627" s="1653">
        <f t="shared" si="176"/>
        <v>3926.3199999999997</v>
      </c>
      <c r="X627" s="1653">
        <f t="shared" si="177"/>
        <v>-0.99999999999969669</v>
      </c>
      <c r="Y627" s="1653">
        <f t="shared" si="178"/>
        <v>3925.9866666666667</v>
      </c>
    </row>
    <row r="628" spans="1:25" ht="15" hidden="1" outlineLevel="1">
      <c r="A628" s="1615">
        <v>620</v>
      </c>
      <c r="C628" s="1651" t="s">
        <v>3289</v>
      </c>
      <c r="D628" s="1651" t="s">
        <v>2465</v>
      </c>
      <c r="E628" s="1613">
        <v>1868.21</v>
      </c>
      <c r="F628" s="1613">
        <v>-468.33</v>
      </c>
      <c r="G628" s="1613">
        <f t="shared" si="179"/>
        <v>1399.88</v>
      </c>
      <c r="H628" s="1578">
        <v>2014</v>
      </c>
      <c r="I628" s="1662">
        <f t="shared" si="180"/>
        <v>1.5</v>
      </c>
      <c r="J628" s="1663">
        <v>36</v>
      </c>
      <c r="K628" s="1664">
        <f t="shared" si="181"/>
        <v>0.33333333333333331</v>
      </c>
      <c r="L628" s="1613">
        <f t="shared" si="182"/>
        <v>622.73666666666668</v>
      </c>
      <c r="M628" s="1613">
        <f t="shared" si="183"/>
        <v>1868.21</v>
      </c>
      <c r="N628" s="1613">
        <f t="shared" si="172"/>
        <v>-1245.4733333333334</v>
      </c>
      <c r="O628" s="1652">
        <f t="shared" si="184"/>
        <v>622.73666666666668</v>
      </c>
      <c r="P628" s="1653">
        <f t="shared" si="185"/>
        <v>-1245.8066666666666</v>
      </c>
      <c r="Q628" s="1653">
        <f t="shared" si="186"/>
        <v>-623.06999999999994</v>
      </c>
      <c r="R628" s="1653">
        <f t="shared" si="187"/>
        <v>-623.06999999999994</v>
      </c>
      <c r="S628" s="1653">
        <f t="shared" si="188"/>
        <v>-0.33333333333325754</v>
      </c>
      <c r="T628" s="1653">
        <f t="shared" si="173"/>
        <v>-0.33333333333325754</v>
      </c>
      <c r="U628" s="1653">
        <f t="shared" si="174"/>
        <v>622.40333333333342</v>
      </c>
      <c r="V628" s="1653">
        <f t="shared" si="175"/>
        <v>-0.6666666666665908</v>
      </c>
      <c r="W628" s="1653">
        <f t="shared" si="176"/>
        <v>622.07000000000005</v>
      </c>
      <c r="X628" s="1653">
        <f t="shared" si="177"/>
        <v>-0.99999999999992406</v>
      </c>
      <c r="Y628" s="1653">
        <f t="shared" si="178"/>
        <v>621.73666666666679</v>
      </c>
    </row>
    <row r="629" spans="1:25" ht="15" hidden="1" outlineLevel="1">
      <c r="A629" s="1615">
        <v>621</v>
      </c>
      <c r="C629" s="1651" t="s">
        <v>3290</v>
      </c>
      <c r="D629" s="1651" t="s">
        <v>3291</v>
      </c>
      <c r="E629" s="1613">
        <v>5860.34</v>
      </c>
      <c r="F629" s="1613">
        <v>-1469.09</v>
      </c>
      <c r="G629" s="1613">
        <f t="shared" si="179"/>
        <v>4391.25</v>
      </c>
      <c r="H629" s="1578">
        <v>2014</v>
      </c>
      <c r="I629" s="1662">
        <f t="shared" si="180"/>
        <v>1.5</v>
      </c>
      <c r="J629" s="1663">
        <v>36</v>
      </c>
      <c r="K629" s="1664">
        <f t="shared" si="181"/>
        <v>0.33333333333333331</v>
      </c>
      <c r="L629" s="1613">
        <f t="shared" si="182"/>
        <v>1953.4466666666667</v>
      </c>
      <c r="M629" s="1613">
        <f t="shared" si="183"/>
        <v>5860.34</v>
      </c>
      <c r="N629" s="1613">
        <f t="shared" si="172"/>
        <v>-3906.8933333333334</v>
      </c>
      <c r="O629" s="1652">
        <f t="shared" si="184"/>
        <v>1953.4466666666667</v>
      </c>
      <c r="P629" s="1653">
        <f t="shared" si="185"/>
        <v>-3907.2266666666669</v>
      </c>
      <c r="Q629" s="1653">
        <f t="shared" si="186"/>
        <v>-1953.7800000000002</v>
      </c>
      <c r="R629" s="1653">
        <f t="shared" si="187"/>
        <v>-1953.7800000000002</v>
      </c>
      <c r="S629" s="1653">
        <f t="shared" si="188"/>
        <v>-0.33333333333348492</v>
      </c>
      <c r="T629" s="1653">
        <f t="shared" si="173"/>
        <v>-0.33333333333348492</v>
      </c>
      <c r="U629" s="1653">
        <f t="shared" si="174"/>
        <v>1953.1133333333332</v>
      </c>
      <c r="V629" s="1653">
        <f t="shared" si="175"/>
        <v>-0.66666666666681818</v>
      </c>
      <c r="W629" s="1653">
        <f t="shared" si="176"/>
        <v>1952.78</v>
      </c>
      <c r="X629" s="1653">
        <f t="shared" si="177"/>
        <v>-1.0000000000001514</v>
      </c>
      <c r="Y629" s="1653">
        <f t="shared" si="178"/>
        <v>1952.4466666666665</v>
      </c>
    </row>
    <row r="630" spans="1:25" ht="15" hidden="1" outlineLevel="1">
      <c r="A630" s="1615">
        <v>622</v>
      </c>
      <c r="C630" s="1651" t="s">
        <v>3292</v>
      </c>
      <c r="D630" s="1651" t="s">
        <v>2465</v>
      </c>
      <c r="E630" s="1613">
        <v>1737.86</v>
      </c>
      <c r="F630" s="1613">
        <v>-386.45</v>
      </c>
      <c r="G630" s="1613">
        <f t="shared" si="179"/>
        <v>1351.4099999999999</v>
      </c>
      <c r="H630" s="1578">
        <v>2014</v>
      </c>
      <c r="I630" s="1662">
        <f t="shared" si="180"/>
        <v>1.5</v>
      </c>
      <c r="J630" s="1663">
        <v>36</v>
      </c>
      <c r="K630" s="1664">
        <f t="shared" si="181"/>
        <v>0.33333333333333331</v>
      </c>
      <c r="L630" s="1613">
        <f t="shared" si="182"/>
        <v>579.28666666666663</v>
      </c>
      <c r="M630" s="1613">
        <f t="shared" si="183"/>
        <v>1737.86</v>
      </c>
      <c r="N630" s="1613">
        <f t="shared" si="172"/>
        <v>-1158.5733333333333</v>
      </c>
      <c r="O630" s="1652">
        <f t="shared" si="184"/>
        <v>579.28666666666663</v>
      </c>
      <c r="P630" s="1653">
        <f t="shared" si="185"/>
        <v>-1158.9066666666665</v>
      </c>
      <c r="Q630" s="1653">
        <f t="shared" si="186"/>
        <v>-579.61999999999989</v>
      </c>
      <c r="R630" s="1653">
        <f t="shared" si="187"/>
        <v>-579.61999999999989</v>
      </c>
      <c r="S630" s="1653">
        <f t="shared" si="188"/>
        <v>-0.33333333333325754</v>
      </c>
      <c r="T630" s="1653">
        <f t="shared" si="173"/>
        <v>-0.33333333333325754</v>
      </c>
      <c r="U630" s="1653">
        <f t="shared" si="174"/>
        <v>578.95333333333338</v>
      </c>
      <c r="V630" s="1653">
        <f t="shared" si="175"/>
        <v>-0.6666666666665908</v>
      </c>
      <c r="W630" s="1653">
        <f t="shared" si="176"/>
        <v>578.62</v>
      </c>
      <c r="X630" s="1653">
        <f t="shared" si="177"/>
        <v>-0.99999999999992406</v>
      </c>
      <c r="Y630" s="1653">
        <f t="shared" si="178"/>
        <v>578.28666666666675</v>
      </c>
    </row>
    <row r="631" spans="1:25" ht="15" hidden="1" outlineLevel="1">
      <c r="A631" s="1615">
        <v>623</v>
      </c>
      <c r="C631" s="1651" t="s">
        <v>3293</v>
      </c>
      <c r="D631" s="1651" t="s">
        <v>2465</v>
      </c>
      <c r="E631" s="1613">
        <v>480.31</v>
      </c>
      <c r="F631" s="1613">
        <v>-106.81</v>
      </c>
      <c r="G631" s="1613">
        <f t="shared" si="179"/>
        <v>373.5</v>
      </c>
      <c r="H631" s="1578">
        <v>2014</v>
      </c>
      <c r="I631" s="1662">
        <f t="shared" si="180"/>
        <v>1.5</v>
      </c>
      <c r="J631" s="1663">
        <v>36</v>
      </c>
      <c r="K631" s="1664">
        <f t="shared" si="181"/>
        <v>0.33333333333333331</v>
      </c>
      <c r="L631" s="1613">
        <f t="shared" si="182"/>
        <v>160.10333333333332</v>
      </c>
      <c r="M631" s="1613">
        <f t="shared" si="183"/>
        <v>480.31</v>
      </c>
      <c r="N631" s="1613">
        <f t="shared" si="172"/>
        <v>-320.20666666666665</v>
      </c>
      <c r="O631" s="1652">
        <f t="shared" si="184"/>
        <v>160.10333333333335</v>
      </c>
      <c r="P631" s="1653">
        <f t="shared" si="185"/>
        <v>-320.53999999999996</v>
      </c>
      <c r="Q631" s="1653">
        <f t="shared" si="186"/>
        <v>-160.43666666666664</v>
      </c>
      <c r="R631" s="1653">
        <f t="shared" si="187"/>
        <v>-160.43666666666664</v>
      </c>
      <c r="S631" s="1653">
        <f t="shared" si="188"/>
        <v>-0.33333333333331439</v>
      </c>
      <c r="T631" s="1653">
        <f t="shared" si="173"/>
        <v>-0.33333333333331439</v>
      </c>
      <c r="U631" s="1653">
        <f t="shared" si="174"/>
        <v>159.77000000000001</v>
      </c>
      <c r="V631" s="1653">
        <f t="shared" si="175"/>
        <v>-0.66666666666664764</v>
      </c>
      <c r="W631" s="1653">
        <f t="shared" si="176"/>
        <v>159.43666666666667</v>
      </c>
      <c r="X631" s="1653">
        <f t="shared" si="177"/>
        <v>-0.9999999999999809</v>
      </c>
      <c r="Y631" s="1653">
        <f t="shared" si="178"/>
        <v>159.10333333333335</v>
      </c>
    </row>
    <row r="632" spans="1:25" ht="15" hidden="1" outlineLevel="1">
      <c r="A632" s="1615">
        <v>624</v>
      </c>
      <c r="C632" s="1651" t="s">
        <v>3294</v>
      </c>
      <c r="D632" s="1651" t="s">
        <v>2465</v>
      </c>
      <c r="E632" s="1613">
        <v>1264.55</v>
      </c>
      <c r="F632" s="1613">
        <v>-281.2</v>
      </c>
      <c r="G632" s="1613">
        <f t="shared" si="179"/>
        <v>983.34999999999991</v>
      </c>
      <c r="H632" s="1578">
        <v>2014</v>
      </c>
      <c r="I632" s="1662">
        <f t="shared" si="180"/>
        <v>1.5</v>
      </c>
      <c r="J632" s="1663">
        <v>36</v>
      </c>
      <c r="K632" s="1664">
        <f t="shared" si="181"/>
        <v>0.33333333333333331</v>
      </c>
      <c r="L632" s="1613">
        <f t="shared" si="182"/>
        <v>421.51666666666665</v>
      </c>
      <c r="M632" s="1613">
        <f t="shared" si="183"/>
        <v>1264.55</v>
      </c>
      <c r="N632" s="1613">
        <f t="shared" si="172"/>
        <v>-843.0333333333333</v>
      </c>
      <c r="O632" s="1652">
        <f t="shared" si="184"/>
        <v>421.51666666666665</v>
      </c>
      <c r="P632" s="1653">
        <f t="shared" si="185"/>
        <v>-843.36666666666667</v>
      </c>
      <c r="Q632" s="1653">
        <f t="shared" si="186"/>
        <v>-421.85</v>
      </c>
      <c r="R632" s="1653">
        <f t="shared" si="187"/>
        <v>-421.85</v>
      </c>
      <c r="S632" s="1653">
        <f t="shared" si="188"/>
        <v>-0.33333333333337123</v>
      </c>
      <c r="T632" s="1653">
        <f t="shared" si="173"/>
        <v>-0.33333333333337123</v>
      </c>
      <c r="U632" s="1653">
        <f t="shared" si="174"/>
        <v>421.18333333333328</v>
      </c>
      <c r="V632" s="1653">
        <f t="shared" si="175"/>
        <v>-0.66666666666670449</v>
      </c>
      <c r="W632" s="1653">
        <f t="shared" si="176"/>
        <v>420.84999999999997</v>
      </c>
      <c r="X632" s="1653">
        <f t="shared" si="177"/>
        <v>-1.0000000000000377</v>
      </c>
      <c r="Y632" s="1653">
        <f t="shared" si="178"/>
        <v>420.51666666666659</v>
      </c>
    </row>
    <row r="633" spans="1:25" ht="15" hidden="1" outlineLevel="1">
      <c r="A633" s="1615">
        <v>625</v>
      </c>
      <c r="C633" s="1651" t="s">
        <v>3295</v>
      </c>
      <c r="D633" s="1651" t="s">
        <v>2465</v>
      </c>
      <c r="E633" s="1613">
        <v>283.73</v>
      </c>
      <c r="F633" s="1613">
        <v>-63.09</v>
      </c>
      <c r="G633" s="1613">
        <f t="shared" si="179"/>
        <v>220.64000000000001</v>
      </c>
      <c r="H633" s="1578">
        <v>2014</v>
      </c>
      <c r="I633" s="1662">
        <f t="shared" si="180"/>
        <v>1.5</v>
      </c>
      <c r="J633" s="1663">
        <v>36</v>
      </c>
      <c r="K633" s="1664">
        <f t="shared" si="181"/>
        <v>0.33333333333333331</v>
      </c>
      <c r="L633" s="1613">
        <f t="shared" si="182"/>
        <v>94.576666666666668</v>
      </c>
      <c r="M633" s="1613">
        <f t="shared" si="183"/>
        <v>283.73</v>
      </c>
      <c r="N633" s="1613">
        <f t="shared" si="172"/>
        <v>-189.15333333333334</v>
      </c>
      <c r="O633" s="1652">
        <f t="shared" si="184"/>
        <v>94.576666666666682</v>
      </c>
      <c r="P633" s="1653">
        <f t="shared" si="185"/>
        <v>-189.48666666666668</v>
      </c>
      <c r="Q633" s="1653">
        <f t="shared" si="186"/>
        <v>-94.910000000000011</v>
      </c>
      <c r="R633" s="1653">
        <f t="shared" si="187"/>
        <v>-94.910000000000011</v>
      </c>
      <c r="S633" s="1653">
        <f t="shared" si="188"/>
        <v>-0.33333333333334281</v>
      </c>
      <c r="T633" s="1653">
        <f t="shared" si="173"/>
        <v>-0.33333333333334281</v>
      </c>
      <c r="U633" s="1653">
        <f t="shared" si="174"/>
        <v>94.243333333333325</v>
      </c>
      <c r="V633" s="1653">
        <f t="shared" si="175"/>
        <v>-0.66666666666667607</v>
      </c>
      <c r="W633" s="1653">
        <f t="shared" si="176"/>
        <v>93.91</v>
      </c>
      <c r="X633" s="1653">
        <f t="shared" si="177"/>
        <v>-1.0000000000000093</v>
      </c>
      <c r="Y633" s="1653">
        <f t="shared" si="178"/>
        <v>93.576666666666654</v>
      </c>
    </row>
    <row r="634" spans="1:25" ht="15" hidden="1" outlineLevel="1">
      <c r="A634" s="1615">
        <v>626</v>
      </c>
      <c r="C634" s="1651" t="s">
        <v>3296</v>
      </c>
      <c r="D634" s="1651" t="s">
        <v>3157</v>
      </c>
      <c r="E634" s="1613">
        <v>3570.84</v>
      </c>
      <c r="F634" s="1613">
        <v>-696.23</v>
      </c>
      <c r="G634" s="1613">
        <f t="shared" si="179"/>
        <v>2874.61</v>
      </c>
      <c r="H634" s="1578">
        <v>2014</v>
      </c>
      <c r="I634" s="1662">
        <f t="shared" si="180"/>
        <v>1.5</v>
      </c>
      <c r="J634" s="1663">
        <v>36</v>
      </c>
      <c r="K634" s="1664">
        <f t="shared" si="181"/>
        <v>0.33333333333333331</v>
      </c>
      <c r="L634" s="1613">
        <f t="shared" si="182"/>
        <v>1190.28</v>
      </c>
      <c r="M634" s="1613">
        <f t="shared" si="183"/>
        <v>3570.84</v>
      </c>
      <c r="N634" s="1613">
        <f t="shared" si="172"/>
        <v>-2380.56</v>
      </c>
      <c r="O634" s="1652">
        <f t="shared" si="184"/>
        <v>1190.2800000000002</v>
      </c>
      <c r="P634" s="1653">
        <f t="shared" si="185"/>
        <v>-2380.8933333333334</v>
      </c>
      <c r="Q634" s="1653">
        <f t="shared" si="186"/>
        <v>-1190.6133333333335</v>
      </c>
      <c r="R634" s="1653">
        <f t="shared" si="187"/>
        <v>-1190.6133333333335</v>
      </c>
      <c r="S634" s="1653">
        <f t="shared" si="188"/>
        <v>-0.33333333333348492</v>
      </c>
      <c r="T634" s="1653">
        <f t="shared" si="173"/>
        <v>-0.33333333333348492</v>
      </c>
      <c r="U634" s="1653">
        <f t="shared" si="174"/>
        <v>1189.9466666666665</v>
      </c>
      <c r="V634" s="1653">
        <f t="shared" si="175"/>
        <v>-0.66666666666681818</v>
      </c>
      <c r="W634" s="1653">
        <f t="shared" si="176"/>
        <v>1189.6133333333332</v>
      </c>
      <c r="X634" s="1653">
        <f t="shared" si="177"/>
        <v>-1.0000000000001514</v>
      </c>
      <c r="Y634" s="1653">
        <f t="shared" si="178"/>
        <v>1189.2799999999997</v>
      </c>
    </row>
    <row r="635" spans="1:25" ht="15" hidden="1" outlineLevel="1">
      <c r="A635" s="1615">
        <v>627</v>
      </c>
      <c r="C635" s="1651" t="s">
        <v>3297</v>
      </c>
      <c r="D635" s="1651" t="s">
        <v>2465</v>
      </c>
      <c r="E635" s="1613">
        <v>2698.33</v>
      </c>
      <c r="F635" s="1613">
        <v>-526.11</v>
      </c>
      <c r="G635" s="1613">
        <f t="shared" si="179"/>
        <v>2172.2199999999998</v>
      </c>
      <c r="H635" s="1578">
        <v>2014</v>
      </c>
      <c r="I635" s="1662">
        <f t="shared" si="180"/>
        <v>1.5</v>
      </c>
      <c r="J635" s="1663">
        <v>36</v>
      </c>
      <c r="K635" s="1664">
        <f t="shared" si="181"/>
        <v>0.33333333333333331</v>
      </c>
      <c r="L635" s="1613">
        <f t="shared" si="182"/>
        <v>899.44333333333327</v>
      </c>
      <c r="M635" s="1613">
        <f t="shared" si="183"/>
        <v>2698.33</v>
      </c>
      <c r="N635" s="1613">
        <f t="shared" si="172"/>
        <v>-1798.8866666666665</v>
      </c>
      <c r="O635" s="1652">
        <f t="shared" si="184"/>
        <v>899.44333333333338</v>
      </c>
      <c r="P635" s="1653">
        <f t="shared" si="185"/>
        <v>-1799.2199999999998</v>
      </c>
      <c r="Q635" s="1653">
        <f t="shared" si="186"/>
        <v>-899.77666666666653</v>
      </c>
      <c r="R635" s="1653">
        <f t="shared" si="187"/>
        <v>-899.77666666666653</v>
      </c>
      <c r="S635" s="1653">
        <f t="shared" si="188"/>
        <v>-0.33333333333325754</v>
      </c>
      <c r="T635" s="1653">
        <f t="shared" si="173"/>
        <v>-0.33333333333325754</v>
      </c>
      <c r="U635" s="1653">
        <f t="shared" si="174"/>
        <v>899.11</v>
      </c>
      <c r="V635" s="1653">
        <f t="shared" si="175"/>
        <v>-0.6666666666665908</v>
      </c>
      <c r="W635" s="1653">
        <f t="shared" si="176"/>
        <v>898.77666666666664</v>
      </c>
      <c r="X635" s="1653">
        <f t="shared" si="177"/>
        <v>-0.99999999999992406</v>
      </c>
      <c r="Y635" s="1653">
        <f t="shared" si="178"/>
        <v>898.44333333333338</v>
      </c>
    </row>
    <row r="636" spans="1:25" ht="15" hidden="1" outlineLevel="1">
      <c r="A636" s="1615">
        <v>628</v>
      </c>
      <c r="C636" s="1651" t="s">
        <v>3298</v>
      </c>
      <c r="D636" s="1651" t="s">
        <v>2465</v>
      </c>
      <c r="E636" s="1613">
        <v>3643.47</v>
      </c>
      <c r="F636" s="1613">
        <v>-710.39</v>
      </c>
      <c r="G636" s="1613">
        <f t="shared" si="179"/>
        <v>2933.08</v>
      </c>
      <c r="H636" s="1578">
        <v>2014</v>
      </c>
      <c r="I636" s="1662">
        <f t="shared" si="180"/>
        <v>1.5</v>
      </c>
      <c r="J636" s="1663">
        <v>36</v>
      </c>
      <c r="K636" s="1664">
        <f t="shared" si="181"/>
        <v>0.33333333333333331</v>
      </c>
      <c r="L636" s="1613">
        <f t="shared" si="182"/>
        <v>1214.4899999999998</v>
      </c>
      <c r="M636" s="1613">
        <f t="shared" si="183"/>
        <v>3643.47</v>
      </c>
      <c r="N636" s="1613">
        <f t="shared" si="172"/>
        <v>-2428.9799999999996</v>
      </c>
      <c r="O636" s="1652">
        <f t="shared" si="184"/>
        <v>1214.4900000000002</v>
      </c>
      <c r="P636" s="1653">
        <f t="shared" si="185"/>
        <v>-2429.313333333333</v>
      </c>
      <c r="Q636" s="1653">
        <f t="shared" si="186"/>
        <v>-1214.8233333333333</v>
      </c>
      <c r="R636" s="1653">
        <f t="shared" si="187"/>
        <v>-1214.8233333333333</v>
      </c>
      <c r="S636" s="1653">
        <f t="shared" si="188"/>
        <v>-0.33333333333348492</v>
      </c>
      <c r="T636" s="1653">
        <f t="shared" si="173"/>
        <v>-0.33333333333348492</v>
      </c>
      <c r="U636" s="1653">
        <f t="shared" si="174"/>
        <v>1214.1566666666663</v>
      </c>
      <c r="V636" s="1653">
        <f t="shared" si="175"/>
        <v>-0.66666666666681818</v>
      </c>
      <c r="W636" s="1653">
        <f t="shared" si="176"/>
        <v>1213.823333333333</v>
      </c>
      <c r="X636" s="1653">
        <f t="shared" si="177"/>
        <v>-1.0000000000001514</v>
      </c>
      <c r="Y636" s="1653">
        <f t="shared" si="178"/>
        <v>1213.4899999999996</v>
      </c>
    </row>
    <row r="637" spans="1:25" ht="15" hidden="1" outlineLevel="1">
      <c r="A637" s="1615">
        <v>629</v>
      </c>
      <c r="C637" s="1651" t="s">
        <v>3299</v>
      </c>
      <c r="D637" s="1651" t="s">
        <v>2465</v>
      </c>
      <c r="E637" s="1613">
        <v>376.16</v>
      </c>
      <c r="F637" s="1613">
        <v>-73.34</v>
      </c>
      <c r="G637" s="1613">
        <f t="shared" si="179"/>
        <v>302.82000000000005</v>
      </c>
      <c r="H637" s="1578">
        <v>2014</v>
      </c>
      <c r="I637" s="1662">
        <f t="shared" si="180"/>
        <v>1.5</v>
      </c>
      <c r="J637" s="1663">
        <v>36</v>
      </c>
      <c r="K637" s="1664">
        <f t="shared" si="181"/>
        <v>0.33333333333333331</v>
      </c>
      <c r="L637" s="1613">
        <f t="shared" si="182"/>
        <v>125.38666666666667</v>
      </c>
      <c r="M637" s="1613">
        <f t="shared" si="183"/>
        <v>376.16</v>
      </c>
      <c r="N637" s="1613">
        <f t="shared" si="172"/>
        <v>-250.77333333333334</v>
      </c>
      <c r="O637" s="1652">
        <f t="shared" si="184"/>
        <v>125.38666666666668</v>
      </c>
      <c r="P637" s="1653">
        <f t="shared" si="185"/>
        <v>-251.10666666666668</v>
      </c>
      <c r="Q637" s="1653">
        <f t="shared" si="186"/>
        <v>-125.72000000000001</v>
      </c>
      <c r="R637" s="1653">
        <f t="shared" si="187"/>
        <v>-125.72000000000001</v>
      </c>
      <c r="S637" s="1653">
        <f t="shared" si="188"/>
        <v>-0.33333333333334281</v>
      </c>
      <c r="T637" s="1653">
        <f t="shared" si="173"/>
        <v>-0.33333333333334281</v>
      </c>
      <c r="U637" s="1653">
        <f t="shared" si="174"/>
        <v>125.05333333333333</v>
      </c>
      <c r="V637" s="1653">
        <f t="shared" si="175"/>
        <v>-0.66666666666667607</v>
      </c>
      <c r="W637" s="1653">
        <f t="shared" si="176"/>
        <v>124.72</v>
      </c>
      <c r="X637" s="1653">
        <f t="shared" si="177"/>
        <v>-1.0000000000000093</v>
      </c>
      <c r="Y637" s="1653">
        <f t="shared" si="178"/>
        <v>124.38666666666666</v>
      </c>
    </row>
    <row r="638" spans="1:25" ht="15" hidden="1" outlineLevel="1">
      <c r="A638" s="1615">
        <v>630</v>
      </c>
      <c r="C638" s="1651" t="s">
        <v>3300</v>
      </c>
      <c r="D638" s="1651" t="s">
        <v>2465</v>
      </c>
      <c r="E638" s="1613">
        <v>376.16</v>
      </c>
      <c r="F638" s="1613">
        <v>-73.34</v>
      </c>
      <c r="G638" s="1613">
        <f t="shared" si="179"/>
        <v>302.82000000000005</v>
      </c>
      <c r="H638" s="1578">
        <v>2014</v>
      </c>
      <c r="I638" s="1662">
        <f t="shared" si="180"/>
        <v>1.5</v>
      </c>
      <c r="J638" s="1663">
        <v>36</v>
      </c>
      <c r="K638" s="1664">
        <f t="shared" si="181"/>
        <v>0.33333333333333331</v>
      </c>
      <c r="L638" s="1613">
        <f t="shared" si="182"/>
        <v>125.38666666666667</v>
      </c>
      <c r="M638" s="1613">
        <f t="shared" si="183"/>
        <v>376.16</v>
      </c>
      <c r="N638" s="1613">
        <f t="shared" si="172"/>
        <v>-250.77333333333334</v>
      </c>
      <c r="O638" s="1652">
        <f t="shared" si="184"/>
        <v>125.38666666666668</v>
      </c>
      <c r="P638" s="1653">
        <f t="shared" si="185"/>
        <v>-251.10666666666668</v>
      </c>
      <c r="Q638" s="1653">
        <f t="shared" si="186"/>
        <v>-125.72000000000001</v>
      </c>
      <c r="R638" s="1653">
        <f t="shared" si="187"/>
        <v>-125.72000000000001</v>
      </c>
      <c r="S638" s="1653">
        <f t="shared" si="188"/>
        <v>-0.33333333333334281</v>
      </c>
      <c r="T638" s="1653">
        <f t="shared" si="173"/>
        <v>-0.33333333333334281</v>
      </c>
      <c r="U638" s="1653">
        <f t="shared" si="174"/>
        <v>125.05333333333333</v>
      </c>
      <c r="V638" s="1653">
        <f t="shared" si="175"/>
        <v>-0.66666666666667607</v>
      </c>
      <c r="W638" s="1653">
        <f t="shared" si="176"/>
        <v>124.72</v>
      </c>
      <c r="X638" s="1653">
        <f t="shared" si="177"/>
        <v>-1.0000000000000093</v>
      </c>
      <c r="Y638" s="1653">
        <f t="shared" si="178"/>
        <v>124.38666666666666</v>
      </c>
    </row>
    <row r="639" spans="1:25" ht="15" hidden="1" outlineLevel="1">
      <c r="A639" s="1615">
        <v>631</v>
      </c>
      <c r="C639" s="1651" t="s">
        <v>3301</v>
      </c>
      <c r="D639" s="1651" t="s">
        <v>2465</v>
      </c>
      <c r="E639" s="1613">
        <v>471.56</v>
      </c>
      <c r="F639" s="1613">
        <v>-91.94</v>
      </c>
      <c r="G639" s="1613">
        <f t="shared" si="179"/>
        <v>379.62</v>
      </c>
      <c r="H639" s="1578">
        <v>2014</v>
      </c>
      <c r="I639" s="1662">
        <f t="shared" si="180"/>
        <v>1.5</v>
      </c>
      <c r="J639" s="1663">
        <v>36</v>
      </c>
      <c r="K639" s="1664">
        <f t="shared" si="181"/>
        <v>0.33333333333333331</v>
      </c>
      <c r="L639" s="1613">
        <f t="shared" si="182"/>
        <v>157.18666666666667</v>
      </c>
      <c r="M639" s="1613">
        <f t="shared" si="183"/>
        <v>471.56</v>
      </c>
      <c r="N639" s="1613">
        <f t="shared" si="172"/>
        <v>-314.37333333333333</v>
      </c>
      <c r="O639" s="1652">
        <f t="shared" si="184"/>
        <v>157.18666666666667</v>
      </c>
      <c r="P639" s="1653">
        <f t="shared" si="185"/>
        <v>-314.70666666666665</v>
      </c>
      <c r="Q639" s="1653">
        <f t="shared" si="186"/>
        <v>-157.51999999999998</v>
      </c>
      <c r="R639" s="1653">
        <f t="shared" si="187"/>
        <v>-157.51999999999998</v>
      </c>
      <c r="S639" s="1653">
        <f t="shared" si="188"/>
        <v>-0.33333333333331439</v>
      </c>
      <c r="T639" s="1653">
        <f t="shared" si="173"/>
        <v>-0.33333333333331439</v>
      </c>
      <c r="U639" s="1653">
        <f t="shared" si="174"/>
        <v>156.85333333333335</v>
      </c>
      <c r="V639" s="1653">
        <f t="shared" si="175"/>
        <v>-0.66666666666664764</v>
      </c>
      <c r="W639" s="1653">
        <f t="shared" si="176"/>
        <v>156.52000000000001</v>
      </c>
      <c r="X639" s="1653">
        <f t="shared" si="177"/>
        <v>-0.9999999999999809</v>
      </c>
      <c r="Y639" s="1653">
        <f t="shared" si="178"/>
        <v>156.1866666666667</v>
      </c>
    </row>
    <row r="640" spans="1:25" ht="15" hidden="1" outlineLevel="1">
      <c r="A640" s="1615">
        <v>632</v>
      </c>
      <c r="C640" s="1651" t="s">
        <v>3302</v>
      </c>
      <c r="D640" s="1651" t="s">
        <v>2465</v>
      </c>
      <c r="E640" s="1613">
        <v>484.26</v>
      </c>
      <c r="F640" s="1613">
        <v>-94.42</v>
      </c>
      <c r="G640" s="1613">
        <f t="shared" si="179"/>
        <v>389.84</v>
      </c>
      <c r="H640" s="1578">
        <v>2014</v>
      </c>
      <c r="I640" s="1662">
        <f t="shared" si="180"/>
        <v>1.5</v>
      </c>
      <c r="J640" s="1663">
        <v>36</v>
      </c>
      <c r="K640" s="1664">
        <f t="shared" si="181"/>
        <v>0.33333333333333331</v>
      </c>
      <c r="L640" s="1613">
        <f t="shared" si="182"/>
        <v>161.41999999999999</v>
      </c>
      <c r="M640" s="1613">
        <f t="shared" si="183"/>
        <v>484.26</v>
      </c>
      <c r="N640" s="1613">
        <f t="shared" si="172"/>
        <v>-322.83999999999997</v>
      </c>
      <c r="O640" s="1652">
        <f t="shared" si="184"/>
        <v>161.42000000000002</v>
      </c>
      <c r="P640" s="1653">
        <f t="shared" si="185"/>
        <v>-323.17333333333329</v>
      </c>
      <c r="Q640" s="1653">
        <f t="shared" si="186"/>
        <v>-161.7533333333333</v>
      </c>
      <c r="R640" s="1653">
        <f t="shared" si="187"/>
        <v>-161.7533333333333</v>
      </c>
      <c r="S640" s="1653">
        <f t="shared" si="188"/>
        <v>-0.33333333333331439</v>
      </c>
      <c r="T640" s="1653">
        <f t="shared" si="173"/>
        <v>-0.33333333333331439</v>
      </c>
      <c r="U640" s="1653">
        <f t="shared" si="174"/>
        <v>161.08666666666667</v>
      </c>
      <c r="V640" s="1653">
        <f t="shared" si="175"/>
        <v>-0.66666666666664764</v>
      </c>
      <c r="W640" s="1653">
        <f t="shared" si="176"/>
        <v>160.75333333333333</v>
      </c>
      <c r="X640" s="1653">
        <f t="shared" si="177"/>
        <v>-0.9999999999999809</v>
      </c>
      <c r="Y640" s="1653">
        <f t="shared" si="178"/>
        <v>160.42000000000002</v>
      </c>
    </row>
    <row r="641" spans="1:25" ht="15" hidden="1" outlineLevel="1">
      <c r="A641" s="1615">
        <v>633</v>
      </c>
      <c r="C641" s="1651" t="s">
        <v>3303</v>
      </c>
      <c r="D641" s="1651" t="s">
        <v>2465</v>
      </c>
      <c r="E641" s="1613">
        <v>11593.01</v>
      </c>
      <c r="F641" s="1613">
        <v>-2577.9899999999998</v>
      </c>
      <c r="G641" s="1613">
        <f t="shared" si="179"/>
        <v>9015.02</v>
      </c>
      <c r="H641" s="1578">
        <v>2014</v>
      </c>
      <c r="I641" s="1662">
        <f t="shared" si="180"/>
        <v>1.5</v>
      </c>
      <c r="J641" s="1663">
        <v>36</v>
      </c>
      <c r="K641" s="1664">
        <f t="shared" si="181"/>
        <v>0.33333333333333331</v>
      </c>
      <c r="L641" s="1613">
        <f t="shared" si="182"/>
        <v>3864.3366666666666</v>
      </c>
      <c r="M641" s="1613">
        <f t="shared" si="183"/>
        <v>11593.01</v>
      </c>
      <c r="N641" s="1613">
        <f t="shared" si="172"/>
        <v>-7728.6733333333332</v>
      </c>
      <c r="O641" s="1652">
        <f t="shared" si="184"/>
        <v>3864.336666666667</v>
      </c>
      <c r="P641" s="1653">
        <f t="shared" si="185"/>
        <v>-7729.0066666666662</v>
      </c>
      <c r="Q641" s="1653">
        <f t="shared" si="186"/>
        <v>-3864.6699999999996</v>
      </c>
      <c r="R641" s="1653">
        <f t="shared" si="187"/>
        <v>-3864.6699999999996</v>
      </c>
      <c r="S641" s="1653">
        <f t="shared" si="188"/>
        <v>-0.33333333333303017</v>
      </c>
      <c r="T641" s="1653">
        <f t="shared" si="173"/>
        <v>-0.33333333333303017</v>
      </c>
      <c r="U641" s="1653">
        <f t="shared" si="174"/>
        <v>3864.0033333333336</v>
      </c>
      <c r="V641" s="1653">
        <f t="shared" si="175"/>
        <v>-0.66666666666636343</v>
      </c>
      <c r="W641" s="1653">
        <f t="shared" si="176"/>
        <v>3863.67</v>
      </c>
      <c r="X641" s="1653">
        <f t="shared" si="177"/>
        <v>-0.99999999999969669</v>
      </c>
      <c r="Y641" s="1653">
        <f t="shared" si="178"/>
        <v>3863.336666666667</v>
      </c>
    </row>
    <row r="642" spans="1:25" ht="15" hidden="1" outlineLevel="1">
      <c r="A642" s="1615">
        <v>634</v>
      </c>
      <c r="C642" s="1651" t="s">
        <v>3304</v>
      </c>
      <c r="D642" s="1651" t="s">
        <v>2465</v>
      </c>
      <c r="E642" s="1613">
        <v>1348.3</v>
      </c>
      <c r="F642" s="1613">
        <v>-299.83</v>
      </c>
      <c r="G642" s="1613">
        <f t="shared" si="179"/>
        <v>1048.47</v>
      </c>
      <c r="H642" s="1578">
        <v>2014</v>
      </c>
      <c r="I642" s="1662">
        <f t="shared" si="180"/>
        <v>1.5</v>
      </c>
      <c r="J642" s="1663">
        <v>36</v>
      </c>
      <c r="K642" s="1664">
        <f t="shared" si="181"/>
        <v>0.33333333333333331</v>
      </c>
      <c r="L642" s="1613">
        <f t="shared" si="182"/>
        <v>449.43333333333328</v>
      </c>
      <c r="M642" s="1613">
        <f t="shared" si="183"/>
        <v>1348.3</v>
      </c>
      <c r="N642" s="1613">
        <f t="shared" si="172"/>
        <v>-898.86666666666656</v>
      </c>
      <c r="O642" s="1652">
        <f t="shared" si="184"/>
        <v>449.43333333333339</v>
      </c>
      <c r="P642" s="1653">
        <f t="shared" si="185"/>
        <v>-899.19999999999993</v>
      </c>
      <c r="Q642" s="1653">
        <f t="shared" si="186"/>
        <v>-449.76666666666665</v>
      </c>
      <c r="R642" s="1653">
        <f t="shared" si="187"/>
        <v>-449.76666666666665</v>
      </c>
      <c r="S642" s="1653">
        <f t="shared" si="188"/>
        <v>-0.33333333333337123</v>
      </c>
      <c r="T642" s="1653">
        <f t="shared" si="173"/>
        <v>-0.33333333333337123</v>
      </c>
      <c r="U642" s="1653">
        <f t="shared" si="174"/>
        <v>449.09999999999991</v>
      </c>
      <c r="V642" s="1653">
        <f t="shared" si="175"/>
        <v>-0.66666666666670449</v>
      </c>
      <c r="W642" s="1653">
        <f t="shared" si="176"/>
        <v>448.76666666666659</v>
      </c>
      <c r="X642" s="1653">
        <f t="shared" si="177"/>
        <v>-1.0000000000000377</v>
      </c>
      <c r="Y642" s="1653">
        <f t="shared" si="178"/>
        <v>448.43333333333322</v>
      </c>
    </row>
    <row r="643" spans="1:25" ht="15" hidden="1" outlineLevel="1">
      <c r="A643" s="1615">
        <v>635</v>
      </c>
      <c r="C643" s="1651" t="s">
        <v>3305</v>
      </c>
      <c r="D643" s="1651" t="s">
        <v>2465</v>
      </c>
      <c r="E643" s="1613">
        <v>579.55999999999995</v>
      </c>
      <c r="F643" s="1613">
        <v>-128.87</v>
      </c>
      <c r="G643" s="1613">
        <f t="shared" si="179"/>
        <v>450.68999999999994</v>
      </c>
      <c r="H643" s="1578">
        <v>2014</v>
      </c>
      <c r="I643" s="1662">
        <f t="shared" si="180"/>
        <v>1.5</v>
      </c>
      <c r="J643" s="1663">
        <v>36</v>
      </c>
      <c r="K643" s="1664">
        <f t="shared" si="181"/>
        <v>0.33333333333333331</v>
      </c>
      <c r="L643" s="1613">
        <f t="shared" si="182"/>
        <v>193.18666666666664</v>
      </c>
      <c r="M643" s="1613">
        <f t="shared" si="183"/>
        <v>579.55999999999995</v>
      </c>
      <c r="N643" s="1613">
        <f t="shared" si="172"/>
        <v>-386.37333333333328</v>
      </c>
      <c r="O643" s="1652">
        <f t="shared" si="184"/>
        <v>193.18666666666667</v>
      </c>
      <c r="P643" s="1653">
        <f t="shared" si="185"/>
        <v>-386.70666666666659</v>
      </c>
      <c r="Q643" s="1653">
        <f t="shared" si="186"/>
        <v>-193.51999999999995</v>
      </c>
      <c r="R643" s="1653">
        <f t="shared" si="187"/>
        <v>-193.51999999999995</v>
      </c>
      <c r="S643" s="1653">
        <f t="shared" si="188"/>
        <v>-0.33333333333331439</v>
      </c>
      <c r="T643" s="1653">
        <f t="shared" si="173"/>
        <v>-0.33333333333331439</v>
      </c>
      <c r="U643" s="1653">
        <f t="shared" si="174"/>
        <v>192.85333333333332</v>
      </c>
      <c r="V643" s="1653">
        <f t="shared" si="175"/>
        <v>-0.66666666666664764</v>
      </c>
      <c r="W643" s="1653">
        <f t="shared" si="176"/>
        <v>192.51999999999998</v>
      </c>
      <c r="X643" s="1653">
        <f t="shared" si="177"/>
        <v>-0.9999999999999809</v>
      </c>
      <c r="Y643" s="1653">
        <f t="shared" si="178"/>
        <v>192.18666666666667</v>
      </c>
    </row>
    <row r="644" spans="1:25" ht="15" hidden="1" outlineLevel="1">
      <c r="A644" s="1615">
        <v>636</v>
      </c>
      <c r="C644" s="1651" t="s">
        <v>3306</v>
      </c>
      <c r="D644" s="1651" t="s">
        <v>2465</v>
      </c>
      <c r="E644" s="1613">
        <v>80.98</v>
      </c>
      <c r="F644" s="1613">
        <v>-18.010000000000002</v>
      </c>
      <c r="G644" s="1613">
        <f t="shared" si="179"/>
        <v>62.97</v>
      </c>
      <c r="H644" s="1578">
        <v>2014</v>
      </c>
      <c r="I644" s="1662">
        <f t="shared" si="180"/>
        <v>1.5</v>
      </c>
      <c r="J644" s="1663">
        <v>36</v>
      </c>
      <c r="K644" s="1664">
        <f t="shared" si="181"/>
        <v>0.33333333333333331</v>
      </c>
      <c r="L644" s="1613">
        <f t="shared" si="182"/>
        <v>26.993333333333332</v>
      </c>
      <c r="M644" s="1613">
        <f t="shared" si="183"/>
        <v>80.98</v>
      </c>
      <c r="N644" s="1613">
        <f t="shared" si="172"/>
        <v>-53.986666666666665</v>
      </c>
      <c r="O644" s="1652">
        <f t="shared" si="184"/>
        <v>26.993333333333339</v>
      </c>
      <c r="P644" s="1653">
        <f t="shared" si="185"/>
        <v>-54.32</v>
      </c>
      <c r="Q644" s="1653">
        <f t="shared" si="186"/>
        <v>-27.326666666666668</v>
      </c>
      <c r="R644" s="1653">
        <f t="shared" si="187"/>
        <v>-27.326666666666668</v>
      </c>
      <c r="S644" s="1653">
        <f t="shared" si="188"/>
        <v>-0.3333333333333357</v>
      </c>
      <c r="T644" s="1653">
        <f t="shared" si="173"/>
        <v>-0.3333333333333357</v>
      </c>
      <c r="U644" s="1653">
        <f t="shared" si="174"/>
        <v>26.659999999999997</v>
      </c>
      <c r="V644" s="1653">
        <f t="shared" si="175"/>
        <v>-0.66666666666666896</v>
      </c>
      <c r="W644" s="1653">
        <f t="shared" si="176"/>
        <v>26.326666666666664</v>
      </c>
      <c r="X644" s="1653">
        <f t="shared" si="177"/>
        <v>-1.0000000000000022</v>
      </c>
      <c r="Y644" s="1653">
        <f t="shared" si="178"/>
        <v>25.993333333333329</v>
      </c>
    </row>
    <row r="645" spans="1:25" ht="15" hidden="1" outlineLevel="1">
      <c r="A645" s="1615">
        <v>637</v>
      </c>
      <c r="C645" s="1651" t="s">
        <v>3307</v>
      </c>
      <c r="D645" s="1651" t="s">
        <v>2465</v>
      </c>
      <c r="E645" s="1613">
        <v>77.25</v>
      </c>
      <c r="F645" s="1613">
        <v>-15.06</v>
      </c>
      <c r="G645" s="1613">
        <f t="shared" si="179"/>
        <v>62.19</v>
      </c>
      <c r="H645" s="1578">
        <v>2014</v>
      </c>
      <c r="I645" s="1662">
        <f t="shared" si="180"/>
        <v>1.5</v>
      </c>
      <c r="J645" s="1663">
        <v>36</v>
      </c>
      <c r="K645" s="1664">
        <f t="shared" si="181"/>
        <v>0.33333333333333331</v>
      </c>
      <c r="L645" s="1613">
        <f t="shared" si="182"/>
        <v>25.75</v>
      </c>
      <c r="M645" s="1613">
        <f t="shared" si="183"/>
        <v>77.25</v>
      </c>
      <c r="N645" s="1613">
        <f t="shared" si="172"/>
        <v>-51.5</v>
      </c>
      <c r="O645" s="1652">
        <f t="shared" si="184"/>
        <v>25.75</v>
      </c>
      <c r="P645" s="1653">
        <f t="shared" si="185"/>
        <v>-51.833333333333336</v>
      </c>
      <c r="Q645" s="1653">
        <f t="shared" si="186"/>
        <v>-26.083333333333336</v>
      </c>
      <c r="R645" s="1653">
        <f t="shared" si="187"/>
        <v>-26.083333333333336</v>
      </c>
      <c r="S645" s="1653">
        <f t="shared" si="188"/>
        <v>-0.3333333333333357</v>
      </c>
      <c r="T645" s="1653">
        <f t="shared" si="173"/>
        <v>-0.3333333333333357</v>
      </c>
      <c r="U645" s="1653">
        <f t="shared" si="174"/>
        <v>25.416666666666664</v>
      </c>
      <c r="V645" s="1653">
        <f t="shared" si="175"/>
        <v>-0.66666666666666896</v>
      </c>
      <c r="W645" s="1653">
        <f t="shared" si="176"/>
        <v>25.083333333333332</v>
      </c>
      <c r="X645" s="1653">
        <f t="shared" si="177"/>
        <v>-1.0000000000000022</v>
      </c>
      <c r="Y645" s="1653">
        <f t="shared" si="178"/>
        <v>24.749999999999996</v>
      </c>
    </row>
    <row r="646" spans="1:25" ht="15" hidden="1" outlineLevel="1">
      <c r="A646" s="1615">
        <v>638</v>
      </c>
      <c r="C646" s="1651" t="s">
        <v>3308</v>
      </c>
      <c r="D646" s="1651" t="s">
        <v>2465</v>
      </c>
      <c r="E646" s="1613">
        <v>200.76</v>
      </c>
      <c r="F646" s="1613">
        <v>-39.14</v>
      </c>
      <c r="G646" s="1613">
        <f t="shared" si="179"/>
        <v>161.62</v>
      </c>
      <c r="H646" s="1578">
        <v>2014</v>
      </c>
      <c r="I646" s="1662">
        <f t="shared" si="180"/>
        <v>1.5</v>
      </c>
      <c r="J646" s="1663">
        <v>36</v>
      </c>
      <c r="K646" s="1664">
        <f t="shared" si="181"/>
        <v>0.33333333333333331</v>
      </c>
      <c r="L646" s="1613">
        <f t="shared" si="182"/>
        <v>66.919999999999987</v>
      </c>
      <c r="M646" s="1613">
        <f t="shared" si="183"/>
        <v>200.76</v>
      </c>
      <c r="N646" s="1613">
        <f t="shared" si="172"/>
        <v>-133.83999999999997</v>
      </c>
      <c r="O646" s="1652">
        <f t="shared" si="184"/>
        <v>66.920000000000016</v>
      </c>
      <c r="P646" s="1653">
        <f t="shared" si="185"/>
        <v>-134.17333333333332</v>
      </c>
      <c r="Q646" s="1653">
        <f t="shared" si="186"/>
        <v>-67.25333333333333</v>
      </c>
      <c r="R646" s="1653">
        <f t="shared" si="187"/>
        <v>-67.25333333333333</v>
      </c>
      <c r="S646" s="1653">
        <f t="shared" si="188"/>
        <v>-0.33333333333334281</v>
      </c>
      <c r="T646" s="1653">
        <f t="shared" si="173"/>
        <v>-0.33333333333334281</v>
      </c>
      <c r="U646" s="1653">
        <f t="shared" si="174"/>
        <v>66.586666666666645</v>
      </c>
      <c r="V646" s="1653">
        <f t="shared" si="175"/>
        <v>-0.66666666666667607</v>
      </c>
      <c r="W646" s="1653">
        <f t="shared" si="176"/>
        <v>66.253333333333316</v>
      </c>
      <c r="X646" s="1653">
        <f t="shared" si="177"/>
        <v>-1.0000000000000093</v>
      </c>
      <c r="Y646" s="1653">
        <f t="shared" si="178"/>
        <v>65.919999999999973</v>
      </c>
    </row>
    <row r="647" spans="1:25" ht="15" hidden="1" outlineLevel="1">
      <c r="A647" s="1615">
        <v>639</v>
      </c>
      <c r="C647" s="1651" t="s">
        <v>3309</v>
      </c>
      <c r="D647" s="1651" t="s">
        <v>2465</v>
      </c>
      <c r="E647" s="1613">
        <v>226.91</v>
      </c>
      <c r="F647" s="1613">
        <v>-44.24</v>
      </c>
      <c r="G647" s="1613">
        <f t="shared" si="179"/>
        <v>182.67</v>
      </c>
      <c r="H647" s="1578">
        <v>2014</v>
      </c>
      <c r="I647" s="1662">
        <f t="shared" si="180"/>
        <v>1.5</v>
      </c>
      <c r="J647" s="1663">
        <v>36</v>
      </c>
      <c r="K647" s="1664">
        <f t="shared" si="181"/>
        <v>0.33333333333333331</v>
      </c>
      <c r="L647" s="1613">
        <f t="shared" si="182"/>
        <v>75.636666666666656</v>
      </c>
      <c r="M647" s="1613">
        <f t="shared" si="183"/>
        <v>226.91</v>
      </c>
      <c r="N647" s="1613">
        <f t="shared" si="172"/>
        <v>-151.27333333333331</v>
      </c>
      <c r="O647" s="1652">
        <f t="shared" si="184"/>
        <v>75.636666666666684</v>
      </c>
      <c r="P647" s="1653">
        <f t="shared" si="185"/>
        <v>-151.60666666666665</v>
      </c>
      <c r="Q647" s="1653">
        <f t="shared" si="186"/>
        <v>-75.97</v>
      </c>
      <c r="R647" s="1653">
        <f t="shared" si="187"/>
        <v>-75.97</v>
      </c>
      <c r="S647" s="1653">
        <f t="shared" si="188"/>
        <v>-0.33333333333334281</v>
      </c>
      <c r="T647" s="1653">
        <f t="shared" si="173"/>
        <v>-0.33333333333334281</v>
      </c>
      <c r="U647" s="1653">
        <f t="shared" si="174"/>
        <v>75.303333333333313</v>
      </c>
      <c r="V647" s="1653">
        <f t="shared" si="175"/>
        <v>-0.66666666666667607</v>
      </c>
      <c r="W647" s="1653">
        <f t="shared" si="176"/>
        <v>74.969999999999985</v>
      </c>
      <c r="X647" s="1653">
        <f t="shared" si="177"/>
        <v>-1.0000000000000093</v>
      </c>
      <c r="Y647" s="1653">
        <f t="shared" si="178"/>
        <v>74.636666666666642</v>
      </c>
    </row>
    <row r="648" spans="1:25" ht="15" hidden="1" outlineLevel="1">
      <c r="A648" s="1615">
        <v>640</v>
      </c>
      <c r="C648" s="1651" t="s">
        <v>3310</v>
      </c>
      <c r="D648" s="1651" t="s">
        <v>2465</v>
      </c>
      <c r="E648" s="1613">
        <v>76.75</v>
      </c>
      <c r="F648" s="1613">
        <v>-14.97</v>
      </c>
      <c r="G648" s="1613">
        <f t="shared" si="179"/>
        <v>61.78</v>
      </c>
      <c r="H648" s="1578">
        <v>2014</v>
      </c>
      <c r="I648" s="1662">
        <f t="shared" si="180"/>
        <v>1.5</v>
      </c>
      <c r="J648" s="1663">
        <v>36</v>
      </c>
      <c r="K648" s="1664">
        <f t="shared" si="181"/>
        <v>0.33333333333333331</v>
      </c>
      <c r="L648" s="1613">
        <f t="shared" si="182"/>
        <v>25.583333333333332</v>
      </c>
      <c r="M648" s="1613">
        <f t="shared" si="183"/>
        <v>76.75</v>
      </c>
      <c r="N648" s="1613">
        <f t="shared" si="172"/>
        <v>-51.166666666666664</v>
      </c>
      <c r="O648" s="1652">
        <f t="shared" si="184"/>
        <v>25.583333333333336</v>
      </c>
      <c r="P648" s="1653">
        <f t="shared" si="185"/>
        <v>-51.5</v>
      </c>
      <c r="Q648" s="1653">
        <f t="shared" si="186"/>
        <v>-25.916666666666668</v>
      </c>
      <c r="R648" s="1653">
        <f t="shared" si="187"/>
        <v>-25.916666666666668</v>
      </c>
      <c r="S648" s="1653">
        <f t="shared" si="188"/>
        <v>-0.3333333333333357</v>
      </c>
      <c r="T648" s="1653">
        <f t="shared" si="173"/>
        <v>-0.3333333333333357</v>
      </c>
      <c r="U648" s="1653">
        <f t="shared" si="174"/>
        <v>25.249999999999996</v>
      </c>
      <c r="V648" s="1653">
        <f t="shared" si="175"/>
        <v>-0.66666666666666896</v>
      </c>
      <c r="W648" s="1653">
        <f t="shared" si="176"/>
        <v>24.916666666666664</v>
      </c>
      <c r="X648" s="1653">
        <f t="shared" si="177"/>
        <v>-1.0000000000000022</v>
      </c>
      <c r="Y648" s="1653">
        <f t="shared" si="178"/>
        <v>24.583333333333329</v>
      </c>
    </row>
    <row r="649" spans="1:25" ht="15" hidden="1" outlineLevel="1">
      <c r="A649" s="1615">
        <v>641</v>
      </c>
      <c r="C649" s="1651" t="s">
        <v>3311</v>
      </c>
      <c r="D649" s="1651" t="s">
        <v>2465</v>
      </c>
      <c r="E649" s="1613">
        <v>19801.240000000002</v>
      </c>
      <c r="F649" s="1613">
        <v>-3300.21</v>
      </c>
      <c r="G649" s="1613">
        <f t="shared" si="179"/>
        <v>16501.030000000002</v>
      </c>
      <c r="H649" s="1578">
        <v>2015</v>
      </c>
      <c r="I649" s="1662">
        <f t="shared" si="180"/>
        <v>0.5</v>
      </c>
      <c r="J649" s="1663">
        <v>36</v>
      </c>
      <c r="K649" s="1664">
        <f t="shared" si="181"/>
        <v>0.33333333333333331</v>
      </c>
      <c r="L649" s="1613">
        <f t="shared" si="182"/>
        <v>6600.4133333333339</v>
      </c>
      <c r="M649" s="1613">
        <f t="shared" si="183"/>
        <v>19801.240000000002</v>
      </c>
      <c r="N649" s="1613">
        <f t="shared" si="172"/>
        <v>-6600.4133333333339</v>
      </c>
      <c r="O649" s="1652">
        <f t="shared" si="184"/>
        <v>13200.826666666668</v>
      </c>
      <c r="P649" s="1653">
        <f t="shared" si="185"/>
        <v>-6600.7466666666669</v>
      </c>
      <c r="Q649" s="1653">
        <f t="shared" si="186"/>
        <v>-0.33333333333303017</v>
      </c>
      <c r="R649" s="1653">
        <f t="shared" si="187"/>
        <v>-0.33333333333303017</v>
      </c>
      <c r="S649" s="1653">
        <f t="shared" si="188"/>
        <v>6600.0800000000008</v>
      </c>
      <c r="T649" s="1653">
        <f t="shared" si="173"/>
        <v>-0.66666666666636343</v>
      </c>
      <c r="U649" s="1653">
        <f t="shared" si="174"/>
        <v>6599.7466666666678</v>
      </c>
      <c r="V649" s="1653">
        <f t="shared" si="175"/>
        <v>-0.99999999999969669</v>
      </c>
      <c r="W649" s="1653">
        <f t="shared" si="176"/>
        <v>6599.4133333333339</v>
      </c>
      <c r="X649" s="1653">
        <f t="shared" si="177"/>
        <v>-1.3333333333330299</v>
      </c>
      <c r="Y649" s="1653">
        <f t="shared" si="178"/>
        <v>6599.0800000000008</v>
      </c>
    </row>
    <row r="650" spans="1:25" ht="15" hidden="1" outlineLevel="1">
      <c r="A650" s="1615">
        <v>642</v>
      </c>
      <c r="C650" s="1651" t="s">
        <v>3312</v>
      </c>
      <c r="D650" s="1651" t="s">
        <v>2465</v>
      </c>
      <c r="E650" s="1613">
        <v>36811.85</v>
      </c>
      <c r="F650" s="1613">
        <v>-6135.31</v>
      </c>
      <c r="G650" s="1613">
        <f t="shared" si="179"/>
        <v>30676.539999999997</v>
      </c>
      <c r="H650" s="1578">
        <v>2015</v>
      </c>
      <c r="I650" s="1662">
        <f t="shared" si="180"/>
        <v>0.5</v>
      </c>
      <c r="J650" s="1663">
        <v>36</v>
      </c>
      <c r="K650" s="1664">
        <f t="shared" si="181"/>
        <v>0.33333333333333331</v>
      </c>
      <c r="L650" s="1613">
        <f t="shared" si="182"/>
        <v>12270.616666666665</v>
      </c>
      <c r="M650" s="1613">
        <f t="shared" si="183"/>
        <v>36811.85</v>
      </c>
      <c r="N650" s="1613">
        <f t="shared" si="172"/>
        <v>-12270.616666666665</v>
      </c>
      <c r="O650" s="1652">
        <f t="shared" si="184"/>
        <v>24541.233333333334</v>
      </c>
      <c r="P650" s="1653">
        <f t="shared" si="185"/>
        <v>-12270.949999999999</v>
      </c>
      <c r="Q650" s="1653">
        <f t="shared" si="186"/>
        <v>-0.33333333333393966</v>
      </c>
      <c r="R650" s="1653">
        <f t="shared" si="187"/>
        <v>-0.33333333333393966</v>
      </c>
      <c r="S650" s="1653">
        <f t="shared" si="188"/>
        <v>12270.283333333331</v>
      </c>
      <c r="T650" s="1653">
        <f t="shared" si="173"/>
        <v>-0.66666666666727292</v>
      </c>
      <c r="U650" s="1653">
        <f t="shared" si="174"/>
        <v>12269.949999999997</v>
      </c>
      <c r="V650" s="1653">
        <f t="shared" si="175"/>
        <v>-1.0000000000006062</v>
      </c>
      <c r="W650" s="1653">
        <f t="shared" si="176"/>
        <v>12269.616666666665</v>
      </c>
      <c r="X650" s="1653">
        <f t="shared" si="177"/>
        <v>-1.3333333333339394</v>
      </c>
      <c r="Y650" s="1653">
        <f t="shared" si="178"/>
        <v>12269.283333333331</v>
      </c>
    </row>
    <row r="651" spans="1:25" ht="15" hidden="1" outlineLevel="1">
      <c r="A651" s="1615">
        <v>643</v>
      </c>
      <c r="C651" s="1651" t="s">
        <v>3313</v>
      </c>
      <c r="D651" s="1651" t="s">
        <v>2465</v>
      </c>
      <c r="E651" s="1613">
        <v>12049.7</v>
      </c>
      <c r="F651" s="1613">
        <v>-1670.65</v>
      </c>
      <c r="G651" s="1613">
        <f t="shared" si="179"/>
        <v>10379.050000000001</v>
      </c>
      <c r="H651" s="1578">
        <v>2015</v>
      </c>
      <c r="I651" s="1662">
        <f t="shared" si="180"/>
        <v>0.5</v>
      </c>
      <c r="J651" s="1663">
        <v>36</v>
      </c>
      <c r="K651" s="1664">
        <f t="shared" si="181"/>
        <v>0.33333333333333331</v>
      </c>
      <c r="L651" s="1613">
        <f t="shared" si="182"/>
        <v>4016.5666666666666</v>
      </c>
      <c r="M651" s="1613">
        <f t="shared" si="183"/>
        <v>12049.7</v>
      </c>
      <c r="N651" s="1613">
        <f t="shared" si="172"/>
        <v>-4016.5666666666666</v>
      </c>
      <c r="O651" s="1652">
        <f t="shared" si="184"/>
        <v>8033.1333333333341</v>
      </c>
      <c r="P651" s="1653">
        <f t="shared" si="185"/>
        <v>-4016.9</v>
      </c>
      <c r="Q651" s="1653">
        <f t="shared" si="186"/>
        <v>-0.33333333333348492</v>
      </c>
      <c r="R651" s="1653">
        <f t="shared" si="187"/>
        <v>-0.33333333333348492</v>
      </c>
      <c r="S651" s="1653">
        <f t="shared" si="188"/>
        <v>4016.2333333333331</v>
      </c>
      <c r="T651" s="1653">
        <f t="shared" si="173"/>
        <v>-0.66666666666681818</v>
      </c>
      <c r="U651" s="1653">
        <f t="shared" si="174"/>
        <v>4015.8999999999996</v>
      </c>
      <c r="V651" s="1653">
        <f t="shared" si="175"/>
        <v>-1.0000000000001514</v>
      </c>
      <c r="W651" s="1653">
        <f t="shared" si="176"/>
        <v>4015.5666666666666</v>
      </c>
      <c r="X651" s="1653">
        <f t="shared" si="177"/>
        <v>-1.3333333333334847</v>
      </c>
      <c r="Y651" s="1653">
        <f t="shared" si="178"/>
        <v>4015.2333333333331</v>
      </c>
    </row>
    <row r="652" spans="1:25" ht="15" hidden="1" outlineLevel="1">
      <c r="A652" s="1615">
        <v>644</v>
      </c>
      <c r="C652" s="1651" t="s">
        <v>3314</v>
      </c>
      <c r="D652" s="1651" t="s">
        <v>2465</v>
      </c>
      <c r="E652" s="1613">
        <v>5702.57</v>
      </c>
      <c r="F652" s="1613">
        <v>-790.64</v>
      </c>
      <c r="G652" s="1613">
        <f t="shared" si="179"/>
        <v>4911.9299999999994</v>
      </c>
      <c r="H652" s="1578">
        <v>2015</v>
      </c>
      <c r="I652" s="1662">
        <f t="shared" si="180"/>
        <v>0.5</v>
      </c>
      <c r="J652" s="1663">
        <v>36</v>
      </c>
      <c r="K652" s="1664">
        <f t="shared" si="181"/>
        <v>0.33333333333333331</v>
      </c>
      <c r="L652" s="1613">
        <f t="shared" si="182"/>
        <v>1900.8566666666666</v>
      </c>
      <c r="M652" s="1613">
        <f t="shared" si="183"/>
        <v>5702.57</v>
      </c>
      <c r="N652" s="1613">
        <f t="shared" si="172"/>
        <v>-1900.8566666666666</v>
      </c>
      <c r="O652" s="1652">
        <f t="shared" si="184"/>
        <v>3801.7133333333331</v>
      </c>
      <c r="P652" s="1653">
        <f t="shared" si="185"/>
        <v>-1901.1899999999998</v>
      </c>
      <c r="Q652" s="1653">
        <f t="shared" si="186"/>
        <v>-0.33333333333325754</v>
      </c>
      <c r="R652" s="1653">
        <f t="shared" si="187"/>
        <v>-0.33333333333325754</v>
      </c>
      <c r="S652" s="1653">
        <f t="shared" si="188"/>
        <v>1900.5233333333333</v>
      </c>
      <c r="T652" s="1653">
        <f t="shared" si="173"/>
        <v>-0.6666666666665908</v>
      </c>
      <c r="U652" s="1653">
        <f t="shared" si="174"/>
        <v>1900.19</v>
      </c>
      <c r="V652" s="1653">
        <f t="shared" si="175"/>
        <v>-0.99999999999992406</v>
      </c>
      <c r="W652" s="1653">
        <f t="shared" si="176"/>
        <v>1899.8566666666666</v>
      </c>
      <c r="X652" s="1653">
        <f t="shared" si="177"/>
        <v>-1.3333333333332573</v>
      </c>
      <c r="Y652" s="1653">
        <f t="shared" si="178"/>
        <v>1899.5233333333333</v>
      </c>
    </row>
    <row r="653" spans="1:25" ht="15" hidden="1" outlineLevel="1">
      <c r="A653" s="1615">
        <v>645</v>
      </c>
      <c r="C653" s="1651" t="s">
        <v>3315</v>
      </c>
      <c r="D653" s="1651" t="s">
        <v>3316</v>
      </c>
      <c r="E653" s="1613">
        <v>5787.7</v>
      </c>
      <c r="F653" s="1613">
        <v>-646.95000000000005</v>
      </c>
      <c r="G653" s="1613">
        <f t="shared" si="179"/>
        <v>5140.75</v>
      </c>
      <c r="H653" s="1578">
        <v>2015</v>
      </c>
      <c r="I653" s="1662">
        <f t="shared" si="180"/>
        <v>0.5</v>
      </c>
      <c r="J653" s="1663">
        <v>36</v>
      </c>
      <c r="K653" s="1664">
        <f t="shared" si="181"/>
        <v>0.33333333333333331</v>
      </c>
      <c r="L653" s="1613">
        <f t="shared" si="182"/>
        <v>1929.2333333333331</v>
      </c>
      <c r="M653" s="1613">
        <f t="shared" si="183"/>
        <v>5787.7</v>
      </c>
      <c r="N653" s="1613">
        <f t="shared" si="172"/>
        <v>-1929.2333333333331</v>
      </c>
      <c r="O653" s="1652">
        <f t="shared" si="184"/>
        <v>3858.4666666666667</v>
      </c>
      <c r="P653" s="1653">
        <f t="shared" si="185"/>
        <v>-1929.5666666666664</v>
      </c>
      <c r="Q653" s="1653">
        <f t="shared" si="186"/>
        <v>-0.33333333333325754</v>
      </c>
      <c r="R653" s="1653">
        <f t="shared" si="187"/>
        <v>-0.33333333333325754</v>
      </c>
      <c r="S653" s="1653">
        <f t="shared" si="188"/>
        <v>1928.8999999999999</v>
      </c>
      <c r="T653" s="1653">
        <f t="shared" si="173"/>
        <v>-0.6666666666665908</v>
      </c>
      <c r="U653" s="1653">
        <f t="shared" si="174"/>
        <v>1928.5666666666666</v>
      </c>
      <c r="V653" s="1653">
        <f t="shared" si="175"/>
        <v>-0.99999999999992406</v>
      </c>
      <c r="W653" s="1653">
        <f t="shared" si="176"/>
        <v>1928.2333333333331</v>
      </c>
      <c r="X653" s="1653">
        <f t="shared" si="177"/>
        <v>-1.3333333333332573</v>
      </c>
      <c r="Y653" s="1653">
        <f t="shared" si="178"/>
        <v>1927.8999999999999</v>
      </c>
    </row>
    <row r="654" spans="1:25" ht="15" hidden="1" outlineLevel="1">
      <c r="A654" s="1615">
        <v>646</v>
      </c>
      <c r="C654" s="1651" t="s">
        <v>3317</v>
      </c>
      <c r="D654" s="1651" t="s">
        <v>2465</v>
      </c>
      <c r="E654" s="1613">
        <v>153.9</v>
      </c>
      <c r="F654" s="1613">
        <v>-21.34</v>
      </c>
      <c r="G654" s="1613">
        <f t="shared" si="179"/>
        <v>132.56</v>
      </c>
      <c r="H654" s="1578">
        <v>2015</v>
      </c>
      <c r="I654" s="1662">
        <f t="shared" si="180"/>
        <v>0.5</v>
      </c>
      <c r="J654" s="1663">
        <v>36</v>
      </c>
      <c r="K654" s="1664">
        <f t="shared" si="181"/>
        <v>0.33333333333333331</v>
      </c>
      <c r="L654" s="1613">
        <f t="shared" si="182"/>
        <v>51.3</v>
      </c>
      <c r="M654" s="1613">
        <f t="shared" si="183"/>
        <v>153.9</v>
      </c>
      <c r="N654" s="1613">
        <f t="shared" si="172"/>
        <v>-51.3</v>
      </c>
      <c r="O654" s="1652">
        <f t="shared" si="184"/>
        <v>102.60000000000001</v>
      </c>
      <c r="P654" s="1653">
        <f t="shared" si="185"/>
        <v>-51.633333333333333</v>
      </c>
      <c r="Q654" s="1653">
        <f t="shared" si="186"/>
        <v>-0.3333333333333357</v>
      </c>
      <c r="R654" s="1653">
        <f t="shared" si="187"/>
        <v>-0.3333333333333357</v>
      </c>
      <c r="S654" s="1653">
        <f t="shared" si="188"/>
        <v>50.966666666666661</v>
      </c>
      <c r="T654" s="1653">
        <f t="shared" si="173"/>
        <v>-0.66666666666666896</v>
      </c>
      <c r="U654" s="1653">
        <f t="shared" si="174"/>
        <v>50.633333333333326</v>
      </c>
      <c r="V654" s="1653">
        <f t="shared" si="175"/>
        <v>-1.0000000000000022</v>
      </c>
      <c r="W654" s="1653">
        <f t="shared" si="176"/>
        <v>50.3</v>
      </c>
      <c r="X654" s="1653">
        <f t="shared" si="177"/>
        <v>-1.3333333333333355</v>
      </c>
      <c r="Y654" s="1653">
        <f t="shared" si="178"/>
        <v>49.966666666666661</v>
      </c>
    </row>
    <row r="655" spans="1:25" ht="15" hidden="1" outlineLevel="1">
      <c r="A655" s="1615">
        <v>647</v>
      </c>
      <c r="C655" s="1651" t="s">
        <v>3318</v>
      </c>
      <c r="D655" s="1651" t="s">
        <v>2465</v>
      </c>
      <c r="E655" s="1613">
        <v>37415.29</v>
      </c>
      <c r="F655" s="1613">
        <v>-4182.3100000000004</v>
      </c>
      <c r="G655" s="1613">
        <f t="shared" si="179"/>
        <v>33232.980000000003</v>
      </c>
      <c r="H655" s="1578">
        <v>2015</v>
      </c>
      <c r="I655" s="1662">
        <f t="shared" si="180"/>
        <v>0.5</v>
      </c>
      <c r="J655" s="1663">
        <v>36</v>
      </c>
      <c r="K655" s="1664">
        <f t="shared" si="181"/>
        <v>0.33333333333333331</v>
      </c>
      <c r="L655" s="1613">
        <f t="shared" si="182"/>
        <v>12471.763333333332</v>
      </c>
      <c r="M655" s="1613">
        <f t="shared" si="183"/>
        <v>37415.29</v>
      </c>
      <c r="N655" s="1613">
        <f t="shared" si="172"/>
        <v>-12471.763333333332</v>
      </c>
      <c r="O655" s="1652">
        <f t="shared" si="184"/>
        <v>24943.526666666668</v>
      </c>
      <c r="P655" s="1653">
        <f t="shared" si="185"/>
        <v>-12472.096666666666</v>
      </c>
      <c r="Q655" s="1653">
        <f t="shared" si="186"/>
        <v>-0.33333333333393966</v>
      </c>
      <c r="R655" s="1653">
        <f t="shared" si="187"/>
        <v>-0.33333333333393966</v>
      </c>
      <c r="S655" s="1653">
        <f t="shared" si="188"/>
        <v>12471.429999999998</v>
      </c>
      <c r="T655" s="1653">
        <f t="shared" si="173"/>
        <v>-0.66666666666727292</v>
      </c>
      <c r="U655" s="1653">
        <f t="shared" si="174"/>
        <v>12471.096666666665</v>
      </c>
      <c r="V655" s="1653">
        <f t="shared" si="175"/>
        <v>-1.0000000000006062</v>
      </c>
      <c r="W655" s="1653">
        <f t="shared" si="176"/>
        <v>12470.763333333332</v>
      </c>
      <c r="X655" s="1653">
        <f t="shared" si="177"/>
        <v>-1.3333333333339394</v>
      </c>
      <c r="Y655" s="1653">
        <f t="shared" si="178"/>
        <v>12470.429999999998</v>
      </c>
    </row>
    <row r="656" spans="1:25" ht="15" hidden="1" outlineLevel="1">
      <c r="A656" s="1615">
        <v>648</v>
      </c>
      <c r="C656" s="1651" t="s">
        <v>3319</v>
      </c>
      <c r="D656" s="1651" t="s">
        <v>2465</v>
      </c>
      <c r="E656" s="1613">
        <v>17520.009999999998</v>
      </c>
      <c r="F656" s="1613">
        <v>-1466.67</v>
      </c>
      <c r="G656" s="1613">
        <f t="shared" si="179"/>
        <v>16053.339999999998</v>
      </c>
      <c r="H656" s="1578">
        <v>2015</v>
      </c>
      <c r="I656" s="1662">
        <f t="shared" si="180"/>
        <v>0.5</v>
      </c>
      <c r="J656" s="1663">
        <v>36</v>
      </c>
      <c r="K656" s="1664">
        <f t="shared" si="181"/>
        <v>0.33333333333333331</v>
      </c>
      <c r="L656" s="1613">
        <f t="shared" si="182"/>
        <v>5840.0033333333322</v>
      </c>
      <c r="M656" s="1613">
        <f t="shared" si="183"/>
        <v>17520.009999999998</v>
      </c>
      <c r="N656" s="1613">
        <f t="shared" si="172"/>
        <v>-5840.0033333333322</v>
      </c>
      <c r="O656" s="1652">
        <f t="shared" si="184"/>
        <v>11680.006666666666</v>
      </c>
      <c r="P656" s="1653">
        <f t="shared" si="185"/>
        <v>-5840.3366666666652</v>
      </c>
      <c r="Q656" s="1653">
        <f t="shared" si="186"/>
        <v>-0.33333333333303017</v>
      </c>
      <c r="R656" s="1653">
        <f t="shared" si="187"/>
        <v>-0.33333333333303017</v>
      </c>
      <c r="S656" s="1653">
        <f t="shared" si="188"/>
        <v>5839.6699999999992</v>
      </c>
      <c r="T656" s="1653">
        <f t="shared" si="173"/>
        <v>-0.66666666666636343</v>
      </c>
      <c r="U656" s="1653">
        <f t="shared" si="174"/>
        <v>5839.3366666666661</v>
      </c>
      <c r="V656" s="1653">
        <f t="shared" si="175"/>
        <v>-0.99999999999969669</v>
      </c>
      <c r="W656" s="1653">
        <f t="shared" si="176"/>
        <v>5839.0033333333322</v>
      </c>
      <c r="X656" s="1653">
        <f t="shared" si="177"/>
        <v>-1.3333333333330299</v>
      </c>
      <c r="Y656" s="1653">
        <f t="shared" si="178"/>
        <v>5838.6699999999992</v>
      </c>
    </row>
    <row r="657" spans="1:25" ht="15" hidden="1" outlineLevel="1">
      <c r="A657" s="1615">
        <v>649</v>
      </c>
      <c r="C657" s="1651" t="s">
        <v>3320</v>
      </c>
      <c r="D657" s="1651" t="s">
        <v>2465</v>
      </c>
      <c r="E657" s="1613">
        <v>1056.28</v>
      </c>
      <c r="F657" s="1613">
        <v>-88.43</v>
      </c>
      <c r="G657" s="1613">
        <f t="shared" si="179"/>
        <v>967.84999999999991</v>
      </c>
      <c r="H657" s="1578">
        <v>2015</v>
      </c>
      <c r="I657" s="1662">
        <f t="shared" si="180"/>
        <v>0.5</v>
      </c>
      <c r="J657" s="1663">
        <v>36</v>
      </c>
      <c r="K657" s="1664">
        <f t="shared" si="181"/>
        <v>0.33333333333333331</v>
      </c>
      <c r="L657" s="1613">
        <f t="shared" si="182"/>
        <v>352.09333333333331</v>
      </c>
      <c r="M657" s="1613">
        <f t="shared" si="183"/>
        <v>1056.28</v>
      </c>
      <c r="N657" s="1613">
        <f t="shared" si="172"/>
        <v>-352.09333333333331</v>
      </c>
      <c r="O657" s="1652">
        <f t="shared" si="184"/>
        <v>704.18666666666672</v>
      </c>
      <c r="P657" s="1653">
        <f t="shared" si="185"/>
        <v>-352.42666666666662</v>
      </c>
      <c r="Q657" s="1653">
        <f t="shared" si="186"/>
        <v>-0.33333333333331439</v>
      </c>
      <c r="R657" s="1653">
        <f t="shared" si="187"/>
        <v>-0.33333333333331439</v>
      </c>
      <c r="S657" s="1653">
        <f t="shared" si="188"/>
        <v>351.76</v>
      </c>
      <c r="T657" s="1653">
        <f t="shared" si="173"/>
        <v>-0.66666666666664764</v>
      </c>
      <c r="U657" s="1653">
        <f t="shared" si="174"/>
        <v>351.42666666666668</v>
      </c>
      <c r="V657" s="1653">
        <f t="shared" si="175"/>
        <v>-0.9999999999999809</v>
      </c>
      <c r="W657" s="1653">
        <f t="shared" si="176"/>
        <v>351.09333333333331</v>
      </c>
      <c r="X657" s="1653">
        <f t="shared" si="177"/>
        <v>-1.3333333333333142</v>
      </c>
      <c r="Y657" s="1653">
        <f t="shared" si="178"/>
        <v>350.76</v>
      </c>
    </row>
    <row r="658" spans="1:25" ht="15" hidden="1" outlineLevel="1">
      <c r="A658" s="1615">
        <v>650</v>
      </c>
      <c r="C658" s="1651" t="s">
        <v>3321</v>
      </c>
      <c r="D658" s="1651" t="s">
        <v>2465</v>
      </c>
      <c r="E658" s="1613">
        <v>649.02</v>
      </c>
      <c r="F658" s="1613">
        <v>-54.33</v>
      </c>
      <c r="G658" s="1613">
        <f t="shared" si="179"/>
        <v>594.68999999999994</v>
      </c>
      <c r="H658" s="1578">
        <v>2015</v>
      </c>
      <c r="I658" s="1662">
        <f t="shared" si="180"/>
        <v>0.5</v>
      </c>
      <c r="J658" s="1663">
        <v>36</v>
      </c>
      <c r="K658" s="1664">
        <f t="shared" si="181"/>
        <v>0.33333333333333331</v>
      </c>
      <c r="L658" s="1613">
        <f t="shared" si="182"/>
        <v>216.33999999999997</v>
      </c>
      <c r="M658" s="1613">
        <f t="shared" si="183"/>
        <v>649.02</v>
      </c>
      <c r="N658" s="1613">
        <f t="shared" si="172"/>
        <v>-216.33999999999997</v>
      </c>
      <c r="O658" s="1652">
        <f t="shared" si="184"/>
        <v>432.68</v>
      </c>
      <c r="P658" s="1653">
        <f t="shared" si="185"/>
        <v>-216.67333333333332</v>
      </c>
      <c r="Q658" s="1653">
        <f t="shared" si="186"/>
        <v>-0.33333333333334281</v>
      </c>
      <c r="R658" s="1653">
        <f t="shared" si="187"/>
        <v>-0.33333333333334281</v>
      </c>
      <c r="S658" s="1653">
        <f t="shared" si="188"/>
        <v>216.00666666666663</v>
      </c>
      <c r="T658" s="1653">
        <f t="shared" si="173"/>
        <v>-0.66666666666667607</v>
      </c>
      <c r="U658" s="1653">
        <f t="shared" si="174"/>
        <v>215.67333333333329</v>
      </c>
      <c r="V658" s="1653">
        <f t="shared" si="175"/>
        <v>-1.0000000000000093</v>
      </c>
      <c r="W658" s="1653">
        <f t="shared" si="176"/>
        <v>215.33999999999997</v>
      </c>
      <c r="X658" s="1653">
        <f t="shared" si="177"/>
        <v>-1.3333333333333426</v>
      </c>
      <c r="Y658" s="1653">
        <f t="shared" si="178"/>
        <v>215.00666666666663</v>
      </c>
    </row>
    <row r="659" spans="1:25" ht="15" hidden="1" outlineLevel="1">
      <c r="A659" s="1615">
        <v>651</v>
      </c>
      <c r="C659" s="1651" t="s">
        <v>3322</v>
      </c>
      <c r="D659" s="1651" t="s">
        <v>3323</v>
      </c>
      <c r="E659" s="1613">
        <v>5473.36</v>
      </c>
      <c r="F659" s="1613">
        <v>-458.2</v>
      </c>
      <c r="G659" s="1613">
        <f t="shared" si="179"/>
        <v>5015.16</v>
      </c>
      <c r="H659" s="1578">
        <v>2015</v>
      </c>
      <c r="I659" s="1662">
        <f t="shared" si="180"/>
        <v>0.5</v>
      </c>
      <c r="J659" s="1663">
        <v>36</v>
      </c>
      <c r="K659" s="1664">
        <f t="shared" si="181"/>
        <v>0.33333333333333331</v>
      </c>
      <c r="L659" s="1613">
        <f t="shared" si="182"/>
        <v>1824.4533333333331</v>
      </c>
      <c r="M659" s="1613">
        <f t="shared" si="183"/>
        <v>5473.36</v>
      </c>
      <c r="N659" s="1613">
        <f t="shared" si="172"/>
        <v>-1824.4533333333331</v>
      </c>
      <c r="O659" s="1652">
        <f t="shared" si="184"/>
        <v>3648.9066666666668</v>
      </c>
      <c r="P659" s="1653">
        <f t="shared" si="185"/>
        <v>-1824.7866666666664</v>
      </c>
      <c r="Q659" s="1653">
        <f t="shared" si="186"/>
        <v>-0.33333333333325754</v>
      </c>
      <c r="R659" s="1653">
        <f t="shared" si="187"/>
        <v>-0.33333333333325754</v>
      </c>
      <c r="S659" s="1653">
        <f t="shared" si="188"/>
        <v>1824.12</v>
      </c>
      <c r="T659" s="1653">
        <f t="shared" si="173"/>
        <v>-0.6666666666665908</v>
      </c>
      <c r="U659" s="1653">
        <f t="shared" si="174"/>
        <v>1823.7866666666666</v>
      </c>
      <c r="V659" s="1653">
        <f t="shared" si="175"/>
        <v>-0.99999999999992406</v>
      </c>
      <c r="W659" s="1653">
        <f t="shared" si="176"/>
        <v>1823.4533333333331</v>
      </c>
      <c r="X659" s="1653">
        <f t="shared" si="177"/>
        <v>-1.3333333333332573</v>
      </c>
      <c r="Y659" s="1653">
        <f t="shared" si="178"/>
        <v>1823.12</v>
      </c>
    </row>
    <row r="660" spans="1:25" ht="15" hidden="1" outlineLevel="1">
      <c r="A660" s="1615">
        <v>652</v>
      </c>
      <c r="C660" s="1651" t="s">
        <v>3324</v>
      </c>
      <c r="D660" s="1651" t="s">
        <v>2465</v>
      </c>
      <c r="E660" s="1613">
        <v>9210.57</v>
      </c>
      <c r="F660" s="1613">
        <v>-515.20000000000005</v>
      </c>
      <c r="G660" s="1613">
        <f t="shared" si="179"/>
        <v>8695.369999999999</v>
      </c>
      <c r="H660" s="1578">
        <v>2015</v>
      </c>
      <c r="I660" s="1662">
        <f t="shared" si="180"/>
        <v>0.5</v>
      </c>
      <c r="J660" s="1663">
        <v>36</v>
      </c>
      <c r="K660" s="1664">
        <f t="shared" si="181"/>
        <v>0.33333333333333331</v>
      </c>
      <c r="L660" s="1613">
        <f t="shared" si="182"/>
        <v>3070.1899999999996</v>
      </c>
      <c r="M660" s="1613">
        <f t="shared" si="183"/>
        <v>9210.57</v>
      </c>
      <c r="N660" s="1613">
        <f t="shared" si="172"/>
        <v>-3070.1899999999996</v>
      </c>
      <c r="O660" s="1652">
        <f t="shared" si="184"/>
        <v>6140.38</v>
      </c>
      <c r="P660" s="1653">
        <f t="shared" si="185"/>
        <v>-3070.5233333333331</v>
      </c>
      <c r="Q660" s="1653">
        <f t="shared" si="186"/>
        <v>-0.33333333333348492</v>
      </c>
      <c r="R660" s="1653">
        <f t="shared" si="187"/>
        <v>-0.33333333333348492</v>
      </c>
      <c r="S660" s="1653">
        <f t="shared" si="188"/>
        <v>3069.8566666666661</v>
      </c>
      <c r="T660" s="1653">
        <f t="shared" si="173"/>
        <v>-0.66666666666681818</v>
      </c>
      <c r="U660" s="1653">
        <f t="shared" si="174"/>
        <v>3069.5233333333326</v>
      </c>
      <c r="V660" s="1653">
        <f t="shared" si="175"/>
        <v>-1.0000000000001514</v>
      </c>
      <c r="W660" s="1653">
        <f t="shared" si="176"/>
        <v>3069.1899999999996</v>
      </c>
      <c r="X660" s="1653">
        <f t="shared" si="177"/>
        <v>-1.3333333333334847</v>
      </c>
      <c r="Y660" s="1653">
        <f t="shared" si="178"/>
        <v>3068.8566666666661</v>
      </c>
    </row>
    <row r="661" spans="1:25" ht="15" hidden="1" outlineLevel="1">
      <c r="A661" s="1615">
        <v>653</v>
      </c>
      <c r="C661" s="1651" t="s">
        <v>3325</v>
      </c>
      <c r="D661" s="1651" t="s">
        <v>2465</v>
      </c>
      <c r="E661" s="1613">
        <v>586.58000000000004</v>
      </c>
      <c r="F661" s="1613">
        <v>-32.81</v>
      </c>
      <c r="G661" s="1613">
        <f t="shared" si="179"/>
        <v>553.77</v>
      </c>
      <c r="H661" s="1578">
        <v>2015</v>
      </c>
      <c r="I661" s="1662">
        <f t="shared" si="180"/>
        <v>0.5</v>
      </c>
      <c r="J661" s="1663">
        <v>36</v>
      </c>
      <c r="K661" s="1664">
        <f t="shared" si="181"/>
        <v>0.33333333333333331</v>
      </c>
      <c r="L661" s="1613">
        <f t="shared" si="182"/>
        <v>195.52666666666667</v>
      </c>
      <c r="M661" s="1613">
        <f t="shared" si="183"/>
        <v>586.58000000000004</v>
      </c>
      <c r="N661" s="1613">
        <f t="shared" si="172"/>
        <v>-195.52666666666667</v>
      </c>
      <c r="O661" s="1652">
        <f t="shared" si="184"/>
        <v>391.0533333333334</v>
      </c>
      <c r="P661" s="1653">
        <f t="shared" si="185"/>
        <v>-195.86</v>
      </c>
      <c r="Q661" s="1653">
        <f t="shared" si="186"/>
        <v>-0.33333333333334281</v>
      </c>
      <c r="R661" s="1653">
        <f t="shared" si="187"/>
        <v>-0.33333333333334281</v>
      </c>
      <c r="S661" s="1653">
        <f t="shared" si="188"/>
        <v>195.19333333333333</v>
      </c>
      <c r="T661" s="1653">
        <f t="shared" si="173"/>
        <v>-0.66666666666667607</v>
      </c>
      <c r="U661" s="1653">
        <f t="shared" si="174"/>
        <v>194.85999999999999</v>
      </c>
      <c r="V661" s="1653">
        <f t="shared" si="175"/>
        <v>-1.0000000000000093</v>
      </c>
      <c r="W661" s="1653">
        <f t="shared" si="176"/>
        <v>194.52666666666667</v>
      </c>
      <c r="X661" s="1653">
        <f t="shared" si="177"/>
        <v>-1.3333333333333426</v>
      </c>
      <c r="Y661" s="1653">
        <f t="shared" si="178"/>
        <v>194.19333333333333</v>
      </c>
    </row>
    <row r="662" spans="1:25" ht="15" hidden="1" outlineLevel="1">
      <c r="A662" s="1615">
        <v>654</v>
      </c>
      <c r="C662" s="1651" t="s">
        <v>3326</v>
      </c>
      <c r="D662" s="1651" t="s">
        <v>2465</v>
      </c>
      <c r="E662" s="1613">
        <v>691.01</v>
      </c>
      <c r="F662" s="1613">
        <v>-38.65</v>
      </c>
      <c r="G662" s="1613">
        <f t="shared" si="179"/>
        <v>652.36</v>
      </c>
      <c r="H662" s="1578">
        <v>2015</v>
      </c>
      <c r="I662" s="1662">
        <f t="shared" si="180"/>
        <v>0.5</v>
      </c>
      <c r="J662" s="1663">
        <v>36</v>
      </c>
      <c r="K662" s="1664">
        <f t="shared" si="181"/>
        <v>0.33333333333333331</v>
      </c>
      <c r="L662" s="1613">
        <f t="shared" si="182"/>
        <v>230.33666666666664</v>
      </c>
      <c r="M662" s="1613">
        <f t="shared" si="183"/>
        <v>691.01</v>
      </c>
      <c r="N662" s="1613">
        <f t="shared" si="172"/>
        <v>-230.33666666666664</v>
      </c>
      <c r="O662" s="1652">
        <f t="shared" si="184"/>
        <v>460.67333333333335</v>
      </c>
      <c r="P662" s="1653">
        <f t="shared" si="185"/>
        <v>-230.67</v>
      </c>
      <c r="Q662" s="1653">
        <f t="shared" si="186"/>
        <v>-0.33333333333334281</v>
      </c>
      <c r="R662" s="1653">
        <f t="shared" si="187"/>
        <v>-0.33333333333334281</v>
      </c>
      <c r="S662" s="1653">
        <f t="shared" si="188"/>
        <v>230.0033333333333</v>
      </c>
      <c r="T662" s="1653">
        <f t="shared" si="173"/>
        <v>-0.66666666666667607</v>
      </c>
      <c r="U662" s="1653">
        <f t="shared" si="174"/>
        <v>229.66999999999996</v>
      </c>
      <c r="V662" s="1653">
        <f t="shared" si="175"/>
        <v>-1.0000000000000093</v>
      </c>
      <c r="W662" s="1653">
        <f t="shared" si="176"/>
        <v>229.33666666666664</v>
      </c>
      <c r="X662" s="1653">
        <f t="shared" si="177"/>
        <v>-1.3333333333333426</v>
      </c>
      <c r="Y662" s="1653">
        <f t="shared" si="178"/>
        <v>229.0033333333333</v>
      </c>
    </row>
    <row r="663" spans="1:25" ht="15" hidden="1" outlineLevel="1">
      <c r="A663" s="1615">
        <v>655</v>
      </c>
      <c r="C663" s="1651" t="s">
        <v>3327</v>
      </c>
      <c r="D663" s="1651" t="s">
        <v>2465</v>
      </c>
      <c r="E663" s="1613">
        <v>318.63</v>
      </c>
      <c r="F663" s="1613">
        <v>-17.82</v>
      </c>
      <c r="G663" s="1613">
        <f t="shared" si="179"/>
        <v>300.81</v>
      </c>
      <c r="H663" s="1578">
        <v>2015</v>
      </c>
      <c r="I663" s="1662">
        <f t="shared" si="180"/>
        <v>0.5</v>
      </c>
      <c r="J663" s="1663">
        <v>36</v>
      </c>
      <c r="K663" s="1664">
        <f t="shared" si="181"/>
        <v>0.33333333333333331</v>
      </c>
      <c r="L663" s="1613">
        <f t="shared" si="182"/>
        <v>106.21</v>
      </c>
      <c r="M663" s="1613">
        <f t="shared" si="183"/>
        <v>318.63</v>
      </c>
      <c r="N663" s="1613">
        <f t="shared" si="172"/>
        <v>-106.21</v>
      </c>
      <c r="O663" s="1652">
        <f t="shared" si="184"/>
        <v>212.42000000000002</v>
      </c>
      <c r="P663" s="1653">
        <f t="shared" si="185"/>
        <v>-106.54333333333332</v>
      </c>
      <c r="Q663" s="1653">
        <f t="shared" si="186"/>
        <v>-0.3333333333333286</v>
      </c>
      <c r="R663" s="1653">
        <f t="shared" si="187"/>
        <v>-0.3333333333333286</v>
      </c>
      <c r="S663" s="1653">
        <f t="shared" si="188"/>
        <v>105.87666666666667</v>
      </c>
      <c r="T663" s="1653">
        <f t="shared" si="173"/>
        <v>-0.66666666666666186</v>
      </c>
      <c r="U663" s="1653">
        <f t="shared" si="174"/>
        <v>105.54333333333334</v>
      </c>
      <c r="V663" s="1653">
        <f t="shared" si="175"/>
        <v>-0.99999999999999512</v>
      </c>
      <c r="W663" s="1653">
        <f t="shared" si="176"/>
        <v>105.21</v>
      </c>
      <c r="X663" s="1653">
        <f t="shared" si="177"/>
        <v>-1.3333333333333284</v>
      </c>
      <c r="Y663" s="1653">
        <f t="shared" si="178"/>
        <v>104.87666666666667</v>
      </c>
    </row>
    <row r="664" spans="1:25" ht="15" hidden="1" outlineLevel="1">
      <c r="A664" s="1615">
        <v>656</v>
      </c>
      <c r="C664" s="1651" t="s">
        <v>3328</v>
      </c>
      <c r="D664" s="1651" t="s">
        <v>3329</v>
      </c>
      <c r="E664" s="1613">
        <v>92864.7</v>
      </c>
      <c r="F664" s="1613">
        <v>-2592.6999999999998</v>
      </c>
      <c r="G664" s="1613">
        <f t="shared" si="179"/>
        <v>90272</v>
      </c>
      <c r="H664" s="1578">
        <v>2015</v>
      </c>
      <c r="I664" s="1662">
        <f t="shared" si="180"/>
        <v>0.5</v>
      </c>
      <c r="J664" s="1663">
        <v>36</v>
      </c>
      <c r="K664" s="1664">
        <f t="shared" si="181"/>
        <v>0.33333333333333331</v>
      </c>
      <c r="L664" s="1613">
        <f t="shared" si="182"/>
        <v>30954.899999999998</v>
      </c>
      <c r="M664" s="1613">
        <f t="shared" si="183"/>
        <v>92864.7</v>
      </c>
      <c r="N664" s="1613">
        <f t="shared" ref="N664:N687" si="189">-IF(I664+0.5&lt;(J664/12),M664*(I664+0.5)*K664,M664)</f>
        <v>-30954.899999999998</v>
      </c>
      <c r="O664" s="1652">
        <f t="shared" si="184"/>
        <v>61909.8</v>
      </c>
      <c r="P664" s="1653">
        <f t="shared" si="185"/>
        <v>-30955.23333333333</v>
      </c>
      <c r="Q664" s="1653">
        <f t="shared" si="186"/>
        <v>-0.33333333333212067</v>
      </c>
      <c r="R664" s="1653">
        <f t="shared" si="187"/>
        <v>-0.33333333333212067</v>
      </c>
      <c r="S664" s="1653">
        <f t="shared" si="188"/>
        <v>30954.566666666666</v>
      </c>
      <c r="T664" s="1653">
        <f t="shared" ref="T664:T687" si="190">IF(S664&gt;0,IF(S664&lt;$K664,-$L664,R664-$K664),S664)</f>
        <v>-0.66666666666545393</v>
      </c>
      <c r="U664" s="1653">
        <f t="shared" ref="U664:U687" si="191">IF(T664&lt;0,$L664+T664,S664)</f>
        <v>30954.233333333334</v>
      </c>
      <c r="V664" s="1653">
        <f t="shared" ref="V664:V687" si="192">IF(U664&gt;0,IF(U664&lt;$K664,-$L664,T664-$K664),U664)</f>
        <v>-0.99999999999878719</v>
      </c>
      <c r="W664" s="1653">
        <f t="shared" ref="W664:W687" si="193">IF(V664&lt;0,$L664+V664,U664)</f>
        <v>30953.899999999998</v>
      </c>
      <c r="X664" s="1653">
        <f t="shared" ref="X664:X687" si="194">IF(W664&gt;0,IF(W664&lt;$K664,-$L664,V664-$K664),W664)</f>
        <v>-1.3333333333321205</v>
      </c>
      <c r="Y664" s="1653">
        <f t="shared" ref="Y664:Y687" si="195">IF(X664&lt;0,$L664+X664,W664)</f>
        <v>30953.566666666666</v>
      </c>
    </row>
    <row r="665" spans="1:25" ht="15" hidden="1" outlineLevel="1">
      <c r="A665" s="1615">
        <v>657</v>
      </c>
      <c r="C665" s="1651" t="s">
        <v>3330</v>
      </c>
      <c r="D665" s="1651" t="s">
        <v>2465</v>
      </c>
      <c r="E665" s="1613">
        <v>1965.59</v>
      </c>
      <c r="F665" s="1613">
        <v>-54.88</v>
      </c>
      <c r="G665" s="1613">
        <f t="shared" ref="G665:G687" si="196">E665+F665</f>
        <v>1910.7099999999998</v>
      </c>
      <c r="H665" s="1578">
        <v>2015</v>
      </c>
      <c r="I665" s="1662">
        <f t="shared" ref="I665:I687" si="197">IF(H665=2015,0.5,2015.5-H665)</f>
        <v>0.5</v>
      </c>
      <c r="J665" s="1663">
        <v>36</v>
      </c>
      <c r="K665" s="1664">
        <f t="shared" ref="K665:K687" si="198">1/J665*12</f>
        <v>0.33333333333333331</v>
      </c>
      <c r="L665" s="1613">
        <f t="shared" ref="L665:L687" si="199">IF(I665&lt;(J665/12),E665*K665,0)</f>
        <v>655.1966666666666</v>
      </c>
      <c r="M665" s="1613">
        <f t="shared" ref="M665:M687" si="200">E665</f>
        <v>1965.59</v>
      </c>
      <c r="N665" s="1613">
        <f t="shared" si="189"/>
        <v>-655.1966666666666</v>
      </c>
      <c r="O665" s="1652">
        <f t="shared" ref="O665:O687" si="201">M665+N665</f>
        <v>1310.3933333333334</v>
      </c>
      <c r="P665" s="1653">
        <f t="shared" ref="P665:P687" si="202">IF(O665&gt;0,IF(O665&lt;$K665,-$L665,N665-$K665),O665)</f>
        <v>-655.53</v>
      </c>
      <c r="Q665" s="1653">
        <f t="shared" ref="Q665:Q687" si="203">IF(P665&lt;0,$L665+P665,O665)</f>
        <v>-0.33333333333337123</v>
      </c>
      <c r="R665" s="1653">
        <f t="shared" ref="R665:R687" si="204">IF(Q665&gt;0,IF(Q665&lt;$K665,-$L665,P665-$K665),Q665)</f>
        <v>-0.33333333333337123</v>
      </c>
      <c r="S665" s="1653">
        <f t="shared" ref="S665:S687" si="205">IF(R665&lt;0,$L665+R665,Q665)</f>
        <v>654.86333333333323</v>
      </c>
      <c r="T665" s="1653">
        <f t="shared" si="190"/>
        <v>-0.66666666666670449</v>
      </c>
      <c r="U665" s="1653">
        <f t="shared" si="191"/>
        <v>654.52999999999986</v>
      </c>
      <c r="V665" s="1653">
        <f t="shared" si="192"/>
        <v>-1.0000000000000377</v>
      </c>
      <c r="W665" s="1653">
        <f t="shared" si="193"/>
        <v>654.1966666666666</v>
      </c>
      <c r="X665" s="1653">
        <f t="shared" si="194"/>
        <v>-1.333333333333371</v>
      </c>
      <c r="Y665" s="1653">
        <f t="shared" si="195"/>
        <v>653.86333333333323</v>
      </c>
    </row>
    <row r="666" spans="1:25" ht="15" hidden="1" outlineLevel="1">
      <c r="A666" s="1615">
        <v>658</v>
      </c>
      <c r="C666" s="1651" t="s">
        <v>3331</v>
      </c>
      <c r="D666" s="1651" t="s">
        <v>2465</v>
      </c>
      <c r="E666" s="1613">
        <v>200.08</v>
      </c>
      <c r="F666" s="1613">
        <v>-5.59</v>
      </c>
      <c r="G666" s="1613">
        <f t="shared" si="196"/>
        <v>194.49</v>
      </c>
      <c r="H666" s="1578">
        <v>2015</v>
      </c>
      <c r="I666" s="1662">
        <f t="shared" si="197"/>
        <v>0.5</v>
      </c>
      <c r="J666" s="1663">
        <v>36</v>
      </c>
      <c r="K666" s="1664">
        <f t="shared" si="198"/>
        <v>0.33333333333333331</v>
      </c>
      <c r="L666" s="1613">
        <f t="shared" si="199"/>
        <v>66.693333333333328</v>
      </c>
      <c r="M666" s="1613">
        <f t="shared" si="200"/>
        <v>200.08</v>
      </c>
      <c r="N666" s="1613">
        <f t="shared" si="189"/>
        <v>-66.693333333333328</v>
      </c>
      <c r="O666" s="1652">
        <f t="shared" si="201"/>
        <v>133.38666666666668</v>
      </c>
      <c r="P666" s="1653">
        <f t="shared" si="202"/>
        <v>-67.026666666666657</v>
      </c>
      <c r="Q666" s="1653">
        <f t="shared" si="203"/>
        <v>-0.3333333333333286</v>
      </c>
      <c r="R666" s="1653">
        <f t="shared" si="204"/>
        <v>-0.3333333333333286</v>
      </c>
      <c r="S666" s="1653">
        <f t="shared" si="205"/>
        <v>66.36</v>
      </c>
      <c r="T666" s="1653">
        <f t="shared" si="190"/>
        <v>-0.66666666666666186</v>
      </c>
      <c r="U666" s="1653">
        <f t="shared" si="191"/>
        <v>66.026666666666671</v>
      </c>
      <c r="V666" s="1653">
        <f t="shared" si="192"/>
        <v>-0.99999999999999512</v>
      </c>
      <c r="W666" s="1653">
        <f t="shared" si="193"/>
        <v>65.693333333333328</v>
      </c>
      <c r="X666" s="1653">
        <f t="shared" si="194"/>
        <v>-1.3333333333333284</v>
      </c>
      <c r="Y666" s="1653">
        <f t="shared" si="195"/>
        <v>65.36</v>
      </c>
    </row>
    <row r="667" spans="1:25" ht="15" hidden="1" outlineLevel="1">
      <c r="A667" s="1615">
        <v>659</v>
      </c>
      <c r="C667" s="1651" t="s">
        <v>3332</v>
      </c>
      <c r="D667" s="1651" t="s">
        <v>2465</v>
      </c>
      <c r="E667" s="1613">
        <v>47921.29</v>
      </c>
      <c r="F667" s="1613">
        <v>-1337.92</v>
      </c>
      <c r="G667" s="1613">
        <f t="shared" si="196"/>
        <v>46583.37</v>
      </c>
      <c r="H667" s="1578">
        <v>2015</v>
      </c>
      <c r="I667" s="1662">
        <f t="shared" si="197"/>
        <v>0.5</v>
      </c>
      <c r="J667" s="1663">
        <v>36</v>
      </c>
      <c r="K667" s="1664">
        <f t="shared" si="198"/>
        <v>0.33333333333333331</v>
      </c>
      <c r="L667" s="1613">
        <f t="shared" si="199"/>
        <v>15973.763333333332</v>
      </c>
      <c r="M667" s="1613">
        <f t="shared" si="200"/>
        <v>47921.29</v>
      </c>
      <c r="N667" s="1613">
        <f t="shared" si="189"/>
        <v>-15973.763333333332</v>
      </c>
      <c r="O667" s="1652">
        <f t="shared" si="201"/>
        <v>31947.526666666668</v>
      </c>
      <c r="P667" s="1653">
        <f t="shared" si="202"/>
        <v>-15974.096666666666</v>
      </c>
      <c r="Q667" s="1653">
        <f t="shared" si="203"/>
        <v>-0.33333333333393966</v>
      </c>
      <c r="R667" s="1653">
        <f t="shared" si="204"/>
        <v>-0.33333333333393966</v>
      </c>
      <c r="S667" s="1653">
        <f t="shared" si="205"/>
        <v>15973.429999999998</v>
      </c>
      <c r="T667" s="1653">
        <f t="shared" si="190"/>
        <v>-0.66666666666727292</v>
      </c>
      <c r="U667" s="1653">
        <f t="shared" si="191"/>
        <v>15973.096666666665</v>
      </c>
      <c r="V667" s="1653">
        <f t="shared" si="192"/>
        <v>-1.0000000000006062</v>
      </c>
      <c r="W667" s="1653">
        <f t="shared" si="193"/>
        <v>15972.763333333332</v>
      </c>
      <c r="X667" s="1653">
        <f t="shared" si="194"/>
        <v>-1.3333333333339394</v>
      </c>
      <c r="Y667" s="1653">
        <f t="shared" si="195"/>
        <v>15972.429999999998</v>
      </c>
    </row>
    <row r="668" spans="1:25" ht="15" hidden="1" outlineLevel="1">
      <c r="A668" s="1615">
        <v>660</v>
      </c>
      <c r="C668" s="1651" t="s">
        <v>3333</v>
      </c>
      <c r="D668" s="1651" t="s">
        <v>2465</v>
      </c>
      <c r="E668" s="1613">
        <v>413.47</v>
      </c>
      <c r="F668" s="1613">
        <v>-11.54</v>
      </c>
      <c r="G668" s="1613">
        <f t="shared" si="196"/>
        <v>401.93</v>
      </c>
      <c r="H668" s="1578">
        <v>2015</v>
      </c>
      <c r="I668" s="1662">
        <f t="shared" si="197"/>
        <v>0.5</v>
      </c>
      <c r="J668" s="1663">
        <v>36</v>
      </c>
      <c r="K668" s="1664">
        <f t="shared" si="198"/>
        <v>0.33333333333333331</v>
      </c>
      <c r="L668" s="1613">
        <f t="shared" si="199"/>
        <v>137.82333333333332</v>
      </c>
      <c r="M668" s="1613">
        <f t="shared" si="200"/>
        <v>413.47</v>
      </c>
      <c r="N668" s="1613">
        <f t="shared" si="189"/>
        <v>-137.82333333333332</v>
      </c>
      <c r="O668" s="1652">
        <f t="shared" si="201"/>
        <v>275.6466666666667</v>
      </c>
      <c r="P668" s="1653">
        <f t="shared" si="202"/>
        <v>-138.15666666666667</v>
      </c>
      <c r="Q668" s="1653">
        <f t="shared" si="203"/>
        <v>-0.33333333333334281</v>
      </c>
      <c r="R668" s="1653">
        <f t="shared" si="204"/>
        <v>-0.33333333333334281</v>
      </c>
      <c r="S668" s="1653">
        <f t="shared" si="205"/>
        <v>137.48999999999998</v>
      </c>
      <c r="T668" s="1653">
        <f t="shared" si="190"/>
        <v>-0.66666666666667607</v>
      </c>
      <c r="U668" s="1653">
        <f t="shared" si="191"/>
        <v>137.15666666666664</v>
      </c>
      <c r="V668" s="1653">
        <f t="shared" si="192"/>
        <v>-1.0000000000000093</v>
      </c>
      <c r="W668" s="1653">
        <f t="shared" si="193"/>
        <v>136.82333333333332</v>
      </c>
      <c r="X668" s="1653">
        <f t="shared" si="194"/>
        <v>-1.3333333333333426</v>
      </c>
      <c r="Y668" s="1653">
        <f t="shared" si="195"/>
        <v>136.48999999999998</v>
      </c>
    </row>
    <row r="669" spans="1:25" ht="15" hidden="1" outlineLevel="1">
      <c r="A669" s="1615">
        <v>661</v>
      </c>
      <c r="C669" s="1651" t="s">
        <v>3334</v>
      </c>
      <c r="D669" s="1651" t="s">
        <v>3335</v>
      </c>
      <c r="E669" s="1613">
        <v>-6.44</v>
      </c>
      <c r="F669" s="1613">
        <v>6.44</v>
      </c>
      <c r="G669" s="1613">
        <f t="shared" si="196"/>
        <v>0</v>
      </c>
      <c r="H669" s="1578">
        <v>2007</v>
      </c>
      <c r="I669" s="1662">
        <f t="shared" si="197"/>
        <v>8.5</v>
      </c>
      <c r="J669" s="1663">
        <v>36</v>
      </c>
      <c r="K669" s="1664">
        <f t="shared" si="198"/>
        <v>0.33333333333333331</v>
      </c>
      <c r="L669" s="1613">
        <f t="shared" si="199"/>
        <v>0</v>
      </c>
      <c r="M669" s="1613">
        <f t="shared" si="200"/>
        <v>-6.44</v>
      </c>
      <c r="N669" s="1613">
        <f t="shared" si="189"/>
        <v>6.44</v>
      </c>
      <c r="O669" s="1652">
        <f t="shared" si="201"/>
        <v>0</v>
      </c>
      <c r="P669" s="1653">
        <f t="shared" si="202"/>
        <v>0</v>
      </c>
      <c r="Q669" s="1653">
        <f t="shared" si="203"/>
        <v>0</v>
      </c>
      <c r="R669" s="1653">
        <f t="shared" si="204"/>
        <v>0</v>
      </c>
      <c r="S669" s="1653">
        <f t="shared" si="205"/>
        <v>0</v>
      </c>
      <c r="T669" s="1653">
        <f t="shared" si="190"/>
        <v>0</v>
      </c>
      <c r="U669" s="1653">
        <f t="shared" si="191"/>
        <v>0</v>
      </c>
      <c r="V669" s="1653">
        <f t="shared" si="192"/>
        <v>0</v>
      </c>
      <c r="W669" s="1653">
        <f t="shared" si="193"/>
        <v>0</v>
      </c>
      <c r="X669" s="1653">
        <f t="shared" si="194"/>
        <v>0</v>
      </c>
      <c r="Y669" s="1653">
        <f t="shared" si="195"/>
        <v>0</v>
      </c>
    </row>
    <row r="670" spans="1:25" ht="15" hidden="1" outlineLevel="1">
      <c r="A670" s="1615">
        <v>662</v>
      </c>
      <c r="C670" s="1651" t="s">
        <v>3336</v>
      </c>
      <c r="D670" s="1651" t="s">
        <v>2465</v>
      </c>
      <c r="E670" s="1613">
        <v>218.04</v>
      </c>
      <c r="F670" s="1613">
        <v>-218.04</v>
      </c>
      <c r="G670" s="1613">
        <f t="shared" si="196"/>
        <v>0</v>
      </c>
      <c r="H670" s="1578">
        <v>2007</v>
      </c>
      <c r="I670" s="1662">
        <f t="shared" si="197"/>
        <v>8.5</v>
      </c>
      <c r="J670" s="1663">
        <v>36</v>
      </c>
      <c r="K670" s="1664">
        <f t="shared" si="198"/>
        <v>0.33333333333333331</v>
      </c>
      <c r="L670" s="1613">
        <f t="shared" si="199"/>
        <v>0</v>
      </c>
      <c r="M670" s="1613">
        <f t="shared" si="200"/>
        <v>218.04</v>
      </c>
      <c r="N670" s="1613">
        <f t="shared" si="189"/>
        <v>-218.04</v>
      </c>
      <c r="O670" s="1652">
        <f t="shared" si="201"/>
        <v>0</v>
      </c>
      <c r="P670" s="1653">
        <f t="shared" si="202"/>
        <v>0</v>
      </c>
      <c r="Q670" s="1653">
        <f t="shared" si="203"/>
        <v>0</v>
      </c>
      <c r="R670" s="1653">
        <f t="shared" si="204"/>
        <v>0</v>
      </c>
      <c r="S670" s="1653">
        <f t="shared" si="205"/>
        <v>0</v>
      </c>
      <c r="T670" s="1653">
        <f t="shared" si="190"/>
        <v>0</v>
      </c>
      <c r="U670" s="1653">
        <f t="shared" si="191"/>
        <v>0</v>
      </c>
      <c r="V670" s="1653">
        <f t="shared" si="192"/>
        <v>0</v>
      </c>
      <c r="W670" s="1653">
        <f t="shared" si="193"/>
        <v>0</v>
      </c>
      <c r="X670" s="1653">
        <f t="shared" si="194"/>
        <v>0</v>
      </c>
      <c r="Y670" s="1653">
        <f t="shared" si="195"/>
        <v>0</v>
      </c>
    </row>
    <row r="671" spans="1:25" ht="15" hidden="1" outlineLevel="1">
      <c r="A671" s="1615">
        <v>663</v>
      </c>
      <c r="C671" s="1651" t="s">
        <v>3337</v>
      </c>
      <c r="D671" s="1651" t="s">
        <v>2465</v>
      </c>
      <c r="E671" s="1613">
        <v>301.94</v>
      </c>
      <c r="F671" s="1613">
        <v>-301.94</v>
      </c>
      <c r="G671" s="1613">
        <f t="shared" si="196"/>
        <v>0</v>
      </c>
      <c r="H671" s="1578">
        <v>2007</v>
      </c>
      <c r="I671" s="1662">
        <f t="shared" si="197"/>
        <v>8.5</v>
      </c>
      <c r="J671" s="1663">
        <v>36</v>
      </c>
      <c r="K671" s="1664">
        <f t="shared" si="198"/>
        <v>0.33333333333333331</v>
      </c>
      <c r="L671" s="1613">
        <f t="shared" si="199"/>
        <v>0</v>
      </c>
      <c r="M671" s="1613">
        <f t="shared" si="200"/>
        <v>301.94</v>
      </c>
      <c r="N671" s="1613">
        <f t="shared" si="189"/>
        <v>-301.94</v>
      </c>
      <c r="O671" s="1652">
        <f t="shared" si="201"/>
        <v>0</v>
      </c>
      <c r="P671" s="1653">
        <f t="shared" si="202"/>
        <v>0</v>
      </c>
      <c r="Q671" s="1653">
        <f t="shared" si="203"/>
        <v>0</v>
      </c>
      <c r="R671" s="1653">
        <f t="shared" si="204"/>
        <v>0</v>
      </c>
      <c r="S671" s="1653">
        <f t="shared" si="205"/>
        <v>0</v>
      </c>
      <c r="T671" s="1653">
        <f t="shared" si="190"/>
        <v>0</v>
      </c>
      <c r="U671" s="1653">
        <f t="shared" si="191"/>
        <v>0</v>
      </c>
      <c r="V671" s="1653">
        <f t="shared" si="192"/>
        <v>0</v>
      </c>
      <c r="W671" s="1653">
        <f t="shared" si="193"/>
        <v>0</v>
      </c>
      <c r="X671" s="1653">
        <f t="shared" si="194"/>
        <v>0</v>
      </c>
      <c r="Y671" s="1653">
        <f t="shared" si="195"/>
        <v>0</v>
      </c>
    </row>
    <row r="672" spans="1:25" ht="15" hidden="1" outlineLevel="1">
      <c r="A672" s="1615">
        <v>664</v>
      </c>
      <c r="C672" s="1651" t="s">
        <v>3338</v>
      </c>
      <c r="D672" s="1651" t="s">
        <v>2465</v>
      </c>
      <c r="E672" s="1613">
        <v>463.83</v>
      </c>
      <c r="F672" s="1613">
        <v>-463.83</v>
      </c>
      <c r="G672" s="1613">
        <f t="shared" si="196"/>
        <v>0</v>
      </c>
      <c r="H672" s="1578">
        <v>2007</v>
      </c>
      <c r="I672" s="1662">
        <f t="shared" si="197"/>
        <v>8.5</v>
      </c>
      <c r="J672" s="1663">
        <v>36</v>
      </c>
      <c r="K672" s="1664">
        <f t="shared" si="198"/>
        <v>0.33333333333333331</v>
      </c>
      <c r="L672" s="1613">
        <f t="shared" si="199"/>
        <v>0</v>
      </c>
      <c r="M672" s="1613">
        <f t="shared" si="200"/>
        <v>463.83</v>
      </c>
      <c r="N672" s="1613">
        <f t="shared" si="189"/>
        <v>-463.83</v>
      </c>
      <c r="O672" s="1652">
        <f t="shared" si="201"/>
        <v>0</v>
      </c>
      <c r="P672" s="1653">
        <f t="shared" si="202"/>
        <v>0</v>
      </c>
      <c r="Q672" s="1653">
        <f t="shared" si="203"/>
        <v>0</v>
      </c>
      <c r="R672" s="1653">
        <f t="shared" si="204"/>
        <v>0</v>
      </c>
      <c r="S672" s="1653">
        <f t="shared" si="205"/>
        <v>0</v>
      </c>
      <c r="T672" s="1653">
        <f t="shared" si="190"/>
        <v>0</v>
      </c>
      <c r="U672" s="1653">
        <f t="shared" si="191"/>
        <v>0</v>
      </c>
      <c r="V672" s="1653">
        <f t="shared" si="192"/>
        <v>0</v>
      </c>
      <c r="W672" s="1653">
        <f t="shared" si="193"/>
        <v>0</v>
      </c>
      <c r="X672" s="1653">
        <f t="shared" si="194"/>
        <v>0</v>
      </c>
      <c r="Y672" s="1653">
        <f t="shared" si="195"/>
        <v>0</v>
      </c>
    </row>
    <row r="673" spans="1:25" ht="15" hidden="1" outlineLevel="1">
      <c r="A673" s="1615">
        <v>665</v>
      </c>
      <c r="C673" s="1651" t="s">
        <v>3339</v>
      </c>
      <c r="D673" s="1651" t="s">
        <v>2465</v>
      </c>
      <c r="E673" s="1613">
        <v>1222.71</v>
      </c>
      <c r="F673" s="1613">
        <v>-1222.71</v>
      </c>
      <c r="G673" s="1613">
        <f t="shared" si="196"/>
        <v>0</v>
      </c>
      <c r="H673" s="1578">
        <v>2007</v>
      </c>
      <c r="I673" s="1662">
        <f t="shared" si="197"/>
        <v>8.5</v>
      </c>
      <c r="J673" s="1663">
        <v>36</v>
      </c>
      <c r="K673" s="1664">
        <f t="shared" si="198"/>
        <v>0.33333333333333331</v>
      </c>
      <c r="L673" s="1613">
        <f t="shared" si="199"/>
        <v>0</v>
      </c>
      <c r="M673" s="1613">
        <f t="shared" si="200"/>
        <v>1222.71</v>
      </c>
      <c r="N673" s="1613">
        <f t="shared" si="189"/>
        <v>-1222.71</v>
      </c>
      <c r="O673" s="1652">
        <f t="shared" si="201"/>
        <v>0</v>
      </c>
      <c r="P673" s="1653">
        <f t="shared" si="202"/>
        <v>0</v>
      </c>
      <c r="Q673" s="1653">
        <f t="shared" si="203"/>
        <v>0</v>
      </c>
      <c r="R673" s="1653">
        <f t="shared" si="204"/>
        <v>0</v>
      </c>
      <c r="S673" s="1653">
        <f t="shared" si="205"/>
        <v>0</v>
      </c>
      <c r="T673" s="1653">
        <f t="shared" si="190"/>
        <v>0</v>
      </c>
      <c r="U673" s="1653">
        <f t="shared" si="191"/>
        <v>0</v>
      </c>
      <c r="V673" s="1653">
        <f t="shared" si="192"/>
        <v>0</v>
      </c>
      <c r="W673" s="1653">
        <f t="shared" si="193"/>
        <v>0</v>
      </c>
      <c r="X673" s="1653">
        <f t="shared" si="194"/>
        <v>0</v>
      </c>
      <c r="Y673" s="1653">
        <f t="shared" si="195"/>
        <v>0</v>
      </c>
    </row>
    <row r="674" spans="1:25" ht="15" hidden="1" outlineLevel="1">
      <c r="A674" s="1615">
        <v>666</v>
      </c>
      <c r="C674" s="1651" t="s">
        <v>3340</v>
      </c>
      <c r="D674" s="1651" t="s">
        <v>2465</v>
      </c>
      <c r="E674" s="1613">
        <v>5046.42</v>
      </c>
      <c r="F674" s="1613">
        <v>-5046.42</v>
      </c>
      <c r="G674" s="1613">
        <f t="shared" si="196"/>
        <v>0</v>
      </c>
      <c r="H674" s="1578">
        <v>2007</v>
      </c>
      <c r="I674" s="1662">
        <f t="shared" si="197"/>
        <v>8.5</v>
      </c>
      <c r="J674" s="1663">
        <v>36</v>
      </c>
      <c r="K674" s="1664">
        <f t="shared" si="198"/>
        <v>0.33333333333333331</v>
      </c>
      <c r="L674" s="1613">
        <f t="shared" si="199"/>
        <v>0</v>
      </c>
      <c r="M674" s="1613">
        <f t="shared" si="200"/>
        <v>5046.42</v>
      </c>
      <c r="N674" s="1613">
        <f t="shared" si="189"/>
        <v>-5046.42</v>
      </c>
      <c r="O674" s="1652">
        <f t="shared" si="201"/>
        <v>0</v>
      </c>
      <c r="P674" s="1653">
        <f t="shared" si="202"/>
        <v>0</v>
      </c>
      <c r="Q674" s="1653">
        <f t="shared" si="203"/>
        <v>0</v>
      </c>
      <c r="R674" s="1653">
        <f t="shared" si="204"/>
        <v>0</v>
      </c>
      <c r="S674" s="1653">
        <f t="shared" si="205"/>
        <v>0</v>
      </c>
      <c r="T674" s="1653">
        <f t="shared" si="190"/>
        <v>0</v>
      </c>
      <c r="U674" s="1653">
        <f t="shared" si="191"/>
        <v>0</v>
      </c>
      <c r="V674" s="1653">
        <f t="shared" si="192"/>
        <v>0</v>
      </c>
      <c r="W674" s="1653">
        <f t="shared" si="193"/>
        <v>0</v>
      </c>
      <c r="X674" s="1653">
        <f t="shared" si="194"/>
        <v>0</v>
      </c>
      <c r="Y674" s="1653">
        <f t="shared" si="195"/>
        <v>0</v>
      </c>
    </row>
    <row r="675" spans="1:25" ht="15" hidden="1" outlineLevel="1">
      <c r="A675" s="1615">
        <v>667</v>
      </c>
      <c r="C675" s="1651" t="s">
        <v>3341</v>
      </c>
      <c r="D675" s="1651" t="s">
        <v>2465</v>
      </c>
      <c r="E675" s="1613">
        <v>7244.39</v>
      </c>
      <c r="F675" s="1613">
        <v>-7244.39</v>
      </c>
      <c r="G675" s="1613">
        <f t="shared" si="196"/>
        <v>0</v>
      </c>
      <c r="H675" s="1578">
        <v>2007</v>
      </c>
      <c r="I675" s="1662">
        <f t="shared" si="197"/>
        <v>8.5</v>
      </c>
      <c r="J675" s="1663">
        <v>36</v>
      </c>
      <c r="K675" s="1664">
        <f t="shared" si="198"/>
        <v>0.33333333333333331</v>
      </c>
      <c r="L675" s="1613">
        <f t="shared" si="199"/>
        <v>0</v>
      </c>
      <c r="M675" s="1613">
        <f t="shared" si="200"/>
        <v>7244.39</v>
      </c>
      <c r="N675" s="1613">
        <f t="shared" si="189"/>
        <v>-7244.39</v>
      </c>
      <c r="O675" s="1652">
        <f t="shared" si="201"/>
        <v>0</v>
      </c>
      <c r="P675" s="1653">
        <f t="shared" si="202"/>
        <v>0</v>
      </c>
      <c r="Q675" s="1653">
        <f t="shared" si="203"/>
        <v>0</v>
      </c>
      <c r="R675" s="1653">
        <f t="shared" si="204"/>
        <v>0</v>
      </c>
      <c r="S675" s="1653">
        <f t="shared" si="205"/>
        <v>0</v>
      </c>
      <c r="T675" s="1653">
        <f t="shared" si="190"/>
        <v>0</v>
      </c>
      <c r="U675" s="1653">
        <f t="shared" si="191"/>
        <v>0</v>
      </c>
      <c r="V675" s="1653">
        <f t="shared" si="192"/>
        <v>0</v>
      </c>
      <c r="W675" s="1653">
        <f t="shared" si="193"/>
        <v>0</v>
      </c>
      <c r="X675" s="1653">
        <f t="shared" si="194"/>
        <v>0</v>
      </c>
      <c r="Y675" s="1653">
        <f t="shared" si="195"/>
        <v>0</v>
      </c>
    </row>
    <row r="676" spans="1:25" ht="15" hidden="1" outlineLevel="1">
      <c r="A676" s="1615">
        <v>668</v>
      </c>
      <c r="C676" s="1651" t="s">
        <v>3342</v>
      </c>
      <c r="D676" s="1651" t="s">
        <v>2465</v>
      </c>
      <c r="E676" s="1613">
        <v>144.13</v>
      </c>
      <c r="F676" s="1613">
        <v>-144.13</v>
      </c>
      <c r="G676" s="1613">
        <f t="shared" si="196"/>
        <v>0</v>
      </c>
      <c r="H676" s="1578">
        <v>2007</v>
      </c>
      <c r="I676" s="1662">
        <f t="shared" si="197"/>
        <v>8.5</v>
      </c>
      <c r="J676" s="1663">
        <v>36</v>
      </c>
      <c r="K676" s="1664">
        <f t="shared" si="198"/>
        <v>0.33333333333333331</v>
      </c>
      <c r="L676" s="1613">
        <f t="shared" si="199"/>
        <v>0</v>
      </c>
      <c r="M676" s="1613">
        <f t="shared" si="200"/>
        <v>144.13</v>
      </c>
      <c r="N676" s="1613">
        <f t="shared" si="189"/>
        <v>-144.13</v>
      </c>
      <c r="O676" s="1652">
        <f t="shared" si="201"/>
        <v>0</v>
      </c>
      <c r="P676" s="1653">
        <f t="shared" si="202"/>
        <v>0</v>
      </c>
      <c r="Q676" s="1653">
        <f t="shared" si="203"/>
        <v>0</v>
      </c>
      <c r="R676" s="1653">
        <f t="shared" si="204"/>
        <v>0</v>
      </c>
      <c r="S676" s="1653">
        <f t="shared" si="205"/>
        <v>0</v>
      </c>
      <c r="T676" s="1653">
        <f t="shared" si="190"/>
        <v>0</v>
      </c>
      <c r="U676" s="1653">
        <f t="shared" si="191"/>
        <v>0</v>
      </c>
      <c r="V676" s="1653">
        <f t="shared" si="192"/>
        <v>0</v>
      </c>
      <c r="W676" s="1653">
        <f t="shared" si="193"/>
        <v>0</v>
      </c>
      <c r="X676" s="1653">
        <f t="shared" si="194"/>
        <v>0</v>
      </c>
      <c r="Y676" s="1653">
        <f t="shared" si="195"/>
        <v>0</v>
      </c>
    </row>
    <row r="677" spans="1:25" ht="15" hidden="1" outlineLevel="1">
      <c r="A677" s="1615">
        <v>669</v>
      </c>
      <c r="C677" s="1651" t="s">
        <v>3343</v>
      </c>
      <c r="D677" s="1651" t="s">
        <v>2465</v>
      </c>
      <c r="E677" s="1613">
        <v>777.35</v>
      </c>
      <c r="F677" s="1613">
        <v>-777.35</v>
      </c>
      <c r="G677" s="1613">
        <f t="shared" si="196"/>
        <v>0</v>
      </c>
      <c r="H677" s="1578">
        <v>2007</v>
      </c>
      <c r="I677" s="1662">
        <f t="shared" si="197"/>
        <v>8.5</v>
      </c>
      <c r="J677" s="1663">
        <v>36</v>
      </c>
      <c r="K677" s="1664">
        <f t="shared" si="198"/>
        <v>0.33333333333333331</v>
      </c>
      <c r="L677" s="1613">
        <f t="shared" si="199"/>
        <v>0</v>
      </c>
      <c r="M677" s="1613">
        <f t="shared" si="200"/>
        <v>777.35</v>
      </c>
      <c r="N677" s="1613">
        <f t="shared" si="189"/>
        <v>-777.35</v>
      </c>
      <c r="O677" s="1652">
        <f t="shared" si="201"/>
        <v>0</v>
      </c>
      <c r="P677" s="1653">
        <f t="shared" si="202"/>
        <v>0</v>
      </c>
      <c r="Q677" s="1653">
        <f t="shared" si="203"/>
        <v>0</v>
      </c>
      <c r="R677" s="1653">
        <f t="shared" si="204"/>
        <v>0</v>
      </c>
      <c r="S677" s="1653">
        <f t="shared" si="205"/>
        <v>0</v>
      </c>
      <c r="T677" s="1653">
        <f t="shared" si="190"/>
        <v>0</v>
      </c>
      <c r="U677" s="1653">
        <f t="shared" si="191"/>
        <v>0</v>
      </c>
      <c r="V677" s="1653">
        <f t="shared" si="192"/>
        <v>0</v>
      </c>
      <c r="W677" s="1653">
        <f t="shared" si="193"/>
        <v>0</v>
      </c>
      <c r="X677" s="1653">
        <f t="shared" si="194"/>
        <v>0</v>
      </c>
      <c r="Y677" s="1653">
        <f t="shared" si="195"/>
        <v>0</v>
      </c>
    </row>
    <row r="678" spans="1:25" ht="15" hidden="1" outlineLevel="1">
      <c r="A678" s="1615">
        <v>670</v>
      </c>
      <c r="C678" s="1651" t="s">
        <v>3344</v>
      </c>
      <c r="D678" s="1651" t="s">
        <v>2465</v>
      </c>
      <c r="E678" s="1613">
        <v>1009.89</v>
      </c>
      <c r="F678" s="1613">
        <v>-1009.89</v>
      </c>
      <c r="G678" s="1613">
        <f t="shared" si="196"/>
        <v>0</v>
      </c>
      <c r="H678" s="1578">
        <v>2007</v>
      </c>
      <c r="I678" s="1662">
        <f t="shared" si="197"/>
        <v>8.5</v>
      </c>
      <c r="J678" s="1663">
        <v>36</v>
      </c>
      <c r="K678" s="1664">
        <f t="shared" si="198"/>
        <v>0.33333333333333331</v>
      </c>
      <c r="L678" s="1613">
        <f t="shared" si="199"/>
        <v>0</v>
      </c>
      <c r="M678" s="1613">
        <f t="shared" si="200"/>
        <v>1009.89</v>
      </c>
      <c r="N678" s="1613">
        <f t="shared" si="189"/>
        <v>-1009.89</v>
      </c>
      <c r="O678" s="1652">
        <f t="shared" si="201"/>
        <v>0</v>
      </c>
      <c r="P678" s="1653">
        <f t="shared" si="202"/>
        <v>0</v>
      </c>
      <c r="Q678" s="1653">
        <f t="shared" si="203"/>
        <v>0</v>
      </c>
      <c r="R678" s="1653">
        <f t="shared" si="204"/>
        <v>0</v>
      </c>
      <c r="S678" s="1653">
        <f t="shared" si="205"/>
        <v>0</v>
      </c>
      <c r="T678" s="1653">
        <f t="shared" si="190"/>
        <v>0</v>
      </c>
      <c r="U678" s="1653">
        <f t="shared" si="191"/>
        <v>0</v>
      </c>
      <c r="V678" s="1653">
        <f t="shared" si="192"/>
        <v>0</v>
      </c>
      <c r="W678" s="1653">
        <f t="shared" si="193"/>
        <v>0</v>
      </c>
      <c r="X678" s="1653">
        <f t="shared" si="194"/>
        <v>0</v>
      </c>
      <c r="Y678" s="1653">
        <f t="shared" si="195"/>
        <v>0</v>
      </c>
    </row>
    <row r="679" spans="1:25" ht="15" hidden="1" outlineLevel="1">
      <c r="A679" s="1615">
        <v>671</v>
      </c>
      <c r="C679" s="1651" t="s">
        <v>3345</v>
      </c>
      <c r="D679" s="1651" t="s">
        <v>3346</v>
      </c>
      <c r="E679" s="1613">
        <v>696.94</v>
      </c>
      <c r="F679" s="1613">
        <v>-696.94</v>
      </c>
      <c r="G679" s="1613">
        <f t="shared" si="196"/>
        <v>0</v>
      </c>
      <c r="H679" s="1578">
        <v>2007</v>
      </c>
      <c r="I679" s="1662">
        <f t="shared" si="197"/>
        <v>8.5</v>
      </c>
      <c r="J679" s="1663">
        <v>36</v>
      </c>
      <c r="K679" s="1664">
        <f t="shared" si="198"/>
        <v>0.33333333333333331</v>
      </c>
      <c r="L679" s="1613">
        <f t="shared" si="199"/>
        <v>0</v>
      </c>
      <c r="M679" s="1613">
        <f t="shared" si="200"/>
        <v>696.94</v>
      </c>
      <c r="N679" s="1613">
        <f t="shared" si="189"/>
        <v>-696.94</v>
      </c>
      <c r="O679" s="1652">
        <f t="shared" si="201"/>
        <v>0</v>
      </c>
      <c r="P679" s="1653">
        <f t="shared" si="202"/>
        <v>0</v>
      </c>
      <c r="Q679" s="1653">
        <f t="shared" si="203"/>
        <v>0</v>
      </c>
      <c r="R679" s="1653">
        <f t="shared" si="204"/>
        <v>0</v>
      </c>
      <c r="S679" s="1653">
        <f t="shared" si="205"/>
        <v>0</v>
      </c>
      <c r="T679" s="1653">
        <f t="shared" si="190"/>
        <v>0</v>
      </c>
      <c r="U679" s="1653">
        <f t="shared" si="191"/>
        <v>0</v>
      </c>
      <c r="V679" s="1653">
        <f t="shared" si="192"/>
        <v>0</v>
      </c>
      <c r="W679" s="1653">
        <f t="shared" si="193"/>
        <v>0</v>
      </c>
      <c r="X679" s="1653">
        <f t="shared" si="194"/>
        <v>0</v>
      </c>
      <c r="Y679" s="1653">
        <f t="shared" si="195"/>
        <v>0</v>
      </c>
    </row>
    <row r="680" spans="1:25" ht="15" hidden="1" outlineLevel="1">
      <c r="A680" s="1615">
        <v>672</v>
      </c>
      <c r="C680" s="1651" t="s">
        <v>3347</v>
      </c>
      <c r="D680" s="1651" t="s">
        <v>3346</v>
      </c>
      <c r="E680" s="1613">
        <v>15925</v>
      </c>
      <c r="F680" s="1613">
        <v>-15925</v>
      </c>
      <c r="G680" s="1613">
        <f t="shared" si="196"/>
        <v>0</v>
      </c>
      <c r="H680" s="1578">
        <v>2007</v>
      </c>
      <c r="I680" s="1662">
        <f t="shared" si="197"/>
        <v>8.5</v>
      </c>
      <c r="J680" s="1663">
        <v>36</v>
      </c>
      <c r="K680" s="1664">
        <f t="shared" si="198"/>
        <v>0.33333333333333331</v>
      </c>
      <c r="L680" s="1613">
        <f t="shared" si="199"/>
        <v>0</v>
      </c>
      <c r="M680" s="1613">
        <f t="shared" si="200"/>
        <v>15925</v>
      </c>
      <c r="N680" s="1613">
        <f t="shared" si="189"/>
        <v>-15925</v>
      </c>
      <c r="O680" s="1652">
        <f t="shared" si="201"/>
        <v>0</v>
      </c>
      <c r="P680" s="1653">
        <f t="shared" si="202"/>
        <v>0</v>
      </c>
      <c r="Q680" s="1653">
        <f t="shared" si="203"/>
        <v>0</v>
      </c>
      <c r="R680" s="1653">
        <f t="shared" si="204"/>
        <v>0</v>
      </c>
      <c r="S680" s="1653">
        <f t="shared" si="205"/>
        <v>0</v>
      </c>
      <c r="T680" s="1653">
        <f t="shared" si="190"/>
        <v>0</v>
      </c>
      <c r="U680" s="1653">
        <f t="shared" si="191"/>
        <v>0</v>
      </c>
      <c r="V680" s="1653">
        <f t="shared" si="192"/>
        <v>0</v>
      </c>
      <c r="W680" s="1653">
        <f t="shared" si="193"/>
        <v>0</v>
      </c>
      <c r="X680" s="1653">
        <f t="shared" si="194"/>
        <v>0</v>
      </c>
      <c r="Y680" s="1653">
        <f t="shared" si="195"/>
        <v>0</v>
      </c>
    </row>
    <row r="681" spans="1:25" ht="15" hidden="1" outlineLevel="1">
      <c r="A681" s="1615">
        <v>673</v>
      </c>
      <c r="C681" s="1651" t="s">
        <v>3348</v>
      </c>
      <c r="D681" s="1651" t="s">
        <v>3346</v>
      </c>
      <c r="E681" s="1613">
        <v>19242</v>
      </c>
      <c r="F681" s="1613">
        <v>-19242</v>
      </c>
      <c r="G681" s="1613">
        <f t="shared" si="196"/>
        <v>0</v>
      </c>
      <c r="H681" s="1578">
        <v>2007</v>
      </c>
      <c r="I681" s="1662">
        <f t="shared" si="197"/>
        <v>8.5</v>
      </c>
      <c r="J681" s="1663">
        <v>36</v>
      </c>
      <c r="K681" s="1664">
        <f t="shared" si="198"/>
        <v>0.33333333333333331</v>
      </c>
      <c r="L681" s="1613">
        <f t="shared" si="199"/>
        <v>0</v>
      </c>
      <c r="M681" s="1613">
        <f t="shared" si="200"/>
        <v>19242</v>
      </c>
      <c r="N681" s="1613">
        <f t="shared" si="189"/>
        <v>-19242</v>
      </c>
      <c r="O681" s="1652">
        <f t="shared" si="201"/>
        <v>0</v>
      </c>
      <c r="P681" s="1653">
        <f t="shared" si="202"/>
        <v>0</v>
      </c>
      <c r="Q681" s="1653">
        <f t="shared" si="203"/>
        <v>0</v>
      </c>
      <c r="R681" s="1653">
        <f t="shared" si="204"/>
        <v>0</v>
      </c>
      <c r="S681" s="1653">
        <f t="shared" si="205"/>
        <v>0</v>
      </c>
      <c r="T681" s="1653">
        <f t="shared" si="190"/>
        <v>0</v>
      </c>
      <c r="U681" s="1653">
        <f t="shared" si="191"/>
        <v>0</v>
      </c>
      <c r="V681" s="1653">
        <f t="shared" si="192"/>
        <v>0</v>
      </c>
      <c r="W681" s="1653">
        <f t="shared" si="193"/>
        <v>0</v>
      </c>
      <c r="X681" s="1653">
        <f t="shared" si="194"/>
        <v>0</v>
      </c>
      <c r="Y681" s="1653">
        <f t="shared" si="195"/>
        <v>0</v>
      </c>
    </row>
    <row r="682" spans="1:25" ht="15" hidden="1" outlineLevel="1">
      <c r="A682" s="1615">
        <v>674</v>
      </c>
      <c r="C682" s="1651" t="s">
        <v>3349</v>
      </c>
      <c r="D682" s="1651" t="s">
        <v>3346</v>
      </c>
      <c r="E682" s="1613">
        <v>38220</v>
      </c>
      <c r="F682" s="1613">
        <v>-38220</v>
      </c>
      <c r="G682" s="1613">
        <f t="shared" si="196"/>
        <v>0</v>
      </c>
      <c r="H682" s="1578">
        <v>2007</v>
      </c>
      <c r="I682" s="1662">
        <f t="shared" si="197"/>
        <v>8.5</v>
      </c>
      <c r="J682" s="1663">
        <v>36</v>
      </c>
      <c r="K682" s="1664">
        <f t="shared" si="198"/>
        <v>0.33333333333333331</v>
      </c>
      <c r="L682" s="1613">
        <f t="shared" si="199"/>
        <v>0</v>
      </c>
      <c r="M682" s="1613">
        <f t="shared" si="200"/>
        <v>38220</v>
      </c>
      <c r="N682" s="1613">
        <f t="shared" si="189"/>
        <v>-38220</v>
      </c>
      <c r="O682" s="1652">
        <f t="shared" si="201"/>
        <v>0</v>
      </c>
      <c r="P682" s="1653">
        <f t="shared" si="202"/>
        <v>0</v>
      </c>
      <c r="Q682" s="1653">
        <f t="shared" si="203"/>
        <v>0</v>
      </c>
      <c r="R682" s="1653">
        <f t="shared" si="204"/>
        <v>0</v>
      </c>
      <c r="S682" s="1653">
        <f t="shared" si="205"/>
        <v>0</v>
      </c>
      <c r="T682" s="1653">
        <f t="shared" si="190"/>
        <v>0</v>
      </c>
      <c r="U682" s="1653">
        <f t="shared" si="191"/>
        <v>0</v>
      </c>
      <c r="V682" s="1653">
        <f t="shared" si="192"/>
        <v>0</v>
      </c>
      <c r="W682" s="1653">
        <f t="shared" si="193"/>
        <v>0</v>
      </c>
      <c r="X682" s="1653">
        <f t="shared" si="194"/>
        <v>0</v>
      </c>
      <c r="Y682" s="1653">
        <f t="shared" si="195"/>
        <v>0</v>
      </c>
    </row>
    <row r="683" spans="1:25" ht="15" hidden="1" outlineLevel="1">
      <c r="A683" s="1615">
        <v>675</v>
      </c>
      <c r="C683" s="1651" t="s">
        <v>3350</v>
      </c>
      <c r="D683" s="1651" t="s">
        <v>3351</v>
      </c>
      <c r="E683" s="1613">
        <v>4835.91</v>
      </c>
      <c r="F683" s="1613">
        <v>-4835.91</v>
      </c>
      <c r="G683" s="1613">
        <f t="shared" si="196"/>
        <v>0</v>
      </c>
      <c r="H683" s="1578">
        <v>2007</v>
      </c>
      <c r="I683" s="1662">
        <f t="shared" si="197"/>
        <v>8.5</v>
      </c>
      <c r="J683" s="1663">
        <v>36</v>
      </c>
      <c r="K683" s="1664">
        <f t="shared" si="198"/>
        <v>0.33333333333333331</v>
      </c>
      <c r="L683" s="1613">
        <f t="shared" si="199"/>
        <v>0</v>
      </c>
      <c r="M683" s="1613">
        <f t="shared" si="200"/>
        <v>4835.91</v>
      </c>
      <c r="N683" s="1613">
        <f t="shared" si="189"/>
        <v>-4835.91</v>
      </c>
      <c r="O683" s="1652">
        <f t="shared" si="201"/>
        <v>0</v>
      </c>
      <c r="P683" s="1653">
        <f t="shared" si="202"/>
        <v>0</v>
      </c>
      <c r="Q683" s="1653">
        <f t="shared" si="203"/>
        <v>0</v>
      </c>
      <c r="R683" s="1653">
        <f t="shared" si="204"/>
        <v>0</v>
      </c>
      <c r="S683" s="1653">
        <f t="shared" si="205"/>
        <v>0</v>
      </c>
      <c r="T683" s="1653">
        <f t="shared" si="190"/>
        <v>0</v>
      </c>
      <c r="U683" s="1653">
        <f t="shared" si="191"/>
        <v>0</v>
      </c>
      <c r="V683" s="1653">
        <f t="shared" si="192"/>
        <v>0</v>
      </c>
      <c r="W683" s="1653">
        <f t="shared" si="193"/>
        <v>0</v>
      </c>
      <c r="X683" s="1653">
        <f t="shared" si="194"/>
        <v>0</v>
      </c>
      <c r="Y683" s="1653">
        <f t="shared" si="195"/>
        <v>0</v>
      </c>
    </row>
    <row r="684" spans="1:25" ht="15" hidden="1" outlineLevel="1">
      <c r="A684" s="1615">
        <v>676</v>
      </c>
      <c r="C684" s="1651" t="s">
        <v>3352</v>
      </c>
      <c r="D684" s="1651" t="s">
        <v>2002</v>
      </c>
      <c r="E684" s="1613">
        <v>246.02</v>
      </c>
      <c r="F684" s="1613">
        <v>-246.02</v>
      </c>
      <c r="G684" s="1613">
        <f t="shared" si="196"/>
        <v>0</v>
      </c>
      <c r="H684" s="1578">
        <v>2008</v>
      </c>
      <c r="I684" s="1662">
        <f t="shared" si="197"/>
        <v>7.5</v>
      </c>
      <c r="J684" s="1663">
        <v>36</v>
      </c>
      <c r="K684" s="1664">
        <f t="shared" si="198"/>
        <v>0.33333333333333331</v>
      </c>
      <c r="L684" s="1613">
        <f t="shared" si="199"/>
        <v>0</v>
      </c>
      <c r="M684" s="1613">
        <f t="shared" si="200"/>
        <v>246.02</v>
      </c>
      <c r="N684" s="1613">
        <f t="shared" si="189"/>
        <v>-246.02</v>
      </c>
      <c r="O684" s="1652">
        <f t="shared" si="201"/>
        <v>0</v>
      </c>
      <c r="P684" s="1653">
        <f t="shared" si="202"/>
        <v>0</v>
      </c>
      <c r="Q684" s="1653">
        <f t="shared" si="203"/>
        <v>0</v>
      </c>
      <c r="R684" s="1653">
        <f t="shared" si="204"/>
        <v>0</v>
      </c>
      <c r="S684" s="1653">
        <f t="shared" si="205"/>
        <v>0</v>
      </c>
      <c r="T684" s="1653">
        <f t="shared" si="190"/>
        <v>0</v>
      </c>
      <c r="U684" s="1653">
        <f t="shared" si="191"/>
        <v>0</v>
      </c>
      <c r="V684" s="1653">
        <f t="shared" si="192"/>
        <v>0</v>
      </c>
      <c r="W684" s="1653">
        <f t="shared" si="193"/>
        <v>0</v>
      </c>
      <c r="X684" s="1653">
        <f t="shared" si="194"/>
        <v>0</v>
      </c>
      <c r="Y684" s="1653">
        <f t="shared" si="195"/>
        <v>0</v>
      </c>
    </row>
    <row r="685" spans="1:25" ht="15" hidden="1" outlineLevel="1">
      <c r="A685" s="1615">
        <v>677</v>
      </c>
      <c r="C685" s="1651" t="s">
        <v>3353</v>
      </c>
      <c r="D685" s="1651" t="s">
        <v>2002</v>
      </c>
      <c r="E685" s="1613">
        <v>3385</v>
      </c>
      <c r="F685" s="1613">
        <v>-3385</v>
      </c>
      <c r="G685" s="1613">
        <f t="shared" si="196"/>
        <v>0</v>
      </c>
      <c r="H685" s="1578">
        <v>2008</v>
      </c>
      <c r="I685" s="1662">
        <f t="shared" si="197"/>
        <v>7.5</v>
      </c>
      <c r="J685" s="1663">
        <v>36</v>
      </c>
      <c r="K685" s="1664">
        <f t="shared" si="198"/>
        <v>0.33333333333333331</v>
      </c>
      <c r="L685" s="1613">
        <f t="shared" si="199"/>
        <v>0</v>
      </c>
      <c r="M685" s="1613">
        <f t="shared" si="200"/>
        <v>3385</v>
      </c>
      <c r="N685" s="1613">
        <f t="shared" si="189"/>
        <v>-3385</v>
      </c>
      <c r="O685" s="1652">
        <f t="shared" si="201"/>
        <v>0</v>
      </c>
      <c r="P685" s="1653">
        <f t="shared" si="202"/>
        <v>0</v>
      </c>
      <c r="Q685" s="1653">
        <f t="shared" si="203"/>
        <v>0</v>
      </c>
      <c r="R685" s="1653">
        <f t="shared" si="204"/>
        <v>0</v>
      </c>
      <c r="S685" s="1653">
        <f t="shared" si="205"/>
        <v>0</v>
      </c>
      <c r="T685" s="1653">
        <f t="shared" si="190"/>
        <v>0</v>
      </c>
      <c r="U685" s="1653">
        <f t="shared" si="191"/>
        <v>0</v>
      </c>
      <c r="V685" s="1653">
        <f t="shared" si="192"/>
        <v>0</v>
      </c>
      <c r="W685" s="1653">
        <f t="shared" si="193"/>
        <v>0</v>
      </c>
      <c r="X685" s="1653">
        <f t="shared" si="194"/>
        <v>0</v>
      </c>
      <c r="Y685" s="1653">
        <f t="shared" si="195"/>
        <v>0</v>
      </c>
    </row>
    <row r="686" spans="1:25" ht="15" hidden="1" outlineLevel="1">
      <c r="A686" s="1615">
        <v>678</v>
      </c>
      <c r="C686" s="1651" t="s">
        <v>3354</v>
      </c>
      <c r="D686" s="1651" t="s">
        <v>2002</v>
      </c>
      <c r="E686" s="1613">
        <v>1705</v>
      </c>
      <c r="F686" s="1613">
        <v>-1705</v>
      </c>
      <c r="G686" s="1613">
        <f t="shared" si="196"/>
        <v>0</v>
      </c>
      <c r="H686" s="1578">
        <v>2008</v>
      </c>
      <c r="I686" s="1662">
        <f t="shared" si="197"/>
        <v>7.5</v>
      </c>
      <c r="J686" s="1663">
        <v>36</v>
      </c>
      <c r="K686" s="1664">
        <f t="shared" si="198"/>
        <v>0.33333333333333331</v>
      </c>
      <c r="L686" s="1613">
        <f t="shared" si="199"/>
        <v>0</v>
      </c>
      <c r="M686" s="1613">
        <f t="shared" si="200"/>
        <v>1705</v>
      </c>
      <c r="N686" s="1613">
        <f t="shared" si="189"/>
        <v>-1705</v>
      </c>
      <c r="O686" s="1652">
        <f t="shared" si="201"/>
        <v>0</v>
      </c>
      <c r="P686" s="1653">
        <f t="shared" si="202"/>
        <v>0</v>
      </c>
      <c r="Q686" s="1653">
        <f t="shared" si="203"/>
        <v>0</v>
      </c>
      <c r="R686" s="1653">
        <f t="shared" si="204"/>
        <v>0</v>
      </c>
      <c r="S686" s="1653">
        <f t="shared" si="205"/>
        <v>0</v>
      </c>
      <c r="T686" s="1653">
        <f t="shared" si="190"/>
        <v>0</v>
      </c>
      <c r="U686" s="1653">
        <f t="shared" si="191"/>
        <v>0</v>
      </c>
      <c r="V686" s="1653">
        <f t="shared" si="192"/>
        <v>0</v>
      </c>
      <c r="W686" s="1653">
        <f t="shared" si="193"/>
        <v>0</v>
      </c>
      <c r="X686" s="1653">
        <f t="shared" si="194"/>
        <v>0</v>
      </c>
      <c r="Y686" s="1653">
        <f t="shared" si="195"/>
        <v>0</v>
      </c>
    </row>
    <row r="687" spans="1:25" ht="15" hidden="1" outlineLevel="1">
      <c r="A687" s="1615">
        <v>679</v>
      </c>
      <c r="C687" s="1651" t="s">
        <v>3355</v>
      </c>
      <c r="D687" s="1651" t="s">
        <v>2002</v>
      </c>
      <c r="E687" s="1613">
        <v>-128.94</v>
      </c>
      <c r="F687" s="1613">
        <v>128.94</v>
      </c>
      <c r="G687" s="1613">
        <f t="shared" si="196"/>
        <v>0</v>
      </c>
      <c r="H687" s="1578">
        <v>2008</v>
      </c>
      <c r="I687" s="1662">
        <f t="shared" si="197"/>
        <v>7.5</v>
      </c>
      <c r="J687" s="1663">
        <v>36</v>
      </c>
      <c r="K687" s="1664">
        <f t="shared" si="198"/>
        <v>0.33333333333333331</v>
      </c>
      <c r="L687" s="1613">
        <f t="shared" si="199"/>
        <v>0</v>
      </c>
      <c r="M687" s="1613">
        <f t="shared" si="200"/>
        <v>-128.94</v>
      </c>
      <c r="N687" s="1613">
        <f t="shared" si="189"/>
        <v>128.94</v>
      </c>
      <c r="O687" s="1652">
        <f t="shared" si="201"/>
        <v>0</v>
      </c>
      <c r="P687" s="1653">
        <f t="shared" si="202"/>
        <v>0</v>
      </c>
      <c r="Q687" s="1653">
        <f t="shared" si="203"/>
        <v>0</v>
      </c>
      <c r="R687" s="1653">
        <f t="shared" si="204"/>
        <v>0</v>
      </c>
      <c r="S687" s="1653">
        <f t="shared" si="205"/>
        <v>0</v>
      </c>
      <c r="T687" s="1653">
        <f t="shared" si="190"/>
        <v>0</v>
      </c>
      <c r="U687" s="1653">
        <f t="shared" si="191"/>
        <v>0</v>
      </c>
      <c r="V687" s="1653">
        <f t="shared" si="192"/>
        <v>0</v>
      </c>
      <c r="W687" s="1653">
        <f t="shared" si="193"/>
        <v>0</v>
      </c>
      <c r="X687" s="1653">
        <f t="shared" si="194"/>
        <v>0</v>
      </c>
      <c r="Y687" s="1653">
        <f t="shared" si="195"/>
        <v>0</v>
      </c>
    </row>
    <row r="688" spans="1:25" ht="15" hidden="1" outlineLevel="1">
      <c r="A688" s="1615">
        <v>680</v>
      </c>
      <c r="E688" s="1652"/>
      <c r="F688" s="1652"/>
      <c r="G688" s="1652"/>
      <c r="J688" s="1663"/>
      <c r="M688" s="1652"/>
      <c r="N688" s="1652"/>
      <c r="O688" s="1652"/>
      <c r="P688" s="1642"/>
      <c r="Q688" s="1642"/>
      <c r="R688" s="1642"/>
      <c r="S688" s="1642"/>
      <c r="T688" s="1642"/>
      <c r="U688" s="1642"/>
      <c r="V688" s="1642"/>
      <c r="W688" s="1642"/>
      <c r="X688" s="1642"/>
      <c r="Y688" s="1642"/>
    </row>
    <row r="689" spans="1:25" ht="15" collapsed="1">
      <c r="A689" s="1615">
        <v>681</v>
      </c>
      <c r="D689" s="1632" t="s">
        <v>2468</v>
      </c>
      <c r="E689" s="1739">
        <f>SUM(E24:E688)</f>
        <v>3495723.2899999991</v>
      </c>
      <c r="F689" s="1739">
        <f>SUM(F24:F688)</f>
        <v>-2212562.2000000011</v>
      </c>
      <c r="G689" s="1739">
        <f>SUM(G24:G688)</f>
        <v>1283161.0899999999</v>
      </c>
      <c r="H689" s="1739"/>
      <c r="I689" s="1739"/>
      <c r="J689" s="1740"/>
      <c r="K689" s="1739"/>
      <c r="L689" s="1739">
        <f t="shared" ref="L689:Y689" si="206">SUM(L24:L688)</f>
        <v>614258.02</v>
      </c>
      <c r="M689" s="1739">
        <f t="shared" si="206"/>
        <v>3495723.2899999991</v>
      </c>
      <c r="N689" s="1739">
        <f t="shared" si="206"/>
        <v>-2838945.8200000003</v>
      </c>
      <c r="O689" s="1739">
        <f t="shared" si="206"/>
        <v>656777.47000000009</v>
      </c>
      <c r="P689" s="1654">
        <f t="shared" si="206"/>
        <v>-1017121.3933333333</v>
      </c>
      <c r="Q689" s="1654">
        <f t="shared" si="206"/>
        <v>-459208.2033333329</v>
      </c>
      <c r="R689" s="1654">
        <f t="shared" si="206"/>
        <v>-459208.2033333329</v>
      </c>
      <c r="S689" s="1654">
        <f t="shared" si="206"/>
        <v>98704.88</v>
      </c>
      <c r="T689" s="1654">
        <f t="shared" si="206"/>
        <v>-166.06666666665927</v>
      </c>
      <c r="U689" s="1654">
        <f t="shared" si="206"/>
        <v>557747.01666666672</v>
      </c>
      <c r="V689" s="1654">
        <f t="shared" si="206"/>
        <v>-269.19999999999328</v>
      </c>
      <c r="W689" s="1654">
        <f t="shared" si="206"/>
        <v>557643.8833333333</v>
      </c>
      <c r="X689" s="1654">
        <f t="shared" si="206"/>
        <v>-372.17999999999262</v>
      </c>
      <c r="Y689" s="1654">
        <f t="shared" si="206"/>
        <v>557540.90333333344</v>
      </c>
    </row>
    <row r="690" spans="1:25" ht="15">
      <c r="A690" s="1615">
        <v>682</v>
      </c>
      <c r="D690" s="1665" t="s">
        <v>2469</v>
      </c>
      <c r="E690" s="1666">
        <f>'Input Schedule'!$D$17</f>
        <v>2.6393242386234281E-2</v>
      </c>
      <c r="F690" s="1666">
        <f>'Input Schedule'!$D$17</f>
        <v>2.6393242386234281E-2</v>
      </c>
      <c r="G690" s="1666">
        <f>'Input Schedule'!$D$17</f>
        <v>2.6393242386234281E-2</v>
      </c>
      <c r="J690" s="1663"/>
      <c r="L690" s="1666">
        <f>'Input Schedule'!$D$17</f>
        <v>2.6393242386234281E-2</v>
      </c>
      <c r="M690" s="1666">
        <f>'Input Schedule'!$D$17</f>
        <v>2.6393242386234281E-2</v>
      </c>
      <c r="N690" s="1666">
        <f>'Input Schedule'!$D$17</f>
        <v>2.6393242386234281E-2</v>
      </c>
      <c r="O690" s="1666">
        <f>'Input Schedule'!$D$17</f>
        <v>2.6393242386234281E-2</v>
      </c>
      <c r="P690" s="1666">
        <f>'Input Schedule'!$D$17</f>
        <v>2.6393242386234281E-2</v>
      </c>
      <c r="Q690" s="1666">
        <f>'Input Schedule'!$D$17</f>
        <v>2.6393242386234281E-2</v>
      </c>
      <c r="R690" s="1666">
        <f>'Input Schedule'!$D$17</f>
        <v>2.6393242386234281E-2</v>
      </c>
      <c r="S690" s="1666">
        <f>'Input Schedule'!$D$17</f>
        <v>2.6393242386234281E-2</v>
      </c>
      <c r="T690" s="1666">
        <f>'Input Schedule'!$D$17</f>
        <v>2.6393242386234281E-2</v>
      </c>
      <c r="U690" s="1666">
        <f>'Input Schedule'!$D$17</f>
        <v>2.6393242386234281E-2</v>
      </c>
      <c r="V690" s="1666">
        <f>'Input Schedule'!$D$17</f>
        <v>2.6393242386234281E-2</v>
      </c>
      <c r="W690" s="1666">
        <f>'Input Schedule'!$D$17</f>
        <v>2.6393242386234281E-2</v>
      </c>
      <c r="X690" s="1666">
        <f>'Input Schedule'!$D$17</f>
        <v>2.6393242386234281E-2</v>
      </c>
      <c r="Y690" s="1666">
        <f>'Input Schedule'!$D$17</f>
        <v>2.6393242386234281E-2</v>
      </c>
    </row>
    <row r="691" spans="1:25" ht="15">
      <c r="A691" s="1615">
        <v>683</v>
      </c>
      <c r="D691" s="1665" t="s">
        <v>2470</v>
      </c>
      <c r="E691" s="1741">
        <f>E689*E690</f>
        <v>92263.472108174334</v>
      </c>
      <c r="F691" s="1741">
        <f>F689*F690</f>
        <v>-58396.690439219798</v>
      </c>
      <c r="G691" s="1741">
        <f>G689*G690</f>
        <v>33866.78166895458</v>
      </c>
      <c r="H691" s="1621"/>
      <c r="I691" s="1621"/>
      <c r="J691" s="1742"/>
      <c r="K691" s="1621"/>
      <c r="L691" s="1741">
        <f t="shared" ref="L691:Y691" si="207">L689*L690</f>
        <v>16212.260809548345</v>
      </c>
      <c r="M691" s="1741">
        <f t="shared" si="207"/>
        <v>92263.472108174334</v>
      </c>
      <c r="N691" s="1741">
        <f t="shared" si="207"/>
        <v>-74928.98514864665</v>
      </c>
      <c r="O691" s="1741">
        <f t="shared" si="207"/>
        <v>17334.486959527716</v>
      </c>
      <c r="P691" s="1668">
        <f t="shared" si="207"/>
        <v>-26845.131470471002</v>
      </c>
      <c r="Q691" s="1668">
        <f t="shared" si="207"/>
        <v>-12119.993416323812</v>
      </c>
      <c r="R691" s="1668">
        <f t="shared" si="207"/>
        <v>-12119.993416323812</v>
      </c>
      <c r="S691" s="1668">
        <f t="shared" si="207"/>
        <v>2605.1418225441685</v>
      </c>
      <c r="T691" s="1668">
        <f t="shared" si="207"/>
        <v>-4.3830377856071108</v>
      </c>
      <c r="U691" s="1668">
        <f t="shared" si="207"/>
        <v>14720.752201082387</v>
      </c>
      <c r="V691" s="1668">
        <f t="shared" si="207"/>
        <v>-7.1050608503740911</v>
      </c>
      <c r="W691" s="1668">
        <f t="shared" si="207"/>
        <v>14718.030178017618</v>
      </c>
      <c r="X691" s="1668">
        <f t="shared" si="207"/>
        <v>-9.8230369513084792</v>
      </c>
      <c r="Y691" s="1668">
        <f t="shared" si="207"/>
        <v>14715.312201916686</v>
      </c>
    </row>
    <row r="692" spans="1:25" ht="15">
      <c r="A692" s="1615">
        <v>684</v>
      </c>
      <c r="P692" s="1642"/>
      <c r="Q692" s="1642"/>
      <c r="R692" s="1642"/>
      <c r="S692" s="1642"/>
      <c r="T692" s="1642"/>
      <c r="U692" s="1642"/>
      <c r="V692" s="1642"/>
      <c r="W692" s="1642"/>
      <c r="X692" s="1642"/>
      <c r="Y692" s="1642"/>
    </row>
    <row r="693" spans="1:25" ht="15">
      <c r="A693" s="1615">
        <v>685</v>
      </c>
      <c r="B693" s="1660" t="s">
        <v>3356</v>
      </c>
      <c r="P693" s="1642"/>
      <c r="Q693" s="1642"/>
      <c r="R693" s="1642"/>
      <c r="S693" s="1642"/>
      <c r="T693" s="1642"/>
      <c r="U693" s="1642"/>
      <c r="V693" s="1642"/>
      <c r="W693" s="1642"/>
      <c r="X693" s="1642"/>
      <c r="Y693" s="1642"/>
    </row>
    <row r="694" spans="1:25" ht="15" hidden="1" outlineLevel="1">
      <c r="A694" s="1615">
        <v>686</v>
      </c>
      <c r="C694" s="1651" t="s">
        <v>3357</v>
      </c>
      <c r="D694" s="1651" t="s">
        <v>2473</v>
      </c>
      <c r="E694" s="1613">
        <v>15307.04</v>
      </c>
      <c r="F694" s="1613">
        <v>-15307.04</v>
      </c>
      <c r="G694" s="1613">
        <f>E694+F694</f>
        <v>0</v>
      </c>
      <c r="H694" s="1578">
        <v>2004</v>
      </c>
      <c r="I694" s="1662">
        <f>IF(H694=2015,0.5,2015.5-H694)</f>
        <v>11.5</v>
      </c>
      <c r="J694" s="1663">
        <v>36</v>
      </c>
      <c r="K694" s="1664">
        <f>1/J694*12</f>
        <v>0.33333333333333331</v>
      </c>
      <c r="L694" s="1613">
        <f>IF(I694&lt;(J694/12),E694*K694,0)</f>
        <v>0</v>
      </c>
      <c r="M694" s="1613">
        <f>E694</f>
        <v>15307.04</v>
      </c>
      <c r="N694" s="1613">
        <f t="shared" ref="N694:N707" si="208">-IF(I694+0.5&lt;(J694/12),M694*(I694+0.5)*K694,M694)</f>
        <v>-15307.04</v>
      </c>
      <c r="O694" s="1652">
        <f>M694+N694</f>
        <v>0</v>
      </c>
      <c r="P694" s="1653">
        <f>IF(O694&gt;0,IF(O694&lt;$K694,-$L694,N694-$K694),O694)</f>
        <v>0</v>
      </c>
      <c r="Q694" s="1653">
        <f>IF(P694&lt;0,$L694+P694,O694)</f>
        <v>0</v>
      </c>
      <c r="R694" s="1653">
        <f>IF(Q694&gt;0,IF(Q694&lt;$K694,-$L694,P694-$K694),Q694)</f>
        <v>0</v>
      </c>
      <c r="S694" s="1653">
        <f>IF(R694&lt;0,$L694+R694,Q694)</f>
        <v>0</v>
      </c>
      <c r="T694" s="1653">
        <f t="shared" ref="T694:T707" si="209">IF(S694&gt;0,IF(S694&lt;$K694,-$L694,R694-$K694),S694)</f>
        <v>0</v>
      </c>
      <c r="U694" s="1653">
        <f t="shared" ref="U694:U707" si="210">IF(T694&lt;0,$L694+T694,S694)</f>
        <v>0</v>
      </c>
      <c r="V694" s="1653">
        <f t="shared" ref="V694:V707" si="211">IF(U694&gt;0,IF(U694&lt;$K694,-$L694,T694-$K694),U694)</f>
        <v>0</v>
      </c>
      <c r="W694" s="1653">
        <f t="shared" ref="W694:W707" si="212">IF(V694&lt;0,$L694+V694,U694)</f>
        <v>0</v>
      </c>
      <c r="X694" s="1653">
        <f t="shared" ref="X694:X707" si="213">IF(W694&gt;0,IF(W694&lt;$K694,-$L694,V694-$K694),W694)</f>
        <v>0</v>
      </c>
      <c r="Y694" s="1653">
        <f t="shared" ref="Y694:Y707" si="214">IF(X694&lt;0,$L694+X694,W694)</f>
        <v>0</v>
      </c>
    </row>
    <row r="695" spans="1:25" ht="15" hidden="1" outlineLevel="1">
      <c r="A695" s="1615">
        <v>687</v>
      </c>
      <c r="C695" s="1651" t="s">
        <v>3358</v>
      </c>
      <c r="D695" s="1651" t="s">
        <v>3359</v>
      </c>
      <c r="E695" s="1613">
        <v>28.73</v>
      </c>
      <c r="F695" s="1613">
        <v>-28.73</v>
      </c>
      <c r="G695" s="1613">
        <f t="shared" ref="G695:G707" si="215">E695+F695</f>
        <v>0</v>
      </c>
      <c r="H695" s="1578">
        <v>2007</v>
      </c>
      <c r="I695" s="1662">
        <f t="shared" ref="I695:I707" si="216">IF(H695=2015,0.5,2015.5-H695)</f>
        <v>8.5</v>
      </c>
      <c r="J695" s="1663">
        <v>36</v>
      </c>
      <c r="K695" s="1664">
        <f t="shared" ref="K695:K707" si="217">1/J695*12</f>
        <v>0.33333333333333331</v>
      </c>
      <c r="L695" s="1613">
        <f t="shared" ref="L695:L707" si="218">IF(I695&lt;(J695/12),E695*K695,0)</f>
        <v>0</v>
      </c>
      <c r="M695" s="1613">
        <f t="shared" ref="M695:M707" si="219">E695</f>
        <v>28.73</v>
      </c>
      <c r="N695" s="1613">
        <f t="shared" si="208"/>
        <v>-28.73</v>
      </c>
      <c r="O695" s="1652">
        <f t="shared" ref="O695:O707" si="220">M695+N695</f>
        <v>0</v>
      </c>
      <c r="P695" s="1653">
        <f t="shared" ref="P695:P707" si="221">IF(O695&gt;0,IF(O695&lt;$K695,-$L695,N695-$K695),O695)</f>
        <v>0</v>
      </c>
      <c r="Q695" s="1653">
        <f t="shared" ref="Q695:Q707" si="222">IF(P695&lt;0,$L695+P695,O695)</f>
        <v>0</v>
      </c>
      <c r="R695" s="1653">
        <f t="shared" ref="R695:R707" si="223">IF(Q695&gt;0,IF(Q695&lt;$K695,-$L695,P695-$K695),Q695)</f>
        <v>0</v>
      </c>
      <c r="S695" s="1653">
        <f t="shared" ref="S695:S707" si="224">IF(R695&lt;0,$L695+R695,Q695)</f>
        <v>0</v>
      </c>
      <c r="T695" s="1653">
        <f t="shared" si="209"/>
        <v>0</v>
      </c>
      <c r="U695" s="1653">
        <f t="shared" si="210"/>
        <v>0</v>
      </c>
      <c r="V695" s="1653">
        <f t="shared" si="211"/>
        <v>0</v>
      </c>
      <c r="W695" s="1653">
        <f t="shared" si="212"/>
        <v>0</v>
      </c>
      <c r="X695" s="1653">
        <f t="shared" si="213"/>
        <v>0</v>
      </c>
      <c r="Y695" s="1653">
        <f t="shared" si="214"/>
        <v>0</v>
      </c>
    </row>
    <row r="696" spans="1:25" ht="15" hidden="1" outlineLevel="1">
      <c r="A696" s="1615">
        <v>688</v>
      </c>
      <c r="C696" s="1651" t="s">
        <v>3360</v>
      </c>
      <c r="D696" s="1651" t="s">
        <v>3361</v>
      </c>
      <c r="E696" s="1613">
        <v>86.58</v>
      </c>
      <c r="F696" s="1613">
        <v>-86.58</v>
      </c>
      <c r="G696" s="1613">
        <f t="shared" si="215"/>
        <v>0</v>
      </c>
      <c r="H696" s="1578">
        <v>2007</v>
      </c>
      <c r="I696" s="1662">
        <f t="shared" si="216"/>
        <v>8.5</v>
      </c>
      <c r="J696" s="1663">
        <v>36</v>
      </c>
      <c r="K696" s="1664">
        <f t="shared" si="217"/>
        <v>0.33333333333333331</v>
      </c>
      <c r="L696" s="1613">
        <f t="shared" si="218"/>
        <v>0</v>
      </c>
      <c r="M696" s="1613">
        <f t="shared" si="219"/>
        <v>86.58</v>
      </c>
      <c r="N696" s="1613">
        <f t="shared" si="208"/>
        <v>-86.58</v>
      </c>
      <c r="O696" s="1652">
        <f t="shared" si="220"/>
        <v>0</v>
      </c>
      <c r="P696" s="1653">
        <f t="shared" si="221"/>
        <v>0</v>
      </c>
      <c r="Q696" s="1653">
        <f t="shared" si="222"/>
        <v>0</v>
      </c>
      <c r="R696" s="1653">
        <f t="shared" si="223"/>
        <v>0</v>
      </c>
      <c r="S696" s="1653">
        <f t="shared" si="224"/>
        <v>0</v>
      </c>
      <c r="T696" s="1653">
        <f t="shared" si="209"/>
        <v>0</v>
      </c>
      <c r="U696" s="1653">
        <f t="shared" si="210"/>
        <v>0</v>
      </c>
      <c r="V696" s="1653">
        <f t="shared" si="211"/>
        <v>0</v>
      </c>
      <c r="W696" s="1653">
        <f t="shared" si="212"/>
        <v>0</v>
      </c>
      <c r="X696" s="1653">
        <f t="shared" si="213"/>
        <v>0</v>
      </c>
      <c r="Y696" s="1653">
        <f t="shared" si="214"/>
        <v>0</v>
      </c>
    </row>
    <row r="697" spans="1:25" ht="15" hidden="1" outlineLevel="1">
      <c r="A697" s="1615">
        <v>689</v>
      </c>
      <c r="C697" s="1651" t="s">
        <v>3362</v>
      </c>
      <c r="D697" s="1651" t="s">
        <v>3361</v>
      </c>
      <c r="E697" s="1613">
        <v>95.7</v>
      </c>
      <c r="F697" s="1613">
        <v>-95.7</v>
      </c>
      <c r="G697" s="1613">
        <f t="shared" si="215"/>
        <v>0</v>
      </c>
      <c r="H697" s="1578">
        <v>2007</v>
      </c>
      <c r="I697" s="1662">
        <f t="shared" si="216"/>
        <v>8.5</v>
      </c>
      <c r="J697" s="1663">
        <v>36</v>
      </c>
      <c r="K697" s="1664">
        <f t="shared" si="217"/>
        <v>0.33333333333333331</v>
      </c>
      <c r="L697" s="1613">
        <f t="shared" si="218"/>
        <v>0</v>
      </c>
      <c r="M697" s="1613">
        <f t="shared" si="219"/>
        <v>95.7</v>
      </c>
      <c r="N697" s="1613">
        <f t="shared" si="208"/>
        <v>-95.7</v>
      </c>
      <c r="O697" s="1652">
        <f t="shared" si="220"/>
        <v>0</v>
      </c>
      <c r="P697" s="1653">
        <f t="shared" si="221"/>
        <v>0</v>
      </c>
      <c r="Q697" s="1653">
        <f t="shared" si="222"/>
        <v>0</v>
      </c>
      <c r="R697" s="1653">
        <f t="shared" si="223"/>
        <v>0</v>
      </c>
      <c r="S697" s="1653">
        <f t="shared" si="224"/>
        <v>0</v>
      </c>
      <c r="T697" s="1653">
        <f t="shared" si="209"/>
        <v>0</v>
      </c>
      <c r="U697" s="1653">
        <f t="shared" si="210"/>
        <v>0</v>
      </c>
      <c r="V697" s="1653">
        <f t="shared" si="211"/>
        <v>0</v>
      </c>
      <c r="W697" s="1653">
        <f t="shared" si="212"/>
        <v>0</v>
      </c>
      <c r="X697" s="1653">
        <f t="shared" si="213"/>
        <v>0</v>
      </c>
      <c r="Y697" s="1653">
        <f t="shared" si="214"/>
        <v>0</v>
      </c>
    </row>
    <row r="698" spans="1:25" ht="15" hidden="1" outlineLevel="1">
      <c r="A698" s="1615">
        <v>690</v>
      </c>
      <c r="C698" s="1651" t="s">
        <v>3363</v>
      </c>
      <c r="D698" s="1651" t="s">
        <v>3364</v>
      </c>
      <c r="E698" s="1613">
        <v>120.37</v>
      </c>
      <c r="F698" s="1613">
        <v>-120.37</v>
      </c>
      <c r="G698" s="1613">
        <f t="shared" si="215"/>
        <v>0</v>
      </c>
      <c r="H698" s="1578">
        <v>2007</v>
      </c>
      <c r="I698" s="1662">
        <f t="shared" si="216"/>
        <v>8.5</v>
      </c>
      <c r="J698" s="1663">
        <v>36</v>
      </c>
      <c r="K698" s="1664">
        <f t="shared" si="217"/>
        <v>0.33333333333333331</v>
      </c>
      <c r="L698" s="1613">
        <f t="shared" si="218"/>
        <v>0</v>
      </c>
      <c r="M698" s="1613">
        <f t="shared" si="219"/>
        <v>120.37</v>
      </c>
      <c r="N698" s="1613">
        <f t="shared" si="208"/>
        <v>-120.37</v>
      </c>
      <c r="O698" s="1652">
        <f t="shared" si="220"/>
        <v>0</v>
      </c>
      <c r="P698" s="1653">
        <f t="shared" si="221"/>
        <v>0</v>
      </c>
      <c r="Q698" s="1653">
        <f t="shared" si="222"/>
        <v>0</v>
      </c>
      <c r="R698" s="1653">
        <f t="shared" si="223"/>
        <v>0</v>
      </c>
      <c r="S698" s="1653">
        <f t="shared" si="224"/>
        <v>0</v>
      </c>
      <c r="T698" s="1653">
        <f t="shared" si="209"/>
        <v>0</v>
      </c>
      <c r="U698" s="1653">
        <f t="shared" si="210"/>
        <v>0</v>
      </c>
      <c r="V698" s="1653">
        <f t="shared" si="211"/>
        <v>0</v>
      </c>
      <c r="W698" s="1653">
        <f t="shared" si="212"/>
        <v>0</v>
      </c>
      <c r="X698" s="1653">
        <f t="shared" si="213"/>
        <v>0</v>
      </c>
      <c r="Y698" s="1653">
        <f t="shared" si="214"/>
        <v>0</v>
      </c>
    </row>
    <row r="699" spans="1:25" ht="15" hidden="1" outlineLevel="1">
      <c r="A699" s="1615">
        <v>691</v>
      </c>
      <c r="C699" s="1651" t="s">
        <v>3365</v>
      </c>
      <c r="D699" s="1651" t="s">
        <v>3359</v>
      </c>
      <c r="E699" s="1613">
        <v>128.93</v>
      </c>
      <c r="F699" s="1613">
        <v>-128.93</v>
      </c>
      <c r="G699" s="1613">
        <f t="shared" si="215"/>
        <v>0</v>
      </c>
      <c r="H699" s="1578">
        <v>2007</v>
      </c>
      <c r="I699" s="1662">
        <f t="shared" si="216"/>
        <v>8.5</v>
      </c>
      <c r="J699" s="1663">
        <v>36</v>
      </c>
      <c r="K699" s="1664">
        <f t="shared" si="217"/>
        <v>0.33333333333333331</v>
      </c>
      <c r="L699" s="1613">
        <f t="shared" si="218"/>
        <v>0</v>
      </c>
      <c r="M699" s="1613">
        <f t="shared" si="219"/>
        <v>128.93</v>
      </c>
      <c r="N699" s="1613">
        <f t="shared" si="208"/>
        <v>-128.93</v>
      </c>
      <c r="O699" s="1652">
        <f t="shared" si="220"/>
        <v>0</v>
      </c>
      <c r="P699" s="1653">
        <f t="shared" si="221"/>
        <v>0</v>
      </c>
      <c r="Q699" s="1653">
        <f t="shared" si="222"/>
        <v>0</v>
      </c>
      <c r="R699" s="1653">
        <f t="shared" si="223"/>
        <v>0</v>
      </c>
      <c r="S699" s="1653">
        <f t="shared" si="224"/>
        <v>0</v>
      </c>
      <c r="T699" s="1653">
        <f t="shared" si="209"/>
        <v>0</v>
      </c>
      <c r="U699" s="1653">
        <f t="shared" si="210"/>
        <v>0</v>
      </c>
      <c r="V699" s="1653">
        <f t="shared" si="211"/>
        <v>0</v>
      </c>
      <c r="W699" s="1653">
        <f t="shared" si="212"/>
        <v>0</v>
      </c>
      <c r="X699" s="1653">
        <f t="shared" si="213"/>
        <v>0</v>
      </c>
      <c r="Y699" s="1653">
        <f t="shared" si="214"/>
        <v>0</v>
      </c>
    </row>
    <row r="700" spans="1:25" ht="15" hidden="1" outlineLevel="1">
      <c r="A700" s="1615">
        <v>692</v>
      </c>
      <c r="C700" s="1651" t="s">
        <v>3366</v>
      </c>
      <c r="D700" s="1651" t="s">
        <v>3364</v>
      </c>
      <c r="E700" s="1613">
        <v>482.25</v>
      </c>
      <c r="F700" s="1613">
        <v>-482.25</v>
      </c>
      <c r="G700" s="1613">
        <f t="shared" si="215"/>
        <v>0</v>
      </c>
      <c r="H700" s="1578">
        <v>2007</v>
      </c>
      <c r="I700" s="1662">
        <f t="shared" si="216"/>
        <v>8.5</v>
      </c>
      <c r="J700" s="1663">
        <v>36</v>
      </c>
      <c r="K700" s="1664">
        <f t="shared" si="217"/>
        <v>0.33333333333333331</v>
      </c>
      <c r="L700" s="1613">
        <f t="shared" si="218"/>
        <v>0</v>
      </c>
      <c r="M700" s="1613">
        <f t="shared" si="219"/>
        <v>482.25</v>
      </c>
      <c r="N700" s="1613">
        <f t="shared" si="208"/>
        <v>-482.25</v>
      </c>
      <c r="O700" s="1652">
        <f t="shared" si="220"/>
        <v>0</v>
      </c>
      <c r="P700" s="1653">
        <f t="shared" si="221"/>
        <v>0</v>
      </c>
      <c r="Q700" s="1653">
        <f t="shared" si="222"/>
        <v>0</v>
      </c>
      <c r="R700" s="1653">
        <f t="shared" si="223"/>
        <v>0</v>
      </c>
      <c r="S700" s="1653">
        <f t="shared" si="224"/>
        <v>0</v>
      </c>
      <c r="T700" s="1653">
        <f t="shared" si="209"/>
        <v>0</v>
      </c>
      <c r="U700" s="1653">
        <f t="shared" si="210"/>
        <v>0</v>
      </c>
      <c r="V700" s="1653">
        <f t="shared" si="211"/>
        <v>0</v>
      </c>
      <c r="W700" s="1653">
        <f t="shared" si="212"/>
        <v>0</v>
      </c>
      <c r="X700" s="1653">
        <f t="shared" si="213"/>
        <v>0</v>
      </c>
      <c r="Y700" s="1653">
        <f t="shared" si="214"/>
        <v>0</v>
      </c>
    </row>
    <row r="701" spans="1:25" ht="15" hidden="1" outlineLevel="1">
      <c r="A701" s="1615">
        <v>693</v>
      </c>
      <c r="C701" s="1651" t="s">
        <v>3367</v>
      </c>
      <c r="D701" s="1651" t="s">
        <v>3368</v>
      </c>
      <c r="E701" s="1613">
        <v>786.32</v>
      </c>
      <c r="F701" s="1613">
        <v>-786.32</v>
      </c>
      <c r="G701" s="1613">
        <f t="shared" si="215"/>
        <v>0</v>
      </c>
      <c r="H701" s="1578">
        <v>2007</v>
      </c>
      <c r="I701" s="1662">
        <f t="shared" si="216"/>
        <v>8.5</v>
      </c>
      <c r="J701" s="1663">
        <v>36</v>
      </c>
      <c r="K701" s="1664">
        <f t="shared" si="217"/>
        <v>0.33333333333333331</v>
      </c>
      <c r="L701" s="1613">
        <f t="shared" si="218"/>
        <v>0</v>
      </c>
      <c r="M701" s="1613">
        <f t="shared" si="219"/>
        <v>786.32</v>
      </c>
      <c r="N701" s="1613">
        <f t="shared" si="208"/>
        <v>-786.32</v>
      </c>
      <c r="O701" s="1652">
        <f t="shared" si="220"/>
        <v>0</v>
      </c>
      <c r="P701" s="1653">
        <f t="shared" si="221"/>
        <v>0</v>
      </c>
      <c r="Q701" s="1653">
        <f t="shared" si="222"/>
        <v>0</v>
      </c>
      <c r="R701" s="1653">
        <f t="shared" si="223"/>
        <v>0</v>
      </c>
      <c r="S701" s="1653">
        <f t="shared" si="224"/>
        <v>0</v>
      </c>
      <c r="T701" s="1653">
        <f t="shared" si="209"/>
        <v>0</v>
      </c>
      <c r="U701" s="1653">
        <f t="shared" si="210"/>
        <v>0</v>
      </c>
      <c r="V701" s="1653">
        <f t="shared" si="211"/>
        <v>0</v>
      </c>
      <c r="W701" s="1653">
        <f t="shared" si="212"/>
        <v>0</v>
      </c>
      <c r="X701" s="1653">
        <f t="shared" si="213"/>
        <v>0</v>
      </c>
      <c r="Y701" s="1653">
        <f t="shared" si="214"/>
        <v>0</v>
      </c>
    </row>
    <row r="702" spans="1:25" ht="15" hidden="1" outlineLevel="1">
      <c r="A702" s="1615">
        <v>694</v>
      </c>
      <c r="C702" s="1651" t="s">
        <v>3369</v>
      </c>
      <c r="D702" s="1651" t="s">
        <v>3364</v>
      </c>
      <c r="E702" s="1613">
        <v>1793.16</v>
      </c>
      <c r="F702" s="1613">
        <v>-1793.16</v>
      </c>
      <c r="G702" s="1613">
        <f t="shared" si="215"/>
        <v>0</v>
      </c>
      <c r="H702" s="1578">
        <v>2007</v>
      </c>
      <c r="I702" s="1662">
        <f t="shared" si="216"/>
        <v>8.5</v>
      </c>
      <c r="J702" s="1663">
        <v>36</v>
      </c>
      <c r="K702" s="1664">
        <f t="shared" si="217"/>
        <v>0.33333333333333331</v>
      </c>
      <c r="L702" s="1613">
        <f t="shared" si="218"/>
        <v>0</v>
      </c>
      <c r="M702" s="1613">
        <f t="shared" si="219"/>
        <v>1793.16</v>
      </c>
      <c r="N702" s="1613">
        <f t="shared" si="208"/>
        <v>-1793.16</v>
      </c>
      <c r="O702" s="1652">
        <f t="shared" si="220"/>
        <v>0</v>
      </c>
      <c r="P702" s="1653">
        <f t="shared" si="221"/>
        <v>0</v>
      </c>
      <c r="Q702" s="1653">
        <f t="shared" si="222"/>
        <v>0</v>
      </c>
      <c r="R702" s="1653">
        <f t="shared" si="223"/>
        <v>0</v>
      </c>
      <c r="S702" s="1653">
        <f t="shared" si="224"/>
        <v>0</v>
      </c>
      <c r="T702" s="1653">
        <f t="shared" si="209"/>
        <v>0</v>
      </c>
      <c r="U702" s="1653">
        <f t="shared" si="210"/>
        <v>0</v>
      </c>
      <c r="V702" s="1653">
        <f t="shared" si="211"/>
        <v>0</v>
      </c>
      <c r="W702" s="1653">
        <f t="shared" si="212"/>
        <v>0</v>
      </c>
      <c r="X702" s="1653">
        <f t="shared" si="213"/>
        <v>0</v>
      </c>
      <c r="Y702" s="1653">
        <f t="shared" si="214"/>
        <v>0</v>
      </c>
    </row>
    <row r="703" spans="1:25" ht="15" hidden="1" outlineLevel="1">
      <c r="A703" s="1615">
        <v>695</v>
      </c>
      <c r="C703" s="1651" t="s">
        <v>3370</v>
      </c>
      <c r="D703" s="1651" t="s">
        <v>3371</v>
      </c>
      <c r="E703" s="1613">
        <v>2150.9</v>
      </c>
      <c r="F703" s="1613">
        <v>-2150.9</v>
      </c>
      <c r="G703" s="1613">
        <f t="shared" si="215"/>
        <v>0</v>
      </c>
      <c r="H703" s="1578">
        <v>2007</v>
      </c>
      <c r="I703" s="1662">
        <f t="shared" si="216"/>
        <v>8.5</v>
      </c>
      <c r="J703" s="1663">
        <v>36</v>
      </c>
      <c r="K703" s="1664">
        <f t="shared" si="217"/>
        <v>0.33333333333333331</v>
      </c>
      <c r="L703" s="1613">
        <f t="shared" si="218"/>
        <v>0</v>
      </c>
      <c r="M703" s="1613">
        <f t="shared" si="219"/>
        <v>2150.9</v>
      </c>
      <c r="N703" s="1613">
        <f t="shared" si="208"/>
        <v>-2150.9</v>
      </c>
      <c r="O703" s="1652">
        <f t="shared" si="220"/>
        <v>0</v>
      </c>
      <c r="P703" s="1653">
        <f t="shared" si="221"/>
        <v>0</v>
      </c>
      <c r="Q703" s="1653">
        <f t="shared" si="222"/>
        <v>0</v>
      </c>
      <c r="R703" s="1653">
        <f t="shared" si="223"/>
        <v>0</v>
      </c>
      <c r="S703" s="1653">
        <f t="shared" si="224"/>
        <v>0</v>
      </c>
      <c r="T703" s="1653">
        <f t="shared" si="209"/>
        <v>0</v>
      </c>
      <c r="U703" s="1653">
        <f t="shared" si="210"/>
        <v>0</v>
      </c>
      <c r="V703" s="1653">
        <f t="shared" si="211"/>
        <v>0</v>
      </c>
      <c r="W703" s="1653">
        <f t="shared" si="212"/>
        <v>0</v>
      </c>
      <c r="X703" s="1653">
        <f t="shared" si="213"/>
        <v>0</v>
      </c>
      <c r="Y703" s="1653">
        <f t="shared" si="214"/>
        <v>0</v>
      </c>
    </row>
    <row r="704" spans="1:25" ht="15" hidden="1" outlineLevel="1">
      <c r="A704" s="1615">
        <v>696</v>
      </c>
      <c r="C704" s="1651" t="s">
        <v>3372</v>
      </c>
      <c r="D704" s="1651" t="s">
        <v>3373</v>
      </c>
      <c r="E704" s="1613">
        <v>2177.5100000000002</v>
      </c>
      <c r="F704" s="1613">
        <v>-2177.5100000000002</v>
      </c>
      <c r="G704" s="1613">
        <f t="shared" si="215"/>
        <v>0</v>
      </c>
      <c r="H704" s="1578">
        <v>2007</v>
      </c>
      <c r="I704" s="1662">
        <f t="shared" si="216"/>
        <v>8.5</v>
      </c>
      <c r="J704" s="1663">
        <v>36</v>
      </c>
      <c r="K704" s="1664">
        <f t="shared" si="217"/>
        <v>0.33333333333333331</v>
      </c>
      <c r="L704" s="1613">
        <f t="shared" si="218"/>
        <v>0</v>
      </c>
      <c r="M704" s="1613">
        <f t="shared" si="219"/>
        <v>2177.5100000000002</v>
      </c>
      <c r="N704" s="1613">
        <f t="shared" si="208"/>
        <v>-2177.5100000000002</v>
      </c>
      <c r="O704" s="1652">
        <f t="shared" si="220"/>
        <v>0</v>
      </c>
      <c r="P704" s="1653">
        <f t="shared" si="221"/>
        <v>0</v>
      </c>
      <c r="Q704" s="1653">
        <f t="shared" si="222"/>
        <v>0</v>
      </c>
      <c r="R704" s="1653">
        <f t="shared" si="223"/>
        <v>0</v>
      </c>
      <c r="S704" s="1653">
        <f t="shared" si="224"/>
        <v>0</v>
      </c>
      <c r="T704" s="1653">
        <f t="shared" si="209"/>
        <v>0</v>
      </c>
      <c r="U704" s="1653">
        <f t="shared" si="210"/>
        <v>0</v>
      </c>
      <c r="V704" s="1653">
        <f t="shared" si="211"/>
        <v>0</v>
      </c>
      <c r="W704" s="1653">
        <f t="shared" si="212"/>
        <v>0</v>
      </c>
      <c r="X704" s="1653">
        <f t="shared" si="213"/>
        <v>0</v>
      </c>
      <c r="Y704" s="1653">
        <f t="shared" si="214"/>
        <v>0</v>
      </c>
    </row>
    <row r="705" spans="1:27" ht="15" hidden="1" outlineLevel="1">
      <c r="A705" s="1615">
        <v>697</v>
      </c>
      <c r="C705" s="1651" t="s">
        <v>3374</v>
      </c>
      <c r="D705" s="1651" t="s">
        <v>3364</v>
      </c>
      <c r="E705" s="1613">
        <v>19116.25</v>
      </c>
      <c r="F705" s="1613">
        <v>-19116.25</v>
      </c>
      <c r="G705" s="1613">
        <f t="shared" si="215"/>
        <v>0</v>
      </c>
      <c r="H705" s="1578">
        <v>2007</v>
      </c>
      <c r="I705" s="1662">
        <f t="shared" si="216"/>
        <v>8.5</v>
      </c>
      <c r="J705" s="1663">
        <v>36</v>
      </c>
      <c r="K705" s="1664">
        <f t="shared" si="217"/>
        <v>0.33333333333333331</v>
      </c>
      <c r="L705" s="1613">
        <f t="shared" si="218"/>
        <v>0</v>
      </c>
      <c r="M705" s="1613">
        <f t="shared" si="219"/>
        <v>19116.25</v>
      </c>
      <c r="N705" s="1613">
        <f t="shared" si="208"/>
        <v>-19116.25</v>
      </c>
      <c r="O705" s="1652">
        <f t="shared" si="220"/>
        <v>0</v>
      </c>
      <c r="P705" s="1653">
        <f t="shared" si="221"/>
        <v>0</v>
      </c>
      <c r="Q705" s="1653">
        <f t="shared" si="222"/>
        <v>0</v>
      </c>
      <c r="R705" s="1653">
        <f t="shared" si="223"/>
        <v>0</v>
      </c>
      <c r="S705" s="1653">
        <f t="shared" si="224"/>
        <v>0</v>
      </c>
      <c r="T705" s="1653">
        <f t="shared" si="209"/>
        <v>0</v>
      </c>
      <c r="U705" s="1653">
        <f t="shared" si="210"/>
        <v>0</v>
      </c>
      <c r="V705" s="1653">
        <f t="shared" si="211"/>
        <v>0</v>
      </c>
      <c r="W705" s="1653">
        <f t="shared" si="212"/>
        <v>0</v>
      </c>
      <c r="X705" s="1653">
        <f t="shared" si="213"/>
        <v>0</v>
      </c>
      <c r="Y705" s="1653">
        <f t="shared" si="214"/>
        <v>0</v>
      </c>
    </row>
    <row r="706" spans="1:27" ht="15" hidden="1" outlineLevel="1">
      <c r="A706" s="1615">
        <v>698</v>
      </c>
      <c r="C706" s="1651" t="s">
        <v>3375</v>
      </c>
      <c r="D706" s="1651" t="s">
        <v>2465</v>
      </c>
      <c r="E706" s="1613">
        <v>153.91</v>
      </c>
      <c r="F706" s="1613">
        <v>-153.91</v>
      </c>
      <c r="G706" s="1613">
        <f t="shared" si="215"/>
        <v>0</v>
      </c>
      <c r="H706" s="1578">
        <v>2007</v>
      </c>
      <c r="I706" s="1662">
        <f t="shared" si="216"/>
        <v>8.5</v>
      </c>
      <c r="J706" s="1663">
        <v>36</v>
      </c>
      <c r="K706" s="1664">
        <f t="shared" si="217"/>
        <v>0.33333333333333331</v>
      </c>
      <c r="L706" s="1613">
        <f t="shared" si="218"/>
        <v>0</v>
      </c>
      <c r="M706" s="1613">
        <f t="shared" si="219"/>
        <v>153.91</v>
      </c>
      <c r="N706" s="1613">
        <f t="shared" si="208"/>
        <v>-153.91</v>
      </c>
      <c r="O706" s="1652">
        <f t="shared" si="220"/>
        <v>0</v>
      </c>
      <c r="P706" s="1653">
        <f t="shared" si="221"/>
        <v>0</v>
      </c>
      <c r="Q706" s="1653">
        <f t="shared" si="222"/>
        <v>0</v>
      </c>
      <c r="R706" s="1653">
        <f t="shared" si="223"/>
        <v>0</v>
      </c>
      <c r="S706" s="1653">
        <f t="shared" si="224"/>
        <v>0</v>
      </c>
      <c r="T706" s="1653">
        <f t="shared" si="209"/>
        <v>0</v>
      </c>
      <c r="U706" s="1653">
        <f t="shared" si="210"/>
        <v>0</v>
      </c>
      <c r="V706" s="1653">
        <f t="shared" si="211"/>
        <v>0</v>
      </c>
      <c r="W706" s="1653">
        <f t="shared" si="212"/>
        <v>0</v>
      </c>
      <c r="X706" s="1653">
        <f t="shared" si="213"/>
        <v>0</v>
      </c>
      <c r="Y706" s="1653">
        <f t="shared" si="214"/>
        <v>0</v>
      </c>
    </row>
    <row r="707" spans="1:27" ht="15" hidden="1" outlineLevel="1">
      <c r="A707" s="1615">
        <v>699</v>
      </c>
      <c r="C707" s="1651" t="s">
        <v>3376</v>
      </c>
      <c r="D707" s="1651" t="s">
        <v>2002</v>
      </c>
      <c r="E707" s="1613">
        <v>151.47</v>
      </c>
      <c r="F707" s="1613">
        <v>-151.47</v>
      </c>
      <c r="G707" s="1613">
        <f t="shared" si="215"/>
        <v>0</v>
      </c>
      <c r="H707" s="1578">
        <v>2008</v>
      </c>
      <c r="I707" s="1662">
        <f t="shared" si="216"/>
        <v>7.5</v>
      </c>
      <c r="J707" s="1663">
        <v>36</v>
      </c>
      <c r="K707" s="1664">
        <f t="shared" si="217"/>
        <v>0.33333333333333331</v>
      </c>
      <c r="L707" s="1613">
        <f t="shared" si="218"/>
        <v>0</v>
      </c>
      <c r="M707" s="1613">
        <f t="shared" si="219"/>
        <v>151.47</v>
      </c>
      <c r="N707" s="1613">
        <f t="shared" si="208"/>
        <v>-151.47</v>
      </c>
      <c r="O707" s="1652">
        <f t="shared" si="220"/>
        <v>0</v>
      </c>
      <c r="P707" s="1653">
        <f t="shared" si="221"/>
        <v>0</v>
      </c>
      <c r="Q707" s="1653">
        <f t="shared" si="222"/>
        <v>0</v>
      </c>
      <c r="R707" s="1653">
        <f t="shared" si="223"/>
        <v>0</v>
      </c>
      <c r="S707" s="1653">
        <f t="shared" si="224"/>
        <v>0</v>
      </c>
      <c r="T707" s="1653">
        <f t="shared" si="209"/>
        <v>0</v>
      </c>
      <c r="U707" s="1653">
        <f t="shared" si="210"/>
        <v>0</v>
      </c>
      <c r="V707" s="1653">
        <f t="shared" si="211"/>
        <v>0</v>
      </c>
      <c r="W707" s="1653">
        <f t="shared" si="212"/>
        <v>0</v>
      </c>
      <c r="X707" s="1653">
        <f t="shared" si="213"/>
        <v>0</v>
      </c>
      <c r="Y707" s="1653">
        <f t="shared" si="214"/>
        <v>0</v>
      </c>
    </row>
    <row r="708" spans="1:27" ht="15" hidden="1" outlineLevel="1">
      <c r="A708" s="1615">
        <v>700</v>
      </c>
      <c r="C708" s="1651"/>
      <c r="D708" s="1651"/>
      <c r="P708" s="1642"/>
      <c r="Q708" s="1642"/>
      <c r="R708" s="1642"/>
      <c r="S708" s="1642"/>
      <c r="T708" s="1642"/>
      <c r="U708" s="1642"/>
      <c r="V708" s="1642"/>
      <c r="W708" s="1642"/>
      <c r="X708" s="1642"/>
      <c r="Y708" s="1642"/>
    </row>
    <row r="709" spans="1:27" ht="15" collapsed="1">
      <c r="A709" s="1615">
        <v>701</v>
      </c>
      <c r="D709" s="1632" t="s">
        <v>314</v>
      </c>
      <c r="E709" s="1739">
        <f>SUM(E694:E708)</f>
        <v>42579.12000000001</v>
      </c>
      <c r="F709" s="1739">
        <f>SUM(F694:F708)</f>
        <v>-42579.12000000001</v>
      </c>
      <c r="G709" s="1739">
        <f>SUM(G694:G708)</f>
        <v>0</v>
      </c>
      <c r="H709" s="1739"/>
      <c r="I709" s="1739"/>
      <c r="J709" s="1740"/>
      <c r="K709" s="1739"/>
      <c r="L709" s="1739">
        <f>SUM(L694:L708)</f>
        <v>0</v>
      </c>
      <c r="M709" s="1739">
        <f>SUM(M694:M708)</f>
        <v>42579.12000000001</v>
      </c>
      <c r="N709" s="1739">
        <f>SUM(N694:N708)</f>
        <v>-42579.12000000001</v>
      </c>
      <c r="O709" s="1739">
        <f t="shared" ref="O709:Y709" si="225">SUM(O694:O708)</f>
        <v>0</v>
      </c>
      <c r="P709" s="1654">
        <f t="shared" si="225"/>
        <v>0</v>
      </c>
      <c r="Q709" s="1654">
        <f t="shared" si="225"/>
        <v>0</v>
      </c>
      <c r="R709" s="1654">
        <f t="shared" si="225"/>
        <v>0</v>
      </c>
      <c r="S709" s="1654">
        <f t="shared" si="225"/>
        <v>0</v>
      </c>
      <c r="T709" s="1654">
        <f t="shared" si="225"/>
        <v>0</v>
      </c>
      <c r="U709" s="1654">
        <f t="shared" si="225"/>
        <v>0</v>
      </c>
      <c r="V709" s="1654">
        <f t="shared" si="225"/>
        <v>0</v>
      </c>
      <c r="W709" s="1654">
        <f t="shared" si="225"/>
        <v>0</v>
      </c>
      <c r="X709" s="1654">
        <f t="shared" si="225"/>
        <v>0</v>
      </c>
      <c r="Y709" s="1654">
        <f t="shared" si="225"/>
        <v>0</v>
      </c>
    </row>
    <row r="710" spans="1:27" ht="15">
      <c r="A710" s="1615">
        <v>702</v>
      </c>
      <c r="D710" s="1665" t="s">
        <v>2469</v>
      </c>
      <c r="E710" s="1666">
        <v>1</v>
      </c>
      <c r="F710" s="1666">
        <v>1</v>
      </c>
      <c r="G710" s="1666">
        <v>1</v>
      </c>
      <c r="J710" s="1663"/>
      <c r="L710" s="1666">
        <v>1</v>
      </c>
      <c r="M710" s="1666">
        <v>1</v>
      </c>
      <c r="N710" s="1666">
        <v>1</v>
      </c>
      <c r="O710" s="1666">
        <v>1</v>
      </c>
      <c r="P710" s="1667">
        <v>1</v>
      </c>
      <c r="Q710" s="1667">
        <v>1</v>
      </c>
      <c r="R710" s="1667">
        <v>1</v>
      </c>
      <c r="S710" s="1667">
        <v>1</v>
      </c>
      <c r="T710" s="1667">
        <v>1</v>
      </c>
      <c r="U710" s="1667">
        <v>1</v>
      </c>
      <c r="V710" s="1667">
        <v>1</v>
      </c>
      <c r="W710" s="1667">
        <v>1</v>
      </c>
      <c r="X710" s="1667">
        <v>1</v>
      </c>
      <c r="Y710" s="1667">
        <v>1</v>
      </c>
    </row>
    <row r="711" spans="1:27" ht="15">
      <c r="A711" s="1615">
        <v>703</v>
      </c>
      <c r="D711" s="1665" t="s">
        <v>2470</v>
      </c>
      <c r="E711" s="1741">
        <f>E709*E710</f>
        <v>42579.12000000001</v>
      </c>
      <c r="F711" s="1741">
        <f>F709*F710</f>
        <v>-42579.12000000001</v>
      </c>
      <c r="G711" s="1741">
        <f>G709*G710</f>
        <v>0</v>
      </c>
      <c r="H711" s="1621"/>
      <c r="I711" s="1621"/>
      <c r="J711" s="1742"/>
      <c r="K711" s="1621"/>
      <c r="L711" s="1741">
        <f>L709*L710</f>
        <v>0</v>
      </c>
      <c r="M711" s="1741">
        <f t="shared" ref="M711:Y711" si="226">M709*M710</f>
        <v>42579.12000000001</v>
      </c>
      <c r="N711" s="1741">
        <f t="shared" si="226"/>
        <v>-42579.12000000001</v>
      </c>
      <c r="O711" s="1741">
        <f t="shared" si="226"/>
        <v>0</v>
      </c>
      <c r="P711" s="1668">
        <f t="shared" si="226"/>
        <v>0</v>
      </c>
      <c r="Q711" s="1668">
        <f t="shared" si="226"/>
        <v>0</v>
      </c>
      <c r="R711" s="1668">
        <f t="shared" si="226"/>
        <v>0</v>
      </c>
      <c r="S711" s="1668">
        <f t="shared" si="226"/>
        <v>0</v>
      </c>
      <c r="T711" s="1668">
        <f t="shared" si="226"/>
        <v>0</v>
      </c>
      <c r="U711" s="1668">
        <f t="shared" si="226"/>
        <v>0</v>
      </c>
      <c r="V711" s="1668">
        <f t="shared" si="226"/>
        <v>0</v>
      </c>
      <c r="W711" s="1668">
        <f t="shared" si="226"/>
        <v>0</v>
      </c>
      <c r="X711" s="1668">
        <f t="shared" si="226"/>
        <v>0</v>
      </c>
      <c r="Y711" s="1668">
        <f t="shared" si="226"/>
        <v>0</v>
      </c>
    </row>
    <row r="712" spans="1:27" ht="15">
      <c r="A712" s="1615">
        <v>704</v>
      </c>
      <c r="P712" s="1642"/>
      <c r="Q712" s="1642"/>
      <c r="R712" s="1642"/>
      <c r="S712" s="1642"/>
      <c r="T712" s="1642"/>
      <c r="U712" s="1642"/>
      <c r="V712" s="1642"/>
      <c r="W712" s="1642"/>
      <c r="X712" s="1642"/>
      <c r="Y712" s="1642"/>
    </row>
    <row r="713" spans="1:27" ht="15">
      <c r="A713" s="1615">
        <v>705</v>
      </c>
      <c r="B713" s="1660" t="s">
        <v>3377</v>
      </c>
      <c r="C713" s="1648"/>
      <c r="D713" s="1648"/>
      <c r="E713" s="1649"/>
      <c r="F713" s="1649"/>
      <c r="G713" s="1649"/>
      <c r="H713" s="1649"/>
      <c r="I713" s="1649"/>
      <c r="J713" s="1649"/>
      <c r="K713" s="1649"/>
      <c r="L713" s="1649"/>
      <c r="M713" s="1649"/>
      <c r="N713" s="1649"/>
      <c r="O713" s="1660"/>
      <c r="P713" s="1661"/>
      <c r="Q713" s="1661"/>
      <c r="R713" s="1661"/>
      <c r="S713" s="1661"/>
      <c r="T713" s="1661"/>
      <c r="U713" s="1661"/>
      <c r="V713" s="1661"/>
      <c r="W713" s="1661"/>
      <c r="X713" s="1661"/>
      <c r="Y713" s="1661"/>
      <c r="Z713" s="1650"/>
      <c r="AA713" s="1650"/>
    </row>
    <row r="714" spans="1:27" ht="15" hidden="1" outlineLevel="1">
      <c r="A714" s="1615">
        <v>706</v>
      </c>
      <c r="C714" s="1651" t="s">
        <v>3378</v>
      </c>
      <c r="D714" s="1651" t="s">
        <v>2463</v>
      </c>
      <c r="E714" s="1613">
        <v>738810.23</v>
      </c>
      <c r="F714" s="1613">
        <v>-738810.23</v>
      </c>
      <c r="G714" s="1613">
        <f>E714+F714</f>
        <v>0</v>
      </c>
      <c r="H714" s="1578">
        <v>1997</v>
      </c>
      <c r="I714" s="1662">
        <f>IF(H714=2015,0.5,2015.5-H714)</f>
        <v>18.5</v>
      </c>
      <c r="J714" s="1663">
        <v>96</v>
      </c>
      <c r="K714" s="1664">
        <f>1/J714*12</f>
        <v>0.125</v>
      </c>
      <c r="L714" s="1613">
        <f>IF(I714&lt;(J714/12),E714*K714,0)</f>
        <v>0</v>
      </c>
      <c r="M714" s="1613">
        <f>E714</f>
        <v>738810.23</v>
      </c>
      <c r="N714" s="1613">
        <f t="shared" ref="N714:N777" si="227">-IF(I714+0.5&lt;(J714/12),M714*(I714+0.5)*K714,M714)</f>
        <v>-738810.23</v>
      </c>
      <c r="O714" s="1652">
        <f>M714+N714</f>
        <v>0</v>
      </c>
      <c r="P714" s="1653">
        <f>IF(O714&gt;0,IF(O714&lt;$K714,-$L714,N714-$K714),O714)</f>
        <v>0</v>
      </c>
      <c r="Q714" s="1653">
        <f>IF(P714&lt;0,$L714+P714,O714)</f>
        <v>0</v>
      </c>
      <c r="R714" s="1653">
        <f>IF(Q714&gt;0,IF(Q714&lt;$K714,-$L714,P714-$K714),Q714)</f>
        <v>0</v>
      </c>
      <c r="S714" s="1653">
        <f>IF(R714&lt;0,$L714+R714,Q714)</f>
        <v>0</v>
      </c>
      <c r="T714" s="1653">
        <f t="shared" ref="T714:T777" si="228">IF(S714&gt;0,IF(S714&lt;$K714,-$L714,R714-$K714),S714)</f>
        <v>0</v>
      </c>
      <c r="U714" s="1653">
        <f t="shared" ref="U714:U777" si="229">IF(T714&lt;0,$L714+T714,S714)</f>
        <v>0</v>
      </c>
      <c r="V714" s="1653">
        <f t="shared" ref="V714:V777" si="230">IF(U714&gt;0,IF(U714&lt;$K714,-$L714,T714-$K714),U714)</f>
        <v>0</v>
      </c>
      <c r="W714" s="1653">
        <f t="shared" ref="W714:W777" si="231">IF(V714&lt;0,$L714+V714,U714)</f>
        <v>0</v>
      </c>
      <c r="X714" s="1653">
        <f t="shared" ref="X714:X777" si="232">IF(W714&gt;0,IF(W714&lt;$K714,-$L714,V714-$K714),W714)</f>
        <v>0</v>
      </c>
      <c r="Y714" s="1653">
        <f t="shared" ref="Y714:Y777" si="233">IF(X714&lt;0,$L714+X714,W714)</f>
        <v>0</v>
      </c>
    </row>
    <row r="715" spans="1:27" ht="15" hidden="1" outlineLevel="1">
      <c r="A715" s="1615">
        <v>707</v>
      </c>
      <c r="C715" s="1651" t="s">
        <v>3379</v>
      </c>
      <c r="D715" s="1651" t="s">
        <v>2463</v>
      </c>
      <c r="E715" s="1613">
        <v>2265</v>
      </c>
      <c r="F715" s="1613">
        <v>-2265</v>
      </c>
      <c r="G715" s="1613">
        <f t="shared" ref="G715:G778" si="234">E715+F715</f>
        <v>0</v>
      </c>
      <c r="H715" s="1578">
        <v>1998</v>
      </c>
      <c r="I715" s="1662">
        <f t="shared" ref="I715:I778" si="235">IF(H715=2015,0.5,2015.5-H715)</f>
        <v>17.5</v>
      </c>
      <c r="J715" s="1663">
        <v>96</v>
      </c>
      <c r="K715" s="1664">
        <f t="shared" ref="K715:K778" si="236">1/J715*12</f>
        <v>0.125</v>
      </c>
      <c r="L715" s="1613">
        <f t="shared" ref="L715:L778" si="237">IF(I715&lt;(J715/12),E715*K715,0)</f>
        <v>0</v>
      </c>
      <c r="M715" s="1613">
        <f t="shared" ref="M715:M778" si="238">E715</f>
        <v>2265</v>
      </c>
      <c r="N715" s="1613">
        <f t="shared" si="227"/>
        <v>-2265</v>
      </c>
      <c r="O715" s="1652">
        <f t="shared" ref="O715:O778" si="239">M715+N715</f>
        <v>0</v>
      </c>
      <c r="P715" s="1653">
        <f t="shared" ref="P715:P778" si="240">IF(O715&gt;0,IF(O715&lt;$K715,-$L715,N715-$K715),O715)</f>
        <v>0</v>
      </c>
      <c r="Q715" s="1653">
        <f t="shared" ref="Q715:Q778" si="241">IF(P715&lt;0,$L715+P715,O715)</f>
        <v>0</v>
      </c>
      <c r="R715" s="1653">
        <f t="shared" ref="R715:R778" si="242">IF(Q715&gt;0,IF(Q715&lt;$K715,-$L715,P715-$K715),Q715)</f>
        <v>0</v>
      </c>
      <c r="S715" s="1653">
        <f t="shared" ref="S715:S778" si="243">IF(R715&lt;0,$L715+R715,Q715)</f>
        <v>0</v>
      </c>
      <c r="T715" s="1653">
        <f t="shared" si="228"/>
        <v>0</v>
      </c>
      <c r="U715" s="1653">
        <f t="shared" si="229"/>
        <v>0</v>
      </c>
      <c r="V715" s="1653">
        <f t="shared" si="230"/>
        <v>0</v>
      </c>
      <c r="W715" s="1653">
        <f t="shared" si="231"/>
        <v>0</v>
      </c>
      <c r="X715" s="1653">
        <f t="shared" si="232"/>
        <v>0</v>
      </c>
      <c r="Y715" s="1653">
        <f t="shared" si="233"/>
        <v>0</v>
      </c>
    </row>
    <row r="716" spans="1:27" ht="15" hidden="1" outlineLevel="1">
      <c r="A716" s="1615">
        <v>708</v>
      </c>
      <c r="C716" s="1651" t="s">
        <v>3380</v>
      </c>
      <c r="D716" s="1651" t="s">
        <v>2463</v>
      </c>
      <c r="E716" s="1613">
        <v>26617.7</v>
      </c>
      <c r="F716" s="1613">
        <v>-26617.7</v>
      </c>
      <c r="G716" s="1613">
        <f t="shared" si="234"/>
        <v>0</v>
      </c>
      <c r="H716" s="1578">
        <v>1999</v>
      </c>
      <c r="I716" s="1662">
        <f t="shared" si="235"/>
        <v>16.5</v>
      </c>
      <c r="J716" s="1663">
        <v>96</v>
      </c>
      <c r="K716" s="1664">
        <f t="shared" si="236"/>
        <v>0.125</v>
      </c>
      <c r="L716" s="1613">
        <f t="shared" si="237"/>
        <v>0</v>
      </c>
      <c r="M716" s="1613">
        <f t="shared" si="238"/>
        <v>26617.7</v>
      </c>
      <c r="N716" s="1613">
        <f t="shared" si="227"/>
        <v>-26617.7</v>
      </c>
      <c r="O716" s="1652">
        <f t="shared" si="239"/>
        <v>0</v>
      </c>
      <c r="P716" s="1653">
        <f t="shared" si="240"/>
        <v>0</v>
      </c>
      <c r="Q716" s="1653">
        <f t="shared" si="241"/>
        <v>0</v>
      </c>
      <c r="R716" s="1653">
        <f t="shared" si="242"/>
        <v>0</v>
      </c>
      <c r="S716" s="1653">
        <f t="shared" si="243"/>
        <v>0</v>
      </c>
      <c r="T716" s="1653">
        <f t="shared" si="228"/>
        <v>0</v>
      </c>
      <c r="U716" s="1653">
        <f t="shared" si="229"/>
        <v>0</v>
      </c>
      <c r="V716" s="1653">
        <f t="shared" si="230"/>
        <v>0</v>
      </c>
      <c r="W716" s="1653">
        <f t="shared" si="231"/>
        <v>0</v>
      </c>
      <c r="X716" s="1653">
        <f t="shared" si="232"/>
        <v>0</v>
      </c>
      <c r="Y716" s="1653">
        <f t="shared" si="233"/>
        <v>0</v>
      </c>
    </row>
    <row r="717" spans="1:27" ht="15" hidden="1" outlineLevel="1">
      <c r="A717" s="1615">
        <v>709</v>
      </c>
      <c r="C717" s="1651" t="s">
        <v>3381</v>
      </c>
      <c r="D717" s="1651" t="s">
        <v>2463</v>
      </c>
      <c r="E717" s="1613">
        <v>3600</v>
      </c>
      <c r="F717" s="1613">
        <v>-3600</v>
      </c>
      <c r="G717" s="1613">
        <f t="shared" si="234"/>
        <v>0</v>
      </c>
      <c r="H717" s="1578">
        <v>2000</v>
      </c>
      <c r="I717" s="1662">
        <f t="shared" si="235"/>
        <v>15.5</v>
      </c>
      <c r="J717" s="1663">
        <v>96</v>
      </c>
      <c r="K717" s="1664">
        <f t="shared" si="236"/>
        <v>0.125</v>
      </c>
      <c r="L717" s="1613">
        <f t="shared" si="237"/>
        <v>0</v>
      </c>
      <c r="M717" s="1613">
        <f t="shared" si="238"/>
        <v>3600</v>
      </c>
      <c r="N717" s="1613">
        <f t="shared" si="227"/>
        <v>-3600</v>
      </c>
      <c r="O717" s="1652">
        <f t="shared" si="239"/>
        <v>0</v>
      </c>
      <c r="P717" s="1653">
        <f t="shared" si="240"/>
        <v>0</v>
      </c>
      <c r="Q717" s="1653">
        <f t="shared" si="241"/>
        <v>0</v>
      </c>
      <c r="R717" s="1653">
        <f t="shared" si="242"/>
        <v>0</v>
      </c>
      <c r="S717" s="1653">
        <f t="shared" si="243"/>
        <v>0</v>
      </c>
      <c r="T717" s="1653">
        <f t="shared" si="228"/>
        <v>0</v>
      </c>
      <c r="U717" s="1653">
        <f t="shared" si="229"/>
        <v>0</v>
      </c>
      <c r="V717" s="1653">
        <f t="shared" si="230"/>
        <v>0</v>
      </c>
      <c r="W717" s="1653">
        <f t="shared" si="231"/>
        <v>0</v>
      </c>
      <c r="X717" s="1653">
        <f t="shared" si="232"/>
        <v>0</v>
      </c>
      <c r="Y717" s="1653">
        <f t="shared" si="233"/>
        <v>0</v>
      </c>
    </row>
    <row r="718" spans="1:27" ht="15" hidden="1" outlineLevel="1">
      <c r="A718" s="1615">
        <v>710</v>
      </c>
      <c r="C718" s="1651" t="s">
        <v>3382</v>
      </c>
      <c r="D718" s="1651" t="s">
        <v>2463</v>
      </c>
      <c r="E718" s="1613">
        <v>45542.34</v>
      </c>
      <c r="F718" s="1613">
        <v>-45542.34</v>
      </c>
      <c r="G718" s="1613">
        <f t="shared" si="234"/>
        <v>0</v>
      </c>
      <c r="H718" s="1578">
        <v>2001</v>
      </c>
      <c r="I718" s="1662">
        <f t="shared" si="235"/>
        <v>14.5</v>
      </c>
      <c r="J718" s="1663">
        <v>96</v>
      </c>
      <c r="K718" s="1664">
        <f t="shared" si="236"/>
        <v>0.125</v>
      </c>
      <c r="L718" s="1613">
        <f t="shared" si="237"/>
        <v>0</v>
      </c>
      <c r="M718" s="1613">
        <f t="shared" si="238"/>
        <v>45542.34</v>
      </c>
      <c r="N718" s="1613">
        <f t="shared" si="227"/>
        <v>-45542.34</v>
      </c>
      <c r="O718" s="1652">
        <f t="shared" si="239"/>
        <v>0</v>
      </c>
      <c r="P718" s="1653">
        <f t="shared" si="240"/>
        <v>0</v>
      </c>
      <c r="Q718" s="1653">
        <f t="shared" si="241"/>
        <v>0</v>
      </c>
      <c r="R718" s="1653">
        <f t="shared" si="242"/>
        <v>0</v>
      </c>
      <c r="S718" s="1653">
        <f t="shared" si="243"/>
        <v>0</v>
      </c>
      <c r="T718" s="1653">
        <f t="shared" si="228"/>
        <v>0</v>
      </c>
      <c r="U718" s="1653">
        <f t="shared" si="229"/>
        <v>0</v>
      </c>
      <c r="V718" s="1653">
        <f t="shared" si="230"/>
        <v>0</v>
      </c>
      <c r="W718" s="1653">
        <f t="shared" si="231"/>
        <v>0</v>
      </c>
      <c r="X718" s="1653">
        <f t="shared" si="232"/>
        <v>0</v>
      </c>
      <c r="Y718" s="1653">
        <f t="shared" si="233"/>
        <v>0</v>
      </c>
    </row>
    <row r="719" spans="1:27" ht="15" hidden="1" outlineLevel="1">
      <c r="A719" s="1615">
        <v>711</v>
      </c>
      <c r="C719" s="1651" t="s">
        <v>3383</v>
      </c>
      <c r="D719" s="1651" t="s">
        <v>2463</v>
      </c>
      <c r="E719" s="1613">
        <v>5912.31</v>
      </c>
      <c r="F719" s="1613">
        <v>-5912.31</v>
      </c>
      <c r="G719" s="1613">
        <f t="shared" si="234"/>
        <v>0</v>
      </c>
      <c r="H719" s="1578">
        <v>2002</v>
      </c>
      <c r="I719" s="1662">
        <f t="shared" si="235"/>
        <v>13.5</v>
      </c>
      <c r="J719" s="1663">
        <v>96</v>
      </c>
      <c r="K719" s="1664">
        <f t="shared" si="236"/>
        <v>0.125</v>
      </c>
      <c r="L719" s="1613">
        <f t="shared" si="237"/>
        <v>0</v>
      </c>
      <c r="M719" s="1613">
        <f t="shared" si="238"/>
        <v>5912.31</v>
      </c>
      <c r="N719" s="1613">
        <f t="shared" si="227"/>
        <v>-5912.31</v>
      </c>
      <c r="O719" s="1652">
        <f t="shared" si="239"/>
        <v>0</v>
      </c>
      <c r="P719" s="1653">
        <f t="shared" si="240"/>
        <v>0</v>
      </c>
      <c r="Q719" s="1653">
        <f t="shared" si="241"/>
        <v>0</v>
      </c>
      <c r="R719" s="1653">
        <f t="shared" si="242"/>
        <v>0</v>
      </c>
      <c r="S719" s="1653">
        <f t="shared" si="243"/>
        <v>0</v>
      </c>
      <c r="T719" s="1653">
        <f t="shared" si="228"/>
        <v>0</v>
      </c>
      <c r="U719" s="1653">
        <f t="shared" si="229"/>
        <v>0</v>
      </c>
      <c r="V719" s="1653">
        <f t="shared" si="230"/>
        <v>0</v>
      </c>
      <c r="W719" s="1653">
        <f t="shared" si="231"/>
        <v>0</v>
      </c>
      <c r="X719" s="1653">
        <f t="shared" si="232"/>
        <v>0</v>
      </c>
      <c r="Y719" s="1653">
        <f t="shared" si="233"/>
        <v>0</v>
      </c>
    </row>
    <row r="720" spans="1:27" ht="15" hidden="1" outlineLevel="1">
      <c r="A720" s="1615">
        <v>712</v>
      </c>
      <c r="C720" s="1651" t="s">
        <v>3384</v>
      </c>
      <c r="D720" s="1651" t="s">
        <v>2463</v>
      </c>
      <c r="E720" s="1613">
        <v>14240</v>
      </c>
      <c r="F720" s="1613">
        <v>-14240</v>
      </c>
      <c r="G720" s="1613">
        <f t="shared" si="234"/>
        <v>0</v>
      </c>
      <c r="H720" s="1578">
        <v>2003</v>
      </c>
      <c r="I720" s="1662">
        <f t="shared" si="235"/>
        <v>12.5</v>
      </c>
      <c r="J720" s="1663">
        <v>96</v>
      </c>
      <c r="K720" s="1664">
        <f t="shared" si="236"/>
        <v>0.125</v>
      </c>
      <c r="L720" s="1613">
        <f t="shared" si="237"/>
        <v>0</v>
      </c>
      <c r="M720" s="1613">
        <f t="shared" si="238"/>
        <v>14240</v>
      </c>
      <c r="N720" s="1613">
        <f t="shared" si="227"/>
        <v>-14240</v>
      </c>
      <c r="O720" s="1652">
        <f t="shared" si="239"/>
        <v>0</v>
      </c>
      <c r="P720" s="1653">
        <f t="shared" si="240"/>
        <v>0</v>
      </c>
      <c r="Q720" s="1653">
        <f t="shared" si="241"/>
        <v>0</v>
      </c>
      <c r="R720" s="1653">
        <f t="shared" si="242"/>
        <v>0</v>
      </c>
      <c r="S720" s="1653">
        <f t="shared" si="243"/>
        <v>0</v>
      </c>
      <c r="T720" s="1653">
        <f t="shared" si="228"/>
        <v>0</v>
      </c>
      <c r="U720" s="1653">
        <f t="shared" si="229"/>
        <v>0</v>
      </c>
      <c r="V720" s="1653">
        <f t="shared" si="230"/>
        <v>0</v>
      </c>
      <c r="W720" s="1653">
        <f t="shared" si="231"/>
        <v>0</v>
      </c>
      <c r="X720" s="1653">
        <f t="shared" si="232"/>
        <v>0</v>
      </c>
      <c r="Y720" s="1653">
        <f t="shared" si="233"/>
        <v>0</v>
      </c>
    </row>
    <row r="721" spans="1:25" ht="15" hidden="1" outlineLevel="1">
      <c r="A721" s="1615">
        <v>713</v>
      </c>
      <c r="C721" s="1651" t="s">
        <v>3385</v>
      </c>
      <c r="D721" s="1651" t="s">
        <v>2502</v>
      </c>
      <c r="E721" s="1613">
        <v>-441500</v>
      </c>
      <c r="F721" s="1613">
        <v>441500</v>
      </c>
      <c r="G721" s="1613">
        <f t="shared" si="234"/>
        <v>0</v>
      </c>
      <c r="H721" s="1578">
        <v>2007</v>
      </c>
      <c r="I721" s="1662">
        <f t="shared" si="235"/>
        <v>8.5</v>
      </c>
      <c r="J721" s="1663">
        <v>96</v>
      </c>
      <c r="K721" s="1664">
        <f t="shared" si="236"/>
        <v>0.125</v>
      </c>
      <c r="L721" s="1613">
        <f t="shared" si="237"/>
        <v>0</v>
      </c>
      <c r="M721" s="1613">
        <f t="shared" si="238"/>
        <v>-441500</v>
      </c>
      <c r="N721" s="1613">
        <f t="shared" si="227"/>
        <v>441500</v>
      </c>
      <c r="O721" s="1652">
        <f t="shared" si="239"/>
        <v>0</v>
      </c>
      <c r="P721" s="1653">
        <f t="shared" si="240"/>
        <v>0</v>
      </c>
      <c r="Q721" s="1653">
        <f t="shared" si="241"/>
        <v>0</v>
      </c>
      <c r="R721" s="1653">
        <f t="shared" si="242"/>
        <v>0</v>
      </c>
      <c r="S721" s="1653">
        <f t="shared" si="243"/>
        <v>0</v>
      </c>
      <c r="T721" s="1653">
        <f t="shared" si="228"/>
        <v>0</v>
      </c>
      <c r="U721" s="1653">
        <f t="shared" si="229"/>
        <v>0</v>
      </c>
      <c r="V721" s="1653">
        <f t="shared" si="230"/>
        <v>0</v>
      </c>
      <c r="W721" s="1653">
        <f t="shared" si="231"/>
        <v>0</v>
      </c>
      <c r="X721" s="1653">
        <f t="shared" si="232"/>
        <v>0</v>
      </c>
      <c r="Y721" s="1653">
        <f t="shared" si="233"/>
        <v>0</v>
      </c>
    </row>
    <row r="722" spans="1:25" ht="15" hidden="1" outlineLevel="1">
      <c r="A722" s="1615">
        <v>714</v>
      </c>
      <c r="C722" s="1651" t="s">
        <v>3386</v>
      </c>
      <c r="D722" s="1651" t="s">
        <v>2480</v>
      </c>
      <c r="E722" s="1613">
        <v>-441500</v>
      </c>
      <c r="F722" s="1613">
        <v>436920.84</v>
      </c>
      <c r="G722" s="1613">
        <f t="shared" si="234"/>
        <v>-4579.1599999999744</v>
      </c>
      <c r="H722" s="1578">
        <v>2007</v>
      </c>
      <c r="I722" s="1662">
        <f t="shared" si="235"/>
        <v>8.5</v>
      </c>
      <c r="J722" s="1663">
        <v>96</v>
      </c>
      <c r="K722" s="1664">
        <f t="shared" si="236"/>
        <v>0.125</v>
      </c>
      <c r="L722" s="1613">
        <f t="shared" si="237"/>
        <v>0</v>
      </c>
      <c r="M722" s="1613">
        <f t="shared" si="238"/>
        <v>-441500</v>
      </c>
      <c r="N722" s="1613">
        <f t="shared" si="227"/>
        <v>441500</v>
      </c>
      <c r="O722" s="1652">
        <f t="shared" si="239"/>
        <v>0</v>
      </c>
      <c r="P722" s="1653">
        <f t="shared" si="240"/>
        <v>0</v>
      </c>
      <c r="Q722" s="1653">
        <f t="shared" si="241"/>
        <v>0</v>
      </c>
      <c r="R722" s="1653">
        <f t="shared" si="242"/>
        <v>0</v>
      </c>
      <c r="S722" s="1653">
        <f t="shared" si="243"/>
        <v>0</v>
      </c>
      <c r="T722" s="1653">
        <f t="shared" si="228"/>
        <v>0</v>
      </c>
      <c r="U722" s="1653">
        <f t="shared" si="229"/>
        <v>0</v>
      </c>
      <c r="V722" s="1653">
        <f t="shared" si="230"/>
        <v>0</v>
      </c>
      <c r="W722" s="1653">
        <f t="shared" si="231"/>
        <v>0</v>
      </c>
      <c r="X722" s="1653">
        <f t="shared" si="232"/>
        <v>0</v>
      </c>
      <c r="Y722" s="1653">
        <f t="shared" si="233"/>
        <v>0</v>
      </c>
    </row>
    <row r="723" spans="1:25" ht="15" hidden="1" outlineLevel="1">
      <c r="A723" s="1615">
        <v>715</v>
      </c>
      <c r="C723" s="1651" t="s">
        <v>3387</v>
      </c>
      <c r="D723" s="1651" t="s">
        <v>2480</v>
      </c>
      <c r="E723" s="1613">
        <v>-39428.31</v>
      </c>
      <c r="F723" s="1613">
        <v>39019.370000000003</v>
      </c>
      <c r="G723" s="1613">
        <f t="shared" si="234"/>
        <v>-408.93999999999505</v>
      </c>
      <c r="H723" s="1578">
        <v>2007</v>
      </c>
      <c r="I723" s="1662">
        <f t="shared" si="235"/>
        <v>8.5</v>
      </c>
      <c r="J723" s="1663">
        <v>96</v>
      </c>
      <c r="K723" s="1664">
        <f t="shared" si="236"/>
        <v>0.125</v>
      </c>
      <c r="L723" s="1613">
        <f t="shared" si="237"/>
        <v>0</v>
      </c>
      <c r="M723" s="1613">
        <f t="shared" si="238"/>
        <v>-39428.31</v>
      </c>
      <c r="N723" s="1613">
        <f t="shared" si="227"/>
        <v>39428.31</v>
      </c>
      <c r="O723" s="1652">
        <f t="shared" si="239"/>
        <v>0</v>
      </c>
      <c r="P723" s="1653">
        <f t="shared" si="240"/>
        <v>0</v>
      </c>
      <c r="Q723" s="1653">
        <f t="shared" si="241"/>
        <v>0</v>
      </c>
      <c r="R723" s="1653">
        <f t="shared" si="242"/>
        <v>0</v>
      </c>
      <c r="S723" s="1653">
        <f t="shared" si="243"/>
        <v>0</v>
      </c>
      <c r="T723" s="1653">
        <f t="shared" si="228"/>
        <v>0</v>
      </c>
      <c r="U723" s="1653">
        <f t="shared" si="229"/>
        <v>0</v>
      </c>
      <c r="V723" s="1653">
        <f t="shared" si="230"/>
        <v>0</v>
      </c>
      <c r="W723" s="1653">
        <f t="shared" si="231"/>
        <v>0</v>
      </c>
      <c r="X723" s="1653">
        <f t="shared" si="232"/>
        <v>0</v>
      </c>
      <c r="Y723" s="1653">
        <f t="shared" si="233"/>
        <v>0</v>
      </c>
    </row>
    <row r="724" spans="1:25" ht="15" hidden="1" outlineLevel="1">
      <c r="A724" s="1615">
        <v>716</v>
      </c>
      <c r="C724" s="1651" t="s">
        <v>3388</v>
      </c>
      <c r="D724" s="1651" t="s">
        <v>2480</v>
      </c>
      <c r="E724" s="1613">
        <v>-27793.78</v>
      </c>
      <c r="F724" s="1613">
        <v>27505.51</v>
      </c>
      <c r="G724" s="1613">
        <f t="shared" si="234"/>
        <v>-288.27000000000044</v>
      </c>
      <c r="H724" s="1578">
        <v>2007</v>
      </c>
      <c r="I724" s="1662">
        <f t="shared" si="235"/>
        <v>8.5</v>
      </c>
      <c r="J724" s="1663">
        <v>96</v>
      </c>
      <c r="K724" s="1664">
        <f t="shared" si="236"/>
        <v>0.125</v>
      </c>
      <c r="L724" s="1613">
        <f t="shared" si="237"/>
        <v>0</v>
      </c>
      <c r="M724" s="1613">
        <f t="shared" si="238"/>
        <v>-27793.78</v>
      </c>
      <c r="N724" s="1613">
        <f t="shared" si="227"/>
        <v>27793.78</v>
      </c>
      <c r="O724" s="1652">
        <f t="shared" si="239"/>
        <v>0</v>
      </c>
      <c r="P724" s="1653">
        <f t="shared" si="240"/>
        <v>0</v>
      </c>
      <c r="Q724" s="1653">
        <f t="shared" si="241"/>
        <v>0</v>
      </c>
      <c r="R724" s="1653">
        <f t="shared" si="242"/>
        <v>0</v>
      </c>
      <c r="S724" s="1653">
        <f t="shared" si="243"/>
        <v>0</v>
      </c>
      <c r="T724" s="1653">
        <f t="shared" si="228"/>
        <v>0</v>
      </c>
      <c r="U724" s="1653">
        <f t="shared" si="229"/>
        <v>0</v>
      </c>
      <c r="V724" s="1653">
        <f t="shared" si="230"/>
        <v>0</v>
      </c>
      <c r="W724" s="1653">
        <f t="shared" si="231"/>
        <v>0</v>
      </c>
      <c r="X724" s="1653">
        <f t="shared" si="232"/>
        <v>0</v>
      </c>
      <c r="Y724" s="1653">
        <f t="shared" si="233"/>
        <v>0</v>
      </c>
    </row>
    <row r="725" spans="1:25" ht="15" hidden="1" outlineLevel="1">
      <c r="A725" s="1615">
        <v>717</v>
      </c>
      <c r="C725" s="1651" t="s">
        <v>3389</v>
      </c>
      <c r="D725" s="1651" t="s">
        <v>2480</v>
      </c>
      <c r="E725" s="1613">
        <v>-27625</v>
      </c>
      <c r="F725" s="1613">
        <v>27338.48</v>
      </c>
      <c r="G725" s="1613">
        <f t="shared" si="234"/>
        <v>-286.52000000000044</v>
      </c>
      <c r="H725" s="1578">
        <v>2007</v>
      </c>
      <c r="I725" s="1662">
        <f t="shared" si="235"/>
        <v>8.5</v>
      </c>
      <c r="J725" s="1663">
        <v>96</v>
      </c>
      <c r="K725" s="1664">
        <f t="shared" si="236"/>
        <v>0.125</v>
      </c>
      <c r="L725" s="1613">
        <f t="shared" si="237"/>
        <v>0</v>
      </c>
      <c r="M725" s="1613">
        <f t="shared" si="238"/>
        <v>-27625</v>
      </c>
      <c r="N725" s="1613">
        <f t="shared" si="227"/>
        <v>27625</v>
      </c>
      <c r="O725" s="1652">
        <f t="shared" si="239"/>
        <v>0</v>
      </c>
      <c r="P725" s="1653">
        <f t="shared" si="240"/>
        <v>0</v>
      </c>
      <c r="Q725" s="1653">
        <f t="shared" si="241"/>
        <v>0</v>
      </c>
      <c r="R725" s="1653">
        <f t="shared" si="242"/>
        <v>0</v>
      </c>
      <c r="S725" s="1653">
        <f t="shared" si="243"/>
        <v>0</v>
      </c>
      <c r="T725" s="1653">
        <f t="shared" si="228"/>
        <v>0</v>
      </c>
      <c r="U725" s="1653">
        <f t="shared" si="229"/>
        <v>0</v>
      </c>
      <c r="V725" s="1653">
        <f t="shared" si="230"/>
        <v>0</v>
      </c>
      <c r="W725" s="1653">
        <f t="shared" si="231"/>
        <v>0</v>
      </c>
      <c r="X725" s="1653">
        <f t="shared" si="232"/>
        <v>0</v>
      </c>
      <c r="Y725" s="1653">
        <f t="shared" si="233"/>
        <v>0</v>
      </c>
    </row>
    <row r="726" spans="1:25" ht="15" hidden="1" outlineLevel="1">
      <c r="A726" s="1615">
        <v>718</v>
      </c>
      <c r="C726" s="1651" t="s">
        <v>3390</v>
      </c>
      <c r="D726" s="1651" t="s">
        <v>3391</v>
      </c>
      <c r="E726" s="1613">
        <v>27625</v>
      </c>
      <c r="F726" s="1613">
        <v>-27338.48</v>
      </c>
      <c r="G726" s="1613">
        <f t="shared" si="234"/>
        <v>286.52000000000044</v>
      </c>
      <c r="H726" s="1578">
        <v>2007</v>
      </c>
      <c r="I726" s="1662">
        <f t="shared" si="235"/>
        <v>8.5</v>
      </c>
      <c r="J726" s="1663">
        <v>96</v>
      </c>
      <c r="K726" s="1664">
        <f t="shared" si="236"/>
        <v>0.125</v>
      </c>
      <c r="L726" s="1613">
        <f t="shared" si="237"/>
        <v>0</v>
      </c>
      <c r="M726" s="1613">
        <f t="shared" si="238"/>
        <v>27625</v>
      </c>
      <c r="N726" s="1613">
        <f t="shared" si="227"/>
        <v>-27625</v>
      </c>
      <c r="O726" s="1652">
        <f t="shared" si="239"/>
        <v>0</v>
      </c>
      <c r="P726" s="1653">
        <f t="shared" si="240"/>
        <v>0</v>
      </c>
      <c r="Q726" s="1653">
        <f t="shared" si="241"/>
        <v>0</v>
      </c>
      <c r="R726" s="1653">
        <f t="shared" si="242"/>
        <v>0</v>
      </c>
      <c r="S726" s="1653">
        <f t="shared" si="243"/>
        <v>0</v>
      </c>
      <c r="T726" s="1653">
        <f t="shared" si="228"/>
        <v>0</v>
      </c>
      <c r="U726" s="1653">
        <f t="shared" si="229"/>
        <v>0</v>
      </c>
      <c r="V726" s="1653">
        <f t="shared" si="230"/>
        <v>0</v>
      </c>
      <c r="W726" s="1653">
        <f t="shared" si="231"/>
        <v>0</v>
      </c>
      <c r="X726" s="1653">
        <f t="shared" si="232"/>
        <v>0</v>
      </c>
      <c r="Y726" s="1653">
        <f t="shared" si="233"/>
        <v>0</v>
      </c>
    </row>
    <row r="727" spans="1:25" ht="15" hidden="1" outlineLevel="1">
      <c r="A727" s="1615">
        <v>719</v>
      </c>
      <c r="C727" s="1651" t="s">
        <v>3392</v>
      </c>
      <c r="D727" s="1651" t="s">
        <v>3393</v>
      </c>
      <c r="E727" s="1613">
        <v>441079.27</v>
      </c>
      <c r="F727" s="1613">
        <v>-441079.27</v>
      </c>
      <c r="G727" s="1613">
        <f t="shared" si="234"/>
        <v>0</v>
      </c>
      <c r="H727" s="1578">
        <v>2007</v>
      </c>
      <c r="I727" s="1662">
        <f t="shared" si="235"/>
        <v>8.5</v>
      </c>
      <c r="J727" s="1663">
        <v>96</v>
      </c>
      <c r="K727" s="1664">
        <f t="shared" si="236"/>
        <v>0.125</v>
      </c>
      <c r="L727" s="1613">
        <f t="shared" si="237"/>
        <v>0</v>
      </c>
      <c r="M727" s="1613">
        <f t="shared" si="238"/>
        <v>441079.27</v>
      </c>
      <c r="N727" s="1613">
        <f t="shared" si="227"/>
        <v>-441079.27</v>
      </c>
      <c r="O727" s="1652">
        <f t="shared" si="239"/>
        <v>0</v>
      </c>
      <c r="P727" s="1653">
        <f t="shared" si="240"/>
        <v>0</v>
      </c>
      <c r="Q727" s="1653">
        <f t="shared" si="241"/>
        <v>0</v>
      </c>
      <c r="R727" s="1653">
        <f t="shared" si="242"/>
        <v>0</v>
      </c>
      <c r="S727" s="1653">
        <f t="shared" si="243"/>
        <v>0</v>
      </c>
      <c r="T727" s="1653">
        <f t="shared" si="228"/>
        <v>0</v>
      </c>
      <c r="U727" s="1653">
        <f t="shared" si="229"/>
        <v>0</v>
      </c>
      <c r="V727" s="1653">
        <f t="shared" si="230"/>
        <v>0</v>
      </c>
      <c r="W727" s="1653">
        <f t="shared" si="231"/>
        <v>0</v>
      </c>
      <c r="X727" s="1653">
        <f t="shared" si="232"/>
        <v>0</v>
      </c>
      <c r="Y727" s="1653">
        <f t="shared" si="233"/>
        <v>0</v>
      </c>
    </row>
    <row r="728" spans="1:25" ht="15" hidden="1" outlineLevel="1">
      <c r="A728" s="1615">
        <v>720</v>
      </c>
      <c r="C728" s="1651" t="s">
        <v>3394</v>
      </c>
      <c r="D728" s="1651" t="s">
        <v>3395</v>
      </c>
      <c r="E728" s="1613">
        <v>150.91999999999999</v>
      </c>
      <c r="F728" s="1613">
        <v>-138.4</v>
      </c>
      <c r="G728" s="1613">
        <f t="shared" si="234"/>
        <v>12.519999999999982</v>
      </c>
      <c r="H728" s="1578">
        <v>2008</v>
      </c>
      <c r="I728" s="1662">
        <f t="shared" si="235"/>
        <v>7.5</v>
      </c>
      <c r="J728" s="1663">
        <v>96</v>
      </c>
      <c r="K728" s="1664">
        <f t="shared" si="236"/>
        <v>0.125</v>
      </c>
      <c r="L728" s="1613">
        <f t="shared" si="237"/>
        <v>18.864999999999998</v>
      </c>
      <c r="M728" s="1613">
        <f t="shared" si="238"/>
        <v>150.91999999999999</v>
      </c>
      <c r="N728" s="1613">
        <f t="shared" si="227"/>
        <v>-150.91999999999999</v>
      </c>
      <c r="O728" s="1652">
        <f t="shared" si="239"/>
        <v>0</v>
      </c>
      <c r="P728" s="1653">
        <f t="shared" si="240"/>
        <v>0</v>
      </c>
      <c r="Q728" s="1653">
        <f t="shared" si="241"/>
        <v>0</v>
      </c>
      <c r="R728" s="1653">
        <f t="shared" si="242"/>
        <v>0</v>
      </c>
      <c r="S728" s="1653">
        <f t="shared" si="243"/>
        <v>0</v>
      </c>
      <c r="T728" s="1653">
        <f t="shared" si="228"/>
        <v>0</v>
      </c>
      <c r="U728" s="1653">
        <f t="shared" si="229"/>
        <v>0</v>
      </c>
      <c r="V728" s="1653">
        <f t="shared" si="230"/>
        <v>0</v>
      </c>
      <c r="W728" s="1653">
        <f t="shared" si="231"/>
        <v>0</v>
      </c>
      <c r="X728" s="1653">
        <f t="shared" si="232"/>
        <v>0</v>
      </c>
      <c r="Y728" s="1653">
        <f t="shared" si="233"/>
        <v>0</v>
      </c>
    </row>
    <row r="729" spans="1:25" ht="15" hidden="1" outlineLevel="1">
      <c r="A729" s="1615">
        <v>721</v>
      </c>
      <c r="C729" s="1651" t="s">
        <v>3396</v>
      </c>
      <c r="D729" s="1651" t="s">
        <v>3395</v>
      </c>
      <c r="E729" s="1613">
        <v>288.62</v>
      </c>
      <c r="F729" s="1613">
        <v>-264.67</v>
      </c>
      <c r="G729" s="1613">
        <f t="shared" si="234"/>
        <v>23.949999999999989</v>
      </c>
      <c r="H729" s="1578">
        <v>2008</v>
      </c>
      <c r="I729" s="1662">
        <f t="shared" si="235"/>
        <v>7.5</v>
      </c>
      <c r="J729" s="1663">
        <v>96</v>
      </c>
      <c r="K729" s="1664">
        <f t="shared" si="236"/>
        <v>0.125</v>
      </c>
      <c r="L729" s="1613">
        <f t="shared" si="237"/>
        <v>36.077500000000001</v>
      </c>
      <c r="M729" s="1613">
        <f t="shared" si="238"/>
        <v>288.62</v>
      </c>
      <c r="N729" s="1613">
        <f t="shared" si="227"/>
        <v>-288.62</v>
      </c>
      <c r="O729" s="1652">
        <f t="shared" si="239"/>
        <v>0</v>
      </c>
      <c r="P729" s="1653">
        <f t="shared" si="240"/>
        <v>0</v>
      </c>
      <c r="Q729" s="1653">
        <f t="shared" si="241"/>
        <v>0</v>
      </c>
      <c r="R729" s="1653">
        <f t="shared" si="242"/>
        <v>0</v>
      </c>
      <c r="S729" s="1653">
        <f t="shared" si="243"/>
        <v>0</v>
      </c>
      <c r="T729" s="1653">
        <f t="shared" si="228"/>
        <v>0</v>
      </c>
      <c r="U729" s="1653">
        <f t="shared" si="229"/>
        <v>0</v>
      </c>
      <c r="V729" s="1653">
        <f t="shared" si="230"/>
        <v>0</v>
      </c>
      <c r="W729" s="1653">
        <f t="shared" si="231"/>
        <v>0</v>
      </c>
      <c r="X729" s="1653">
        <f t="shared" si="232"/>
        <v>0</v>
      </c>
      <c r="Y729" s="1653">
        <f t="shared" si="233"/>
        <v>0</v>
      </c>
    </row>
    <row r="730" spans="1:25" ht="15" hidden="1" outlineLevel="1">
      <c r="A730" s="1615">
        <v>722</v>
      </c>
      <c r="C730" s="1651" t="s">
        <v>3397</v>
      </c>
      <c r="D730" s="1651" t="s">
        <v>3395</v>
      </c>
      <c r="E730" s="1613">
        <v>81.34</v>
      </c>
      <c r="F730" s="1613">
        <v>-74.58</v>
      </c>
      <c r="G730" s="1613">
        <f t="shared" si="234"/>
        <v>6.7600000000000051</v>
      </c>
      <c r="H730" s="1578">
        <v>2008</v>
      </c>
      <c r="I730" s="1662">
        <f t="shared" si="235"/>
        <v>7.5</v>
      </c>
      <c r="J730" s="1663">
        <v>96</v>
      </c>
      <c r="K730" s="1664">
        <f t="shared" si="236"/>
        <v>0.125</v>
      </c>
      <c r="L730" s="1613">
        <f t="shared" si="237"/>
        <v>10.1675</v>
      </c>
      <c r="M730" s="1613">
        <f t="shared" si="238"/>
        <v>81.34</v>
      </c>
      <c r="N730" s="1613">
        <f t="shared" si="227"/>
        <v>-81.34</v>
      </c>
      <c r="O730" s="1652">
        <f t="shared" si="239"/>
        <v>0</v>
      </c>
      <c r="P730" s="1653">
        <f t="shared" si="240"/>
        <v>0</v>
      </c>
      <c r="Q730" s="1653">
        <f t="shared" si="241"/>
        <v>0</v>
      </c>
      <c r="R730" s="1653">
        <f t="shared" si="242"/>
        <v>0</v>
      </c>
      <c r="S730" s="1653">
        <f t="shared" si="243"/>
        <v>0</v>
      </c>
      <c r="T730" s="1653">
        <f t="shared" si="228"/>
        <v>0</v>
      </c>
      <c r="U730" s="1653">
        <f t="shared" si="229"/>
        <v>0</v>
      </c>
      <c r="V730" s="1653">
        <f t="shared" si="230"/>
        <v>0</v>
      </c>
      <c r="W730" s="1653">
        <f t="shared" si="231"/>
        <v>0</v>
      </c>
      <c r="X730" s="1653">
        <f t="shared" si="232"/>
        <v>0</v>
      </c>
      <c r="Y730" s="1653">
        <f t="shared" si="233"/>
        <v>0</v>
      </c>
    </row>
    <row r="731" spans="1:25" ht="15" hidden="1" outlineLevel="1">
      <c r="A731" s="1615">
        <v>723</v>
      </c>
      <c r="C731" s="1651" t="s">
        <v>3398</v>
      </c>
      <c r="D731" s="1651" t="s">
        <v>3399</v>
      </c>
      <c r="E731" s="1613">
        <v>15066608.039999999</v>
      </c>
      <c r="F731" s="1613">
        <v>-14140059.51</v>
      </c>
      <c r="G731" s="1613">
        <f t="shared" si="234"/>
        <v>926548.52999999933</v>
      </c>
      <c r="H731" s="1578">
        <v>2007</v>
      </c>
      <c r="I731" s="1662">
        <f t="shared" si="235"/>
        <v>8.5</v>
      </c>
      <c r="J731" s="1663">
        <v>96</v>
      </c>
      <c r="K731" s="1664">
        <f t="shared" si="236"/>
        <v>0.125</v>
      </c>
      <c r="L731" s="1613">
        <f t="shared" si="237"/>
        <v>0</v>
      </c>
      <c r="M731" s="1613">
        <f t="shared" si="238"/>
        <v>15066608.039999999</v>
      </c>
      <c r="N731" s="1613">
        <f t="shared" si="227"/>
        <v>-15066608.039999999</v>
      </c>
      <c r="O731" s="1652">
        <f t="shared" si="239"/>
        <v>0</v>
      </c>
      <c r="P731" s="1653">
        <f t="shared" si="240"/>
        <v>0</v>
      </c>
      <c r="Q731" s="1653">
        <f t="shared" si="241"/>
        <v>0</v>
      </c>
      <c r="R731" s="1653">
        <f t="shared" si="242"/>
        <v>0</v>
      </c>
      <c r="S731" s="1653">
        <f t="shared" si="243"/>
        <v>0</v>
      </c>
      <c r="T731" s="1653">
        <f t="shared" si="228"/>
        <v>0</v>
      </c>
      <c r="U731" s="1653">
        <f t="shared" si="229"/>
        <v>0</v>
      </c>
      <c r="V731" s="1653">
        <f t="shared" si="230"/>
        <v>0</v>
      </c>
      <c r="W731" s="1653">
        <f t="shared" si="231"/>
        <v>0</v>
      </c>
      <c r="X731" s="1653">
        <f t="shared" si="232"/>
        <v>0</v>
      </c>
      <c r="Y731" s="1653">
        <f t="shared" si="233"/>
        <v>0</v>
      </c>
    </row>
    <row r="732" spans="1:25" ht="15" hidden="1" outlineLevel="1">
      <c r="A732" s="1615">
        <v>724</v>
      </c>
      <c r="C732" s="1651" t="s">
        <v>3400</v>
      </c>
      <c r="D732" s="1651" t="s">
        <v>2465</v>
      </c>
      <c r="E732" s="1613">
        <v>584.39</v>
      </c>
      <c r="F732" s="1613">
        <v>-529.70000000000005</v>
      </c>
      <c r="G732" s="1613">
        <f t="shared" si="234"/>
        <v>54.689999999999941</v>
      </c>
      <c r="H732" s="1578">
        <v>2008</v>
      </c>
      <c r="I732" s="1662">
        <f t="shared" si="235"/>
        <v>7.5</v>
      </c>
      <c r="J732" s="1663">
        <v>96</v>
      </c>
      <c r="K732" s="1664">
        <f t="shared" si="236"/>
        <v>0.125</v>
      </c>
      <c r="L732" s="1613">
        <f t="shared" si="237"/>
        <v>73.048749999999998</v>
      </c>
      <c r="M732" s="1613">
        <f t="shared" si="238"/>
        <v>584.39</v>
      </c>
      <c r="N732" s="1613">
        <f t="shared" si="227"/>
        <v>-584.39</v>
      </c>
      <c r="O732" s="1652">
        <f t="shared" si="239"/>
        <v>0</v>
      </c>
      <c r="P732" s="1653">
        <f t="shared" si="240"/>
        <v>0</v>
      </c>
      <c r="Q732" s="1653">
        <f t="shared" si="241"/>
        <v>0</v>
      </c>
      <c r="R732" s="1653">
        <f t="shared" si="242"/>
        <v>0</v>
      </c>
      <c r="S732" s="1653">
        <f t="shared" si="243"/>
        <v>0</v>
      </c>
      <c r="T732" s="1653">
        <f t="shared" si="228"/>
        <v>0</v>
      </c>
      <c r="U732" s="1653">
        <f t="shared" si="229"/>
        <v>0</v>
      </c>
      <c r="V732" s="1653">
        <f t="shared" si="230"/>
        <v>0</v>
      </c>
      <c r="W732" s="1653">
        <f t="shared" si="231"/>
        <v>0</v>
      </c>
      <c r="X732" s="1653">
        <f t="shared" si="232"/>
        <v>0</v>
      </c>
      <c r="Y732" s="1653">
        <f t="shared" si="233"/>
        <v>0</v>
      </c>
    </row>
    <row r="733" spans="1:25" ht="15" hidden="1" outlineLevel="1">
      <c r="A733" s="1615">
        <v>725</v>
      </c>
      <c r="C733" s="1651" t="s">
        <v>3401</v>
      </c>
      <c r="D733" s="1651" t="s">
        <v>2618</v>
      </c>
      <c r="E733" s="1613">
        <v>1691.67</v>
      </c>
      <c r="F733" s="1613">
        <v>-1533.36</v>
      </c>
      <c r="G733" s="1613">
        <f t="shared" si="234"/>
        <v>158.31000000000017</v>
      </c>
      <c r="H733" s="1578">
        <v>2008</v>
      </c>
      <c r="I733" s="1662">
        <f t="shared" si="235"/>
        <v>7.5</v>
      </c>
      <c r="J733" s="1663">
        <v>96</v>
      </c>
      <c r="K733" s="1664">
        <f t="shared" si="236"/>
        <v>0.125</v>
      </c>
      <c r="L733" s="1613">
        <f t="shared" si="237"/>
        <v>211.45875000000001</v>
      </c>
      <c r="M733" s="1613">
        <f t="shared" si="238"/>
        <v>1691.67</v>
      </c>
      <c r="N733" s="1613">
        <f t="shared" si="227"/>
        <v>-1691.67</v>
      </c>
      <c r="O733" s="1652">
        <f t="shared" si="239"/>
        <v>0</v>
      </c>
      <c r="P733" s="1653">
        <f t="shared" si="240"/>
        <v>0</v>
      </c>
      <c r="Q733" s="1653">
        <f t="shared" si="241"/>
        <v>0</v>
      </c>
      <c r="R733" s="1653">
        <f t="shared" si="242"/>
        <v>0</v>
      </c>
      <c r="S733" s="1653">
        <f t="shared" si="243"/>
        <v>0</v>
      </c>
      <c r="T733" s="1653">
        <f t="shared" si="228"/>
        <v>0</v>
      </c>
      <c r="U733" s="1653">
        <f t="shared" si="229"/>
        <v>0</v>
      </c>
      <c r="V733" s="1653">
        <f t="shared" si="230"/>
        <v>0</v>
      </c>
      <c r="W733" s="1653">
        <f t="shared" si="231"/>
        <v>0</v>
      </c>
      <c r="X733" s="1653">
        <f t="shared" si="232"/>
        <v>0</v>
      </c>
      <c r="Y733" s="1653">
        <f t="shared" si="233"/>
        <v>0</v>
      </c>
    </row>
    <row r="734" spans="1:25" ht="15" hidden="1" outlineLevel="1">
      <c r="A734" s="1615">
        <v>726</v>
      </c>
      <c r="C734" s="1651" t="s">
        <v>3402</v>
      </c>
      <c r="D734" s="1651" t="s">
        <v>2465</v>
      </c>
      <c r="E734" s="1613">
        <v>1982.9</v>
      </c>
      <c r="F734" s="1613">
        <v>-1797.34</v>
      </c>
      <c r="G734" s="1613">
        <f t="shared" si="234"/>
        <v>185.56000000000017</v>
      </c>
      <c r="H734" s="1578">
        <v>2008</v>
      </c>
      <c r="I734" s="1662">
        <f t="shared" si="235"/>
        <v>7.5</v>
      </c>
      <c r="J734" s="1663">
        <v>96</v>
      </c>
      <c r="K734" s="1664">
        <f t="shared" si="236"/>
        <v>0.125</v>
      </c>
      <c r="L734" s="1613">
        <f t="shared" si="237"/>
        <v>247.86250000000001</v>
      </c>
      <c r="M734" s="1613">
        <f t="shared" si="238"/>
        <v>1982.9</v>
      </c>
      <c r="N734" s="1613">
        <f t="shared" si="227"/>
        <v>-1982.9</v>
      </c>
      <c r="O734" s="1652">
        <f t="shared" si="239"/>
        <v>0</v>
      </c>
      <c r="P734" s="1653">
        <f t="shared" si="240"/>
        <v>0</v>
      </c>
      <c r="Q734" s="1653">
        <f t="shared" si="241"/>
        <v>0</v>
      </c>
      <c r="R734" s="1653">
        <f t="shared" si="242"/>
        <v>0</v>
      </c>
      <c r="S734" s="1653">
        <f t="shared" si="243"/>
        <v>0</v>
      </c>
      <c r="T734" s="1653">
        <f t="shared" si="228"/>
        <v>0</v>
      </c>
      <c r="U734" s="1653">
        <f t="shared" si="229"/>
        <v>0</v>
      </c>
      <c r="V734" s="1653">
        <f t="shared" si="230"/>
        <v>0</v>
      </c>
      <c r="W734" s="1653">
        <f t="shared" si="231"/>
        <v>0</v>
      </c>
      <c r="X734" s="1653">
        <f t="shared" si="232"/>
        <v>0</v>
      </c>
      <c r="Y734" s="1653">
        <f t="shared" si="233"/>
        <v>0</v>
      </c>
    </row>
    <row r="735" spans="1:25" ht="15" hidden="1" outlineLevel="1">
      <c r="A735" s="1615">
        <v>727</v>
      </c>
      <c r="C735" s="1651" t="s">
        <v>3403</v>
      </c>
      <c r="D735" s="1651" t="s">
        <v>2465</v>
      </c>
      <c r="E735" s="1613">
        <v>9838.4500000000007</v>
      </c>
      <c r="F735" s="1613">
        <v>-8917.77</v>
      </c>
      <c r="G735" s="1613">
        <f t="shared" si="234"/>
        <v>920.68000000000029</v>
      </c>
      <c r="H735" s="1578">
        <v>2008</v>
      </c>
      <c r="I735" s="1662">
        <f t="shared" si="235"/>
        <v>7.5</v>
      </c>
      <c r="J735" s="1663">
        <v>96</v>
      </c>
      <c r="K735" s="1664">
        <f t="shared" si="236"/>
        <v>0.125</v>
      </c>
      <c r="L735" s="1613">
        <f t="shared" si="237"/>
        <v>1229.8062500000001</v>
      </c>
      <c r="M735" s="1613">
        <f t="shared" si="238"/>
        <v>9838.4500000000007</v>
      </c>
      <c r="N735" s="1613">
        <f t="shared" si="227"/>
        <v>-9838.4500000000007</v>
      </c>
      <c r="O735" s="1652">
        <f t="shared" si="239"/>
        <v>0</v>
      </c>
      <c r="P735" s="1653">
        <f t="shared" si="240"/>
        <v>0</v>
      </c>
      <c r="Q735" s="1653">
        <f t="shared" si="241"/>
        <v>0</v>
      </c>
      <c r="R735" s="1653">
        <f t="shared" si="242"/>
        <v>0</v>
      </c>
      <c r="S735" s="1653">
        <f t="shared" si="243"/>
        <v>0</v>
      </c>
      <c r="T735" s="1653">
        <f t="shared" si="228"/>
        <v>0</v>
      </c>
      <c r="U735" s="1653">
        <f t="shared" si="229"/>
        <v>0</v>
      </c>
      <c r="V735" s="1653">
        <f t="shared" si="230"/>
        <v>0</v>
      </c>
      <c r="W735" s="1653">
        <f t="shared" si="231"/>
        <v>0</v>
      </c>
      <c r="X735" s="1653">
        <f t="shared" si="232"/>
        <v>0</v>
      </c>
      <c r="Y735" s="1653">
        <f t="shared" si="233"/>
        <v>0</v>
      </c>
    </row>
    <row r="736" spans="1:25" ht="15" hidden="1" outlineLevel="1">
      <c r="A736" s="1615">
        <v>728</v>
      </c>
      <c r="C736" s="1651" t="s">
        <v>3404</v>
      </c>
      <c r="D736" s="1651" t="s">
        <v>2465</v>
      </c>
      <c r="E736" s="1613">
        <v>81.52</v>
      </c>
      <c r="F736" s="1613">
        <v>-73.89</v>
      </c>
      <c r="G736" s="1613">
        <f t="shared" si="234"/>
        <v>7.6299999999999955</v>
      </c>
      <c r="H736" s="1578">
        <v>2008</v>
      </c>
      <c r="I736" s="1662">
        <f t="shared" si="235"/>
        <v>7.5</v>
      </c>
      <c r="J736" s="1663">
        <v>96</v>
      </c>
      <c r="K736" s="1664">
        <f t="shared" si="236"/>
        <v>0.125</v>
      </c>
      <c r="L736" s="1613">
        <f t="shared" si="237"/>
        <v>10.19</v>
      </c>
      <c r="M736" s="1613">
        <f t="shared" si="238"/>
        <v>81.52</v>
      </c>
      <c r="N736" s="1613">
        <f t="shared" si="227"/>
        <v>-81.52</v>
      </c>
      <c r="O736" s="1652">
        <f t="shared" si="239"/>
        <v>0</v>
      </c>
      <c r="P736" s="1653">
        <f t="shared" si="240"/>
        <v>0</v>
      </c>
      <c r="Q736" s="1653">
        <f t="shared" si="241"/>
        <v>0</v>
      </c>
      <c r="R736" s="1653">
        <f t="shared" si="242"/>
        <v>0</v>
      </c>
      <c r="S736" s="1653">
        <f t="shared" si="243"/>
        <v>0</v>
      </c>
      <c r="T736" s="1653">
        <f t="shared" si="228"/>
        <v>0</v>
      </c>
      <c r="U736" s="1653">
        <f t="shared" si="229"/>
        <v>0</v>
      </c>
      <c r="V736" s="1653">
        <f t="shared" si="230"/>
        <v>0</v>
      </c>
      <c r="W736" s="1653">
        <f t="shared" si="231"/>
        <v>0</v>
      </c>
      <c r="X736" s="1653">
        <f t="shared" si="232"/>
        <v>0</v>
      </c>
      <c r="Y736" s="1653">
        <f t="shared" si="233"/>
        <v>0</v>
      </c>
    </row>
    <row r="737" spans="1:25" ht="15" hidden="1" outlineLevel="1">
      <c r="A737" s="1615">
        <v>729</v>
      </c>
      <c r="C737" s="1651" t="s">
        <v>3405</v>
      </c>
      <c r="D737" s="1651" t="s">
        <v>2465</v>
      </c>
      <c r="E737" s="1613">
        <v>315.33999999999997</v>
      </c>
      <c r="F737" s="1613">
        <v>-282.60000000000002</v>
      </c>
      <c r="G737" s="1613">
        <f t="shared" si="234"/>
        <v>32.739999999999952</v>
      </c>
      <c r="H737" s="1578">
        <v>2008</v>
      </c>
      <c r="I737" s="1662">
        <f t="shared" si="235"/>
        <v>7.5</v>
      </c>
      <c r="J737" s="1663">
        <v>96</v>
      </c>
      <c r="K737" s="1664">
        <f t="shared" si="236"/>
        <v>0.125</v>
      </c>
      <c r="L737" s="1613">
        <f t="shared" si="237"/>
        <v>39.417499999999997</v>
      </c>
      <c r="M737" s="1613">
        <f t="shared" si="238"/>
        <v>315.33999999999997</v>
      </c>
      <c r="N737" s="1613">
        <f t="shared" si="227"/>
        <v>-315.33999999999997</v>
      </c>
      <c r="O737" s="1652">
        <f t="shared" si="239"/>
        <v>0</v>
      </c>
      <c r="P737" s="1653">
        <f t="shared" si="240"/>
        <v>0</v>
      </c>
      <c r="Q737" s="1653">
        <f t="shared" si="241"/>
        <v>0</v>
      </c>
      <c r="R737" s="1653">
        <f t="shared" si="242"/>
        <v>0</v>
      </c>
      <c r="S737" s="1653">
        <f t="shared" si="243"/>
        <v>0</v>
      </c>
      <c r="T737" s="1653">
        <f t="shared" si="228"/>
        <v>0</v>
      </c>
      <c r="U737" s="1653">
        <f t="shared" si="229"/>
        <v>0</v>
      </c>
      <c r="V737" s="1653">
        <f t="shared" si="230"/>
        <v>0</v>
      </c>
      <c r="W737" s="1653">
        <f t="shared" si="231"/>
        <v>0</v>
      </c>
      <c r="X737" s="1653">
        <f t="shared" si="232"/>
        <v>0</v>
      </c>
      <c r="Y737" s="1653">
        <f t="shared" si="233"/>
        <v>0</v>
      </c>
    </row>
    <row r="738" spans="1:25" ht="15" hidden="1" outlineLevel="1">
      <c r="A738" s="1615">
        <v>730</v>
      </c>
      <c r="C738" s="1651" t="s">
        <v>3406</v>
      </c>
      <c r="D738" s="1651" t="s">
        <v>2465</v>
      </c>
      <c r="E738" s="1613">
        <v>140.97</v>
      </c>
      <c r="F738" s="1613">
        <v>-126.33</v>
      </c>
      <c r="G738" s="1613">
        <f t="shared" si="234"/>
        <v>14.64</v>
      </c>
      <c r="H738" s="1578">
        <v>2008</v>
      </c>
      <c r="I738" s="1662">
        <f t="shared" si="235"/>
        <v>7.5</v>
      </c>
      <c r="J738" s="1663">
        <v>96</v>
      </c>
      <c r="K738" s="1664">
        <f t="shared" si="236"/>
        <v>0.125</v>
      </c>
      <c r="L738" s="1613">
        <f t="shared" si="237"/>
        <v>17.62125</v>
      </c>
      <c r="M738" s="1613">
        <f t="shared" si="238"/>
        <v>140.97</v>
      </c>
      <c r="N738" s="1613">
        <f t="shared" si="227"/>
        <v>-140.97</v>
      </c>
      <c r="O738" s="1652">
        <f t="shared" si="239"/>
        <v>0</v>
      </c>
      <c r="P738" s="1653">
        <f t="shared" si="240"/>
        <v>0</v>
      </c>
      <c r="Q738" s="1653">
        <f t="shared" si="241"/>
        <v>0</v>
      </c>
      <c r="R738" s="1653">
        <f t="shared" si="242"/>
        <v>0</v>
      </c>
      <c r="S738" s="1653">
        <f t="shared" si="243"/>
        <v>0</v>
      </c>
      <c r="T738" s="1653">
        <f t="shared" si="228"/>
        <v>0</v>
      </c>
      <c r="U738" s="1653">
        <f t="shared" si="229"/>
        <v>0</v>
      </c>
      <c r="V738" s="1653">
        <f t="shared" si="230"/>
        <v>0</v>
      </c>
      <c r="W738" s="1653">
        <f t="shared" si="231"/>
        <v>0</v>
      </c>
      <c r="X738" s="1653">
        <f t="shared" si="232"/>
        <v>0</v>
      </c>
      <c r="Y738" s="1653">
        <f t="shared" si="233"/>
        <v>0</v>
      </c>
    </row>
    <row r="739" spans="1:25" ht="15" hidden="1" outlineLevel="1">
      <c r="A739" s="1615">
        <v>731</v>
      </c>
      <c r="C739" s="1651" t="s">
        <v>3407</v>
      </c>
      <c r="D739" s="1651" t="s">
        <v>2465</v>
      </c>
      <c r="E739" s="1613">
        <v>315.33999999999997</v>
      </c>
      <c r="F739" s="1613">
        <v>-282.60000000000002</v>
      </c>
      <c r="G739" s="1613">
        <f t="shared" si="234"/>
        <v>32.739999999999952</v>
      </c>
      <c r="H739" s="1578">
        <v>2008</v>
      </c>
      <c r="I739" s="1662">
        <f t="shared" si="235"/>
        <v>7.5</v>
      </c>
      <c r="J739" s="1663">
        <v>96</v>
      </c>
      <c r="K739" s="1664">
        <f t="shared" si="236"/>
        <v>0.125</v>
      </c>
      <c r="L739" s="1613">
        <f t="shared" si="237"/>
        <v>39.417499999999997</v>
      </c>
      <c r="M739" s="1613">
        <f t="shared" si="238"/>
        <v>315.33999999999997</v>
      </c>
      <c r="N739" s="1613">
        <f t="shared" si="227"/>
        <v>-315.33999999999997</v>
      </c>
      <c r="O739" s="1652">
        <f t="shared" si="239"/>
        <v>0</v>
      </c>
      <c r="P739" s="1653">
        <f t="shared" si="240"/>
        <v>0</v>
      </c>
      <c r="Q739" s="1653">
        <f t="shared" si="241"/>
        <v>0</v>
      </c>
      <c r="R739" s="1653">
        <f t="shared" si="242"/>
        <v>0</v>
      </c>
      <c r="S739" s="1653">
        <f t="shared" si="243"/>
        <v>0</v>
      </c>
      <c r="T739" s="1653">
        <f t="shared" si="228"/>
        <v>0</v>
      </c>
      <c r="U739" s="1653">
        <f t="shared" si="229"/>
        <v>0</v>
      </c>
      <c r="V739" s="1653">
        <f t="shared" si="230"/>
        <v>0</v>
      </c>
      <c r="W739" s="1653">
        <f t="shared" si="231"/>
        <v>0</v>
      </c>
      <c r="X739" s="1653">
        <f t="shared" si="232"/>
        <v>0</v>
      </c>
      <c r="Y739" s="1653">
        <f t="shared" si="233"/>
        <v>0</v>
      </c>
    </row>
    <row r="740" spans="1:25" ht="15" hidden="1" outlineLevel="1">
      <c r="A740" s="1615">
        <v>732</v>
      </c>
      <c r="C740" s="1651" t="s">
        <v>3408</v>
      </c>
      <c r="D740" s="1651" t="s">
        <v>2465</v>
      </c>
      <c r="E740" s="1613">
        <v>46.58</v>
      </c>
      <c r="F740" s="1613">
        <v>-41.75</v>
      </c>
      <c r="G740" s="1613">
        <f t="shared" si="234"/>
        <v>4.8299999999999983</v>
      </c>
      <c r="H740" s="1578">
        <v>2008</v>
      </c>
      <c r="I740" s="1662">
        <f t="shared" si="235"/>
        <v>7.5</v>
      </c>
      <c r="J740" s="1663">
        <v>96</v>
      </c>
      <c r="K740" s="1664">
        <f t="shared" si="236"/>
        <v>0.125</v>
      </c>
      <c r="L740" s="1613">
        <f t="shared" si="237"/>
        <v>5.8224999999999998</v>
      </c>
      <c r="M740" s="1613">
        <f t="shared" si="238"/>
        <v>46.58</v>
      </c>
      <c r="N740" s="1613">
        <f t="shared" si="227"/>
        <v>-46.58</v>
      </c>
      <c r="O740" s="1652">
        <f t="shared" si="239"/>
        <v>0</v>
      </c>
      <c r="P740" s="1653">
        <f t="shared" si="240"/>
        <v>0</v>
      </c>
      <c r="Q740" s="1653">
        <f t="shared" si="241"/>
        <v>0</v>
      </c>
      <c r="R740" s="1653">
        <f t="shared" si="242"/>
        <v>0</v>
      </c>
      <c r="S740" s="1653">
        <f t="shared" si="243"/>
        <v>0</v>
      </c>
      <c r="T740" s="1653">
        <f t="shared" si="228"/>
        <v>0</v>
      </c>
      <c r="U740" s="1653">
        <f t="shared" si="229"/>
        <v>0</v>
      </c>
      <c r="V740" s="1653">
        <f t="shared" si="230"/>
        <v>0</v>
      </c>
      <c r="W740" s="1653">
        <f t="shared" si="231"/>
        <v>0</v>
      </c>
      <c r="X740" s="1653">
        <f t="shared" si="232"/>
        <v>0</v>
      </c>
      <c r="Y740" s="1653">
        <f t="shared" si="233"/>
        <v>0</v>
      </c>
    </row>
    <row r="741" spans="1:25" ht="15" hidden="1" outlineLevel="1">
      <c r="A741" s="1615">
        <v>733</v>
      </c>
      <c r="C741" s="1651" t="s">
        <v>3409</v>
      </c>
      <c r="D741" s="1651" t="s">
        <v>2465</v>
      </c>
      <c r="E741" s="1613">
        <v>594.36</v>
      </c>
      <c r="F741" s="1613">
        <v>-532.66</v>
      </c>
      <c r="G741" s="1613">
        <f t="shared" si="234"/>
        <v>61.700000000000045</v>
      </c>
      <c r="H741" s="1578">
        <v>2008</v>
      </c>
      <c r="I741" s="1662">
        <f t="shared" si="235"/>
        <v>7.5</v>
      </c>
      <c r="J741" s="1663">
        <v>96</v>
      </c>
      <c r="K741" s="1664">
        <f t="shared" si="236"/>
        <v>0.125</v>
      </c>
      <c r="L741" s="1613">
        <f t="shared" si="237"/>
        <v>74.295000000000002</v>
      </c>
      <c r="M741" s="1613">
        <f t="shared" si="238"/>
        <v>594.36</v>
      </c>
      <c r="N741" s="1613">
        <f t="shared" si="227"/>
        <v>-594.36</v>
      </c>
      <c r="O741" s="1652">
        <f t="shared" si="239"/>
        <v>0</v>
      </c>
      <c r="P741" s="1653">
        <f t="shared" si="240"/>
        <v>0</v>
      </c>
      <c r="Q741" s="1653">
        <f t="shared" si="241"/>
        <v>0</v>
      </c>
      <c r="R741" s="1653">
        <f t="shared" si="242"/>
        <v>0</v>
      </c>
      <c r="S741" s="1653">
        <f t="shared" si="243"/>
        <v>0</v>
      </c>
      <c r="T741" s="1653">
        <f t="shared" si="228"/>
        <v>0</v>
      </c>
      <c r="U741" s="1653">
        <f t="shared" si="229"/>
        <v>0</v>
      </c>
      <c r="V741" s="1653">
        <f t="shared" si="230"/>
        <v>0</v>
      </c>
      <c r="W741" s="1653">
        <f t="shared" si="231"/>
        <v>0</v>
      </c>
      <c r="X741" s="1653">
        <f t="shared" si="232"/>
        <v>0</v>
      </c>
      <c r="Y741" s="1653">
        <f t="shared" si="233"/>
        <v>0</v>
      </c>
    </row>
    <row r="742" spans="1:25" ht="15" hidden="1" outlineLevel="1">
      <c r="A742" s="1615">
        <v>734</v>
      </c>
      <c r="C742" s="1651" t="s">
        <v>3410</v>
      </c>
      <c r="D742" s="1651" t="s">
        <v>2465</v>
      </c>
      <c r="E742" s="1613">
        <v>592.46</v>
      </c>
      <c r="F742" s="1613">
        <v>-530.95000000000005</v>
      </c>
      <c r="G742" s="1613">
        <f t="shared" si="234"/>
        <v>61.509999999999991</v>
      </c>
      <c r="H742" s="1578">
        <v>2008</v>
      </c>
      <c r="I742" s="1662">
        <f t="shared" si="235"/>
        <v>7.5</v>
      </c>
      <c r="J742" s="1663">
        <v>96</v>
      </c>
      <c r="K742" s="1664">
        <f t="shared" si="236"/>
        <v>0.125</v>
      </c>
      <c r="L742" s="1613">
        <f t="shared" si="237"/>
        <v>74.057500000000005</v>
      </c>
      <c r="M742" s="1613">
        <f t="shared" si="238"/>
        <v>592.46</v>
      </c>
      <c r="N742" s="1613">
        <f t="shared" si="227"/>
        <v>-592.46</v>
      </c>
      <c r="O742" s="1652">
        <f t="shared" si="239"/>
        <v>0</v>
      </c>
      <c r="P742" s="1653">
        <f t="shared" si="240"/>
        <v>0</v>
      </c>
      <c r="Q742" s="1653">
        <f t="shared" si="241"/>
        <v>0</v>
      </c>
      <c r="R742" s="1653">
        <f t="shared" si="242"/>
        <v>0</v>
      </c>
      <c r="S742" s="1653">
        <f t="shared" si="243"/>
        <v>0</v>
      </c>
      <c r="T742" s="1653">
        <f t="shared" si="228"/>
        <v>0</v>
      </c>
      <c r="U742" s="1653">
        <f t="shared" si="229"/>
        <v>0</v>
      </c>
      <c r="V742" s="1653">
        <f t="shared" si="230"/>
        <v>0</v>
      </c>
      <c r="W742" s="1653">
        <f t="shared" si="231"/>
        <v>0</v>
      </c>
      <c r="X742" s="1653">
        <f t="shared" si="232"/>
        <v>0</v>
      </c>
      <c r="Y742" s="1653">
        <f t="shared" si="233"/>
        <v>0</v>
      </c>
    </row>
    <row r="743" spans="1:25" ht="15" hidden="1" outlineLevel="1">
      <c r="A743" s="1615">
        <v>735</v>
      </c>
      <c r="C743" s="1651" t="s">
        <v>3411</v>
      </c>
      <c r="D743" s="1651" t="s">
        <v>2465</v>
      </c>
      <c r="E743" s="1613">
        <v>1173.02</v>
      </c>
      <c r="F743" s="1613">
        <v>-1051.22</v>
      </c>
      <c r="G743" s="1613">
        <f t="shared" si="234"/>
        <v>121.79999999999995</v>
      </c>
      <c r="H743" s="1578">
        <v>2008</v>
      </c>
      <c r="I743" s="1662">
        <f t="shared" si="235"/>
        <v>7.5</v>
      </c>
      <c r="J743" s="1663">
        <v>96</v>
      </c>
      <c r="K743" s="1664">
        <f t="shared" si="236"/>
        <v>0.125</v>
      </c>
      <c r="L743" s="1613">
        <f t="shared" si="237"/>
        <v>146.6275</v>
      </c>
      <c r="M743" s="1613">
        <f t="shared" si="238"/>
        <v>1173.02</v>
      </c>
      <c r="N743" s="1613">
        <f t="shared" si="227"/>
        <v>-1173.02</v>
      </c>
      <c r="O743" s="1652">
        <f t="shared" si="239"/>
        <v>0</v>
      </c>
      <c r="P743" s="1653">
        <f t="shared" si="240"/>
        <v>0</v>
      </c>
      <c r="Q743" s="1653">
        <f t="shared" si="241"/>
        <v>0</v>
      </c>
      <c r="R743" s="1653">
        <f t="shared" si="242"/>
        <v>0</v>
      </c>
      <c r="S743" s="1653">
        <f t="shared" si="243"/>
        <v>0</v>
      </c>
      <c r="T743" s="1653">
        <f t="shared" si="228"/>
        <v>0</v>
      </c>
      <c r="U743" s="1653">
        <f t="shared" si="229"/>
        <v>0</v>
      </c>
      <c r="V743" s="1653">
        <f t="shared" si="230"/>
        <v>0</v>
      </c>
      <c r="W743" s="1653">
        <f t="shared" si="231"/>
        <v>0</v>
      </c>
      <c r="X743" s="1653">
        <f t="shared" si="232"/>
        <v>0</v>
      </c>
      <c r="Y743" s="1653">
        <f t="shared" si="233"/>
        <v>0</v>
      </c>
    </row>
    <row r="744" spans="1:25" ht="15" hidden="1" outlineLevel="1">
      <c r="A744" s="1615">
        <v>736</v>
      </c>
      <c r="C744" s="1651" t="s">
        <v>3412</v>
      </c>
      <c r="D744" s="1651" t="s">
        <v>2465</v>
      </c>
      <c r="E744" s="1613">
        <v>1219.27</v>
      </c>
      <c r="F744" s="1613">
        <v>-1079.76</v>
      </c>
      <c r="G744" s="1613">
        <f t="shared" si="234"/>
        <v>139.51</v>
      </c>
      <c r="H744" s="1578">
        <v>2008</v>
      </c>
      <c r="I744" s="1662">
        <f t="shared" si="235"/>
        <v>7.5</v>
      </c>
      <c r="J744" s="1663">
        <v>96</v>
      </c>
      <c r="K744" s="1664">
        <f t="shared" si="236"/>
        <v>0.125</v>
      </c>
      <c r="L744" s="1613">
        <f t="shared" si="237"/>
        <v>152.40875</v>
      </c>
      <c r="M744" s="1613">
        <f t="shared" si="238"/>
        <v>1219.27</v>
      </c>
      <c r="N744" s="1613">
        <f t="shared" si="227"/>
        <v>-1219.27</v>
      </c>
      <c r="O744" s="1652">
        <f t="shared" si="239"/>
        <v>0</v>
      </c>
      <c r="P744" s="1653">
        <f t="shared" si="240"/>
        <v>0</v>
      </c>
      <c r="Q744" s="1653">
        <f t="shared" si="241"/>
        <v>0</v>
      </c>
      <c r="R744" s="1653">
        <f t="shared" si="242"/>
        <v>0</v>
      </c>
      <c r="S744" s="1653">
        <f t="shared" si="243"/>
        <v>0</v>
      </c>
      <c r="T744" s="1653">
        <f t="shared" si="228"/>
        <v>0</v>
      </c>
      <c r="U744" s="1653">
        <f t="shared" si="229"/>
        <v>0</v>
      </c>
      <c r="V744" s="1653">
        <f t="shared" si="230"/>
        <v>0</v>
      </c>
      <c r="W744" s="1653">
        <f t="shared" si="231"/>
        <v>0</v>
      </c>
      <c r="X744" s="1653">
        <f t="shared" si="232"/>
        <v>0</v>
      </c>
      <c r="Y744" s="1653">
        <f t="shared" si="233"/>
        <v>0</v>
      </c>
    </row>
    <row r="745" spans="1:25" ht="15" hidden="1" outlineLevel="1">
      <c r="A745" s="1615">
        <v>737</v>
      </c>
      <c r="C745" s="1651" t="s">
        <v>3413</v>
      </c>
      <c r="D745" s="1651" t="s">
        <v>3414</v>
      </c>
      <c r="E745" s="1613">
        <v>1200</v>
      </c>
      <c r="F745" s="1613">
        <v>-1062.7</v>
      </c>
      <c r="G745" s="1613">
        <f t="shared" si="234"/>
        <v>137.29999999999995</v>
      </c>
      <c r="H745" s="1578">
        <v>2008</v>
      </c>
      <c r="I745" s="1662">
        <f t="shared" si="235"/>
        <v>7.5</v>
      </c>
      <c r="J745" s="1663">
        <v>96</v>
      </c>
      <c r="K745" s="1664">
        <f t="shared" si="236"/>
        <v>0.125</v>
      </c>
      <c r="L745" s="1613">
        <f t="shared" si="237"/>
        <v>150</v>
      </c>
      <c r="M745" s="1613">
        <f t="shared" si="238"/>
        <v>1200</v>
      </c>
      <c r="N745" s="1613">
        <f t="shared" si="227"/>
        <v>-1200</v>
      </c>
      <c r="O745" s="1652">
        <f t="shared" si="239"/>
        <v>0</v>
      </c>
      <c r="P745" s="1653">
        <f t="shared" si="240"/>
        <v>0</v>
      </c>
      <c r="Q745" s="1653">
        <f t="shared" si="241"/>
        <v>0</v>
      </c>
      <c r="R745" s="1653">
        <f t="shared" si="242"/>
        <v>0</v>
      </c>
      <c r="S745" s="1653">
        <f t="shared" si="243"/>
        <v>0</v>
      </c>
      <c r="T745" s="1653">
        <f t="shared" si="228"/>
        <v>0</v>
      </c>
      <c r="U745" s="1653">
        <f t="shared" si="229"/>
        <v>0</v>
      </c>
      <c r="V745" s="1653">
        <f t="shared" si="230"/>
        <v>0</v>
      </c>
      <c r="W745" s="1653">
        <f t="shared" si="231"/>
        <v>0</v>
      </c>
      <c r="X745" s="1653">
        <f t="shared" si="232"/>
        <v>0</v>
      </c>
      <c r="Y745" s="1653">
        <f t="shared" si="233"/>
        <v>0</v>
      </c>
    </row>
    <row r="746" spans="1:25" ht="15" hidden="1" outlineLevel="1">
      <c r="A746" s="1615">
        <v>738</v>
      </c>
      <c r="C746" s="1651" t="s">
        <v>3415</v>
      </c>
      <c r="D746" s="1651" t="s">
        <v>3416</v>
      </c>
      <c r="E746" s="1613">
        <v>1582.78</v>
      </c>
      <c r="F746" s="1613">
        <v>-1401.68</v>
      </c>
      <c r="G746" s="1613">
        <f t="shared" si="234"/>
        <v>181.09999999999991</v>
      </c>
      <c r="H746" s="1578">
        <v>2008</v>
      </c>
      <c r="I746" s="1662">
        <f t="shared" si="235"/>
        <v>7.5</v>
      </c>
      <c r="J746" s="1663">
        <v>96</v>
      </c>
      <c r="K746" s="1664">
        <f t="shared" si="236"/>
        <v>0.125</v>
      </c>
      <c r="L746" s="1613">
        <f t="shared" si="237"/>
        <v>197.8475</v>
      </c>
      <c r="M746" s="1613">
        <f t="shared" si="238"/>
        <v>1582.78</v>
      </c>
      <c r="N746" s="1613">
        <f t="shared" si="227"/>
        <v>-1582.78</v>
      </c>
      <c r="O746" s="1652">
        <f t="shared" si="239"/>
        <v>0</v>
      </c>
      <c r="P746" s="1653">
        <f t="shared" si="240"/>
        <v>0</v>
      </c>
      <c r="Q746" s="1653">
        <f t="shared" si="241"/>
        <v>0</v>
      </c>
      <c r="R746" s="1653">
        <f t="shared" si="242"/>
        <v>0</v>
      </c>
      <c r="S746" s="1653">
        <f t="shared" si="243"/>
        <v>0</v>
      </c>
      <c r="T746" s="1653">
        <f t="shared" si="228"/>
        <v>0</v>
      </c>
      <c r="U746" s="1653">
        <f t="shared" si="229"/>
        <v>0</v>
      </c>
      <c r="V746" s="1653">
        <f t="shared" si="230"/>
        <v>0</v>
      </c>
      <c r="W746" s="1653">
        <f t="shared" si="231"/>
        <v>0</v>
      </c>
      <c r="X746" s="1653">
        <f t="shared" si="232"/>
        <v>0</v>
      </c>
      <c r="Y746" s="1653">
        <f t="shared" si="233"/>
        <v>0</v>
      </c>
    </row>
    <row r="747" spans="1:25" ht="15" hidden="1" outlineLevel="1">
      <c r="A747" s="1615">
        <v>739</v>
      </c>
      <c r="C747" s="1651" t="s">
        <v>3417</v>
      </c>
      <c r="D747" s="1651" t="s">
        <v>3418</v>
      </c>
      <c r="E747" s="1613">
        <v>7359.56</v>
      </c>
      <c r="F747" s="1613">
        <v>-6517.54</v>
      </c>
      <c r="G747" s="1613">
        <f t="shared" si="234"/>
        <v>842.02000000000044</v>
      </c>
      <c r="H747" s="1578">
        <v>2008</v>
      </c>
      <c r="I747" s="1662">
        <f t="shared" si="235"/>
        <v>7.5</v>
      </c>
      <c r="J747" s="1663">
        <v>96</v>
      </c>
      <c r="K747" s="1664">
        <f t="shared" si="236"/>
        <v>0.125</v>
      </c>
      <c r="L747" s="1613">
        <f t="shared" si="237"/>
        <v>919.94500000000005</v>
      </c>
      <c r="M747" s="1613">
        <f t="shared" si="238"/>
        <v>7359.56</v>
      </c>
      <c r="N747" s="1613">
        <f t="shared" si="227"/>
        <v>-7359.56</v>
      </c>
      <c r="O747" s="1652">
        <f t="shared" si="239"/>
        <v>0</v>
      </c>
      <c r="P747" s="1653">
        <f t="shared" si="240"/>
        <v>0</v>
      </c>
      <c r="Q747" s="1653">
        <f t="shared" si="241"/>
        <v>0</v>
      </c>
      <c r="R747" s="1653">
        <f t="shared" si="242"/>
        <v>0</v>
      </c>
      <c r="S747" s="1653">
        <f t="shared" si="243"/>
        <v>0</v>
      </c>
      <c r="T747" s="1653">
        <f t="shared" si="228"/>
        <v>0</v>
      </c>
      <c r="U747" s="1653">
        <f t="shared" si="229"/>
        <v>0</v>
      </c>
      <c r="V747" s="1653">
        <f t="shared" si="230"/>
        <v>0</v>
      </c>
      <c r="W747" s="1653">
        <f t="shared" si="231"/>
        <v>0</v>
      </c>
      <c r="X747" s="1653">
        <f t="shared" si="232"/>
        <v>0</v>
      </c>
      <c r="Y747" s="1653">
        <f t="shared" si="233"/>
        <v>0</v>
      </c>
    </row>
    <row r="748" spans="1:25" ht="15" hidden="1" outlineLevel="1">
      <c r="A748" s="1615">
        <v>740</v>
      </c>
      <c r="C748" s="1651" t="s">
        <v>3419</v>
      </c>
      <c r="D748" s="1651" t="s">
        <v>3420</v>
      </c>
      <c r="E748" s="1613">
        <v>595.67999999999995</v>
      </c>
      <c r="F748" s="1613">
        <v>-521.41999999999996</v>
      </c>
      <c r="G748" s="1613">
        <f t="shared" si="234"/>
        <v>74.259999999999991</v>
      </c>
      <c r="H748" s="1578">
        <v>2008</v>
      </c>
      <c r="I748" s="1662">
        <f t="shared" si="235"/>
        <v>7.5</v>
      </c>
      <c r="J748" s="1663">
        <v>96</v>
      </c>
      <c r="K748" s="1664">
        <f t="shared" si="236"/>
        <v>0.125</v>
      </c>
      <c r="L748" s="1613">
        <f t="shared" si="237"/>
        <v>74.459999999999994</v>
      </c>
      <c r="M748" s="1613">
        <f t="shared" si="238"/>
        <v>595.67999999999995</v>
      </c>
      <c r="N748" s="1613">
        <f t="shared" si="227"/>
        <v>-595.67999999999995</v>
      </c>
      <c r="O748" s="1652">
        <f t="shared" si="239"/>
        <v>0</v>
      </c>
      <c r="P748" s="1653">
        <f t="shared" si="240"/>
        <v>0</v>
      </c>
      <c r="Q748" s="1653">
        <f t="shared" si="241"/>
        <v>0</v>
      </c>
      <c r="R748" s="1653">
        <f t="shared" si="242"/>
        <v>0</v>
      </c>
      <c r="S748" s="1653">
        <f t="shared" si="243"/>
        <v>0</v>
      </c>
      <c r="T748" s="1653">
        <f t="shared" si="228"/>
        <v>0</v>
      </c>
      <c r="U748" s="1653">
        <f t="shared" si="229"/>
        <v>0</v>
      </c>
      <c r="V748" s="1653">
        <f t="shared" si="230"/>
        <v>0</v>
      </c>
      <c r="W748" s="1653">
        <f t="shared" si="231"/>
        <v>0</v>
      </c>
      <c r="X748" s="1653">
        <f t="shared" si="232"/>
        <v>0</v>
      </c>
      <c r="Y748" s="1653">
        <f t="shared" si="233"/>
        <v>0</v>
      </c>
    </row>
    <row r="749" spans="1:25" ht="15" hidden="1" outlineLevel="1">
      <c r="A749" s="1615">
        <v>741</v>
      </c>
      <c r="C749" s="1651" t="s">
        <v>3421</v>
      </c>
      <c r="D749" s="1651" t="s">
        <v>3414</v>
      </c>
      <c r="E749" s="1613">
        <v>1465.97</v>
      </c>
      <c r="F749" s="1613">
        <v>-1283.22</v>
      </c>
      <c r="G749" s="1613">
        <f t="shared" si="234"/>
        <v>182.75</v>
      </c>
      <c r="H749" s="1578">
        <v>2008</v>
      </c>
      <c r="I749" s="1662">
        <f t="shared" si="235"/>
        <v>7.5</v>
      </c>
      <c r="J749" s="1663">
        <v>96</v>
      </c>
      <c r="K749" s="1664">
        <f t="shared" si="236"/>
        <v>0.125</v>
      </c>
      <c r="L749" s="1613">
        <f t="shared" si="237"/>
        <v>183.24625</v>
      </c>
      <c r="M749" s="1613">
        <f t="shared" si="238"/>
        <v>1465.97</v>
      </c>
      <c r="N749" s="1613">
        <f t="shared" si="227"/>
        <v>-1465.97</v>
      </c>
      <c r="O749" s="1652">
        <f t="shared" si="239"/>
        <v>0</v>
      </c>
      <c r="P749" s="1653">
        <f t="shared" si="240"/>
        <v>0</v>
      </c>
      <c r="Q749" s="1653">
        <f t="shared" si="241"/>
        <v>0</v>
      </c>
      <c r="R749" s="1653">
        <f t="shared" si="242"/>
        <v>0</v>
      </c>
      <c r="S749" s="1653">
        <f t="shared" si="243"/>
        <v>0</v>
      </c>
      <c r="T749" s="1653">
        <f t="shared" si="228"/>
        <v>0</v>
      </c>
      <c r="U749" s="1653">
        <f t="shared" si="229"/>
        <v>0</v>
      </c>
      <c r="V749" s="1653">
        <f t="shared" si="230"/>
        <v>0</v>
      </c>
      <c r="W749" s="1653">
        <f t="shared" si="231"/>
        <v>0</v>
      </c>
      <c r="X749" s="1653">
        <f t="shared" si="232"/>
        <v>0</v>
      </c>
      <c r="Y749" s="1653">
        <f t="shared" si="233"/>
        <v>0</v>
      </c>
    </row>
    <row r="750" spans="1:25" ht="15" hidden="1" outlineLevel="1">
      <c r="A750" s="1615">
        <v>742</v>
      </c>
      <c r="C750" s="1651" t="s">
        <v>3422</v>
      </c>
      <c r="D750" s="1651" t="s">
        <v>2465</v>
      </c>
      <c r="E750" s="1613">
        <v>843.12</v>
      </c>
      <c r="F750" s="1613">
        <v>-738.01</v>
      </c>
      <c r="G750" s="1613">
        <f t="shared" si="234"/>
        <v>105.11000000000001</v>
      </c>
      <c r="H750" s="1578">
        <v>2008</v>
      </c>
      <c r="I750" s="1662">
        <f t="shared" si="235"/>
        <v>7.5</v>
      </c>
      <c r="J750" s="1663">
        <v>96</v>
      </c>
      <c r="K750" s="1664">
        <f t="shared" si="236"/>
        <v>0.125</v>
      </c>
      <c r="L750" s="1613">
        <f t="shared" si="237"/>
        <v>105.39</v>
      </c>
      <c r="M750" s="1613">
        <f t="shared" si="238"/>
        <v>843.12</v>
      </c>
      <c r="N750" s="1613">
        <f t="shared" si="227"/>
        <v>-843.12</v>
      </c>
      <c r="O750" s="1652">
        <f t="shared" si="239"/>
        <v>0</v>
      </c>
      <c r="P750" s="1653">
        <f t="shared" si="240"/>
        <v>0</v>
      </c>
      <c r="Q750" s="1653">
        <f t="shared" si="241"/>
        <v>0</v>
      </c>
      <c r="R750" s="1653">
        <f t="shared" si="242"/>
        <v>0</v>
      </c>
      <c r="S750" s="1653">
        <f t="shared" si="243"/>
        <v>0</v>
      </c>
      <c r="T750" s="1653">
        <f t="shared" si="228"/>
        <v>0</v>
      </c>
      <c r="U750" s="1653">
        <f t="shared" si="229"/>
        <v>0</v>
      </c>
      <c r="V750" s="1653">
        <f t="shared" si="230"/>
        <v>0</v>
      </c>
      <c r="W750" s="1653">
        <f t="shared" si="231"/>
        <v>0</v>
      </c>
      <c r="X750" s="1653">
        <f t="shared" si="232"/>
        <v>0</v>
      </c>
      <c r="Y750" s="1653">
        <f t="shared" si="233"/>
        <v>0</v>
      </c>
    </row>
    <row r="751" spans="1:25" ht="15" hidden="1" outlineLevel="1">
      <c r="A751" s="1615">
        <v>743</v>
      </c>
      <c r="C751" s="1651" t="s">
        <v>3423</v>
      </c>
      <c r="D751" s="1651" t="s">
        <v>2465</v>
      </c>
      <c r="E751" s="1613">
        <v>843.12</v>
      </c>
      <c r="F751" s="1613">
        <v>-738.01</v>
      </c>
      <c r="G751" s="1613">
        <f t="shared" si="234"/>
        <v>105.11000000000001</v>
      </c>
      <c r="H751" s="1578">
        <v>2008</v>
      </c>
      <c r="I751" s="1662">
        <f t="shared" si="235"/>
        <v>7.5</v>
      </c>
      <c r="J751" s="1663">
        <v>96</v>
      </c>
      <c r="K751" s="1664">
        <f t="shared" si="236"/>
        <v>0.125</v>
      </c>
      <c r="L751" s="1613">
        <f t="shared" si="237"/>
        <v>105.39</v>
      </c>
      <c r="M751" s="1613">
        <f t="shared" si="238"/>
        <v>843.12</v>
      </c>
      <c r="N751" s="1613">
        <f t="shared" si="227"/>
        <v>-843.12</v>
      </c>
      <c r="O751" s="1652">
        <f t="shared" si="239"/>
        <v>0</v>
      </c>
      <c r="P751" s="1653">
        <f t="shared" si="240"/>
        <v>0</v>
      </c>
      <c r="Q751" s="1653">
        <f t="shared" si="241"/>
        <v>0</v>
      </c>
      <c r="R751" s="1653">
        <f t="shared" si="242"/>
        <v>0</v>
      </c>
      <c r="S751" s="1653">
        <f t="shared" si="243"/>
        <v>0</v>
      </c>
      <c r="T751" s="1653">
        <f t="shared" si="228"/>
        <v>0</v>
      </c>
      <c r="U751" s="1653">
        <f t="shared" si="229"/>
        <v>0</v>
      </c>
      <c r="V751" s="1653">
        <f t="shared" si="230"/>
        <v>0</v>
      </c>
      <c r="W751" s="1653">
        <f t="shared" si="231"/>
        <v>0</v>
      </c>
      <c r="X751" s="1653">
        <f t="shared" si="232"/>
        <v>0</v>
      </c>
      <c r="Y751" s="1653">
        <f t="shared" si="233"/>
        <v>0</v>
      </c>
    </row>
    <row r="752" spans="1:25" ht="15" hidden="1" outlineLevel="1">
      <c r="A752" s="1615">
        <v>744</v>
      </c>
      <c r="C752" s="1651" t="s">
        <v>3424</v>
      </c>
      <c r="D752" s="1651" t="s">
        <v>2465</v>
      </c>
      <c r="E752" s="1613">
        <v>1465.98</v>
      </c>
      <c r="F752" s="1613">
        <v>-1283.23</v>
      </c>
      <c r="G752" s="1613">
        <f t="shared" si="234"/>
        <v>182.75</v>
      </c>
      <c r="H752" s="1578">
        <v>2008</v>
      </c>
      <c r="I752" s="1662">
        <f t="shared" si="235"/>
        <v>7.5</v>
      </c>
      <c r="J752" s="1663">
        <v>96</v>
      </c>
      <c r="K752" s="1664">
        <f t="shared" si="236"/>
        <v>0.125</v>
      </c>
      <c r="L752" s="1613">
        <f t="shared" si="237"/>
        <v>183.2475</v>
      </c>
      <c r="M752" s="1613">
        <f t="shared" si="238"/>
        <v>1465.98</v>
      </c>
      <c r="N752" s="1613">
        <f t="shared" si="227"/>
        <v>-1465.98</v>
      </c>
      <c r="O752" s="1652">
        <f t="shared" si="239"/>
        <v>0</v>
      </c>
      <c r="P752" s="1653">
        <f t="shared" si="240"/>
        <v>0</v>
      </c>
      <c r="Q752" s="1653">
        <f t="shared" si="241"/>
        <v>0</v>
      </c>
      <c r="R752" s="1653">
        <f t="shared" si="242"/>
        <v>0</v>
      </c>
      <c r="S752" s="1653">
        <f t="shared" si="243"/>
        <v>0</v>
      </c>
      <c r="T752" s="1653">
        <f t="shared" si="228"/>
        <v>0</v>
      </c>
      <c r="U752" s="1653">
        <f t="shared" si="229"/>
        <v>0</v>
      </c>
      <c r="V752" s="1653">
        <f t="shared" si="230"/>
        <v>0</v>
      </c>
      <c r="W752" s="1653">
        <f t="shared" si="231"/>
        <v>0</v>
      </c>
      <c r="X752" s="1653">
        <f t="shared" si="232"/>
        <v>0</v>
      </c>
      <c r="Y752" s="1653">
        <f t="shared" si="233"/>
        <v>0</v>
      </c>
    </row>
    <row r="753" spans="1:25" ht="15" hidden="1" outlineLevel="1">
      <c r="A753" s="1615">
        <v>745</v>
      </c>
      <c r="C753" s="1651" t="s">
        <v>3425</v>
      </c>
      <c r="D753" s="1651" t="s">
        <v>2465</v>
      </c>
      <c r="E753" s="1613">
        <v>641.79999999999995</v>
      </c>
      <c r="F753" s="1613">
        <v>-561.79999999999995</v>
      </c>
      <c r="G753" s="1613">
        <f t="shared" si="234"/>
        <v>80</v>
      </c>
      <c r="H753" s="1578">
        <v>2008</v>
      </c>
      <c r="I753" s="1662">
        <f t="shared" si="235"/>
        <v>7.5</v>
      </c>
      <c r="J753" s="1663">
        <v>96</v>
      </c>
      <c r="K753" s="1664">
        <f t="shared" si="236"/>
        <v>0.125</v>
      </c>
      <c r="L753" s="1613">
        <f t="shared" si="237"/>
        <v>80.224999999999994</v>
      </c>
      <c r="M753" s="1613">
        <f t="shared" si="238"/>
        <v>641.79999999999995</v>
      </c>
      <c r="N753" s="1613">
        <f t="shared" si="227"/>
        <v>-641.79999999999995</v>
      </c>
      <c r="O753" s="1652">
        <f t="shared" si="239"/>
        <v>0</v>
      </c>
      <c r="P753" s="1653">
        <f t="shared" si="240"/>
        <v>0</v>
      </c>
      <c r="Q753" s="1653">
        <f t="shared" si="241"/>
        <v>0</v>
      </c>
      <c r="R753" s="1653">
        <f t="shared" si="242"/>
        <v>0</v>
      </c>
      <c r="S753" s="1653">
        <f t="shared" si="243"/>
        <v>0</v>
      </c>
      <c r="T753" s="1653">
        <f t="shared" si="228"/>
        <v>0</v>
      </c>
      <c r="U753" s="1653">
        <f t="shared" si="229"/>
        <v>0</v>
      </c>
      <c r="V753" s="1653">
        <f t="shared" si="230"/>
        <v>0</v>
      </c>
      <c r="W753" s="1653">
        <f t="shared" si="231"/>
        <v>0</v>
      </c>
      <c r="X753" s="1653">
        <f t="shared" si="232"/>
        <v>0</v>
      </c>
      <c r="Y753" s="1653">
        <f t="shared" si="233"/>
        <v>0</v>
      </c>
    </row>
    <row r="754" spans="1:25" ht="15" hidden="1" outlineLevel="1">
      <c r="A754" s="1615">
        <v>746</v>
      </c>
      <c r="C754" s="1651" t="s">
        <v>3426</v>
      </c>
      <c r="D754" s="1651" t="s">
        <v>2465</v>
      </c>
      <c r="E754" s="1613">
        <v>1450.49</v>
      </c>
      <c r="F754" s="1613">
        <v>-1269.68</v>
      </c>
      <c r="G754" s="1613">
        <f t="shared" si="234"/>
        <v>180.80999999999995</v>
      </c>
      <c r="H754" s="1578">
        <v>2008</v>
      </c>
      <c r="I754" s="1662">
        <f t="shared" si="235"/>
        <v>7.5</v>
      </c>
      <c r="J754" s="1663">
        <v>96</v>
      </c>
      <c r="K754" s="1664">
        <f t="shared" si="236"/>
        <v>0.125</v>
      </c>
      <c r="L754" s="1613">
        <f t="shared" si="237"/>
        <v>181.31125</v>
      </c>
      <c r="M754" s="1613">
        <f t="shared" si="238"/>
        <v>1450.49</v>
      </c>
      <c r="N754" s="1613">
        <f t="shared" si="227"/>
        <v>-1450.49</v>
      </c>
      <c r="O754" s="1652">
        <f t="shared" si="239"/>
        <v>0</v>
      </c>
      <c r="P754" s="1653">
        <f t="shared" si="240"/>
        <v>0</v>
      </c>
      <c r="Q754" s="1653">
        <f t="shared" si="241"/>
        <v>0</v>
      </c>
      <c r="R754" s="1653">
        <f t="shared" si="242"/>
        <v>0</v>
      </c>
      <c r="S754" s="1653">
        <f t="shared" si="243"/>
        <v>0</v>
      </c>
      <c r="T754" s="1653">
        <f t="shared" si="228"/>
        <v>0</v>
      </c>
      <c r="U754" s="1653">
        <f t="shared" si="229"/>
        <v>0</v>
      </c>
      <c r="V754" s="1653">
        <f t="shared" si="230"/>
        <v>0</v>
      </c>
      <c r="W754" s="1653">
        <f t="shared" si="231"/>
        <v>0</v>
      </c>
      <c r="X754" s="1653">
        <f t="shared" si="232"/>
        <v>0</v>
      </c>
      <c r="Y754" s="1653">
        <f t="shared" si="233"/>
        <v>0</v>
      </c>
    </row>
    <row r="755" spans="1:25" ht="15" hidden="1" outlineLevel="1">
      <c r="A755" s="1615">
        <v>747</v>
      </c>
      <c r="C755" s="1651" t="s">
        <v>3427</v>
      </c>
      <c r="D755" s="1651" t="s">
        <v>2465</v>
      </c>
      <c r="E755" s="1613">
        <v>1402.63</v>
      </c>
      <c r="F755" s="1613">
        <v>-1198.07</v>
      </c>
      <c r="G755" s="1613">
        <f t="shared" si="234"/>
        <v>204.56000000000017</v>
      </c>
      <c r="H755" s="1578">
        <v>2008</v>
      </c>
      <c r="I755" s="1662">
        <f t="shared" si="235"/>
        <v>7.5</v>
      </c>
      <c r="J755" s="1663">
        <v>96</v>
      </c>
      <c r="K755" s="1664">
        <f t="shared" si="236"/>
        <v>0.125</v>
      </c>
      <c r="L755" s="1613">
        <f t="shared" si="237"/>
        <v>175.32875000000001</v>
      </c>
      <c r="M755" s="1613">
        <f t="shared" si="238"/>
        <v>1402.63</v>
      </c>
      <c r="N755" s="1613">
        <f t="shared" si="227"/>
        <v>-1402.63</v>
      </c>
      <c r="O755" s="1652">
        <f t="shared" si="239"/>
        <v>0</v>
      </c>
      <c r="P755" s="1653">
        <f t="shared" si="240"/>
        <v>0</v>
      </c>
      <c r="Q755" s="1653">
        <f t="shared" si="241"/>
        <v>0</v>
      </c>
      <c r="R755" s="1653">
        <f t="shared" si="242"/>
        <v>0</v>
      </c>
      <c r="S755" s="1653">
        <f t="shared" si="243"/>
        <v>0</v>
      </c>
      <c r="T755" s="1653">
        <f t="shared" si="228"/>
        <v>0</v>
      </c>
      <c r="U755" s="1653">
        <f t="shared" si="229"/>
        <v>0</v>
      </c>
      <c r="V755" s="1653">
        <f t="shared" si="230"/>
        <v>0</v>
      </c>
      <c r="W755" s="1653">
        <f t="shared" si="231"/>
        <v>0</v>
      </c>
      <c r="X755" s="1653">
        <f t="shared" si="232"/>
        <v>0</v>
      </c>
      <c r="Y755" s="1653">
        <f t="shared" si="233"/>
        <v>0</v>
      </c>
    </row>
    <row r="756" spans="1:25" ht="15" hidden="1" outlineLevel="1">
      <c r="A756" s="1615">
        <v>748</v>
      </c>
      <c r="C756" s="1651" t="s">
        <v>3428</v>
      </c>
      <c r="D756" s="1651" t="s">
        <v>2465</v>
      </c>
      <c r="E756" s="1613">
        <v>1402.63</v>
      </c>
      <c r="F756" s="1613">
        <v>-1198.07</v>
      </c>
      <c r="G756" s="1613">
        <f t="shared" si="234"/>
        <v>204.56000000000017</v>
      </c>
      <c r="H756" s="1578">
        <v>2008</v>
      </c>
      <c r="I756" s="1662">
        <f t="shared" si="235"/>
        <v>7.5</v>
      </c>
      <c r="J756" s="1663">
        <v>96</v>
      </c>
      <c r="K756" s="1664">
        <f t="shared" si="236"/>
        <v>0.125</v>
      </c>
      <c r="L756" s="1613">
        <f t="shared" si="237"/>
        <v>175.32875000000001</v>
      </c>
      <c r="M756" s="1613">
        <f t="shared" si="238"/>
        <v>1402.63</v>
      </c>
      <c r="N756" s="1613">
        <f t="shared" si="227"/>
        <v>-1402.63</v>
      </c>
      <c r="O756" s="1652">
        <f t="shared" si="239"/>
        <v>0</v>
      </c>
      <c r="P756" s="1653">
        <f t="shared" si="240"/>
        <v>0</v>
      </c>
      <c r="Q756" s="1653">
        <f t="shared" si="241"/>
        <v>0</v>
      </c>
      <c r="R756" s="1653">
        <f t="shared" si="242"/>
        <v>0</v>
      </c>
      <c r="S756" s="1653">
        <f t="shared" si="243"/>
        <v>0</v>
      </c>
      <c r="T756" s="1653">
        <f t="shared" si="228"/>
        <v>0</v>
      </c>
      <c r="U756" s="1653">
        <f t="shared" si="229"/>
        <v>0</v>
      </c>
      <c r="V756" s="1653">
        <f t="shared" si="230"/>
        <v>0</v>
      </c>
      <c r="W756" s="1653">
        <f t="shared" si="231"/>
        <v>0</v>
      </c>
      <c r="X756" s="1653">
        <f t="shared" si="232"/>
        <v>0</v>
      </c>
      <c r="Y756" s="1653">
        <f t="shared" si="233"/>
        <v>0</v>
      </c>
    </row>
    <row r="757" spans="1:25" ht="15" hidden="1" outlineLevel="1">
      <c r="A757" s="1615">
        <v>749</v>
      </c>
      <c r="C757" s="1651" t="s">
        <v>3429</v>
      </c>
      <c r="D757" s="1651" t="s">
        <v>2465</v>
      </c>
      <c r="E757" s="1613">
        <v>1633.8</v>
      </c>
      <c r="F757" s="1613">
        <v>-1395.54</v>
      </c>
      <c r="G757" s="1613">
        <f t="shared" si="234"/>
        <v>238.26</v>
      </c>
      <c r="H757" s="1578">
        <v>2008</v>
      </c>
      <c r="I757" s="1662">
        <f t="shared" si="235"/>
        <v>7.5</v>
      </c>
      <c r="J757" s="1663">
        <v>96</v>
      </c>
      <c r="K757" s="1664">
        <f t="shared" si="236"/>
        <v>0.125</v>
      </c>
      <c r="L757" s="1613">
        <f t="shared" si="237"/>
        <v>204.22499999999999</v>
      </c>
      <c r="M757" s="1613">
        <f t="shared" si="238"/>
        <v>1633.8</v>
      </c>
      <c r="N757" s="1613">
        <f t="shared" si="227"/>
        <v>-1633.8</v>
      </c>
      <c r="O757" s="1652">
        <f t="shared" si="239"/>
        <v>0</v>
      </c>
      <c r="P757" s="1653">
        <f t="shared" si="240"/>
        <v>0</v>
      </c>
      <c r="Q757" s="1653">
        <f t="shared" si="241"/>
        <v>0</v>
      </c>
      <c r="R757" s="1653">
        <f t="shared" si="242"/>
        <v>0</v>
      </c>
      <c r="S757" s="1653">
        <f t="shared" si="243"/>
        <v>0</v>
      </c>
      <c r="T757" s="1653">
        <f t="shared" si="228"/>
        <v>0</v>
      </c>
      <c r="U757" s="1653">
        <f t="shared" si="229"/>
        <v>0</v>
      </c>
      <c r="V757" s="1653">
        <f t="shared" si="230"/>
        <v>0</v>
      </c>
      <c r="W757" s="1653">
        <f t="shared" si="231"/>
        <v>0</v>
      </c>
      <c r="X757" s="1653">
        <f t="shared" si="232"/>
        <v>0</v>
      </c>
      <c r="Y757" s="1653">
        <f t="shared" si="233"/>
        <v>0</v>
      </c>
    </row>
    <row r="758" spans="1:25" ht="15" hidden="1" outlineLevel="1">
      <c r="A758" s="1615">
        <v>750</v>
      </c>
      <c r="C758" s="1651" t="s">
        <v>3430</v>
      </c>
      <c r="D758" s="1651" t="s">
        <v>2618</v>
      </c>
      <c r="E758" s="1613">
        <v>3385</v>
      </c>
      <c r="F758" s="1613">
        <v>-2891.36</v>
      </c>
      <c r="G758" s="1613">
        <f t="shared" si="234"/>
        <v>493.63999999999987</v>
      </c>
      <c r="H758" s="1578">
        <v>2008</v>
      </c>
      <c r="I758" s="1662">
        <f t="shared" si="235"/>
        <v>7.5</v>
      </c>
      <c r="J758" s="1663">
        <v>96</v>
      </c>
      <c r="K758" s="1664">
        <f t="shared" si="236"/>
        <v>0.125</v>
      </c>
      <c r="L758" s="1613">
        <f t="shared" si="237"/>
        <v>423.125</v>
      </c>
      <c r="M758" s="1613">
        <f t="shared" si="238"/>
        <v>3385</v>
      </c>
      <c r="N758" s="1613">
        <f t="shared" si="227"/>
        <v>-3385</v>
      </c>
      <c r="O758" s="1652">
        <f t="shared" si="239"/>
        <v>0</v>
      </c>
      <c r="P758" s="1653">
        <f t="shared" si="240"/>
        <v>0</v>
      </c>
      <c r="Q758" s="1653">
        <f t="shared" si="241"/>
        <v>0</v>
      </c>
      <c r="R758" s="1653">
        <f t="shared" si="242"/>
        <v>0</v>
      </c>
      <c r="S758" s="1653">
        <f t="shared" si="243"/>
        <v>0</v>
      </c>
      <c r="T758" s="1653">
        <f t="shared" si="228"/>
        <v>0</v>
      </c>
      <c r="U758" s="1653">
        <f t="shared" si="229"/>
        <v>0</v>
      </c>
      <c r="V758" s="1653">
        <f t="shared" si="230"/>
        <v>0</v>
      </c>
      <c r="W758" s="1653">
        <f t="shared" si="231"/>
        <v>0</v>
      </c>
      <c r="X758" s="1653">
        <f t="shared" si="232"/>
        <v>0</v>
      </c>
      <c r="Y758" s="1653">
        <f t="shared" si="233"/>
        <v>0</v>
      </c>
    </row>
    <row r="759" spans="1:25" ht="15" hidden="1" outlineLevel="1">
      <c r="A759" s="1615">
        <v>751</v>
      </c>
      <c r="C759" s="1651" t="s">
        <v>3431</v>
      </c>
      <c r="D759" s="1651" t="s">
        <v>2465</v>
      </c>
      <c r="E759" s="1613">
        <v>2216.1</v>
      </c>
      <c r="F759" s="1613">
        <v>-1892.92</v>
      </c>
      <c r="G759" s="1613">
        <f t="shared" si="234"/>
        <v>323.17999999999984</v>
      </c>
      <c r="H759" s="1578">
        <v>2008</v>
      </c>
      <c r="I759" s="1662">
        <f t="shared" si="235"/>
        <v>7.5</v>
      </c>
      <c r="J759" s="1663">
        <v>96</v>
      </c>
      <c r="K759" s="1664">
        <f t="shared" si="236"/>
        <v>0.125</v>
      </c>
      <c r="L759" s="1613">
        <f t="shared" si="237"/>
        <v>277.01249999999999</v>
      </c>
      <c r="M759" s="1613">
        <f t="shared" si="238"/>
        <v>2216.1</v>
      </c>
      <c r="N759" s="1613">
        <f t="shared" si="227"/>
        <v>-2216.1</v>
      </c>
      <c r="O759" s="1652">
        <f t="shared" si="239"/>
        <v>0</v>
      </c>
      <c r="P759" s="1653">
        <f t="shared" si="240"/>
        <v>0</v>
      </c>
      <c r="Q759" s="1653">
        <f t="shared" si="241"/>
        <v>0</v>
      </c>
      <c r="R759" s="1653">
        <f t="shared" si="242"/>
        <v>0</v>
      </c>
      <c r="S759" s="1653">
        <f t="shared" si="243"/>
        <v>0</v>
      </c>
      <c r="T759" s="1653">
        <f t="shared" si="228"/>
        <v>0</v>
      </c>
      <c r="U759" s="1653">
        <f t="shared" si="229"/>
        <v>0</v>
      </c>
      <c r="V759" s="1653">
        <f t="shared" si="230"/>
        <v>0</v>
      </c>
      <c r="W759" s="1653">
        <f t="shared" si="231"/>
        <v>0</v>
      </c>
      <c r="X759" s="1653">
        <f t="shared" si="232"/>
        <v>0</v>
      </c>
      <c r="Y759" s="1653">
        <f t="shared" si="233"/>
        <v>0</v>
      </c>
    </row>
    <row r="760" spans="1:25" ht="15" hidden="1" outlineLevel="1">
      <c r="A760" s="1615">
        <v>752</v>
      </c>
      <c r="C760" s="1651" t="s">
        <v>3432</v>
      </c>
      <c r="D760" s="1651" t="s">
        <v>2465</v>
      </c>
      <c r="E760" s="1613">
        <v>2216.1</v>
      </c>
      <c r="F760" s="1613">
        <v>-1892.92</v>
      </c>
      <c r="G760" s="1613">
        <f t="shared" si="234"/>
        <v>323.17999999999984</v>
      </c>
      <c r="H760" s="1578">
        <v>2008</v>
      </c>
      <c r="I760" s="1662">
        <f t="shared" si="235"/>
        <v>7.5</v>
      </c>
      <c r="J760" s="1663">
        <v>96</v>
      </c>
      <c r="K760" s="1664">
        <f t="shared" si="236"/>
        <v>0.125</v>
      </c>
      <c r="L760" s="1613">
        <f t="shared" si="237"/>
        <v>277.01249999999999</v>
      </c>
      <c r="M760" s="1613">
        <f t="shared" si="238"/>
        <v>2216.1</v>
      </c>
      <c r="N760" s="1613">
        <f t="shared" si="227"/>
        <v>-2216.1</v>
      </c>
      <c r="O760" s="1652">
        <f t="shared" si="239"/>
        <v>0</v>
      </c>
      <c r="P760" s="1653">
        <f t="shared" si="240"/>
        <v>0</v>
      </c>
      <c r="Q760" s="1653">
        <f t="shared" si="241"/>
        <v>0</v>
      </c>
      <c r="R760" s="1653">
        <f t="shared" si="242"/>
        <v>0</v>
      </c>
      <c r="S760" s="1653">
        <f t="shared" si="243"/>
        <v>0</v>
      </c>
      <c r="T760" s="1653">
        <f t="shared" si="228"/>
        <v>0</v>
      </c>
      <c r="U760" s="1653">
        <f t="shared" si="229"/>
        <v>0</v>
      </c>
      <c r="V760" s="1653">
        <f t="shared" si="230"/>
        <v>0</v>
      </c>
      <c r="W760" s="1653">
        <f t="shared" si="231"/>
        <v>0</v>
      </c>
      <c r="X760" s="1653">
        <f t="shared" si="232"/>
        <v>0</v>
      </c>
      <c r="Y760" s="1653">
        <f t="shared" si="233"/>
        <v>0</v>
      </c>
    </row>
    <row r="761" spans="1:25" ht="15" hidden="1" outlineLevel="1">
      <c r="A761" s="1615">
        <v>753</v>
      </c>
      <c r="C761" s="1651" t="s">
        <v>3433</v>
      </c>
      <c r="D761" s="1651" t="s">
        <v>3434</v>
      </c>
      <c r="E761" s="1613">
        <v>2370.48</v>
      </c>
      <c r="F761" s="1613">
        <v>-2000.49</v>
      </c>
      <c r="G761" s="1613">
        <f t="shared" si="234"/>
        <v>369.99</v>
      </c>
      <c r="H761" s="1578">
        <v>2008</v>
      </c>
      <c r="I761" s="1662">
        <f t="shared" si="235"/>
        <v>7.5</v>
      </c>
      <c r="J761" s="1663">
        <v>96</v>
      </c>
      <c r="K761" s="1664">
        <f t="shared" si="236"/>
        <v>0.125</v>
      </c>
      <c r="L761" s="1613">
        <f t="shared" si="237"/>
        <v>296.31</v>
      </c>
      <c r="M761" s="1613">
        <f t="shared" si="238"/>
        <v>2370.48</v>
      </c>
      <c r="N761" s="1613">
        <f t="shared" si="227"/>
        <v>-2370.48</v>
      </c>
      <c r="O761" s="1652">
        <f t="shared" si="239"/>
        <v>0</v>
      </c>
      <c r="P761" s="1653">
        <f t="shared" si="240"/>
        <v>0</v>
      </c>
      <c r="Q761" s="1653">
        <f t="shared" si="241"/>
        <v>0</v>
      </c>
      <c r="R761" s="1653">
        <f t="shared" si="242"/>
        <v>0</v>
      </c>
      <c r="S761" s="1653">
        <f t="shared" si="243"/>
        <v>0</v>
      </c>
      <c r="T761" s="1653">
        <f t="shared" si="228"/>
        <v>0</v>
      </c>
      <c r="U761" s="1653">
        <f t="shared" si="229"/>
        <v>0</v>
      </c>
      <c r="V761" s="1653">
        <f t="shared" si="230"/>
        <v>0</v>
      </c>
      <c r="W761" s="1653">
        <f t="shared" si="231"/>
        <v>0</v>
      </c>
      <c r="X761" s="1653">
        <f t="shared" si="232"/>
        <v>0</v>
      </c>
      <c r="Y761" s="1653">
        <f t="shared" si="233"/>
        <v>0</v>
      </c>
    </row>
    <row r="762" spans="1:25" ht="15" hidden="1" outlineLevel="1">
      <c r="A762" s="1615">
        <v>754</v>
      </c>
      <c r="C762" s="1651" t="s">
        <v>3435</v>
      </c>
      <c r="D762" s="1651" t="s">
        <v>2465</v>
      </c>
      <c r="E762" s="1613">
        <v>1557.44</v>
      </c>
      <c r="F762" s="1613">
        <v>-1314.36</v>
      </c>
      <c r="G762" s="1613">
        <f t="shared" si="234"/>
        <v>243.08000000000015</v>
      </c>
      <c r="H762" s="1578">
        <v>2008</v>
      </c>
      <c r="I762" s="1662">
        <f t="shared" si="235"/>
        <v>7.5</v>
      </c>
      <c r="J762" s="1663">
        <v>96</v>
      </c>
      <c r="K762" s="1664">
        <f t="shared" si="236"/>
        <v>0.125</v>
      </c>
      <c r="L762" s="1613">
        <f t="shared" si="237"/>
        <v>194.68</v>
      </c>
      <c r="M762" s="1613">
        <f t="shared" si="238"/>
        <v>1557.44</v>
      </c>
      <c r="N762" s="1613">
        <f t="shared" si="227"/>
        <v>-1557.44</v>
      </c>
      <c r="O762" s="1652">
        <f t="shared" si="239"/>
        <v>0</v>
      </c>
      <c r="P762" s="1653">
        <f t="shared" si="240"/>
        <v>0</v>
      </c>
      <c r="Q762" s="1653">
        <f t="shared" si="241"/>
        <v>0</v>
      </c>
      <c r="R762" s="1653">
        <f t="shared" si="242"/>
        <v>0</v>
      </c>
      <c r="S762" s="1653">
        <f t="shared" si="243"/>
        <v>0</v>
      </c>
      <c r="T762" s="1653">
        <f t="shared" si="228"/>
        <v>0</v>
      </c>
      <c r="U762" s="1653">
        <f t="shared" si="229"/>
        <v>0</v>
      </c>
      <c r="V762" s="1653">
        <f t="shared" si="230"/>
        <v>0</v>
      </c>
      <c r="W762" s="1653">
        <f t="shared" si="231"/>
        <v>0</v>
      </c>
      <c r="X762" s="1653">
        <f t="shared" si="232"/>
        <v>0</v>
      </c>
      <c r="Y762" s="1653">
        <f t="shared" si="233"/>
        <v>0</v>
      </c>
    </row>
    <row r="763" spans="1:25" ht="15" hidden="1" outlineLevel="1">
      <c r="A763" s="1615">
        <v>755</v>
      </c>
      <c r="C763" s="1651" t="s">
        <v>3436</v>
      </c>
      <c r="D763" s="1651" t="s">
        <v>2003</v>
      </c>
      <c r="E763" s="1613">
        <v>1143.92</v>
      </c>
      <c r="F763" s="1613">
        <v>-965.37</v>
      </c>
      <c r="G763" s="1613">
        <f t="shared" si="234"/>
        <v>178.55000000000007</v>
      </c>
      <c r="H763" s="1578">
        <v>2008</v>
      </c>
      <c r="I763" s="1662">
        <f t="shared" si="235"/>
        <v>7.5</v>
      </c>
      <c r="J763" s="1663">
        <v>96</v>
      </c>
      <c r="K763" s="1664">
        <f t="shared" si="236"/>
        <v>0.125</v>
      </c>
      <c r="L763" s="1613">
        <f t="shared" si="237"/>
        <v>142.99</v>
      </c>
      <c r="M763" s="1613">
        <f t="shared" si="238"/>
        <v>1143.92</v>
      </c>
      <c r="N763" s="1613">
        <f t="shared" si="227"/>
        <v>-1143.92</v>
      </c>
      <c r="O763" s="1652">
        <f t="shared" si="239"/>
        <v>0</v>
      </c>
      <c r="P763" s="1653">
        <f t="shared" si="240"/>
        <v>0</v>
      </c>
      <c r="Q763" s="1653">
        <f t="shared" si="241"/>
        <v>0</v>
      </c>
      <c r="R763" s="1653">
        <f t="shared" si="242"/>
        <v>0</v>
      </c>
      <c r="S763" s="1653">
        <f t="shared" si="243"/>
        <v>0</v>
      </c>
      <c r="T763" s="1653">
        <f t="shared" si="228"/>
        <v>0</v>
      </c>
      <c r="U763" s="1653">
        <f t="shared" si="229"/>
        <v>0</v>
      </c>
      <c r="V763" s="1653">
        <f t="shared" si="230"/>
        <v>0</v>
      </c>
      <c r="W763" s="1653">
        <f t="shared" si="231"/>
        <v>0</v>
      </c>
      <c r="X763" s="1653">
        <f t="shared" si="232"/>
        <v>0</v>
      </c>
      <c r="Y763" s="1653">
        <f t="shared" si="233"/>
        <v>0</v>
      </c>
    </row>
    <row r="764" spans="1:25" ht="15" hidden="1" outlineLevel="1">
      <c r="A764" s="1615">
        <v>756</v>
      </c>
      <c r="C764" s="1651" t="s">
        <v>3437</v>
      </c>
      <c r="D764" s="1651" t="s">
        <v>2003</v>
      </c>
      <c r="E764" s="1613">
        <v>1402.63</v>
      </c>
      <c r="F764" s="1613">
        <v>-1183.7</v>
      </c>
      <c r="G764" s="1613">
        <f t="shared" si="234"/>
        <v>218.93000000000006</v>
      </c>
      <c r="H764" s="1578">
        <v>2008</v>
      </c>
      <c r="I764" s="1662">
        <f t="shared" si="235"/>
        <v>7.5</v>
      </c>
      <c r="J764" s="1663">
        <v>96</v>
      </c>
      <c r="K764" s="1664">
        <f t="shared" si="236"/>
        <v>0.125</v>
      </c>
      <c r="L764" s="1613">
        <f t="shared" si="237"/>
        <v>175.32875000000001</v>
      </c>
      <c r="M764" s="1613">
        <f t="shared" si="238"/>
        <v>1402.63</v>
      </c>
      <c r="N764" s="1613">
        <f t="shared" si="227"/>
        <v>-1402.63</v>
      </c>
      <c r="O764" s="1652">
        <f t="shared" si="239"/>
        <v>0</v>
      </c>
      <c r="P764" s="1653">
        <f t="shared" si="240"/>
        <v>0</v>
      </c>
      <c r="Q764" s="1653">
        <f t="shared" si="241"/>
        <v>0</v>
      </c>
      <c r="R764" s="1653">
        <f t="shared" si="242"/>
        <v>0</v>
      </c>
      <c r="S764" s="1653">
        <f t="shared" si="243"/>
        <v>0</v>
      </c>
      <c r="T764" s="1653">
        <f t="shared" si="228"/>
        <v>0</v>
      </c>
      <c r="U764" s="1653">
        <f t="shared" si="229"/>
        <v>0</v>
      </c>
      <c r="V764" s="1653">
        <f t="shared" si="230"/>
        <v>0</v>
      </c>
      <c r="W764" s="1653">
        <f t="shared" si="231"/>
        <v>0</v>
      </c>
      <c r="X764" s="1653">
        <f t="shared" si="232"/>
        <v>0</v>
      </c>
      <c r="Y764" s="1653">
        <f t="shared" si="233"/>
        <v>0</v>
      </c>
    </row>
    <row r="765" spans="1:25" ht="15" hidden="1" outlineLevel="1">
      <c r="A765" s="1615">
        <v>757</v>
      </c>
      <c r="C765" s="1651" t="s">
        <v>3438</v>
      </c>
      <c r="D765" s="1651" t="s">
        <v>2003</v>
      </c>
      <c r="E765" s="1613">
        <v>1402.63</v>
      </c>
      <c r="F765" s="1613">
        <v>-1183.7</v>
      </c>
      <c r="G765" s="1613">
        <f t="shared" si="234"/>
        <v>218.93000000000006</v>
      </c>
      <c r="H765" s="1578">
        <v>2008</v>
      </c>
      <c r="I765" s="1662">
        <f t="shared" si="235"/>
        <v>7.5</v>
      </c>
      <c r="J765" s="1663">
        <v>96</v>
      </c>
      <c r="K765" s="1664">
        <f t="shared" si="236"/>
        <v>0.125</v>
      </c>
      <c r="L765" s="1613">
        <f t="shared" si="237"/>
        <v>175.32875000000001</v>
      </c>
      <c r="M765" s="1613">
        <f t="shared" si="238"/>
        <v>1402.63</v>
      </c>
      <c r="N765" s="1613">
        <f t="shared" si="227"/>
        <v>-1402.63</v>
      </c>
      <c r="O765" s="1652">
        <f t="shared" si="239"/>
        <v>0</v>
      </c>
      <c r="P765" s="1653">
        <f t="shared" si="240"/>
        <v>0</v>
      </c>
      <c r="Q765" s="1653">
        <f t="shared" si="241"/>
        <v>0</v>
      </c>
      <c r="R765" s="1653">
        <f t="shared" si="242"/>
        <v>0</v>
      </c>
      <c r="S765" s="1653">
        <f t="shared" si="243"/>
        <v>0</v>
      </c>
      <c r="T765" s="1653">
        <f t="shared" si="228"/>
        <v>0</v>
      </c>
      <c r="U765" s="1653">
        <f t="shared" si="229"/>
        <v>0</v>
      </c>
      <c r="V765" s="1653">
        <f t="shared" si="230"/>
        <v>0</v>
      </c>
      <c r="W765" s="1653">
        <f t="shared" si="231"/>
        <v>0</v>
      </c>
      <c r="X765" s="1653">
        <f t="shared" si="232"/>
        <v>0</v>
      </c>
      <c r="Y765" s="1653">
        <f t="shared" si="233"/>
        <v>0</v>
      </c>
    </row>
    <row r="766" spans="1:25" ht="15" hidden="1" outlineLevel="1">
      <c r="A766" s="1615">
        <v>758</v>
      </c>
      <c r="C766" s="1651" t="s">
        <v>3439</v>
      </c>
      <c r="D766" s="1651" t="s">
        <v>2003</v>
      </c>
      <c r="E766" s="1613">
        <v>1402.63</v>
      </c>
      <c r="F766" s="1613">
        <v>-1183.7</v>
      </c>
      <c r="G766" s="1613">
        <f t="shared" si="234"/>
        <v>218.93000000000006</v>
      </c>
      <c r="H766" s="1578">
        <v>2008</v>
      </c>
      <c r="I766" s="1662">
        <f t="shared" si="235"/>
        <v>7.5</v>
      </c>
      <c r="J766" s="1663">
        <v>96</v>
      </c>
      <c r="K766" s="1664">
        <f t="shared" si="236"/>
        <v>0.125</v>
      </c>
      <c r="L766" s="1613">
        <f t="shared" si="237"/>
        <v>175.32875000000001</v>
      </c>
      <c r="M766" s="1613">
        <f t="shared" si="238"/>
        <v>1402.63</v>
      </c>
      <c r="N766" s="1613">
        <f t="shared" si="227"/>
        <v>-1402.63</v>
      </c>
      <c r="O766" s="1652">
        <f t="shared" si="239"/>
        <v>0</v>
      </c>
      <c r="P766" s="1653">
        <f t="shared" si="240"/>
        <v>0</v>
      </c>
      <c r="Q766" s="1653">
        <f t="shared" si="241"/>
        <v>0</v>
      </c>
      <c r="R766" s="1653">
        <f t="shared" si="242"/>
        <v>0</v>
      </c>
      <c r="S766" s="1653">
        <f t="shared" si="243"/>
        <v>0</v>
      </c>
      <c r="T766" s="1653">
        <f t="shared" si="228"/>
        <v>0</v>
      </c>
      <c r="U766" s="1653">
        <f t="shared" si="229"/>
        <v>0</v>
      </c>
      <c r="V766" s="1653">
        <f t="shared" si="230"/>
        <v>0</v>
      </c>
      <c r="W766" s="1653">
        <f t="shared" si="231"/>
        <v>0</v>
      </c>
      <c r="X766" s="1653">
        <f t="shared" si="232"/>
        <v>0</v>
      </c>
      <c r="Y766" s="1653">
        <f t="shared" si="233"/>
        <v>0</v>
      </c>
    </row>
    <row r="767" spans="1:25" ht="15" hidden="1" outlineLevel="1">
      <c r="A767" s="1615">
        <v>759</v>
      </c>
      <c r="C767" s="1651" t="s">
        <v>3440</v>
      </c>
      <c r="D767" s="1651" t="s">
        <v>2003</v>
      </c>
      <c r="E767" s="1613">
        <v>408</v>
      </c>
      <c r="F767" s="1613">
        <v>-335.82</v>
      </c>
      <c r="G767" s="1613">
        <f t="shared" si="234"/>
        <v>72.180000000000007</v>
      </c>
      <c r="H767" s="1578">
        <v>2008</v>
      </c>
      <c r="I767" s="1662">
        <f t="shared" si="235"/>
        <v>7.5</v>
      </c>
      <c r="J767" s="1663">
        <v>96</v>
      </c>
      <c r="K767" s="1664">
        <f t="shared" si="236"/>
        <v>0.125</v>
      </c>
      <c r="L767" s="1613">
        <f t="shared" si="237"/>
        <v>51</v>
      </c>
      <c r="M767" s="1613">
        <f t="shared" si="238"/>
        <v>408</v>
      </c>
      <c r="N767" s="1613">
        <f t="shared" si="227"/>
        <v>-408</v>
      </c>
      <c r="O767" s="1652">
        <f t="shared" si="239"/>
        <v>0</v>
      </c>
      <c r="P767" s="1653">
        <f t="shared" si="240"/>
        <v>0</v>
      </c>
      <c r="Q767" s="1653">
        <f t="shared" si="241"/>
        <v>0</v>
      </c>
      <c r="R767" s="1653">
        <f t="shared" si="242"/>
        <v>0</v>
      </c>
      <c r="S767" s="1653">
        <f t="shared" si="243"/>
        <v>0</v>
      </c>
      <c r="T767" s="1653">
        <f t="shared" si="228"/>
        <v>0</v>
      </c>
      <c r="U767" s="1653">
        <f t="shared" si="229"/>
        <v>0</v>
      </c>
      <c r="V767" s="1653">
        <f t="shared" si="230"/>
        <v>0</v>
      </c>
      <c r="W767" s="1653">
        <f t="shared" si="231"/>
        <v>0</v>
      </c>
      <c r="X767" s="1653">
        <f t="shared" si="232"/>
        <v>0</v>
      </c>
      <c r="Y767" s="1653">
        <f t="shared" si="233"/>
        <v>0</v>
      </c>
    </row>
    <row r="768" spans="1:25" ht="15" hidden="1" outlineLevel="1">
      <c r="A768" s="1615">
        <v>760</v>
      </c>
      <c r="C768" s="1651" t="s">
        <v>3441</v>
      </c>
      <c r="D768" s="1651" t="s">
        <v>2465</v>
      </c>
      <c r="E768" s="1613">
        <v>1610.36</v>
      </c>
      <c r="F768" s="1613">
        <v>-1325.47</v>
      </c>
      <c r="G768" s="1613">
        <f t="shared" si="234"/>
        <v>284.88999999999987</v>
      </c>
      <c r="H768" s="1578">
        <v>2008</v>
      </c>
      <c r="I768" s="1662">
        <f t="shared" si="235"/>
        <v>7.5</v>
      </c>
      <c r="J768" s="1663">
        <v>96</v>
      </c>
      <c r="K768" s="1664">
        <f t="shared" si="236"/>
        <v>0.125</v>
      </c>
      <c r="L768" s="1613">
        <f t="shared" si="237"/>
        <v>201.29499999999999</v>
      </c>
      <c r="M768" s="1613">
        <f t="shared" si="238"/>
        <v>1610.36</v>
      </c>
      <c r="N768" s="1613">
        <f t="shared" si="227"/>
        <v>-1610.36</v>
      </c>
      <c r="O768" s="1652">
        <f t="shared" si="239"/>
        <v>0</v>
      </c>
      <c r="P768" s="1653">
        <f t="shared" si="240"/>
        <v>0</v>
      </c>
      <c r="Q768" s="1653">
        <f t="shared" si="241"/>
        <v>0</v>
      </c>
      <c r="R768" s="1653">
        <f t="shared" si="242"/>
        <v>0</v>
      </c>
      <c r="S768" s="1653">
        <f t="shared" si="243"/>
        <v>0</v>
      </c>
      <c r="T768" s="1653">
        <f t="shared" si="228"/>
        <v>0</v>
      </c>
      <c r="U768" s="1653">
        <f t="shared" si="229"/>
        <v>0</v>
      </c>
      <c r="V768" s="1653">
        <f t="shared" si="230"/>
        <v>0</v>
      </c>
      <c r="W768" s="1653">
        <f t="shared" si="231"/>
        <v>0</v>
      </c>
      <c r="X768" s="1653">
        <f t="shared" si="232"/>
        <v>0</v>
      </c>
      <c r="Y768" s="1653">
        <f t="shared" si="233"/>
        <v>0</v>
      </c>
    </row>
    <row r="769" spans="1:25" ht="15" hidden="1" outlineLevel="1">
      <c r="A769" s="1615">
        <v>761</v>
      </c>
      <c r="C769" s="1651" t="s">
        <v>3442</v>
      </c>
      <c r="D769" s="1651" t="s">
        <v>2465</v>
      </c>
      <c r="E769" s="1613">
        <v>2559.48</v>
      </c>
      <c r="F769" s="1613">
        <v>-2079.59</v>
      </c>
      <c r="G769" s="1613">
        <f t="shared" si="234"/>
        <v>479.88999999999987</v>
      </c>
      <c r="H769" s="1578">
        <v>2009</v>
      </c>
      <c r="I769" s="1662">
        <f t="shared" si="235"/>
        <v>6.5</v>
      </c>
      <c r="J769" s="1663">
        <v>96</v>
      </c>
      <c r="K769" s="1664">
        <f t="shared" si="236"/>
        <v>0.125</v>
      </c>
      <c r="L769" s="1613">
        <f t="shared" si="237"/>
        <v>319.935</v>
      </c>
      <c r="M769" s="1613">
        <f t="shared" si="238"/>
        <v>2559.48</v>
      </c>
      <c r="N769" s="1613">
        <f t="shared" si="227"/>
        <v>-2239.5450000000001</v>
      </c>
      <c r="O769" s="1652">
        <f t="shared" si="239"/>
        <v>319.93499999999995</v>
      </c>
      <c r="P769" s="1653">
        <f t="shared" si="240"/>
        <v>-2239.67</v>
      </c>
      <c r="Q769" s="1653">
        <f t="shared" si="241"/>
        <v>-1919.7350000000001</v>
      </c>
      <c r="R769" s="1653">
        <f t="shared" si="242"/>
        <v>-1919.7350000000001</v>
      </c>
      <c r="S769" s="1653">
        <f t="shared" si="243"/>
        <v>-1599.8000000000002</v>
      </c>
      <c r="T769" s="1653">
        <f t="shared" si="228"/>
        <v>-1599.8000000000002</v>
      </c>
      <c r="U769" s="1653">
        <f t="shared" si="229"/>
        <v>-1279.8650000000002</v>
      </c>
      <c r="V769" s="1653">
        <f t="shared" si="230"/>
        <v>-1279.8650000000002</v>
      </c>
      <c r="W769" s="1653">
        <f t="shared" si="231"/>
        <v>-959.93000000000029</v>
      </c>
      <c r="X769" s="1653">
        <f t="shared" si="232"/>
        <v>-959.93000000000029</v>
      </c>
      <c r="Y769" s="1653">
        <f t="shared" si="233"/>
        <v>-639.99500000000035</v>
      </c>
    </row>
    <row r="770" spans="1:25" ht="15" hidden="1" outlineLevel="1">
      <c r="A770" s="1615">
        <v>762</v>
      </c>
      <c r="C770" s="1651" t="s">
        <v>3443</v>
      </c>
      <c r="D770" s="1651" t="s">
        <v>3444</v>
      </c>
      <c r="E770" s="1613">
        <v>1817.94</v>
      </c>
      <c r="F770" s="1613">
        <v>-1421.05</v>
      </c>
      <c r="G770" s="1613">
        <f t="shared" si="234"/>
        <v>396.8900000000001</v>
      </c>
      <c r="H770" s="1578">
        <v>2009</v>
      </c>
      <c r="I770" s="1662">
        <f t="shared" si="235"/>
        <v>6.5</v>
      </c>
      <c r="J770" s="1663">
        <v>96</v>
      </c>
      <c r="K770" s="1664">
        <f t="shared" si="236"/>
        <v>0.125</v>
      </c>
      <c r="L770" s="1613">
        <f t="shared" si="237"/>
        <v>227.24250000000001</v>
      </c>
      <c r="M770" s="1613">
        <f t="shared" si="238"/>
        <v>1817.94</v>
      </c>
      <c r="N770" s="1613">
        <f t="shared" si="227"/>
        <v>-1590.6975</v>
      </c>
      <c r="O770" s="1652">
        <f t="shared" si="239"/>
        <v>227.24250000000006</v>
      </c>
      <c r="P770" s="1653">
        <f t="shared" si="240"/>
        <v>-1590.8225</v>
      </c>
      <c r="Q770" s="1653">
        <f t="shared" si="241"/>
        <v>-1363.58</v>
      </c>
      <c r="R770" s="1653">
        <f t="shared" si="242"/>
        <v>-1363.58</v>
      </c>
      <c r="S770" s="1653">
        <f t="shared" si="243"/>
        <v>-1136.3374999999999</v>
      </c>
      <c r="T770" s="1653">
        <f t="shared" si="228"/>
        <v>-1136.3374999999999</v>
      </c>
      <c r="U770" s="1653">
        <f t="shared" si="229"/>
        <v>-909.0949999999998</v>
      </c>
      <c r="V770" s="1653">
        <f t="shared" si="230"/>
        <v>-909.0949999999998</v>
      </c>
      <c r="W770" s="1653">
        <f t="shared" si="231"/>
        <v>-681.85249999999974</v>
      </c>
      <c r="X770" s="1653">
        <f t="shared" si="232"/>
        <v>-681.85249999999974</v>
      </c>
      <c r="Y770" s="1653">
        <f t="shared" si="233"/>
        <v>-454.60999999999973</v>
      </c>
    </row>
    <row r="771" spans="1:25" ht="15" hidden="1" outlineLevel="1">
      <c r="A771" s="1615">
        <v>763</v>
      </c>
      <c r="C771" s="1651" t="s">
        <v>3445</v>
      </c>
      <c r="D771" s="1651" t="s">
        <v>3446</v>
      </c>
      <c r="E771" s="1613">
        <v>2034.72</v>
      </c>
      <c r="F771" s="1613">
        <v>-1569.59</v>
      </c>
      <c r="G771" s="1613">
        <f t="shared" si="234"/>
        <v>465.13000000000011</v>
      </c>
      <c r="H771" s="1578">
        <v>2009</v>
      </c>
      <c r="I771" s="1662">
        <f t="shared" si="235"/>
        <v>6.5</v>
      </c>
      <c r="J771" s="1663">
        <v>96</v>
      </c>
      <c r="K771" s="1664">
        <f t="shared" si="236"/>
        <v>0.125</v>
      </c>
      <c r="L771" s="1613">
        <f t="shared" si="237"/>
        <v>254.34</v>
      </c>
      <c r="M771" s="1613">
        <f t="shared" si="238"/>
        <v>2034.72</v>
      </c>
      <c r="N771" s="1613">
        <f t="shared" si="227"/>
        <v>-1780.38</v>
      </c>
      <c r="O771" s="1652">
        <f t="shared" si="239"/>
        <v>254.33999999999992</v>
      </c>
      <c r="P771" s="1653">
        <f t="shared" si="240"/>
        <v>-1780.5050000000001</v>
      </c>
      <c r="Q771" s="1653">
        <f t="shared" si="241"/>
        <v>-1526.1650000000002</v>
      </c>
      <c r="R771" s="1653">
        <f t="shared" si="242"/>
        <v>-1526.1650000000002</v>
      </c>
      <c r="S771" s="1653">
        <f t="shared" si="243"/>
        <v>-1271.8250000000003</v>
      </c>
      <c r="T771" s="1653">
        <f t="shared" si="228"/>
        <v>-1271.8250000000003</v>
      </c>
      <c r="U771" s="1653">
        <f t="shared" si="229"/>
        <v>-1017.4850000000002</v>
      </c>
      <c r="V771" s="1653">
        <f t="shared" si="230"/>
        <v>-1017.4850000000002</v>
      </c>
      <c r="W771" s="1653">
        <f t="shared" si="231"/>
        <v>-763.14500000000021</v>
      </c>
      <c r="X771" s="1653">
        <f t="shared" si="232"/>
        <v>-763.14500000000021</v>
      </c>
      <c r="Y771" s="1653">
        <f t="shared" si="233"/>
        <v>-508.80500000000018</v>
      </c>
    </row>
    <row r="772" spans="1:25" ht="15" hidden="1" outlineLevel="1">
      <c r="A772" s="1615">
        <v>764</v>
      </c>
      <c r="C772" s="1651" t="s">
        <v>3447</v>
      </c>
      <c r="D772" s="1651" t="s">
        <v>2003</v>
      </c>
      <c r="E772" s="1613">
        <v>2107.5</v>
      </c>
      <c r="F772" s="1613">
        <v>-1559.33</v>
      </c>
      <c r="G772" s="1613">
        <f t="shared" si="234"/>
        <v>548.17000000000007</v>
      </c>
      <c r="H772" s="1578">
        <v>2009</v>
      </c>
      <c r="I772" s="1662">
        <f t="shared" si="235"/>
        <v>6.5</v>
      </c>
      <c r="J772" s="1663">
        <v>96</v>
      </c>
      <c r="K772" s="1664">
        <f t="shared" si="236"/>
        <v>0.125</v>
      </c>
      <c r="L772" s="1613">
        <f t="shared" si="237"/>
        <v>263.4375</v>
      </c>
      <c r="M772" s="1613">
        <f t="shared" si="238"/>
        <v>2107.5</v>
      </c>
      <c r="N772" s="1613">
        <f t="shared" si="227"/>
        <v>-1844.0625</v>
      </c>
      <c r="O772" s="1652">
        <f t="shared" si="239"/>
        <v>263.4375</v>
      </c>
      <c r="P772" s="1653">
        <f t="shared" si="240"/>
        <v>-1844.1875</v>
      </c>
      <c r="Q772" s="1653">
        <f t="shared" si="241"/>
        <v>-1580.75</v>
      </c>
      <c r="R772" s="1653">
        <f t="shared" si="242"/>
        <v>-1580.75</v>
      </c>
      <c r="S772" s="1653">
        <f t="shared" si="243"/>
        <v>-1317.3125</v>
      </c>
      <c r="T772" s="1653">
        <f t="shared" si="228"/>
        <v>-1317.3125</v>
      </c>
      <c r="U772" s="1653">
        <f t="shared" si="229"/>
        <v>-1053.875</v>
      </c>
      <c r="V772" s="1653">
        <f t="shared" si="230"/>
        <v>-1053.875</v>
      </c>
      <c r="W772" s="1653">
        <f t="shared" si="231"/>
        <v>-790.4375</v>
      </c>
      <c r="X772" s="1653">
        <f t="shared" si="232"/>
        <v>-790.4375</v>
      </c>
      <c r="Y772" s="1653">
        <f t="shared" si="233"/>
        <v>-527</v>
      </c>
    </row>
    <row r="773" spans="1:25" ht="15" hidden="1" outlineLevel="1">
      <c r="A773" s="1615">
        <v>765</v>
      </c>
      <c r="C773" s="1651" t="s">
        <v>3448</v>
      </c>
      <c r="D773" s="1651" t="s">
        <v>3449</v>
      </c>
      <c r="E773" s="1613">
        <v>90526.21</v>
      </c>
      <c r="F773" s="1613">
        <v>-54703.25</v>
      </c>
      <c r="G773" s="1613">
        <f t="shared" si="234"/>
        <v>35822.960000000006</v>
      </c>
      <c r="H773" s="1578">
        <v>2010</v>
      </c>
      <c r="I773" s="1662">
        <f t="shared" si="235"/>
        <v>5.5</v>
      </c>
      <c r="J773" s="1663">
        <v>96</v>
      </c>
      <c r="K773" s="1664">
        <f t="shared" si="236"/>
        <v>0.125</v>
      </c>
      <c r="L773" s="1613">
        <f t="shared" si="237"/>
        <v>11315.776250000001</v>
      </c>
      <c r="M773" s="1613">
        <f t="shared" si="238"/>
        <v>90526.21</v>
      </c>
      <c r="N773" s="1613">
        <f t="shared" si="227"/>
        <v>-67894.657500000001</v>
      </c>
      <c r="O773" s="1652">
        <f t="shared" si="239"/>
        <v>22631.552500000005</v>
      </c>
      <c r="P773" s="1653">
        <f t="shared" si="240"/>
        <v>-67894.782500000001</v>
      </c>
      <c r="Q773" s="1653">
        <f t="shared" si="241"/>
        <v>-56579.006249999999</v>
      </c>
      <c r="R773" s="1653">
        <f t="shared" si="242"/>
        <v>-56579.006249999999</v>
      </c>
      <c r="S773" s="1653">
        <f t="shared" si="243"/>
        <v>-45263.229999999996</v>
      </c>
      <c r="T773" s="1653">
        <f t="shared" si="228"/>
        <v>-45263.229999999996</v>
      </c>
      <c r="U773" s="1653">
        <f t="shared" si="229"/>
        <v>-33947.453749999993</v>
      </c>
      <c r="V773" s="1653">
        <f t="shared" si="230"/>
        <v>-33947.453749999993</v>
      </c>
      <c r="W773" s="1653">
        <f t="shared" si="231"/>
        <v>-22631.677499999991</v>
      </c>
      <c r="X773" s="1653">
        <f t="shared" si="232"/>
        <v>-22631.677499999991</v>
      </c>
      <c r="Y773" s="1653">
        <f t="shared" si="233"/>
        <v>-11315.90124999999</v>
      </c>
    </row>
    <row r="774" spans="1:25" ht="15" hidden="1" outlineLevel="1">
      <c r="A774" s="1615">
        <v>766</v>
      </c>
      <c r="C774" s="1651" t="s">
        <v>3450</v>
      </c>
      <c r="D774" s="1651" t="s">
        <v>3451</v>
      </c>
      <c r="E774" s="1613">
        <v>3295</v>
      </c>
      <c r="F774" s="1613">
        <v>-1406.68</v>
      </c>
      <c r="G774" s="1613">
        <f t="shared" si="234"/>
        <v>1888.32</v>
      </c>
      <c r="H774" s="1578">
        <v>2012</v>
      </c>
      <c r="I774" s="1662">
        <f t="shared" si="235"/>
        <v>3.5</v>
      </c>
      <c r="J774" s="1663">
        <v>96</v>
      </c>
      <c r="K774" s="1664">
        <f t="shared" si="236"/>
        <v>0.125</v>
      </c>
      <c r="L774" s="1613">
        <f t="shared" si="237"/>
        <v>411.875</v>
      </c>
      <c r="M774" s="1613">
        <f t="shared" si="238"/>
        <v>3295</v>
      </c>
      <c r="N774" s="1613">
        <f t="shared" si="227"/>
        <v>-1647.5</v>
      </c>
      <c r="O774" s="1652">
        <f t="shared" si="239"/>
        <v>1647.5</v>
      </c>
      <c r="P774" s="1653">
        <f t="shared" si="240"/>
        <v>-1647.625</v>
      </c>
      <c r="Q774" s="1653">
        <f t="shared" si="241"/>
        <v>-1235.75</v>
      </c>
      <c r="R774" s="1653">
        <f t="shared" si="242"/>
        <v>-1235.75</v>
      </c>
      <c r="S774" s="1653">
        <f t="shared" si="243"/>
        <v>-823.875</v>
      </c>
      <c r="T774" s="1653">
        <f t="shared" si="228"/>
        <v>-823.875</v>
      </c>
      <c r="U774" s="1653">
        <f t="shared" si="229"/>
        <v>-412</v>
      </c>
      <c r="V774" s="1653">
        <f t="shared" si="230"/>
        <v>-412</v>
      </c>
      <c r="W774" s="1653">
        <f t="shared" si="231"/>
        <v>-0.125</v>
      </c>
      <c r="X774" s="1653">
        <f t="shared" si="232"/>
        <v>-0.125</v>
      </c>
      <c r="Y774" s="1653">
        <f t="shared" si="233"/>
        <v>411.75</v>
      </c>
    </row>
    <row r="775" spans="1:25" ht="15" hidden="1" outlineLevel="1">
      <c r="A775" s="1615">
        <v>767</v>
      </c>
      <c r="C775" s="1651" t="s">
        <v>3452</v>
      </c>
      <c r="D775" s="1651" t="s">
        <v>3453</v>
      </c>
      <c r="E775" s="1613">
        <v>16495.73</v>
      </c>
      <c r="F775" s="1613">
        <v>-7042.23</v>
      </c>
      <c r="G775" s="1613">
        <f t="shared" si="234"/>
        <v>9453.5</v>
      </c>
      <c r="H775" s="1578">
        <v>2012</v>
      </c>
      <c r="I775" s="1662">
        <f t="shared" si="235"/>
        <v>3.5</v>
      </c>
      <c r="J775" s="1663">
        <v>96</v>
      </c>
      <c r="K775" s="1664">
        <f t="shared" si="236"/>
        <v>0.125</v>
      </c>
      <c r="L775" s="1613">
        <f t="shared" si="237"/>
        <v>2061.9662499999999</v>
      </c>
      <c r="M775" s="1613">
        <f t="shared" si="238"/>
        <v>16495.73</v>
      </c>
      <c r="N775" s="1613">
        <f t="shared" si="227"/>
        <v>-8247.8649999999998</v>
      </c>
      <c r="O775" s="1652">
        <f t="shared" si="239"/>
        <v>8247.8649999999998</v>
      </c>
      <c r="P775" s="1653">
        <f t="shared" si="240"/>
        <v>-8247.99</v>
      </c>
      <c r="Q775" s="1653">
        <f t="shared" si="241"/>
        <v>-6186.0237500000003</v>
      </c>
      <c r="R775" s="1653">
        <f t="shared" si="242"/>
        <v>-6186.0237500000003</v>
      </c>
      <c r="S775" s="1653">
        <f t="shared" si="243"/>
        <v>-4124.0575000000008</v>
      </c>
      <c r="T775" s="1653">
        <f t="shared" si="228"/>
        <v>-4124.0575000000008</v>
      </c>
      <c r="U775" s="1653">
        <f t="shared" si="229"/>
        <v>-2062.0912500000009</v>
      </c>
      <c r="V775" s="1653">
        <f t="shared" si="230"/>
        <v>-2062.0912500000009</v>
      </c>
      <c r="W775" s="1653">
        <f t="shared" si="231"/>
        <v>-0.12500000000090949</v>
      </c>
      <c r="X775" s="1653">
        <f t="shared" si="232"/>
        <v>-0.12500000000090949</v>
      </c>
      <c r="Y775" s="1653">
        <f t="shared" si="233"/>
        <v>2061.841249999999</v>
      </c>
    </row>
    <row r="776" spans="1:25" ht="15" hidden="1" outlineLevel="1">
      <c r="A776" s="1615">
        <v>768</v>
      </c>
      <c r="C776" s="1651" t="s">
        <v>3454</v>
      </c>
      <c r="D776" s="1651" t="s">
        <v>2003</v>
      </c>
      <c r="E776" s="1613">
        <v>880</v>
      </c>
      <c r="F776" s="1613">
        <v>-275</v>
      </c>
      <c r="G776" s="1613">
        <f t="shared" si="234"/>
        <v>605</v>
      </c>
      <c r="H776" s="1578">
        <v>2013</v>
      </c>
      <c r="I776" s="1662">
        <f t="shared" si="235"/>
        <v>2.5</v>
      </c>
      <c r="J776" s="1663">
        <v>96</v>
      </c>
      <c r="K776" s="1664">
        <f t="shared" si="236"/>
        <v>0.125</v>
      </c>
      <c r="L776" s="1613">
        <f t="shared" si="237"/>
        <v>110</v>
      </c>
      <c r="M776" s="1613">
        <f t="shared" si="238"/>
        <v>880</v>
      </c>
      <c r="N776" s="1613">
        <f t="shared" si="227"/>
        <v>-330</v>
      </c>
      <c r="O776" s="1652">
        <f t="shared" si="239"/>
        <v>550</v>
      </c>
      <c r="P776" s="1653">
        <f t="shared" si="240"/>
        <v>-330.125</v>
      </c>
      <c r="Q776" s="1653">
        <f t="shared" si="241"/>
        <v>-220.125</v>
      </c>
      <c r="R776" s="1653">
        <f t="shared" si="242"/>
        <v>-220.125</v>
      </c>
      <c r="S776" s="1653">
        <f t="shared" si="243"/>
        <v>-110.125</v>
      </c>
      <c r="T776" s="1653">
        <f t="shared" si="228"/>
        <v>-110.125</v>
      </c>
      <c r="U776" s="1653">
        <f t="shared" si="229"/>
        <v>-0.125</v>
      </c>
      <c r="V776" s="1653">
        <f t="shared" si="230"/>
        <v>-0.125</v>
      </c>
      <c r="W776" s="1653">
        <f t="shared" si="231"/>
        <v>109.875</v>
      </c>
      <c r="X776" s="1653">
        <f t="shared" si="232"/>
        <v>-0.25</v>
      </c>
      <c r="Y776" s="1653">
        <f t="shared" si="233"/>
        <v>109.75</v>
      </c>
    </row>
    <row r="777" spans="1:25" ht="15" hidden="1" outlineLevel="1">
      <c r="A777" s="1615">
        <v>769</v>
      </c>
      <c r="C777" s="1651" t="s">
        <v>3455</v>
      </c>
      <c r="D777" s="1651" t="s">
        <v>3456</v>
      </c>
      <c r="E777" s="1613">
        <v>869453.07</v>
      </c>
      <c r="F777" s="1613">
        <v>-435619.8</v>
      </c>
      <c r="G777" s="1613">
        <f t="shared" si="234"/>
        <v>433833.26999999996</v>
      </c>
      <c r="H777" s="1578">
        <v>2013</v>
      </c>
      <c r="I777" s="1662">
        <f t="shared" si="235"/>
        <v>2.5</v>
      </c>
      <c r="J777" s="1663">
        <v>48</v>
      </c>
      <c r="K777" s="1664">
        <f t="shared" si="236"/>
        <v>0.25</v>
      </c>
      <c r="L777" s="1613">
        <f t="shared" si="237"/>
        <v>217363.26749999999</v>
      </c>
      <c r="M777" s="1613">
        <f t="shared" si="238"/>
        <v>869453.07</v>
      </c>
      <c r="N777" s="1613">
        <f t="shared" si="227"/>
        <v>-652089.80249999999</v>
      </c>
      <c r="O777" s="1652">
        <f t="shared" si="239"/>
        <v>217363.26749999996</v>
      </c>
      <c r="P777" s="1653">
        <f t="shared" si="240"/>
        <v>-652090.05249999999</v>
      </c>
      <c r="Q777" s="1653">
        <f t="shared" si="241"/>
        <v>-434726.78500000003</v>
      </c>
      <c r="R777" s="1653">
        <f t="shared" si="242"/>
        <v>-434726.78500000003</v>
      </c>
      <c r="S777" s="1653">
        <f t="shared" si="243"/>
        <v>-217363.51750000005</v>
      </c>
      <c r="T777" s="1653">
        <f t="shared" si="228"/>
        <v>-217363.51750000005</v>
      </c>
      <c r="U777" s="1653">
        <f t="shared" si="229"/>
        <v>-0.25000000005820766</v>
      </c>
      <c r="V777" s="1653">
        <f t="shared" si="230"/>
        <v>-0.25000000005820766</v>
      </c>
      <c r="W777" s="1653">
        <f t="shared" si="231"/>
        <v>217363.01749999993</v>
      </c>
      <c r="X777" s="1653">
        <f t="shared" si="232"/>
        <v>-0.50000000005820766</v>
      </c>
      <c r="Y777" s="1653">
        <f t="shared" si="233"/>
        <v>217362.76749999993</v>
      </c>
    </row>
    <row r="778" spans="1:25" ht="15" hidden="1" outlineLevel="1">
      <c r="A778" s="1615">
        <v>770</v>
      </c>
      <c r="C778" s="1651" t="s">
        <v>3457</v>
      </c>
      <c r="D778" s="1651" t="s">
        <v>3458</v>
      </c>
      <c r="E778" s="1613">
        <v>4392</v>
      </c>
      <c r="F778" s="1613">
        <v>-458</v>
      </c>
      <c r="G778" s="1613">
        <f t="shared" si="234"/>
        <v>3934</v>
      </c>
      <c r="H778" s="1578">
        <v>2014</v>
      </c>
      <c r="I778" s="1662">
        <f t="shared" si="235"/>
        <v>1.5</v>
      </c>
      <c r="J778" s="1663">
        <v>96</v>
      </c>
      <c r="K778" s="1664">
        <f t="shared" si="236"/>
        <v>0.125</v>
      </c>
      <c r="L778" s="1613">
        <f t="shared" si="237"/>
        <v>549</v>
      </c>
      <c r="M778" s="1613">
        <f t="shared" si="238"/>
        <v>4392</v>
      </c>
      <c r="N778" s="1613">
        <f t="shared" ref="N778:N793" si="244">-IF(I778+0.5&lt;(J778/12),M778*(I778+0.5)*K778,M778)</f>
        <v>-1098</v>
      </c>
      <c r="O778" s="1652">
        <f t="shared" si="239"/>
        <v>3294</v>
      </c>
      <c r="P778" s="1653">
        <f t="shared" si="240"/>
        <v>-1098.125</v>
      </c>
      <c r="Q778" s="1653">
        <f t="shared" si="241"/>
        <v>-549.125</v>
      </c>
      <c r="R778" s="1653">
        <f t="shared" si="242"/>
        <v>-549.125</v>
      </c>
      <c r="S778" s="1653">
        <f t="shared" si="243"/>
        <v>-0.125</v>
      </c>
      <c r="T778" s="1653">
        <f t="shared" ref="T778:T793" si="245">IF(S778&gt;0,IF(S778&lt;$K778,-$L778,R778-$K778),S778)</f>
        <v>-0.125</v>
      </c>
      <c r="U778" s="1653">
        <f t="shared" ref="U778:U793" si="246">IF(T778&lt;0,$L778+T778,S778)</f>
        <v>548.875</v>
      </c>
      <c r="V778" s="1653">
        <f t="shared" ref="V778:V793" si="247">IF(U778&gt;0,IF(U778&lt;$K778,-$L778,T778-$K778),U778)</f>
        <v>-0.25</v>
      </c>
      <c r="W778" s="1653">
        <f t="shared" ref="W778:W793" si="248">IF(V778&lt;0,$L778+V778,U778)</f>
        <v>548.75</v>
      </c>
      <c r="X778" s="1653">
        <f t="shared" ref="X778:X793" si="249">IF(W778&gt;0,IF(W778&lt;$K778,-$L778,V778-$K778),W778)</f>
        <v>-0.375</v>
      </c>
      <c r="Y778" s="1653">
        <f t="shared" ref="Y778:Y793" si="250">IF(X778&lt;0,$L778+X778,W778)</f>
        <v>548.625</v>
      </c>
    </row>
    <row r="779" spans="1:25" ht="15" hidden="1" outlineLevel="1">
      <c r="A779" s="1615">
        <v>771</v>
      </c>
      <c r="C779" s="1651" t="s">
        <v>3459</v>
      </c>
      <c r="D779" s="1651" t="s">
        <v>3157</v>
      </c>
      <c r="E779" s="1613">
        <v>16308.47</v>
      </c>
      <c r="F779" s="1613">
        <v>-847.92</v>
      </c>
      <c r="G779" s="1613">
        <f t="shared" ref="G779:G793" si="251">E779+F779</f>
        <v>15460.55</v>
      </c>
      <c r="H779" s="1578">
        <v>2015</v>
      </c>
      <c r="I779" s="1662">
        <f t="shared" ref="I779:I793" si="252">IF(H779=2015,0.5,2015.5-H779)</f>
        <v>0.5</v>
      </c>
      <c r="J779" s="1663">
        <v>96</v>
      </c>
      <c r="K779" s="1664">
        <f t="shared" ref="K779:K793" si="253">1/J779*12</f>
        <v>0.125</v>
      </c>
      <c r="L779" s="1613">
        <f t="shared" ref="L779:L793" si="254">IF(I779&lt;(J779/12),E779*K779,0)</f>
        <v>2038.5587499999999</v>
      </c>
      <c r="M779" s="1613">
        <f t="shared" ref="M779:M793" si="255">E779</f>
        <v>16308.47</v>
      </c>
      <c r="N779" s="1613">
        <f t="shared" si="244"/>
        <v>-2038.5587499999999</v>
      </c>
      <c r="O779" s="1652">
        <f t="shared" ref="O779:O793" si="256">M779+N779</f>
        <v>14269.911249999999</v>
      </c>
      <c r="P779" s="1653">
        <f t="shared" ref="P779:P793" si="257">IF(O779&gt;0,IF(O779&lt;$K779,-$L779,N779-$K779),O779)</f>
        <v>-2038.6837499999999</v>
      </c>
      <c r="Q779" s="1653">
        <f t="shared" ref="Q779:Q793" si="258">IF(P779&lt;0,$L779+P779,O779)</f>
        <v>-0.125</v>
      </c>
      <c r="R779" s="1653">
        <f t="shared" ref="R779:R793" si="259">IF(Q779&gt;0,IF(Q779&lt;$K779,-$L779,P779-$K779),Q779)</f>
        <v>-0.125</v>
      </c>
      <c r="S779" s="1653">
        <f t="shared" ref="S779:S793" si="260">IF(R779&lt;0,$L779+R779,Q779)</f>
        <v>2038.4337499999999</v>
      </c>
      <c r="T779" s="1653">
        <f t="shared" si="245"/>
        <v>-0.25</v>
      </c>
      <c r="U779" s="1653">
        <f t="shared" si="246"/>
        <v>2038.3087499999999</v>
      </c>
      <c r="V779" s="1653">
        <f t="shared" si="247"/>
        <v>-0.375</v>
      </c>
      <c r="W779" s="1653">
        <f t="shared" si="248"/>
        <v>2038.1837499999999</v>
      </c>
      <c r="X779" s="1653">
        <f t="shared" si="249"/>
        <v>-0.5</v>
      </c>
      <c r="Y779" s="1653">
        <f t="shared" si="250"/>
        <v>2038.0587499999999</v>
      </c>
    </row>
    <row r="780" spans="1:25" ht="15" hidden="1" outlineLevel="1">
      <c r="A780" s="1615">
        <v>772</v>
      </c>
      <c r="C780" s="1651" t="s">
        <v>3460</v>
      </c>
      <c r="D780" s="1651" t="s">
        <v>2465</v>
      </c>
      <c r="E780" s="1613">
        <v>6783.56</v>
      </c>
      <c r="F780" s="1613">
        <v>-284.35000000000002</v>
      </c>
      <c r="G780" s="1613">
        <f t="shared" si="251"/>
        <v>6499.21</v>
      </c>
      <c r="H780" s="1578">
        <v>2015</v>
      </c>
      <c r="I780" s="1662">
        <f t="shared" si="252"/>
        <v>0.5</v>
      </c>
      <c r="J780" s="1663">
        <v>96</v>
      </c>
      <c r="K780" s="1664">
        <f t="shared" si="253"/>
        <v>0.125</v>
      </c>
      <c r="L780" s="1613">
        <f t="shared" si="254"/>
        <v>847.94500000000005</v>
      </c>
      <c r="M780" s="1613">
        <f t="shared" si="255"/>
        <v>6783.56</v>
      </c>
      <c r="N780" s="1613">
        <f t="shared" si="244"/>
        <v>-847.94500000000005</v>
      </c>
      <c r="O780" s="1652">
        <f t="shared" si="256"/>
        <v>5935.6150000000007</v>
      </c>
      <c r="P780" s="1653">
        <f t="shared" si="257"/>
        <v>-848.07</v>
      </c>
      <c r="Q780" s="1653">
        <f t="shared" si="258"/>
        <v>-0.125</v>
      </c>
      <c r="R780" s="1653">
        <f t="shared" si="259"/>
        <v>-0.125</v>
      </c>
      <c r="S780" s="1653">
        <f t="shared" si="260"/>
        <v>847.82</v>
      </c>
      <c r="T780" s="1653">
        <f t="shared" si="245"/>
        <v>-0.25</v>
      </c>
      <c r="U780" s="1653">
        <f t="shared" si="246"/>
        <v>847.69500000000005</v>
      </c>
      <c r="V780" s="1653">
        <f t="shared" si="247"/>
        <v>-0.375</v>
      </c>
      <c r="W780" s="1653">
        <f t="shared" si="248"/>
        <v>847.57</v>
      </c>
      <c r="X780" s="1653">
        <f t="shared" si="249"/>
        <v>-0.5</v>
      </c>
      <c r="Y780" s="1653">
        <f t="shared" si="250"/>
        <v>847.44500000000005</v>
      </c>
    </row>
    <row r="781" spans="1:25" ht="15" hidden="1" outlineLevel="1">
      <c r="A781" s="1615">
        <v>773</v>
      </c>
      <c r="C781" s="1651" t="s">
        <v>3461</v>
      </c>
      <c r="D781" s="1651" t="s">
        <v>2003</v>
      </c>
      <c r="E781" s="1613">
        <v>149720.15</v>
      </c>
      <c r="F781" s="1613">
        <v>-140362.64000000001</v>
      </c>
      <c r="G781" s="1613">
        <f t="shared" si="251"/>
        <v>9357.5099999999802</v>
      </c>
      <c r="H781" s="1578">
        <v>2008</v>
      </c>
      <c r="I781" s="1662">
        <f t="shared" si="252"/>
        <v>7.5</v>
      </c>
      <c r="J781" s="1663">
        <v>96</v>
      </c>
      <c r="K781" s="1664">
        <f t="shared" si="253"/>
        <v>0.125</v>
      </c>
      <c r="L781" s="1613">
        <f t="shared" si="254"/>
        <v>18715.018749999999</v>
      </c>
      <c r="M781" s="1613">
        <f t="shared" si="255"/>
        <v>149720.15</v>
      </c>
      <c r="N781" s="1613">
        <f t="shared" si="244"/>
        <v>-149720.15</v>
      </c>
      <c r="O781" s="1652">
        <f t="shared" si="256"/>
        <v>0</v>
      </c>
      <c r="P781" s="1653">
        <f t="shared" si="257"/>
        <v>0</v>
      </c>
      <c r="Q781" s="1653">
        <f t="shared" si="258"/>
        <v>0</v>
      </c>
      <c r="R781" s="1653">
        <f t="shared" si="259"/>
        <v>0</v>
      </c>
      <c r="S781" s="1653">
        <f t="shared" si="260"/>
        <v>0</v>
      </c>
      <c r="T781" s="1653">
        <f t="shared" si="245"/>
        <v>0</v>
      </c>
      <c r="U781" s="1653">
        <f t="shared" si="246"/>
        <v>0</v>
      </c>
      <c r="V781" s="1653">
        <f t="shared" si="247"/>
        <v>0</v>
      </c>
      <c r="W781" s="1653">
        <f t="shared" si="248"/>
        <v>0</v>
      </c>
      <c r="X781" s="1653">
        <f t="shared" si="249"/>
        <v>0</v>
      </c>
      <c r="Y781" s="1653">
        <f t="shared" si="250"/>
        <v>0</v>
      </c>
    </row>
    <row r="782" spans="1:25" ht="15" hidden="1" outlineLevel="1">
      <c r="A782" s="1615">
        <v>774</v>
      </c>
      <c r="C782" s="1651" t="s">
        <v>3462</v>
      </c>
      <c r="D782" s="1651" t="s">
        <v>2003</v>
      </c>
      <c r="E782" s="1613">
        <v>313.93</v>
      </c>
      <c r="F782" s="1613">
        <v>-294.31</v>
      </c>
      <c r="G782" s="1613">
        <f t="shared" si="251"/>
        <v>19.620000000000005</v>
      </c>
      <c r="H782" s="1578">
        <v>2008</v>
      </c>
      <c r="I782" s="1662">
        <f t="shared" si="252"/>
        <v>7.5</v>
      </c>
      <c r="J782" s="1663">
        <v>96</v>
      </c>
      <c r="K782" s="1664">
        <f t="shared" si="253"/>
        <v>0.125</v>
      </c>
      <c r="L782" s="1613">
        <f t="shared" si="254"/>
        <v>39.241250000000001</v>
      </c>
      <c r="M782" s="1613">
        <f t="shared" si="255"/>
        <v>313.93</v>
      </c>
      <c r="N782" s="1613">
        <f t="shared" si="244"/>
        <v>-313.93</v>
      </c>
      <c r="O782" s="1652">
        <f t="shared" si="256"/>
        <v>0</v>
      </c>
      <c r="P782" s="1653">
        <f t="shared" si="257"/>
        <v>0</v>
      </c>
      <c r="Q782" s="1653">
        <f t="shared" si="258"/>
        <v>0</v>
      </c>
      <c r="R782" s="1653">
        <f t="shared" si="259"/>
        <v>0</v>
      </c>
      <c r="S782" s="1653">
        <f t="shared" si="260"/>
        <v>0</v>
      </c>
      <c r="T782" s="1653">
        <f t="shared" si="245"/>
        <v>0</v>
      </c>
      <c r="U782" s="1653">
        <f t="shared" si="246"/>
        <v>0</v>
      </c>
      <c r="V782" s="1653">
        <f t="shared" si="247"/>
        <v>0</v>
      </c>
      <c r="W782" s="1653">
        <f t="shared" si="248"/>
        <v>0</v>
      </c>
      <c r="X782" s="1653">
        <f t="shared" si="249"/>
        <v>0</v>
      </c>
      <c r="Y782" s="1653">
        <f t="shared" si="250"/>
        <v>0</v>
      </c>
    </row>
    <row r="783" spans="1:25" ht="15" hidden="1" outlineLevel="1">
      <c r="A783" s="1615">
        <v>775</v>
      </c>
      <c r="C783" s="1651" t="s">
        <v>3463</v>
      </c>
      <c r="D783" s="1651" t="s">
        <v>2003</v>
      </c>
      <c r="E783" s="1613">
        <v>361.11</v>
      </c>
      <c r="F783" s="1613">
        <v>-338.54</v>
      </c>
      <c r="G783" s="1613">
        <f t="shared" si="251"/>
        <v>22.569999999999993</v>
      </c>
      <c r="H783" s="1578">
        <v>2008</v>
      </c>
      <c r="I783" s="1662">
        <f t="shared" si="252"/>
        <v>7.5</v>
      </c>
      <c r="J783" s="1663">
        <v>96</v>
      </c>
      <c r="K783" s="1664">
        <f t="shared" si="253"/>
        <v>0.125</v>
      </c>
      <c r="L783" s="1613">
        <f t="shared" si="254"/>
        <v>45.138750000000002</v>
      </c>
      <c r="M783" s="1613">
        <f t="shared" si="255"/>
        <v>361.11</v>
      </c>
      <c r="N783" s="1613">
        <f t="shared" si="244"/>
        <v>-361.11</v>
      </c>
      <c r="O783" s="1652">
        <f t="shared" si="256"/>
        <v>0</v>
      </c>
      <c r="P783" s="1653">
        <f t="shared" si="257"/>
        <v>0</v>
      </c>
      <c r="Q783" s="1653">
        <f t="shared" si="258"/>
        <v>0</v>
      </c>
      <c r="R783" s="1653">
        <f t="shared" si="259"/>
        <v>0</v>
      </c>
      <c r="S783" s="1653">
        <f t="shared" si="260"/>
        <v>0</v>
      </c>
      <c r="T783" s="1653">
        <f t="shared" si="245"/>
        <v>0</v>
      </c>
      <c r="U783" s="1653">
        <f t="shared" si="246"/>
        <v>0</v>
      </c>
      <c r="V783" s="1653">
        <f t="shared" si="247"/>
        <v>0</v>
      </c>
      <c r="W783" s="1653">
        <f t="shared" si="248"/>
        <v>0</v>
      </c>
      <c r="X783" s="1653">
        <f t="shared" si="249"/>
        <v>0</v>
      </c>
      <c r="Y783" s="1653">
        <f t="shared" si="250"/>
        <v>0</v>
      </c>
    </row>
    <row r="784" spans="1:25" ht="15" hidden="1" outlineLevel="1">
      <c r="A784" s="1615">
        <v>776</v>
      </c>
      <c r="C784" s="1651" t="s">
        <v>3464</v>
      </c>
      <c r="D784" s="1651" t="s">
        <v>2003</v>
      </c>
      <c r="E784" s="1613">
        <v>-149720.15</v>
      </c>
      <c r="F784" s="1613">
        <v>140362.64000000001</v>
      </c>
      <c r="G784" s="1613">
        <f t="shared" si="251"/>
        <v>-9357.5099999999802</v>
      </c>
      <c r="H784" s="1578">
        <v>2008</v>
      </c>
      <c r="I784" s="1662">
        <f t="shared" si="252"/>
        <v>7.5</v>
      </c>
      <c r="J784" s="1663">
        <v>96</v>
      </c>
      <c r="K784" s="1664">
        <f t="shared" si="253"/>
        <v>0.125</v>
      </c>
      <c r="L784" s="1613">
        <f t="shared" si="254"/>
        <v>-18715.018749999999</v>
      </c>
      <c r="M784" s="1613">
        <f t="shared" si="255"/>
        <v>-149720.15</v>
      </c>
      <c r="N784" s="1613">
        <f t="shared" si="244"/>
        <v>149720.15</v>
      </c>
      <c r="O784" s="1652">
        <f t="shared" si="256"/>
        <v>0</v>
      </c>
      <c r="P784" s="1653">
        <f t="shared" si="257"/>
        <v>0</v>
      </c>
      <c r="Q784" s="1653">
        <f t="shared" si="258"/>
        <v>0</v>
      </c>
      <c r="R784" s="1653">
        <f t="shared" si="259"/>
        <v>0</v>
      </c>
      <c r="S784" s="1653">
        <f t="shared" si="260"/>
        <v>0</v>
      </c>
      <c r="T784" s="1653">
        <f t="shared" si="245"/>
        <v>0</v>
      </c>
      <c r="U784" s="1653">
        <f t="shared" si="246"/>
        <v>0</v>
      </c>
      <c r="V784" s="1653">
        <f t="shared" si="247"/>
        <v>0</v>
      </c>
      <c r="W784" s="1653">
        <f t="shared" si="248"/>
        <v>0</v>
      </c>
      <c r="X784" s="1653">
        <f t="shared" si="249"/>
        <v>0</v>
      </c>
      <c r="Y784" s="1653">
        <f t="shared" si="250"/>
        <v>0</v>
      </c>
    </row>
    <row r="785" spans="1:25" ht="15" hidden="1" outlineLevel="1">
      <c r="A785" s="1615">
        <v>777</v>
      </c>
      <c r="C785" s="1651" t="s">
        <v>3465</v>
      </c>
      <c r="D785" s="1651" t="s">
        <v>2003</v>
      </c>
      <c r="E785" s="1613">
        <v>87.41</v>
      </c>
      <c r="F785" s="1613">
        <v>-81.010000000000005</v>
      </c>
      <c r="G785" s="1613">
        <f t="shared" si="251"/>
        <v>6.3999999999999915</v>
      </c>
      <c r="H785" s="1578">
        <v>2008</v>
      </c>
      <c r="I785" s="1662">
        <f t="shared" si="252"/>
        <v>7.5</v>
      </c>
      <c r="J785" s="1663">
        <v>96</v>
      </c>
      <c r="K785" s="1664">
        <f t="shared" si="253"/>
        <v>0.125</v>
      </c>
      <c r="L785" s="1613">
        <f t="shared" si="254"/>
        <v>10.92625</v>
      </c>
      <c r="M785" s="1613">
        <f t="shared" si="255"/>
        <v>87.41</v>
      </c>
      <c r="N785" s="1613">
        <f t="shared" si="244"/>
        <v>-87.41</v>
      </c>
      <c r="O785" s="1652">
        <f t="shared" si="256"/>
        <v>0</v>
      </c>
      <c r="P785" s="1653">
        <f t="shared" si="257"/>
        <v>0</v>
      </c>
      <c r="Q785" s="1653">
        <f t="shared" si="258"/>
        <v>0</v>
      </c>
      <c r="R785" s="1653">
        <f t="shared" si="259"/>
        <v>0</v>
      </c>
      <c r="S785" s="1653">
        <f t="shared" si="260"/>
        <v>0</v>
      </c>
      <c r="T785" s="1653">
        <f t="shared" si="245"/>
        <v>0</v>
      </c>
      <c r="U785" s="1653">
        <f t="shared" si="246"/>
        <v>0</v>
      </c>
      <c r="V785" s="1653">
        <f t="shared" si="247"/>
        <v>0</v>
      </c>
      <c r="W785" s="1653">
        <f t="shared" si="248"/>
        <v>0</v>
      </c>
      <c r="X785" s="1653">
        <f t="shared" si="249"/>
        <v>0</v>
      </c>
      <c r="Y785" s="1653">
        <f t="shared" si="250"/>
        <v>0</v>
      </c>
    </row>
    <row r="786" spans="1:25" ht="15" hidden="1" outlineLevel="1">
      <c r="A786" s="1615">
        <v>778</v>
      </c>
      <c r="C786" s="1651" t="s">
        <v>3466</v>
      </c>
      <c r="D786" s="1651" t="s">
        <v>2003</v>
      </c>
      <c r="E786" s="1613">
        <v>8380</v>
      </c>
      <c r="F786" s="1613">
        <v>-7767.53</v>
      </c>
      <c r="G786" s="1613">
        <f t="shared" si="251"/>
        <v>612.47000000000025</v>
      </c>
      <c r="H786" s="1578">
        <v>2008</v>
      </c>
      <c r="I786" s="1662">
        <f t="shared" si="252"/>
        <v>7.5</v>
      </c>
      <c r="J786" s="1663">
        <v>96</v>
      </c>
      <c r="K786" s="1664">
        <f t="shared" si="253"/>
        <v>0.125</v>
      </c>
      <c r="L786" s="1613">
        <f t="shared" si="254"/>
        <v>1047.5</v>
      </c>
      <c r="M786" s="1613">
        <f t="shared" si="255"/>
        <v>8380</v>
      </c>
      <c r="N786" s="1613">
        <f t="shared" si="244"/>
        <v>-8380</v>
      </c>
      <c r="O786" s="1652">
        <f t="shared" si="256"/>
        <v>0</v>
      </c>
      <c r="P786" s="1653">
        <f t="shared" si="257"/>
        <v>0</v>
      </c>
      <c r="Q786" s="1653">
        <f t="shared" si="258"/>
        <v>0</v>
      </c>
      <c r="R786" s="1653">
        <f t="shared" si="259"/>
        <v>0</v>
      </c>
      <c r="S786" s="1653">
        <f t="shared" si="260"/>
        <v>0</v>
      </c>
      <c r="T786" s="1653">
        <f t="shared" si="245"/>
        <v>0</v>
      </c>
      <c r="U786" s="1653">
        <f t="shared" si="246"/>
        <v>0</v>
      </c>
      <c r="V786" s="1653">
        <f t="shared" si="247"/>
        <v>0</v>
      </c>
      <c r="W786" s="1653">
        <f t="shared" si="248"/>
        <v>0</v>
      </c>
      <c r="X786" s="1653">
        <f t="shared" si="249"/>
        <v>0</v>
      </c>
      <c r="Y786" s="1653">
        <f t="shared" si="250"/>
        <v>0</v>
      </c>
    </row>
    <row r="787" spans="1:25" ht="15" hidden="1" outlineLevel="1">
      <c r="A787" s="1615">
        <v>779</v>
      </c>
      <c r="C787" s="1651" t="s">
        <v>3467</v>
      </c>
      <c r="D787" s="1651" t="s">
        <v>2003</v>
      </c>
      <c r="E787" s="1613">
        <v>15518.02</v>
      </c>
      <c r="F787" s="1613">
        <v>-14383.85</v>
      </c>
      <c r="G787" s="1613">
        <f t="shared" si="251"/>
        <v>1134.17</v>
      </c>
      <c r="H787" s="1578">
        <v>2008</v>
      </c>
      <c r="I787" s="1662">
        <f t="shared" si="252"/>
        <v>7.5</v>
      </c>
      <c r="J787" s="1663">
        <v>96</v>
      </c>
      <c r="K787" s="1664">
        <f t="shared" si="253"/>
        <v>0.125</v>
      </c>
      <c r="L787" s="1613">
        <f t="shared" si="254"/>
        <v>1939.7525000000001</v>
      </c>
      <c r="M787" s="1613">
        <f t="shared" si="255"/>
        <v>15518.02</v>
      </c>
      <c r="N787" s="1613">
        <f t="shared" si="244"/>
        <v>-15518.02</v>
      </c>
      <c r="O787" s="1652">
        <f t="shared" si="256"/>
        <v>0</v>
      </c>
      <c r="P787" s="1653">
        <f t="shared" si="257"/>
        <v>0</v>
      </c>
      <c r="Q787" s="1653">
        <f t="shared" si="258"/>
        <v>0</v>
      </c>
      <c r="R787" s="1653">
        <f t="shared" si="259"/>
        <v>0</v>
      </c>
      <c r="S787" s="1653">
        <f t="shared" si="260"/>
        <v>0</v>
      </c>
      <c r="T787" s="1653">
        <f t="shared" si="245"/>
        <v>0</v>
      </c>
      <c r="U787" s="1653">
        <f t="shared" si="246"/>
        <v>0</v>
      </c>
      <c r="V787" s="1653">
        <f t="shared" si="247"/>
        <v>0</v>
      </c>
      <c r="W787" s="1653">
        <f t="shared" si="248"/>
        <v>0</v>
      </c>
      <c r="X787" s="1653">
        <f t="shared" si="249"/>
        <v>0</v>
      </c>
      <c r="Y787" s="1653">
        <f t="shared" si="250"/>
        <v>0</v>
      </c>
    </row>
    <row r="788" spans="1:25" ht="15" hidden="1" outlineLevel="1">
      <c r="A788" s="1615">
        <v>780</v>
      </c>
      <c r="C788" s="1651" t="s">
        <v>3468</v>
      </c>
      <c r="D788" s="1651" t="s">
        <v>2003</v>
      </c>
      <c r="E788" s="1613">
        <v>280.17</v>
      </c>
      <c r="F788" s="1613">
        <v>-259.69</v>
      </c>
      <c r="G788" s="1613">
        <f t="shared" si="251"/>
        <v>20.480000000000018</v>
      </c>
      <c r="H788" s="1578">
        <v>2008</v>
      </c>
      <c r="I788" s="1662">
        <f t="shared" si="252"/>
        <v>7.5</v>
      </c>
      <c r="J788" s="1663">
        <v>96</v>
      </c>
      <c r="K788" s="1664">
        <f t="shared" si="253"/>
        <v>0.125</v>
      </c>
      <c r="L788" s="1613">
        <f t="shared" si="254"/>
        <v>35.021250000000002</v>
      </c>
      <c r="M788" s="1613">
        <f t="shared" si="255"/>
        <v>280.17</v>
      </c>
      <c r="N788" s="1613">
        <f t="shared" si="244"/>
        <v>-280.17</v>
      </c>
      <c r="O788" s="1652">
        <f t="shared" si="256"/>
        <v>0</v>
      </c>
      <c r="P788" s="1653">
        <f t="shared" si="257"/>
        <v>0</v>
      </c>
      <c r="Q788" s="1653">
        <f t="shared" si="258"/>
        <v>0</v>
      </c>
      <c r="R788" s="1653">
        <f t="shared" si="259"/>
        <v>0</v>
      </c>
      <c r="S788" s="1653">
        <f t="shared" si="260"/>
        <v>0</v>
      </c>
      <c r="T788" s="1653">
        <f t="shared" si="245"/>
        <v>0</v>
      </c>
      <c r="U788" s="1653">
        <f t="shared" si="246"/>
        <v>0</v>
      </c>
      <c r="V788" s="1653">
        <f t="shared" si="247"/>
        <v>0</v>
      </c>
      <c r="W788" s="1653">
        <f t="shared" si="248"/>
        <v>0</v>
      </c>
      <c r="X788" s="1653">
        <f t="shared" si="249"/>
        <v>0</v>
      </c>
      <c r="Y788" s="1653">
        <f t="shared" si="250"/>
        <v>0</v>
      </c>
    </row>
    <row r="789" spans="1:25" ht="15" hidden="1" outlineLevel="1">
      <c r="A789" s="1615">
        <v>781</v>
      </c>
      <c r="C789" s="1651" t="s">
        <v>3469</v>
      </c>
      <c r="D789" s="1651" t="s">
        <v>2003</v>
      </c>
      <c r="E789" s="1613">
        <v>250.4</v>
      </c>
      <c r="F789" s="1613">
        <v>-232.1</v>
      </c>
      <c r="G789" s="1613">
        <f t="shared" si="251"/>
        <v>18.300000000000011</v>
      </c>
      <c r="H789" s="1578">
        <v>2008</v>
      </c>
      <c r="I789" s="1662">
        <f t="shared" si="252"/>
        <v>7.5</v>
      </c>
      <c r="J789" s="1663">
        <v>96</v>
      </c>
      <c r="K789" s="1664">
        <f t="shared" si="253"/>
        <v>0.125</v>
      </c>
      <c r="L789" s="1613">
        <f t="shared" si="254"/>
        <v>31.3</v>
      </c>
      <c r="M789" s="1613">
        <f t="shared" si="255"/>
        <v>250.4</v>
      </c>
      <c r="N789" s="1613">
        <f t="shared" si="244"/>
        <v>-250.4</v>
      </c>
      <c r="O789" s="1652">
        <f t="shared" si="256"/>
        <v>0</v>
      </c>
      <c r="P789" s="1653">
        <f t="shared" si="257"/>
        <v>0</v>
      </c>
      <c r="Q789" s="1653">
        <f t="shared" si="258"/>
        <v>0</v>
      </c>
      <c r="R789" s="1653">
        <f t="shared" si="259"/>
        <v>0</v>
      </c>
      <c r="S789" s="1653">
        <f t="shared" si="260"/>
        <v>0</v>
      </c>
      <c r="T789" s="1653">
        <f t="shared" si="245"/>
        <v>0</v>
      </c>
      <c r="U789" s="1653">
        <f t="shared" si="246"/>
        <v>0</v>
      </c>
      <c r="V789" s="1653">
        <f t="shared" si="247"/>
        <v>0</v>
      </c>
      <c r="W789" s="1653">
        <f t="shared" si="248"/>
        <v>0</v>
      </c>
      <c r="X789" s="1653">
        <f t="shared" si="249"/>
        <v>0</v>
      </c>
      <c r="Y789" s="1653">
        <f t="shared" si="250"/>
        <v>0</v>
      </c>
    </row>
    <row r="790" spans="1:25" ht="15" hidden="1" outlineLevel="1">
      <c r="A790" s="1615">
        <v>782</v>
      </c>
      <c r="C790" s="1651" t="s">
        <v>3470</v>
      </c>
      <c r="D790" s="1651" t="s">
        <v>2003</v>
      </c>
      <c r="E790" s="1613">
        <v>1175.29</v>
      </c>
      <c r="F790" s="1613">
        <v>-1089.4000000000001</v>
      </c>
      <c r="G790" s="1613">
        <f t="shared" si="251"/>
        <v>85.889999999999873</v>
      </c>
      <c r="H790" s="1578">
        <v>2008</v>
      </c>
      <c r="I790" s="1662">
        <f t="shared" si="252"/>
        <v>7.5</v>
      </c>
      <c r="J790" s="1663">
        <v>96</v>
      </c>
      <c r="K790" s="1664">
        <f t="shared" si="253"/>
        <v>0.125</v>
      </c>
      <c r="L790" s="1613">
        <f t="shared" si="254"/>
        <v>146.91125</v>
      </c>
      <c r="M790" s="1613">
        <f t="shared" si="255"/>
        <v>1175.29</v>
      </c>
      <c r="N790" s="1613">
        <f t="shared" si="244"/>
        <v>-1175.29</v>
      </c>
      <c r="O790" s="1652">
        <f t="shared" si="256"/>
        <v>0</v>
      </c>
      <c r="P790" s="1653">
        <f t="shared" si="257"/>
        <v>0</v>
      </c>
      <c r="Q790" s="1653">
        <f t="shared" si="258"/>
        <v>0</v>
      </c>
      <c r="R790" s="1653">
        <f t="shared" si="259"/>
        <v>0</v>
      </c>
      <c r="S790" s="1653">
        <f t="shared" si="260"/>
        <v>0</v>
      </c>
      <c r="T790" s="1653">
        <f t="shared" si="245"/>
        <v>0</v>
      </c>
      <c r="U790" s="1653">
        <f t="shared" si="246"/>
        <v>0</v>
      </c>
      <c r="V790" s="1653">
        <f t="shared" si="247"/>
        <v>0</v>
      </c>
      <c r="W790" s="1653">
        <f t="shared" si="248"/>
        <v>0</v>
      </c>
      <c r="X790" s="1653">
        <f t="shared" si="249"/>
        <v>0</v>
      </c>
      <c r="Y790" s="1653">
        <f t="shared" si="250"/>
        <v>0</v>
      </c>
    </row>
    <row r="791" spans="1:25" ht="15" hidden="1" outlineLevel="1">
      <c r="A791" s="1615">
        <v>783</v>
      </c>
      <c r="C791" s="1651" t="s">
        <v>3471</v>
      </c>
      <c r="D791" s="1651" t="s">
        <v>3472</v>
      </c>
      <c r="E791" s="1613">
        <v>7348204.8700000001</v>
      </c>
      <c r="F791" s="1613">
        <v>-6507477.8700000001</v>
      </c>
      <c r="G791" s="1613">
        <f t="shared" si="251"/>
        <v>840727</v>
      </c>
      <c r="H791" s="1578">
        <v>2008</v>
      </c>
      <c r="I791" s="1662">
        <f t="shared" si="252"/>
        <v>7.5</v>
      </c>
      <c r="J791" s="1663">
        <v>96</v>
      </c>
      <c r="K791" s="1664">
        <f t="shared" si="253"/>
        <v>0.125</v>
      </c>
      <c r="L791" s="1613">
        <f t="shared" si="254"/>
        <v>918525.60875000001</v>
      </c>
      <c r="M791" s="1613">
        <f t="shared" si="255"/>
        <v>7348204.8700000001</v>
      </c>
      <c r="N791" s="1613">
        <f t="shared" si="244"/>
        <v>-7348204.8700000001</v>
      </c>
      <c r="O791" s="1652">
        <f t="shared" si="256"/>
        <v>0</v>
      </c>
      <c r="P791" s="1653">
        <f t="shared" si="257"/>
        <v>0</v>
      </c>
      <c r="Q791" s="1653">
        <f t="shared" si="258"/>
        <v>0</v>
      </c>
      <c r="R791" s="1653">
        <f t="shared" si="259"/>
        <v>0</v>
      </c>
      <c r="S791" s="1653">
        <f t="shared" si="260"/>
        <v>0</v>
      </c>
      <c r="T791" s="1653">
        <f t="shared" si="245"/>
        <v>0</v>
      </c>
      <c r="U791" s="1653">
        <f t="shared" si="246"/>
        <v>0</v>
      </c>
      <c r="V791" s="1653">
        <f t="shared" si="247"/>
        <v>0</v>
      </c>
      <c r="W791" s="1653">
        <f t="shared" si="248"/>
        <v>0</v>
      </c>
      <c r="X791" s="1653">
        <f t="shared" si="249"/>
        <v>0</v>
      </c>
      <c r="Y791" s="1653">
        <f t="shared" si="250"/>
        <v>0</v>
      </c>
    </row>
    <row r="792" spans="1:25" ht="15" hidden="1" outlineLevel="1">
      <c r="A792" s="1615">
        <v>784</v>
      </c>
      <c r="C792" s="1651" t="s">
        <v>3473</v>
      </c>
      <c r="D792" s="1651" t="s">
        <v>3474</v>
      </c>
      <c r="E792" s="1613">
        <v>732002.66</v>
      </c>
      <c r="F792" s="1613">
        <v>-84105.11</v>
      </c>
      <c r="G792" s="1613">
        <f t="shared" si="251"/>
        <v>647897.55000000005</v>
      </c>
      <c r="H792" s="1578">
        <v>2014</v>
      </c>
      <c r="I792" s="1662">
        <f t="shared" si="252"/>
        <v>1.5</v>
      </c>
      <c r="J792" s="1663">
        <v>96</v>
      </c>
      <c r="K792" s="1664">
        <f t="shared" si="253"/>
        <v>0.125</v>
      </c>
      <c r="L792" s="1613">
        <f t="shared" si="254"/>
        <v>91500.332500000004</v>
      </c>
      <c r="M792" s="1613">
        <f t="shared" si="255"/>
        <v>732002.66</v>
      </c>
      <c r="N792" s="1613">
        <f t="shared" si="244"/>
        <v>-183000.66500000001</v>
      </c>
      <c r="O792" s="1652">
        <f t="shared" si="256"/>
        <v>549001.995</v>
      </c>
      <c r="P792" s="1653">
        <f t="shared" si="257"/>
        <v>-183000.79</v>
      </c>
      <c r="Q792" s="1653">
        <f t="shared" si="258"/>
        <v>-91500.457500000004</v>
      </c>
      <c r="R792" s="1653">
        <f t="shared" si="259"/>
        <v>-91500.457500000004</v>
      </c>
      <c r="S792" s="1653">
        <f t="shared" si="260"/>
        <v>-0.125</v>
      </c>
      <c r="T792" s="1653">
        <f t="shared" si="245"/>
        <v>-0.125</v>
      </c>
      <c r="U792" s="1653">
        <f t="shared" si="246"/>
        <v>91500.207500000004</v>
      </c>
      <c r="V792" s="1653">
        <f t="shared" si="247"/>
        <v>-0.25</v>
      </c>
      <c r="W792" s="1653">
        <f t="shared" si="248"/>
        <v>91500.082500000004</v>
      </c>
      <c r="X792" s="1653">
        <f t="shared" si="249"/>
        <v>-0.375</v>
      </c>
      <c r="Y792" s="1653">
        <f t="shared" si="250"/>
        <v>91499.957500000004</v>
      </c>
    </row>
    <row r="793" spans="1:25" ht="15" hidden="1" outlineLevel="1">
      <c r="A793" s="1615">
        <v>785</v>
      </c>
      <c r="C793" s="1651" t="s">
        <v>3475</v>
      </c>
      <c r="D793" s="1651" t="s">
        <v>3474</v>
      </c>
      <c r="E793" s="1613">
        <v>312941.28999999998</v>
      </c>
      <c r="F793" s="1613">
        <v>-78396.08</v>
      </c>
      <c r="G793" s="1613">
        <f t="shared" si="251"/>
        <v>234545.20999999996</v>
      </c>
      <c r="H793" s="1578">
        <v>2013</v>
      </c>
      <c r="I793" s="1662">
        <f t="shared" si="252"/>
        <v>2.5</v>
      </c>
      <c r="J793" s="1663">
        <v>96</v>
      </c>
      <c r="K793" s="1664">
        <f t="shared" si="253"/>
        <v>0.125</v>
      </c>
      <c r="L793" s="1613">
        <f t="shared" si="254"/>
        <v>39117.661249999997</v>
      </c>
      <c r="M793" s="1613">
        <f t="shared" si="255"/>
        <v>312941.28999999998</v>
      </c>
      <c r="N793" s="1613">
        <f t="shared" si="244"/>
        <v>-117352.98374999998</v>
      </c>
      <c r="O793" s="1652">
        <f t="shared" si="256"/>
        <v>195588.30624999999</v>
      </c>
      <c r="P793" s="1653">
        <f t="shared" si="257"/>
        <v>-117353.10874999998</v>
      </c>
      <c r="Q793" s="1653">
        <f t="shared" si="258"/>
        <v>-78235.44749999998</v>
      </c>
      <c r="R793" s="1653">
        <f t="shared" si="259"/>
        <v>-78235.44749999998</v>
      </c>
      <c r="S793" s="1653">
        <f t="shared" si="260"/>
        <v>-39117.786249999983</v>
      </c>
      <c r="T793" s="1653">
        <f t="shared" si="245"/>
        <v>-39117.786249999983</v>
      </c>
      <c r="U793" s="1653">
        <f t="shared" si="246"/>
        <v>-0.12499999998544808</v>
      </c>
      <c r="V793" s="1653">
        <f t="shared" si="247"/>
        <v>-0.12499999998544808</v>
      </c>
      <c r="W793" s="1653">
        <f t="shared" si="248"/>
        <v>39117.536250000012</v>
      </c>
      <c r="X793" s="1653">
        <f t="shared" si="249"/>
        <v>-0.24999999998544808</v>
      </c>
      <c r="Y793" s="1653">
        <f t="shared" si="250"/>
        <v>39117.411250000012</v>
      </c>
    </row>
    <row r="794" spans="1:25" ht="15" hidden="1" outlineLevel="1">
      <c r="A794" s="1615">
        <v>786</v>
      </c>
      <c r="C794" s="1651"/>
      <c r="D794" s="1651"/>
      <c r="E794" s="1613"/>
      <c r="F794" s="1613"/>
      <c r="G794" s="1613"/>
      <c r="I794" s="1662"/>
      <c r="J794" s="1663"/>
      <c r="K794" s="1664"/>
      <c r="L794" s="1613"/>
      <c r="M794" s="1613"/>
      <c r="N794" s="1613"/>
      <c r="O794" s="1652"/>
      <c r="P794" s="1653"/>
      <c r="Q794" s="1653"/>
      <c r="R794" s="1653"/>
      <c r="S794" s="1653"/>
      <c r="T794" s="1653"/>
      <c r="U794" s="1653"/>
      <c r="V794" s="1653"/>
      <c r="W794" s="1653"/>
      <c r="X794" s="1653"/>
      <c r="Y794" s="1653"/>
    </row>
    <row r="795" spans="1:25" ht="15" collapsed="1">
      <c r="A795" s="1615">
        <v>787</v>
      </c>
      <c r="D795" s="1632" t="s">
        <v>2468</v>
      </c>
      <c r="E795" s="1739">
        <f>SUM(E714:E794)</f>
        <v>24890721.630000003</v>
      </c>
      <c r="F795" s="1739">
        <f>SUM(F714:F794)</f>
        <v>-21727469.27999999</v>
      </c>
      <c r="G795" s="1739">
        <f>SUM(G714:G794)</f>
        <v>3163252.3499999996</v>
      </c>
      <c r="H795" s="1739"/>
      <c r="I795" s="1739"/>
      <c r="J795" s="1740"/>
      <c r="K795" s="1739"/>
      <c r="L795" s="1739">
        <f t="shared" ref="L795:Y795" si="261">SUM(L714:L794)</f>
        <v>1295715.2374999998</v>
      </c>
      <c r="M795" s="1739">
        <f t="shared" si="261"/>
        <v>24890721.630000003</v>
      </c>
      <c r="N795" s="1739">
        <f t="shared" si="261"/>
        <v>-23871126.662500001</v>
      </c>
      <c r="O795" s="1739">
        <f t="shared" si="261"/>
        <v>1019594.9674999999</v>
      </c>
      <c r="P795" s="1654">
        <f t="shared" si="261"/>
        <v>-1042004.5375</v>
      </c>
      <c r="Q795" s="1654">
        <f t="shared" si="261"/>
        <v>-675623.20000000007</v>
      </c>
      <c r="R795" s="1654">
        <f t="shared" si="261"/>
        <v>-675623.20000000007</v>
      </c>
      <c r="S795" s="1654">
        <f t="shared" si="261"/>
        <v>-309241.86250000005</v>
      </c>
      <c r="T795" s="1654">
        <f t="shared" si="261"/>
        <v>-312128.61625000008</v>
      </c>
      <c r="U795" s="1654">
        <f t="shared" si="261"/>
        <v>54252.721249999966</v>
      </c>
      <c r="V795" s="1654">
        <f t="shared" si="261"/>
        <v>-40683.615000000034</v>
      </c>
      <c r="W795" s="1654">
        <f t="shared" si="261"/>
        <v>325697.72249999997</v>
      </c>
      <c r="X795" s="1654">
        <f t="shared" si="261"/>
        <v>-25830.042500000036</v>
      </c>
      <c r="Y795" s="1654">
        <f t="shared" si="261"/>
        <v>340551.29499999993</v>
      </c>
    </row>
    <row r="796" spans="1:25" ht="15">
      <c r="A796" s="1615">
        <v>788</v>
      </c>
      <c r="D796" s="1632" t="s">
        <v>3476</v>
      </c>
      <c r="E796" s="1655">
        <f>-(E731+E777+E791)</f>
        <v>-23284265.98</v>
      </c>
      <c r="F796" s="1655">
        <f>-(F731+F777+F791)</f>
        <v>21083157.18</v>
      </c>
      <c r="G796" s="1655">
        <f>-(G731+G777+G791)</f>
        <v>-2201108.7999999993</v>
      </c>
      <c r="H796" s="1642"/>
      <c r="I796" s="1642"/>
      <c r="J796" s="1669"/>
      <c r="K796" s="1642"/>
      <c r="L796" s="1655">
        <f t="shared" ref="L796:Y796" si="262">-(L731+L777+L791)</f>
        <v>-1135888.87625</v>
      </c>
      <c r="M796" s="1655">
        <f t="shared" si="262"/>
        <v>-23284265.98</v>
      </c>
      <c r="N796" s="1655">
        <f t="shared" si="262"/>
        <v>23066902.712499999</v>
      </c>
      <c r="O796" s="1655">
        <f t="shared" si="262"/>
        <v>-217363.26749999996</v>
      </c>
      <c r="P796" s="1655">
        <f t="shared" si="262"/>
        <v>652090.05249999999</v>
      </c>
      <c r="Q796" s="1655">
        <f t="shared" si="262"/>
        <v>434726.78500000003</v>
      </c>
      <c r="R796" s="1655">
        <f t="shared" si="262"/>
        <v>434726.78500000003</v>
      </c>
      <c r="S796" s="1655">
        <f t="shared" si="262"/>
        <v>217363.51750000005</v>
      </c>
      <c r="T796" s="1655">
        <f t="shared" si="262"/>
        <v>217363.51750000005</v>
      </c>
      <c r="U796" s="1655">
        <f t="shared" si="262"/>
        <v>0.25000000005820766</v>
      </c>
      <c r="V796" s="1655">
        <f t="shared" si="262"/>
        <v>0.25000000005820766</v>
      </c>
      <c r="W796" s="1655">
        <f t="shared" si="262"/>
        <v>-217363.01749999993</v>
      </c>
      <c r="X796" s="1655">
        <f t="shared" si="262"/>
        <v>0.50000000005820766</v>
      </c>
      <c r="Y796" s="1655">
        <f t="shared" si="262"/>
        <v>-217362.76749999993</v>
      </c>
    </row>
    <row r="797" spans="1:25" ht="15">
      <c r="A797" s="1615">
        <v>789</v>
      </c>
      <c r="D797" s="1632" t="s">
        <v>3477</v>
      </c>
      <c r="E797" s="1655">
        <f>E795+E796</f>
        <v>1606455.6500000022</v>
      </c>
      <c r="F797" s="1655">
        <f>F795+F796</f>
        <v>-644312.09999999031</v>
      </c>
      <c r="G797" s="1655">
        <f>G795+G796</f>
        <v>962143.55000000028</v>
      </c>
      <c r="H797" s="1642"/>
      <c r="I797" s="1642"/>
      <c r="J797" s="1669"/>
      <c r="K797" s="1642"/>
      <c r="L797" s="1655">
        <f t="shared" ref="L797:Y797" si="263">L795+L796</f>
        <v>159826.36124999984</v>
      </c>
      <c r="M797" s="1655">
        <f t="shared" si="263"/>
        <v>1606455.6500000022</v>
      </c>
      <c r="N797" s="1655">
        <f t="shared" si="263"/>
        <v>-804223.95000000298</v>
      </c>
      <c r="O797" s="1655">
        <f t="shared" si="263"/>
        <v>802231.7</v>
      </c>
      <c r="P797" s="1655">
        <f t="shared" si="263"/>
        <v>-389914.48499999999</v>
      </c>
      <c r="Q797" s="1655">
        <f t="shared" si="263"/>
        <v>-240896.41500000004</v>
      </c>
      <c r="R797" s="1655">
        <f t="shared" si="263"/>
        <v>-240896.41500000004</v>
      </c>
      <c r="S797" s="1655">
        <f t="shared" si="263"/>
        <v>-91878.345000000001</v>
      </c>
      <c r="T797" s="1655">
        <f t="shared" si="263"/>
        <v>-94765.098750000034</v>
      </c>
      <c r="U797" s="1655">
        <f t="shared" si="263"/>
        <v>54252.971250000024</v>
      </c>
      <c r="V797" s="1655">
        <f t="shared" si="263"/>
        <v>-40683.364999999976</v>
      </c>
      <c r="W797" s="1655">
        <f t="shared" si="263"/>
        <v>108334.70500000005</v>
      </c>
      <c r="X797" s="1655">
        <f t="shared" si="263"/>
        <v>-25829.542499999978</v>
      </c>
      <c r="Y797" s="1655">
        <f t="shared" si="263"/>
        <v>123188.5275</v>
      </c>
    </row>
    <row r="798" spans="1:25" ht="15">
      <c r="A798" s="1615">
        <v>790</v>
      </c>
      <c r="D798" s="1665" t="s">
        <v>2469</v>
      </c>
      <c r="E798" s="1666">
        <f>'Input Schedule'!$D$17</f>
        <v>2.6393242386234281E-2</v>
      </c>
      <c r="F798" s="1666">
        <f>'Input Schedule'!$D$17</f>
        <v>2.6393242386234281E-2</v>
      </c>
      <c r="G798" s="1666">
        <f>'Input Schedule'!$D$17</f>
        <v>2.6393242386234281E-2</v>
      </c>
      <c r="J798" s="1663"/>
      <c r="L798" s="1666">
        <f>'Input Schedule'!$D$17</f>
        <v>2.6393242386234281E-2</v>
      </c>
      <c r="M798" s="1666">
        <f>'Input Schedule'!$D$17</f>
        <v>2.6393242386234281E-2</v>
      </c>
      <c r="N798" s="1666">
        <f>'Input Schedule'!$D$17</f>
        <v>2.6393242386234281E-2</v>
      </c>
      <c r="O798" s="1666">
        <f>'Input Schedule'!$D$17</f>
        <v>2.6393242386234281E-2</v>
      </c>
      <c r="P798" s="1666">
        <f>'Input Schedule'!$D$17</f>
        <v>2.6393242386234281E-2</v>
      </c>
      <c r="Q798" s="1666">
        <f>'Input Schedule'!$D$17</f>
        <v>2.6393242386234281E-2</v>
      </c>
      <c r="R798" s="1666">
        <f>'Input Schedule'!$D$17</f>
        <v>2.6393242386234281E-2</v>
      </c>
      <c r="S798" s="1666">
        <f>'Input Schedule'!$D$17</f>
        <v>2.6393242386234281E-2</v>
      </c>
      <c r="T798" s="1666">
        <f>'Input Schedule'!$D$17</f>
        <v>2.6393242386234281E-2</v>
      </c>
      <c r="U798" s="1666">
        <f>'Input Schedule'!$D$17</f>
        <v>2.6393242386234281E-2</v>
      </c>
      <c r="V798" s="1666">
        <f>'Input Schedule'!$D$17</f>
        <v>2.6393242386234281E-2</v>
      </c>
      <c r="W798" s="1666">
        <f>'Input Schedule'!$D$17</f>
        <v>2.6393242386234281E-2</v>
      </c>
      <c r="X798" s="1666">
        <f>'Input Schedule'!$D$17</f>
        <v>2.6393242386234281E-2</v>
      </c>
      <c r="Y798" s="1666">
        <f>'Input Schedule'!$D$17</f>
        <v>2.6393242386234281E-2</v>
      </c>
    </row>
    <row r="799" spans="1:25" ht="15">
      <c r="A799" s="1615">
        <v>791</v>
      </c>
      <c r="D799" s="1665" t="s">
        <v>2470</v>
      </c>
      <c r="E799" s="1741">
        <f>E797*E798</f>
        <v>42399.573353185602</v>
      </c>
      <c r="F799" s="1741">
        <f t="shared" ref="F799:G799" si="264">F797*F798</f>
        <v>-17005.485427683365</v>
      </c>
      <c r="G799" s="1741">
        <f t="shared" si="264"/>
        <v>25394.087925501932</v>
      </c>
      <c r="H799" s="1621"/>
      <c r="I799" s="1621"/>
      <c r="J799" s="1742"/>
      <c r="K799" s="1621"/>
      <c r="L799" s="1741">
        <f t="shared" ref="L799:Y799" si="265">L797*L798</f>
        <v>4218.3358921810877</v>
      </c>
      <c r="M799" s="1741">
        <f t="shared" si="265"/>
        <v>42399.573353185602</v>
      </c>
      <c r="N799" s="1741">
        <f t="shared" si="265"/>
        <v>-21226.077645164838</v>
      </c>
      <c r="O799" s="1741">
        <f t="shared" si="265"/>
        <v>21173.495708020782</v>
      </c>
      <c r="P799" s="1668">
        <f t="shared" si="265"/>
        <v>-10291.10751250871</v>
      </c>
      <c r="Q799" s="1668">
        <f t="shared" si="265"/>
        <v>-6358.0374710698843</v>
      </c>
      <c r="R799" s="1668">
        <f t="shared" si="265"/>
        <v>-6358.0374710698843</v>
      </c>
      <c r="S799" s="1668">
        <f t="shared" si="265"/>
        <v>-2424.9674296310568</v>
      </c>
      <c r="T799" s="1668">
        <f t="shared" si="265"/>
        <v>-2501.1582210641782</v>
      </c>
      <c r="U799" s="1668">
        <f t="shared" si="265"/>
        <v>1431.9118203746505</v>
      </c>
      <c r="V799" s="1668">
        <f t="shared" si="265"/>
        <v>-1073.7659135326396</v>
      </c>
      <c r="W799" s="1668">
        <f t="shared" si="265"/>
        <v>2859.3041279061881</v>
      </c>
      <c r="X799" s="1668">
        <f t="shared" si="265"/>
        <v>-681.72537592803917</v>
      </c>
      <c r="Y799" s="1668">
        <f t="shared" si="265"/>
        <v>3251.3446655107873</v>
      </c>
    </row>
    <row r="800" spans="1:25" ht="15">
      <c r="A800" s="1615">
        <v>792</v>
      </c>
      <c r="P800" s="1642"/>
      <c r="Q800" s="1642"/>
      <c r="R800" s="1642"/>
      <c r="S800" s="1642"/>
      <c r="T800" s="1642"/>
      <c r="U800" s="1642"/>
      <c r="V800" s="1642"/>
      <c r="W800" s="1642"/>
      <c r="X800" s="1642"/>
      <c r="Y800" s="1642"/>
    </row>
    <row r="801" spans="1:27" ht="15">
      <c r="A801" s="1615">
        <v>793</v>
      </c>
      <c r="B801" s="1660" t="s">
        <v>3478</v>
      </c>
      <c r="C801" s="1648"/>
      <c r="D801" s="1648"/>
      <c r="E801" s="1649"/>
      <c r="F801" s="1649"/>
      <c r="G801" s="1649"/>
      <c r="H801" s="1649"/>
      <c r="I801" s="1649"/>
      <c r="J801" s="1649"/>
      <c r="K801" s="1649"/>
      <c r="L801" s="1649"/>
      <c r="M801" s="1649"/>
      <c r="N801" s="1649"/>
      <c r="O801" s="1660"/>
      <c r="P801" s="1661"/>
      <c r="Q801" s="1661"/>
      <c r="R801" s="1661"/>
      <c r="S801" s="1661"/>
      <c r="T801" s="1661"/>
      <c r="U801" s="1661"/>
      <c r="V801" s="1661"/>
      <c r="W801" s="1661"/>
      <c r="X801" s="1661"/>
      <c r="Y801" s="1661"/>
      <c r="Z801" s="1650"/>
      <c r="AA801" s="1650"/>
    </row>
    <row r="802" spans="1:27" ht="15" hidden="1" outlineLevel="1">
      <c r="A802" s="1615">
        <v>794</v>
      </c>
      <c r="C802" s="1651" t="s">
        <v>3479</v>
      </c>
      <c r="D802" s="1651" t="s">
        <v>3480</v>
      </c>
      <c r="E802" s="1613">
        <v>115738.15</v>
      </c>
      <c r="F802" s="1613">
        <v>-115738.15</v>
      </c>
      <c r="G802" s="1613">
        <f>E802+F802</f>
        <v>0</v>
      </c>
      <c r="H802" s="1578">
        <v>2002</v>
      </c>
      <c r="I802" s="1662">
        <f>IF(H802=2015,0.5,2015.5-H802)</f>
        <v>13.5</v>
      </c>
      <c r="J802" s="1663">
        <v>36</v>
      </c>
      <c r="K802" s="1664">
        <f>1/J802*12</f>
        <v>0.33333333333333331</v>
      </c>
      <c r="L802" s="1613">
        <f>IF(I802&lt;(J802/12),E802*K802,0)</f>
        <v>0</v>
      </c>
      <c r="M802" s="1613">
        <f>E802</f>
        <v>115738.15</v>
      </c>
      <c r="N802" s="1613">
        <f t="shared" ref="N802:N833" si="266">-IF(I802+0.5&lt;(J802/12),M802*(I802+0.5)*K802,M802)</f>
        <v>-115738.15</v>
      </c>
      <c r="O802" s="1652">
        <f>M802+N802</f>
        <v>0</v>
      </c>
      <c r="P802" s="1653">
        <f>IF(O802&gt;0,IF(O802&lt;$K802,-$L802,N802-$K802),O802)</f>
        <v>0</v>
      </c>
      <c r="Q802" s="1653">
        <f>IF(P802&lt;0,$L802+P802,O802)</f>
        <v>0</v>
      </c>
      <c r="R802" s="1653">
        <f>IF(Q802&gt;0,IF(Q802&lt;$K802,-$L802,P802-$K802),Q802)</f>
        <v>0</v>
      </c>
      <c r="S802" s="1653">
        <f>IF(R802&lt;0,$L802+R802,Q802)</f>
        <v>0</v>
      </c>
      <c r="T802" s="1653">
        <f t="shared" ref="T802:T833" si="267">IF(S802&gt;0,IF(S802&lt;$K802,-$L802,R802-$K802),S802)</f>
        <v>0</v>
      </c>
      <c r="U802" s="1653">
        <f t="shared" ref="U802:U833" si="268">IF(T802&lt;0,$L802+T802,S802)</f>
        <v>0</v>
      </c>
      <c r="V802" s="1653">
        <f t="shared" ref="V802:V833" si="269">IF(U802&gt;0,IF(U802&lt;$K802,-$L802,T802-$K802),U802)</f>
        <v>0</v>
      </c>
      <c r="W802" s="1653">
        <f t="shared" ref="W802:W833" si="270">IF(V802&lt;0,$L802+V802,U802)</f>
        <v>0</v>
      </c>
      <c r="X802" s="1653">
        <f t="shared" ref="X802:X833" si="271">IF(W802&gt;0,IF(W802&lt;$K802,-$L802,V802-$K802),W802)</f>
        <v>0</v>
      </c>
      <c r="Y802" s="1653">
        <f t="shared" ref="Y802:Y833" si="272">IF(X802&lt;0,$L802+X802,W802)</f>
        <v>0</v>
      </c>
    </row>
    <row r="803" spans="1:27" ht="15" hidden="1" outlineLevel="1">
      <c r="A803" s="1615">
        <v>795</v>
      </c>
      <c r="C803" s="1651" t="s">
        <v>3481</v>
      </c>
      <c r="D803" s="1651" t="s">
        <v>3480</v>
      </c>
      <c r="E803" s="1613">
        <v>8312.1</v>
      </c>
      <c r="F803" s="1613">
        <v>-8312.1</v>
      </c>
      <c r="G803" s="1613">
        <f t="shared" ref="G803:G833" si="273">E803+F803</f>
        <v>0</v>
      </c>
      <c r="H803" s="1578">
        <v>2003</v>
      </c>
      <c r="I803" s="1662">
        <f t="shared" ref="I803:I833" si="274">IF(H803=2015,0.5,2015.5-H803)</f>
        <v>12.5</v>
      </c>
      <c r="J803" s="1663">
        <v>36</v>
      </c>
      <c r="K803" s="1664">
        <f t="shared" ref="K803:K833" si="275">1/J803*12</f>
        <v>0.33333333333333331</v>
      </c>
      <c r="L803" s="1613">
        <f t="shared" ref="L803:L833" si="276">IF(I803&lt;(J803/12),E803*K803,0)</f>
        <v>0</v>
      </c>
      <c r="M803" s="1613">
        <f t="shared" ref="M803:M833" si="277">E803</f>
        <v>8312.1</v>
      </c>
      <c r="N803" s="1613">
        <f t="shared" si="266"/>
        <v>-8312.1</v>
      </c>
      <c r="O803" s="1652">
        <f t="shared" ref="O803:O833" si="278">M803+N803</f>
        <v>0</v>
      </c>
      <c r="P803" s="1653">
        <f t="shared" ref="P803:P833" si="279">IF(O803&gt;0,IF(O803&lt;$K803,-$L803,N803-$K803),O803)</f>
        <v>0</v>
      </c>
      <c r="Q803" s="1653">
        <f t="shared" ref="Q803:Q833" si="280">IF(P803&lt;0,$L803+P803,O803)</f>
        <v>0</v>
      </c>
      <c r="R803" s="1653">
        <f t="shared" ref="R803:R833" si="281">IF(Q803&gt;0,IF(Q803&lt;$K803,-$L803,P803-$K803),Q803)</f>
        <v>0</v>
      </c>
      <c r="S803" s="1653">
        <f t="shared" ref="S803:S833" si="282">IF(R803&lt;0,$L803+R803,Q803)</f>
        <v>0</v>
      </c>
      <c r="T803" s="1653">
        <f t="shared" si="267"/>
        <v>0</v>
      </c>
      <c r="U803" s="1653">
        <f t="shared" si="268"/>
        <v>0</v>
      </c>
      <c r="V803" s="1653">
        <f t="shared" si="269"/>
        <v>0</v>
      </c>
      <c r="W803" s="1653">
        <f t="shared" si="270"/>
        <v>0</v>
      </c>
      <c r="X803" s="1653">
        <f t="shared" si="271"/>
        <v>0</v>
      </c>
      <c r="Y803" s="1653">
        <f t="shared" si="272"/>
        <v>0</v>
      </c>
    </row>
    <row r="804" spans="1:27" ht="15" hidden="1" outlineLevel="1">
      <c r="A804" s="1615">
        <v>796</v>
      </c>
      <c r="C804" s="1651" t="s">
        <v>3482</v>
      </c>
      <c r="D804" s="1651" t="s">
        <v>3480</v>
      </c>
      <c r="E804" s="1613">
        <v>5069.38</v>
      </c>
      <c r="F804" s="1613">
        <v>-5069.38</v>
      </c>
      <c r="G804" s="1613">
        <f t="shared" si="273"/>
        <v>0</v>
      </c>
      <c r="H804" s="1578">
        <v>2004</v>
      </c>
      <c r="I804" s="1662">
        <f t="shared" si="274"/>
        <v>11.5</v>
      </c>
      <c r="J804" s="1663">
        <v>36</v>
      </c>
      <c r="K804" s="1664">
        <f t="shared" si="275"/>
        <v>0.33333333333333331</v>
      </c>
      <c r="L804" s="1613">
        <f t="shared" si="276"/>
        <v>0</v>
      </c>
      <c r="M804" s="1613">
        <f t="shared" si="277"/>
        <v>5069.38</v>
      </c>
      <c r="N804" s="1613">
        <f t="shared" si="266"/>
        <v>-5069.38</v>
      </c>
      <c r="O804" s="1652">
        <f t="shared" si="278"/>
        <v>0</v>
      </c>
      <c r="P804" s="1653">
        <f t="shared" si="279"/>
        <v>0</v>
      </c>
      <c r="Q804" s="1653">
        <f t="shared" si="280"/>
        <v>0</v>
      </c>
      <c r="R804" s="1653">
        <f t="shared" si="281"/>
        <v>0</v>
      </c>
      <c r="S804" s="1653">
        <f t="shared" si="282"/>
        <v>0</v>
      </c>
      <c r="T804" s="1653">
        <f t="shared" si="267"/>
        <v>0</v>
      </c>
      <c r="U804" s="1653">
        <f t="shared" si="268"/>
        <v>0</v>
      </c>
      <c r="V804" s="1653">
        <f t="shared" si="269"/>
        <v>0</v>
      </c>
      <c r="W804" s="1653">
        <f t="shared" si="270"/>
        <v>0</v>
      </c>
      <c r="X804" s="1653">
        <f t="shared" si="271"/>
        <v>0</v>
      </c>
      <c r="Y804" s="1653">
        <f t="shared" si="272"/>
        <v>0</v>
      </c>
    </row>
    <row r="805" spans="1:27" ht="15" hidden="1" outlineLevel="1">
      <c r="A805" s="1615">
        <v>797</v>
      </c>
      <c r="C805" s="1651" t="s">
        <v>3483</v>
      </c>
      <c r="D805" s="1651" t="s">
        <v>3480</v>
      </c>
      <c r="E805" s="1613">
        <v>30905.93</v>
      </c>
      <c r="F805" s="1613">
        <v>-30905.93</v>
      </c>
      <c r="G805" s="1613">
        <f t="shared" si="273"/>
        <v>0</v>
      </c>
      <c r="H805" s="1578">
        <v>2005</v>
      </c>
      <c r="I805" s="1662">
        <f t="shared" si="274"/>
        <v>10.5</v>
      </c>
      <c r="J805" s="1663">
        <v>36</v>
      </c>
      <c r="K805" s="1664">
        <f t="shared" si="275"/>
        <v>0.33333333333333331</v>
      </c>
      <c r="L805" s="1613">
        <f t="shared" si="276"/>
        <v>0</v>
      </c>
      <c r="M805" s="1613">
        <f t="shared" si="277"/>
        <v>30905.93</v>
      </c>
      <c r="N805" s="1613">
        <f t="shared" si="266"/>
        <v>-30905.93</v>
      </c>
      <c r="O805" s="1652">
        <f t="shared" si="278"/>
        <v>0</v>
      </c>
      <c r="P805" s="1653">
        <f t="shared" si="279"/>
        <v>0</v>
      </c>
      <c r="Q805" s="1653">
        <f t="shared" si="280"/>
        <v>0</v>
      </c>
      <c r="R805" s="1653">
        <f t="shared" si="281"/>
        <v>0</v>
      </c>
      <c r="S805" s="1653">
        <f t="shared" si="282"/>
        <v>0</v>
      </c>
      <c r="T805" s="1653">
        <f t="shared" si="267"/>
        <v>0</v>
      </c>
      <c r="U805" s="1653">
        <f t="shared" si="268"/>
        <v>0</v>
      </c>
      <c r="V805" s="1653">
        <f t="shared" si="269"/>
        <v>0</v>
      </c>
      <c r="W805" s="1653">
        <f t="shared" si="270"/>
        <v>0</v>
      </c>
      <c r="X805" s="1653">
        <f t="shared" si="271"/>
        <v>0</v>
      </c>
      <c r="Y805" s="1653">
        <f t="shared" si="272"/>
        <v>0</v>
      </c>
    </row>
    <row r="806" spans="1:27" ht="15" hidden="1" outlineLevel="1">
      <c r="A806" s="1615">
        <v>798</v>
      </c>
      <c r="C806" s="1651" t="s">
        <v>3484</v>
      </c>
      <c r="D806" s="1651" t="s">
        <v>3480</v>
      </c>
      <c r="E806" s="1613">
        <v>20309.55</v>
      </c>
      <c r="F806" s="1613">
        <v>-20309.55</v>
      </c>
      <c r="G806" s="1613">
        <f t="shared" si="273"/>
        <v>0</v>
      </c>
      <c r="H806" s="1578">
        <v>2006</v>
      </c>
      <c r="I806" s="1662">
        <f t="shared" si="274"/>
        <v>9.5</v>
      </c>
      <c r="J806" s="1663">
        <v>36</v>
      </c>
      <c r="K806" s="1664">
        <f t="shared" si="275"/>
        <v>0.33333333333333331</v>
      </c>
      <c r="L806" s="1613">
        <f t="shared" si="276"/>
        <v>0</v>
      </c>
      <c r="M806" s="1613">
        <f t="shared" si="277"/>
        <v>20309.55</v>
      </c>
      <c r="N806" s="1613">
        <f t="shared" si="266"/>
        <v>-20309.55</v>
      </c>
      <c r="O806" s="1652">
        <f t="shared" si="278"/>
        <v>0</v>
      </c>
      <c r="P806" s="1653">
        <f t="shared" si="279"/>
        <v>0</v>
      </c>
      <c r="Q806" s="1653">
        <f t="shared" si="280"/>
        <v>0</v>
      </c>
      <c r="R806" s="1653">
        <f t="shared" si="281"/>
        <v>0</v>
      </c>
      <c r="S806" s="1653">
        <f t="shared" si="282"/>
        <v>0</v>
      </c>
      <c r="T806" s="1653">
        <f t="shared" si="267"/>
        <v>0</v>
      </c>
      <c r="U806" s="1653">
        <f t="shared" si="268"/>
        <v>0</v>
      </c>
      <c r="V806" s="1653">
        <f t="shared" si="269"/>
        <v>0</v>
      </c>
      <c r="W806" s="1653">
        <f t="shared" si="270"/>
        <v>0</v>
      </c>
      <c r="X806" s="1653">
        <f t="shared" si="271"/>
        <v>0</v>
      </c>
      <c r="Y806" s="1653">
        <f t="shared" si="272"/>
        <v>0</v>
      </c>
    </row>
    <row r="807" spans="1:27" ht="15" hidden="1" outlineLevel="1">
      <c r="A807" s="1615">
        <v>799</v>
      </c>
      <c r="C807" s="1651" t="s">
        <v>3485</v>
      </c>
      <c r="D807" s="1651" t="s">
        <v>2531</v>
      </c>
      <c r="E807" s="1613">
        <v>29.79</v>
      </c>
      <c r="F807" s="1613">
        <v>-29.79</v>
      </c>
      <c r="G807" s="1613">
        <f t="shared" si="273"/>
        <v>0</v>
      </c>
      <c r="H807" s="1578">
        <v>2007</v>
      </c>
      <c r="I807" s="1662">
        <f t="shared" si="274"/>
        <v>8.5</v>
      </c>
      <c r="J807" s="1663">
        <v>36</v>
      </c>
      <c r="K807" s="1664">
        <f t="shared" si="275"/>
        <v>0.33333333333333331</v>
      </c>
      <c r="L807" s="1613">
        <f t="shared" si="276"/>
        <v>0</v>
      </c>
      <c r="M807" s="1613">
        <f t="shared" si="277"/>
        <v>29.79</v>
      </c>
      <c r="N807" s="1613">
        <f t="shared" si="266"/>
        <v>-29.79</v>
      </c>
      <c r="O807" s="1652">
        <f t="shared" si="278"/>
        <v>0</v>
      </c>
      <c r="P807" s="1653">
        <f t="shared" si="279"/>
        <v>0</v>
      </c>
      <c r="Q807" s="1653">
        <f t="shared" si="280"/>
        <v>0</v>
      </c>
      <c r="R807" s="1653">
        <f t="shared" si="281"/>
        <v>0</v>
      </c>
      <c r="S807" s="1653">
        <f t="shared" si="282"/>
        <v>0</v>
      </c>
      <c r="T807" s="1653">
        <f t="shared" si="267"/>
        <v>0</v>
      </c>
      <c r="U807" s="1653">
        <f t="shared" si="268"/>
        <v>0</v>
      </c>
      <c r="V807" s="1653">
        <f t="shared" si="269"/>
        <v>0</v>
      </c>
      <c r="W807" s="1653">
        <f t="shared" si="270"/>
        <v>0</v>
      </c>
      <c r="X807" s="1653">
        <f t="shared" si="271"/>
        <v>0</v>
      </c>
      <c r="Y807" s="1653">
        <f t="shared" si="272"/>
        <v>0</v>
      </c>
    </row>
    <row r="808" spans="1:27" ht="15" hidden="1" outlineLevel="1">
      <c r="A808" s="1615">
        <v>800</v>
      </c>
      <c r="C808" s="1651" t="s">
        <v>3486</v>
      </c>
      <c r="D808" s="1651" t="s">
        <v>2554</v>
      </c>
      <c r="E808" s="1613">
        <v>29.9</v>
      </c>
      <c r="F808" s="1613">
        <v>-29.9</v>
      </c>
      <c r="G808" s="1613">
        <f t="shared" si="273"/>
        <v>0</v>
      </c>
      <c r="H808" s="1578">
        <v>2007</v>
      </c>
      <c r="I808" s="1662">
        <f t="shared" si="274"/>
        <v>8.5</v>
      </c>
      <c r="J808" s="1663">
        <v>36</v>
      </c>
      <c r="K808" s="1664">
        <f t="shared" si="275"/>
        <v>0.33333333333333331</v>
      </c>
      <c r="L808" s="1613">
        <f t="shared" si="276"/>
        <v>0</v>
      </c>
      <c r="M808" s="1613">
        <f t="shared" si="277"/>
        <v>29.9</v>
      </c>
      <c r="N808" s="1613">
        <f t="shared" si="266"/>
        <v>-29.9</v>
      </c>
      <c r="O808" s="1652">
        <f t="shared" si="278"/>
        <v>0</v>
      </c>
      <c r="P808" s="1653">
        <f t="shared" si="279"/>
        <v>0</v>
      </c>
      <c r="Q808" s="1653">
        <f t="shared" si="280"/>
        <v>0</v>
      </c>
      <c r="R808" s="1653">
        <f t="shared" si="281"/>
        <v>0</v>
      </c>
      <c r="S808" s="1653">
        <f t="shared" si="282"/>
        <v>0</v>
      </c>
      <c r="T808" s="1653">
        <f t="shared" si="267"/>
        <v>0</v>
      </c>
      <c r="U808" s="1653">
        <f t="shared" si="268"/>
        <v>0</v>
      </c>
      <c r="V808" s="1653">
        <f t="shared" si="269"/>
        <v>0</v>
      </c>
      <c r="W808" s="1653">
        <f t="shared" si="270"/>
        <v>0</v>
      </c>
      <c r="X808" s="1653">
        <f t="shared" si="271"/>
        <v>0</v>
      </c>
      <c r="Y808" s="1653">
        <f t="shared" si="272"/>
        <v>0</v>
      </c>
    </row>
    <row r="809" spans="1:27" ht="15" hidden="1" outlineLevel="1">
      <c r="A809" s="1615">
        <v>801</v>
      </c>
      <c r="C809" s="1651" t="s">
        <v>3487</v>
      </c>
      <c r="D809" s="1651" t="s">
        <v>2499</v>
      </c>
      <c r="E809" s="1613">
        <v>211.17</v>
      </c>
      <c r="F809" s="1613">
        <v>-211.17</v>
      </c>
      <c r="G809" s="1613">
        <f t="shared" si="273"/>
        <v>0</v>
      </c>
      <c r="H809" s="1578">
        <v>2007</v>
      </c>
      <c r="I809" s="1662">
        <f t="shared" si="274"/>
        <v>8.5</v>
      </c>
      <c r="J809" s="1663">
        <v>36</v>
      </c>
      <c r="K809" s="1664">
        <f t="shared" si="275"/>
        <v>0.33333333333333331</v>
      </c>
      <c r="L809" s="1613">
        <f t="shared" si="276"/>
        <v>0</v>
      </c>
      <c r="M809" s="1613">
        <f t="shared" si="277"/>
        <v>211.17</v>
      </c>
      <c r="N809" s="1613">
        <f t="shared" si="266"/>
        <v>-211.17</v>
      </c>
      <c r="O809" s="1652">
        <f t="shared" si="278"/>
        <v>0</v>
      </c>
      <c r="P809" s="1653">
        <f t="shared" si="279"/>
        <v>0</v>
      </c>
      <c r="Q809" s="1653">
        <f t="shared" si="280"/>
        <v>0</v>
      </c>
      <c r="R809" s="1653">
        <f t="shared" si="281"/>
        <v>0</v>
      </c>
      <c r="S809" s="1653">
        <f t="shared" si="282"/>
        <v>0</v>
      </c>
      <c r="T809" s="1653">
        <f t="shared" si="267"/>
        <v>0</v>
      </c>
      <c r="U809" s="1653">
        <f t="shared" si="268"/>
        <v>0</v>
      </c>
      <c r="V809" s="1653">
        <f t="shared" si="269"/>
        <v>0</v>
      </c>
      <c r="W809" s="1653">
        <f t="shared" si="270"/>
        <v>0</v>
      </c>
      <c r="X809" s="1653">
        <f t="shared" si="271"/>
        <v>0</v>
      </c>
      <c r="Y809" s="1653">
        <f t="shared" si="272"/>
        <v>0</v>
      </c>
    </row>
    <row r="810" spans="1:27" ht="15" hidden="1" outlineLevel="1">
      <c r="A810" s="1615">
        <v>802</v>
      </c>
      <c r="C810" s="1651" t="s">
        <v>3488</v>
      </c>
      <c r="D810" s="1651" t="s">
        <v>3489</v>
      </c>
      <c r="E810" s="1613">
        <v>214.71</v>
      </c>
      <c r="F810" s="1613">
        <v>-214.71</v>
      </c>
      <c r="G810" s="1613">
        <f t="shared" si="273"/>
        <v>0</v>
      </c>
      <c r="H810" s="1578">
        <v>2007</v>
      </c>
      <c r="I810" s="1662">
        <f t="shared" si="274"/>
        <v>8.5</v>
      </c>
      <c r="J810" s="1663">
        <v>36</v>
      </c>
      <c r="K810" s="1664">
        <f t="shared" si="275"/>
        <v>0.33333333333333331</v>
      </c>
      <c r="L810" s="1613">
        <f t="shared" si="276"/>
        <v>0</v>
      </c>
      <c r="M810" s="1613">
        <f t="shared" si="277"/>
        <v>214.71</v>
      </c>
      <c r="N810" s="1613">
        <f t="shared" si="266"/>
        <v>-214.71</v>
      </c>
      <c r="O810" s="1652">
        <f t="shared" si="278"/>
        <v>0</v>
      </c>
      <c r="P810" s="1653">
        <f t="shared" si="279"/>
        <v>0</v>
      </c>
      <c r="Q810" s="1653">
        <f t="shared" si="280"/>
        <v>0</v>
      </c>
      <c r="R810" s="1653">
        <f t="shared" si="281"/>
        <v>0</v>
      </c>
      <c r="S810" s="1653">
        <f t="shared" si="282"/>
        <v>0</v>
      </c>
      <c r="T810" s="1653">
        <f t="shared" si="267"/>
        <v>0</v>
      </c>
      <c r="U810" s="1653">
        <f t="shared" si="268"/>
        <v>0</v>
      </c>
      <c r="V810" s="1653">
        <f t="shared" si="269"/>
        <v>0</v>
      </c>
      <c r="W810" s="1653">
        <f t="shared" si="270"/>
        <v>0</v>
      </c>
      <c r="X810" s="1653">
        <f t="shared" si="271"/>
        <v>0</v>
      </c>
      <c r="Y810" s="1653">
        <f t="shared" si="272"/>
        <v>0</v>
      </c>
    </row>
    <row r="811" spans="1:27" ht="15" hidden="1" outlineLevel="1">
      <c r="A811" s="1615">
        <v>803</v>
      </c>
      <c r="C811" s="1651" t="s">
        <v>3490</v>
      </c>
      <c r="D811" s="1651" t="s">
        <v>3491</v>
      </c>
      <c r="E811" s="1613">
        <v>234.63</v>
      </c>
      <c r="F811" s="1613">
        <v>-234.63</v>
      </c>
      <c r="G811" s="1613">
        <f t="shared" si="273"/>
        <v>0</v>
      </c>
      <c r="H811" s="1578">
        <v>2007</v>
      </c>
      <c r="I811" s="1662">
        <f t="shared" si="274"/>
        <v>8.5</v>
      </c>
      <c r="J811" s="1663">
        <v>36</v>
      </c>
      <c r="K811" s="1664">
        <f t="shared" si="275"/>
        <v>0.33333333333333331</v>
      </c>
      <c r="L811" s="1613">
        <f t="shared" si="276"/>
        <v>0</v>
      </c>
      <c r="M811" s="1613">
        <f t="shared" si="277"/>
        <v>234.63</v>
      </c>
      <c r="N811" s="1613">
        <f t="shared" si="266"/>
        <v>-234.63</v>
      </c>
      <c r="O811" s="1652">
        <f t="shared" si="278"/>
        <v>0</v>
      </c>
      <c r="P811" s="1653">
        <f t="shared" si="279"/>
        <v>0</v>
      </c>
      <c r="Q811" s="1653">
        <f t="shared" si="280"/>
        <v>0</v>
      </c>
      <c r="R811" s="1653">
        <f t="shared" si="281"/>
        <v>0</v>
      </c>
      <c r="S811" s="1653">
        <f t="shared" si="282"/>
        <v>0</v>
      </c>
      <c r="T811" s="1653">
        <f t="shared" si="267"/>
        <v>0</v>
      </c>
      <c r="U811" s="1653">
        <f t="shared" si="268"/>
        <v>0</v>
      </c>
      <c r="V811" s="1653">
        <f t="shared" si="269"/>
        <v>0</v>
      </c>
      <c r="W811" s="1653">
        <f t="shared" si="270"/>
        <v>0</v>
      </c>
      <c r="X811" s="1653">
        <f t="shared" si="271"/>
        <v>0</v>
      </c>
      <c r="Y811" s="1653">
        <f t="shared" si="272"/>
        <v>0</v>
      </c>
    </row>
    <row r="812" spans="1:27" ht="15" hidden="1" outlineLevel="1">
      <c r="A812" s="1615">
        <v>804</v>
      </c>
      <c r="C812" s="1651" t="s">
        <v>3492</v>
      </c>
      <c r="D812" s="1651" t="s">
        <v>2482</v>
      </c>
      <c r="E812" s="1613">
        <v>319.02</v>
      </c>
      <c r="F812" s="1613">
        <v>-319.02</v>
      </c>
      <c r="G812" s="1613">
        <f t="shared" si="273"/>
        <v>0</v>
      </c>
      <c r="H812" s="1578">
        <v>2007</v>
      </c>
      <c r="I812" s="1662">
        <f t="shared" si="274"/>
        <v>8.5</v>
      </c>
      <c r="J812" s="1663">
        <v>36</v>
      </c>
      <c r="K812" s="1664">
        <f t="shared" si="275"/>
        <v>0.33333333333333331</v>
      </c>
      <c r="L812" s="1613">
        <f t="shared" si="276"/>
        <v>0</v>
      </c>
      <c r="M812" s="1613">
        <f t="shared" si="277"/>
        <v>319.02</v>
      </c>
      <c r="N812" s="1613">
        <f t="shared" si="266"/>
        <v>-319.02</v>
      </c>
      <c r="O812" s="1652">
        <f t="shared" si="278"/>
        <v>0</v>
      </c>
      <c r="P812" s="1653">
        <f t="shared" si="279"/>
        <v>0</v>
      </c>
      <c r="Q812" s="1653">
        <f t="shared" si="280"/>
        <v>0</v>
      </c>
      <c r="R812" s="1653">
        <f t="shared" si="281"/>
        <v>0</v>
      </c>
      <c r="S812" s="1653">
        <f t="shared" si="282"/>
        <v>0</v>
      </c>
      <c r="T812" s="1653">
        <f t="shared" si="267"/>
        <v>0</v>
      </c>
      <c r="U812" s="1653">
        <f t="shared" si="268"/>
        <v>0</v>
      </c>
      <c r="V812" s="1653">
        <f t="shared" si="269"/>
        <v>0</v>
      </c>
      <c r="W812" s="1653">
        <f t="shared" si="270"/>
        <v>0</v>
      </c>
      <c r="X812" s="1653">
        <f t="shared" si="271"/>
        <v>0</v>
      </c>
      <c r="Y812" s="1653">
        <f t="shared" si="272"/>
        <v>0</v>
      </c>
    </row>
    <row r="813" spans="1:27" ht="15" hidden="1" outlineLevel="1">
      <c r="A813" s="1615">
        <v>805</v>
      </c>
      <c r="C813" s="1651" t="s">
        <v>3493</v>
      </c>
      <c r="D813" s="1651" t="s">
        <v>2487</v>
      </c>
      <c r="E813" s="1613">
        <v>374.24</v>
      </c>
      <c r="F813" s="1613">
        <v>-374.24</v>
      </c>
      <c r="G813" s="1613">
        <f t="shared" si="273"/>
        <v>0</v>
      </c>
      <c r="H813" s="1578">
        <v>2007</v>
      </c>
      <c r="I813" s="1662">
        <f t="shared" si="274"/>
        <v>8.5</v>
      </c>
      <c r="J813" s="1663">
        <v>36</v>
      </c>
      <c r="K813" s="1664">
        <f t="shared" si="275"/>
        <v>0.33333333333333331</v>
      </c>
      <c r="L813" s="1613">
        <f t="shared" si="276"/>
        <v>0</v>
      </c>
      <c r="M813" s="1613">
        <f t="shared" si="277"/>
        <v>374.24</v>
      </c>
      <c r="N813" s="1613">
        <f t="shared" si="266"/>
        <v>-374.24</v>
      </c>
      <c r="O813" s="1652">
        <f t="shared" si="278"/>
        <v>0</v>
      </c>
      <c r="P813" s="1653">
        <f t="shared" si="279"/>
        <v>0</v>
      </c>
      <c r="Q813" s="1653">
        <f t="shared" si="280"/>
        <v>0</v>
      </c>
      <c r="R813" s="1653">
        <f t="shared" si="281"/>
        <v>0</v>
      </c>
      <c r="S813" s="1653">
        <f t="shared" si="282"/>
        <v>0</v>
      </c>
      <c r="T813" s="1653">
        <f t="shared" si="267"/>
        <v>0</v>
      </c>
      <c r="U813" s="1653">
        <f t="shared" si="268"/>
        <v>0</v>
      </c>
      <c r="V813" s="1653">
        <f t="shared" si="269"/>
        <v>0</v>
      </c>
      <c r="W813" s="1653">
        <f t="shared" si="270"/>
        <v>0</v>
      </c>
      <c r="X813" s="1653">
        <f t="shared" si="271"/>
        <v>0</v>
      </c>
      <c r="Y813" s="1653">
        <f t="shared" si="272"/>
        <v>0</v>
      </c>
    </row>
    <row r="814" spans="1:27" ht="15" hidden="1" outlineLevel="1">
      <c r="A814" s="1615">
        <v>806</v>
      </c>
      <c r="C814" s="1651" t="s">
        <v>3494</v>
      </c>
      <c r="D814" s="1651" t="s">
        <v>2543</v>
      </c>
      <c r="E814" s="1613">
        <v>397.33</v>
      </c>
      <c r="F814" s="1613">
        <v>-397.33</v>
      </c>
      <c r="G814" s="1613">
        <f t="shared" si="273"/>
        <v>0</v>
      </c>
      <c r="H814" s="1578">
        <v>2007</v>
      </c>
      <c r="I814" s="1662">
        <f t="shared" si="274"/>
        <v>8.5</v>
      </c>
      <c r="J814" s="1663">
        <v>36</v>
      </c>
      <c r="K814" s="1664">
        <f t="shared" si="275"/>
        <v>0.33333333333333331</v>
      </c>
      <c r="L814" s="1613">
        <f t="shared" si="276"/>
        <v>0</v>
      </c>
      <c r="M814" s="1613">
        <f t="shared" si="277"/>
        <v>397.33</v>
      </c>
      <c r="N814" s="1613">
        <f t="shared" si="266"/>
        <v>-397.33</v>
      </c>
      <c r="O814" s="1652">
        <f t="shared" si="278"/>
        <v>0</v>
      </c>
      <c r="P814" s="1653">
        <f t="shared" si="279"/>
        <v>0</v>
      </c>
      <c r="Q814" s="1653">
        <f t="shared" si="280"/>
        <v>0</v>
      </c>
      <c r="R814" s="1653">
        <f t="shared" si="281"/>
        <v>0</v>
      </c>
      <c r="S814" s="1653">
        <f t="shared" si="282"/>
        <v>0</v>
      </c>
      <c r="T814" s="1653">
        <f t="shared" si="267"/>
        <v>0</v>
      </c>
      <c r="U814" s="1653">
        <f t="shared" si="268"/>
        <v>0</v>
      </c>
      <c r="V814" s="1653">
        <f t="shared" si="269"/>
        <v>0</v>
      </c>
      <c r="W814" s="1653">
        <f t="shared" si="270"/>
        <v>0</v>
      </c>
      <c r="X814" s="1653">
        <f t="shared" si="271"/>
        <v>0</v>
      </c>
      <c r="Y814" s="1653">
        <f t="shared" si="272"/>
        <v>0</v>
      </c>
    </row>
    <row r="815" spans="1:27" ht="15" hidden="1" outlineLevel="1">
      <c r="A815" s="1615">
        <v>807</v>
      </c>
      <c r="C815" s="1651" t="s">
        <v>3495</v>
      </c>
      <c r="D815" s="1651" t="s">
        <v>3496</v>
      </c>
      <c r="E815" s="1613">
        <v>502.88</v>
      </c>
      <c r="F815" s="1613">
        <v>-502.88</v>
      </c>
      <c r="G815" s="1613">
        <f t="shared" si="273"/>
        <v>0</v>
      </c>
      <c r="H815" s="1578">
        <v>2007</v>
      </c>
      <c r="I815" s="1662">
        <f t="shared" si="274"/>
        <v>8.5</v>
      </c>
      <c r="J815" s="1663">
        <v>36</v>
      </c>
      <c r="K815" s="1664">
        <f t="shared" si="275"/>
        <v>0.33333333333333331</v>
      </c>
      <c r="L815" s="1613">
        <f t="shared" si="276"/>
        <v>0</v>
      </c>
      <c r="M815" s="1613">
        <f t="shared" si="277"/>
        <v>502.88</v>
      </c>
      <c r="N815" s="1613">
        <f t="shared" si="266"/>
        <v>-502.88</v>
      </c>
      <c r="O815" s="1652">
        <f t="shared" si="278"/>
        <v>0</v>
      </c>
      <c r="P815" s="1653">
        <f t="shared" si="279"/>
        <v>0</v>
      </c>
      <c r="Q815" s="1653">
        <f t="shared" si="280"/>
        <v>0</v>
      </c>
      <c r="R815" s="1653">
        <f t="shared" si="281"/>
        <v>0</v>
      </c>
      <c r="S815" s="1653">
        <f t="shared" si="282"/>
        <v>0</v>
      </c>
      <c r="T815" s="1653">
        <f t="shared" si="267"/>
        <v>0</v>
      </c>
      <c r="U815" s="1653">
        <f t="shared" si="268"/>
        <v>0</v>
      </c>
      <c r="V815" s="1653">
        <f t="shared" si="269"/>
        <v>0</v>
      </c>
      <c r="W815" s="1653">
        <f t="shared" si="270"/>
        <v>0</v>
      </c>
      <c r="X815" s="1653">
        <f t="shared" si="271"/>
        <v>0</v>
      </c>
      <c r="Y815" s="1653">
        <f t="shared" si="272"/>
        <v>0</v>
      </c>
    </row>
    <row r="816" spans="1:27" ht="15" hidden="1" outlineLevel="1">
      <c r="A816" s="1615">
        <v>808</v>
      </c>
      <c r="C816" s="1651" t="s">
        <v>3497</v>
      </c>
      <c r="D816" s="1651" t="s">
        <v>2548</v>
      </c>
      <c r="E816" s="1613">
        <v>502.88</v>
      </c>
      <c r="F816" s="1613">
        <v>-502.88</v>
      </c>
      <c r="G816" s="1613">
        <f t="shared" si="273"/>
        <v>0</v>
      </c>
      <c r="H816" s="1578">
        <v>2007</v>
      </c>
      <c r="I816" s="1662">
        <f t="shared" si="274"/>
        <v>8.5</v>
      </c>
      <c r="J816" s="1663">
        <v>36</v>
      </c>
      <c r="K816" s="1664">
        <f t="shared" si="275"/>
        <v>0.33333333333333331</v>
      </c>
      <c r="L816" s="1613">
        <f t="shared" si="276"/>
        <v>0</v>
      </c>
      <c r="M816" s="1613">
        <f t="shared" si="277"/>
        <v>502.88</v>
      </c>
      <c r="N816" s="1613">
        <f t="shared" si="266"/>
        <v>-502.88</v>
      </c>
      <c r="O816" s="1652">
        <f t="shared" si="278"/>
        <v>0</v>
      </c>
      <c r="P816" s="1653">
        <f t="shared" si="279"/>
        <v>0</v>
      </c>
      <c r="Q816" s="1653">
        <f t="shared" si="280"/>
        <v>0</v>
      </c>
      <c r="R816" s="1653">
        <f t="shared" si="281"/>
        <v>0</v>
      </c>
      <c r="S816" s="1653">
        <f t="shared" si="282"/>
        <v>0</v>
      </c>
      <c r="T816" s="1653">
        <f t="shared" si="267"/>
        <v>0</v>
      </c>
      <c r="U816" s="1653">
        <f t="shared" si="268"/>
        <v>0</v>
      </c>
      <c r="V816" s="1653">
        <f t="shared" si="269"/>
        <v>0</v>
      </c>
      <c r="W816" s="1653">
        <f t="shared" si="270"/>
        <v>0</v>
      </c>
      <c r="X816" s="1653">
        <f t="shared" si="271"/>
        <v>0</v>
      </c>
      <c r="Y816" s="1653">
        <f t="shared" si="272"/>
        <v>0</v>
      </c>
    </row>
    <row r="817" spans="1:25" ht="15" hidden="1" outlineLevel="1">
      <c r="A817" s="1615">
        <v>809</v>
      </c>
      <c r="C817" s="1651" t="s">
        <v>3498</v>
      </c>
      <c r="D817" s="1651" t="s">
        <v>2482</v>
      </c>
      <c r="E817" s="1613">
        <v>590.6</v>
      </c>
      <c r="F817" s="1613">
        <v>-590.6</v>
      </c>
      <c r="G817" s="1613">
        <f t="shared" si="273"/>
        <v>0</v>
      </c>
      <c r="H817" s="1578">
        <v>2007</v>
      </c>
      <c r="I817" s="1662">
        <f t="shared" si="274"/>
        <v>8.5</v>
      </c>
      <c r="J817" s="1663">
        <v>36</v>
      </c>
      <c r="K817" s="1664">
        <f t="shared" si="275"/>
        <v>0.33333333333333331</v>
      </c>
      <c r="L817" s="1613">
        <f t="shared" si="276"/>
        <v>0</v>
      </c>
      <c r="M817" s="1613">
        <f t="shared" si="277"/>
        <v>590.6</v>
      </c>
      <c r="N817" s="1613">
        <f t="shared" si="266"/>
        <v>-590.6</v>
      </c>
      <c r="O817" s="1652">
        <f t="shared" si="278"/>
        <v>0</v>
      </c>
      <c r="P817" s="1653">
        <f t="shared" si="279"/>
        <v>0</v>
      </c>
      <c r="Q817" s="1653">
        <f t="shared" si="280"/>
        <v>0</v>
      </c>
      <c r="R817" s="1653">
        <f t="shared" si="281"/>
        <v>0</v>
      </c>
      <c r="S817" s="1653">
        <f t="shared" si="282"/>
        <v>0</v>
      </c>
      <c r="T817" s="1653">
        <f t="shared" si="267"/>
        <v>0</v>
      </c>
      <c r="U817" s="1653">
        <f t="shared" si="268"/>
        <v>0</v>
      </c>
      <c r="V817" s="1653">
        <f t="shared" si="269"/>
        <v>0</v>
      </c>
      <c r="W817" s="1653">
        <f t="shared" si="270"/>
        <v>0</v>
      </c>
      <c r="X817" s="1653">
        <f t="shared" si="271"/>
        <v>0</v>
      </c>
      <c r="Y817" s="1653">
        <f t="shared" si="272"/>
        <v>0</v>
      </c>
    </row>
    <row r="818" spans="1:25" ht="15" hidden="1" outlineLevel="1">
      <c r="A818" s="1615">
        <v>810</v>
      </c>
      <c r="C818" s="1651" t="s">
        <v>3499</v>
      </c>
      <c r="D818" s="1651" t="s">
        <v>2499</v>
      </c>
      <c r="E818" s="1613">
        <v>612.88</v>
      </c>
      <c r="F818" s="1613">
        <v>-612.88</v>
      </c>
      <c r="G818" s="1613">
        <f t="shared" si="273"/>
        <v>0</v>
      </c>
      <c r="H818" s="1578">
        <v>2007</v>
      </c>
      <c r="I818" s="1662">
        <f t="shared" si="274"/>
        <v>8.5</v>
      </c>
      <c r="J818" s="1663">
        <v>36</v>
      </c>
      <c r="K818" s="1664">
        <f t="shared" si="275"/>
        <v>0.33333333333333331</v>
      </c>
      <c r="L818" s="1613">
        <f t="shared" si="276"/>
        <v>0</v>
      </c>
      <c r="M818" s="1613">
        <f t="shared" si="277"/>
        <v>612.88</v>
      </c>
      <c r="N818" s="1613">
        <f t="shared" si="266"/>
        <v>-612.88</v>
      </c>
      <c r="O818" s="1652">
        <f t="shared" si="278"/>
        <v>0</v>
      </c>
      <c r="P818" s="1653">
        <f t="shared" si="279"/>
        <v>0</v>
      </c>
      <c r="Q818" s="1653">
        <f t="shared" si="280"/>
        <v>0</v>
      </c>
      <c r="R818" s="1653">
        <f t="shared" si="281"/>
        <v>0</v>
      </c>
      <c r="S818" s="1653">
        <f t="shared" si="282"/>
        <v>0</v>
      </c>
      <c r="T818" s="1653">
        <f t="shared" si="267"/>
        <v>0</v>
      </c>
      <c r="U818" s="1653">
        <f t="shared" si="268"/>
        <v>0</v>
      </c>
      <c r="V818" s="1653">
        <f t="shared" si="269"/>
        <v>0</v>
      </c>
      <c r="W818" s="1653">
        <f t="shared" si="270"/>
        <v>0</v>
      </c>
      <c r="X818" s="1653">
        <f t="shared" si="271"/>
        <v>0</v>
      </c>
      <c r="Y818" s="1653">
        <f t="shared" si="272"/>
        <v>0</v>
      </c>
    </row>
    <row r="819" spans="1:25" ht="15" hidden="1" outlineLevel="1">
      <c r="A819" s="1615">
        <v>811</v>
      </c>
      <c r="C819" s="1651" t="s">
        <v>3500</v>
      </c>
      <c r="D819" s="1651" t="s">
        <v>3501</v>
      </c>
      <c r="E819" s="1613">
        <v>769</v>
      </c>
      <c r="F819" s="1613">
        <v>-769</v>
      </c>
      <c r="G819" s="1613">
        <f t="shared" si="273"/>
        <v>0</v>
      </c>
      <c r="H819" s="1578">
        <v>2007</v>
      </c>
      <c r="I819" s="1662">
        <f t="shared" si="274"/>
        <v>8.5</v>
      </c>
      <c r="J819" s="1663">
        <v>36</v>
      </c>
      <c r="K819" s="1664">
        <f t="shared" si="275"/>
        <v>0.33333333333333331</v>
      </c>
      <c r="L819" s="1613">
        <f t="shared" si="276"/>
        <v>0</v>
      </c>
      <c r="M819" s="1613">
        <f t="shared" si="277"/>
        <v>769</v>
      </c>
      <c r="N819" s="1613">
        <f t="shared" si="266"/>
        <v>-769</v>
      </c>
      <c r="O819" s="1652">
        <f t="shared" si="278"/>
        <v>0</v>
      </c>
      <c r="P819" s="1653">
        <f t="shared" si="279"/>
        <v>0</v>
      </c>
      <c r="Q819" s="1653">
        <f t="shared" si="280"/>
        <v>0</v>
      </c>
      <c r="R819" s="1653">
        <f t="shared" si="281"/>
        <v>0</v>
      </c>
      <c r="S819" s="1653">
        <f t="shared" si="282"/>
        <v>0</v>
      </c>
      <c r="T819" s="1653">
        <f t="shared" si="267"/>
        <v>0</v>
      </c>
      <c r="U819" s="1653">
        <f t="shared" si="268"/>
        <v>0</v>
      </c>
      <c r="V819" s="1653">
        <f t="shared" si="269"/>
        <v>0</v>
      </c>
      <c r="W819" s="1653">
        <f t="shared" si="270"/>
        <v>0</v>
      </c>
      <c r="X819" s="1653">
        <f t="shared" si="271"/>
        <v>0</v>
      </c>
      <c r="Y819" s="1653">
        <f t="shared" si="272"/>
        <v>0</v>
      </c>
    </row>
    <row r="820" spans="1:25" ht="15" hidden="1" outlineLevel="1">
      <c r="A820" s="1615">
        <v>812</v>
      </c>
      <c r="C820" s="1651" t="s">
        <v>3502</v>
      </c>
      <c r="D820" s="1651" t="s">
        <v>3491</v>
      </c>
      <c r="E820" s="1613">
        <v>790</v>
      </c>
      <c r="F820" s="1613">
        <v>-790</v>
      </c>
      <c r="G820" s="1613">
        <f t="shared" si="273"/>
        <v>0</v>
      </c>
      <c r="H820" s="1578">
        <v>2007</v>
      </c>
      <c r="I820" s="1662">
        <f t="shared" si="274"/>
        <v>8.5</v>
      </c>
      <c r="J820" s="1663">
        <v>36</v>
      </c>
      <c r="K820" s="1664">
        <f t="shared" si="275"/>
        <v>0.33333333333333331</v>
      </c>
      <c r="L820" s="1613">
        <f t="shared" si="276"/>
        <v>0</v>
      </c>
      <c r="M820" s="1613">
        <f t="shared" si="277"/>
        <v>790</v>
      </c>
      <c r="N820" s="1613">
        <f t="shared" si="266"/>
        <v>-790</v>
      </c>
      <c r="O820" s="1652">
        <f t="shared" si="278"/>
        <v>0</v>
      </c>
      <c r="P820" s="1653">
        <f t="shared" si="279"/>
        <v>0</v>
      </c>
      <c r="Q820" s="1653">
        <f t="shared" si="280"/>
        <v>0</v>
      </c>
      <c r="R820" s="1653">
        <f t="shared" si="281"/>
        <v>0</v>
      </c>
      <c r="S820" s="1653">
        <f t="shared" si="282"/>
        <v>0</v>
      </c>
      <c r="T820" s="1653">
        <f t="shared" si="267"/>
        <v>0</v>
      </c>
      <c r="U820" s="1653">
        <f t="shared" si="268"/>
        <v>0</v>
      </c>
      <c r="V820" s="1653">
        <f t="shared" si="269"/>
        <v>0</v>
      </c>
      <c r="W820" s="1653">
        <f t="shared" si="270"/>
        <v>0</v>
      </c>
      <c r="X820" s="1653">
        <f t="shared" si="271"/>
        <v>0</v>
      </c>
      <c r="Y820" s="1653">
        <f t="shared" si="272"/>
        <v>0</v>
      </c>
    </row>
    <row r="821" spans="1:25" ht="15" hidden="1" outlineLevel="1">
      <c r="A821" s="1615">
        <v>813</v>
      </c>
      <c r="C821" s="1651" t="s">
        <v>3503</v>
      </c>
      <c r="D821" s="1651" t="s">
        <v>3504</v>
      </c>
      <c r="E821" s="1613">
        <v>1005.81</v>
      </c>
      <c r="F821" s="1613">
        <v>-1005.81</v>
      </c>
      <c r="G821" s="1613">
        <f t="shared" si="273"/>
        <v>0</v>
      </c>
      <c r="H821" s="1578">
        <v>2007</v>
      </c>
      <c r="I821" s="1662">
        <f t="shared" si="274"/>
        <v>8.5</v>
      </c>
      <c r="J821" s="1663">
        <v>36</v>
      </c>
      <c r="K821" s="1664">
        <f t="shared" si="275"/>
        <v>0.33333333333333331</v>
      </c>
      <c r="L821" s="1613">
        <f t="shared" si="276"/>
        <v>0</v>
      </c>
      <c r="M821" s="1613">
        <f t="shared" si="277"/>
        <v>1005.81</v>
      </c>
      <c r="N821" s="1613">
        <f t="shared" si="266"/>
        <v>-1005.81</v>
      </c>
      <c r="O821" s="1652">
        <f t="shared" si="278"/>
        <v>0</v>
      </c>
      <c r="P821" s="1653">
        <f t="shared" si="279"/>
        <v>0</v>
      </c>
      <c r="Q821" s="1653">
        <f t="shared" si="280"/>
        <v>0</v>
      </c>
      <c r="R821" s="1653">
        <f t="shared" si="281"/>
        <v>0</v>
      </c>
      <c r="S821" s="1653">
        <f t="shared" si="282"/>
        <v>0</v>
      </c>
      <c r="T821" s="1653">
        <f t="shared" si="267"/>
        <v>0</v>
      </c>
      <c r="U821" s="1653">
        <f t="shared" si="268"/>
        <v>0</v>
      </c>
      <c r="V821" s="1653">
        <f t="shared" si="269"/>
        <v>0</v>
      </c>
      <c r="W821" s="1653">
        <f t="shared" si="270"/>
        <v>0</v>
      </c>
      <c r="X821" s="1653">
        <f t="shared" si="271"/>
        <v>0</v>
      </c>
      <c r="Y821" s="1653">
        <f t="shared" si="272"/>
        <v>0</v>
      </c>
    </row>
    <row r="822" spans="1:25" ht="15" hidden="1" outlineLevel="1">
      <c r="A822" s="1615">
        <v>814</v>
      </c>
      <c r="C822" s="1651" t="s">
        <v>3505</v>
      </c>
      <c r="D822" s="1651" t="s">
        <v>2550</v>
      </c>
      <c r="E822" s="1613">
        <v>1329.98</v>
      </c>
      <c r="F822" s="1613">
        <v>-1329.98</v>
      </c>
      <c r="G822" s="1613">
        <f t="shared" si="273"/>
        <v>0</v>
      </c>
      <c r="H822" s="1578">
        <v>2007</v>
      </c>
      <c r="I822" s="1662">
        <f t="shared" si="274"/>
        <v>8.5</v>
      </c>
      <c r="J822" s="1663">
        <v>36</v>
      </c>
      <c r="K822" s="1664">
        <f t="shared" si="275"/>
        <v>0.33333333333333331</v>
      </c>
      <c r="L822" s="1613">
        <f t="shared" si="276"/>
        <v>0</v>
      </c>
      <c r="M822" s="1613">
        <f t="shared" si="277"/>
        <v>1329.98</v>
      </c>
      <c r="N822" s="1613">
        <f t="shared" si="266"/>
        <v>-1329.98</v>
      </c>
      <c r="O822" s="1652">
        <f t="shared" si="278"/>
        <v>0</v>
      </c>
      <c r="P822" s="1653">
        <f t="shared" si="279"/>
        <v>0</v>
      </c>
      <c r="Q822" s="1653">
        <f t="shared" si="280"/>
        <v>0</v>
      </c>
      <c r="R822" s="1653">
        <f t="shared" si="281"/>
        <v>0</v>
      </c>
      <c r="S822" s="1653">
        <f t="shared" si="282"/>
        <v>0</v>
      </c>
      <c r="T822" s="1653">
        <f t="shared" si="267"/>
        <v>0</v>
      </c>
      <c r="U822" s="1653">
        <f t="shared" si="268"/>
        <v>0</v>
      </c>
      <c r="V822" s="1653">
        <f t="shared" si="269"/>
        <v>0</v>
      </c>
      <c r="W822" s="1653">
        <f t="shared" si="270"/>
        <v>0</v>
      </c>
      <c r="X822" s="1653">
        <f t="shared" si="271"/>
        <v>0</v>
      </c>
      <c r="Y822" s="1653">
        <f t="shared" si="272"/>
        <v>0</v>
      </c>
    </row>
    <row r="823" spans="1:25" ht="15" hidden="1" outlineLevel="1">
      <c r="A823" s="1615">
        <v>815</v>
      </c>
      <c r="C823" s="1651" t="s">
        <v>3506</v>
      </c>
      <c r="D823" s="1651" t="s">
        <v>2487</v>
      </c>
      <c r="E823" s="1613">
        <v>1671.37</v>
      </c>
      <c r="F823" s="1613">
        <v>-1671.37</v>
      </c>
      <c r="G823" s="1613">
        <f t="shared" si="273"/>
        <v>0</v>
      </c>
      <c r="H823" s="1578">
        <v>2007</v>
      </c>
      <c r="I823" s="1662">
        <f t="shared" si="274"/>
        <v>8.5</v>
      </c>
      <c r="J823" s="1663">
        <v>36</v>
      </c>
      <c r="K823" s="1664">
        <f t="shared" si="275"/>
        <v>0.33333333333333331</v>
      </c>
      <c r="L823" s="1613">
        <f t="shared" si="276"/>
        <v>0</v>
      </c>
      <c r="M823" s="1613">
        <f t="shared" si="277"/>
        <v>1671.37</v>
      </c>
      <c r="N823" s="1613">
        <f t="shared" si="266"/>
        <v>-1671.37</v>
      </c>
      <c r="O823" s="1652">
        <f t="shared" si="278"/>
        <v>0</v>
      </c>
      <c r="P823" s="1653">
        <f t="shared" si="279"/>
        <v>0</v>
      </c>
      <c r="Q823" s="1653">
        <f t="shared" si="280"/>
        <v>0</v>
      </c>
      <c r="R823" s="1653">
        <f t="shared" si="281"/>
        <v>0</v>
      </c>
      <c r="S823" s="1653">
        <f t="shared" si="282"/>
        <v>0</v>
      </c>
      <c r="T823" s="1653">
        <f t="shared" si="267"/>
        <v>0</v>
      </c>
      <c r="U823" s="1653">
        <f t="shared" si="268"/>
        <v>0</v>
      </c>
      <c r="V823" s="1653">
        <f t="shared" si="269"/>
        <v>0</v>
      </c>
      <c r="W823" s="1653">
        <f t="shared" si="270"/>
        <v>0</v>
      </c>
      <c r="X823" s="1653">
        <f t="shared" si="271"/>
        <v>0</v>
      </c>
      <c r="Y823" s="1653">
        <f t="shared" si="272"/>
        <v>0</v>
      </c>
    </row>
    <row r="824" spans="1:25" ht="15" hidden="1" outlineLevel="1">
      <c r="A824" s="1615">
        <v>816</v>
      </c>
      <c r="C824" s="1651" t="s">
        <v>3507</v>
      </c>
      <c r="D824" s="1651" t="s">
        <v>2561</v>
      </c>
      <c r="E824" s="1613">
        <v>1685.6</v>
      </c>
      <c r="F824" s="1613">
        <v>-1685.6</v>
      </c>
      <c r="G824" s="1613">
        <f t="shared" si="273"/>
        <v>0</v>
      </c>
      <c r="H824" s="1578">
        <v>2007</v>
      </c>
      <c r="I824" s="1662">
        <f t="shared" si="274"/>
        <v>8.5</v>
      </c>
      <c r="J824" s="1663">
        <v>36</v>
      </c>
      <c r="K824" s="1664">
        <f t="shared" si="275"/>
        <v>0.33333333333333331</v>
      </c>
      <c r="L824" s="1613">
        <f t="shared" si="276"/>
        <v>0</v>
      </c>
      <c r="M824" s="1613">
        <f t="shared" si="277"/>
        <v>1685.6</v>
      </c>
      <c r="N824" s="1613">
        <f t="shared" si="266"/>
        <v>-1685.6</v>
      </c>
      <c r="O824" s="1652">
        <f t="shared" si="278"/>
        <v>0</v>
      </c>
      <c r="P824" s="1653">
        <f t="shared" si="279"/>
        <v>0</v>
      </c>
      <c r="Q824" s="1653">
        <f t="shared" si="280"/>
        <v>0</v>
      </c>
      <c r="R824" s="1653">
        <f t="shared" si="281"/>
        <v>0</v>
      </c>
      <c r="S824" s="1653">
        <f t="shared" si="282"/>
        <v>0</v>
      </c>
      <c r="T824" s="1653">
        <f t="shared" si="267"/>
        <v>0</v>
      </c>
      <c r="U824" s="1653">
        <f t="shared" si="268"/>
        <v>0</v>
      </c>
      <c r="V824" s="1653">
        <f t="shared" si="269"/>
        <v>0</v>
      </c>
      <c r="W824" s="1653">
        <f t="shared" si="270"/>
        <v>0</v>
      </c>
      <c r="X824" s="1653">
        <f t="shared" si="271"/>
        <v>0</v>
      </c>
      <c r="Y824" s="1653">
        <f t="shared" si="272"/>
        <v>0</v>
      </c>
    </row>
    <row r="825" spans="1:25" ht="15" hidden="1" outlineLevel="1">
      <c r="A825" s="1615">
        <v>817</v>
      </c>
      <c r="C825" s="1651" t="s">
        <v>3508</v>
      </c>
      <c r="D825" s="1651" t="s">
        <v>2487</v>
      </c>
      <c r="E825" s="1613">
        <v>4048.15</v>
      </c>
      <c r="F825" s="1613">
        <v>-4048.15</v>
      </c>
      <c r="G825" s="1613">
        <f t="shared" si="273"/>
        <v>0</v>
      </c>
      <c r="H825" s="1578">
        <v>2007</v>
      </c>
      <c r="I825" s="1662">
        <f t="shared" si="274"/>
        <v>8.5</v>
      </c>
      <c r="J825" s="1663">
        <v>36</v>
      </c>
      <c r="K825" s="1664">
        <f t="shared" si="275"/>
        <v>0.33333333333333331</v>
      </c>
      <c r="L825" s="1613">
        <f t="shared" si="276"/>
        <v>0</v>
      </c>
      <c r="M825" s="1613">
        <f t="shared" si="277"/>
        <v>4048.15</v>
      </c>
      <c r="N825" s="1613">
        <f t="shared" si="266"/>
        <v>-4048.15</v>
      </c>
      <c r="O825" s="1652">
        <f t="shared" si="278"/>
        <v>0</v>
      </c>
      <c r="P825" s="1653">
        <f t="shared" si="279"/>
        <v>0</v>
      </c>
      <c r="Q825" s="1653">
        <f t="shared" si="280"/>
        <v>0</v>
      </c>
      <c r="R825" s="1653">
        <f t="shared" si="281"/>
        <v>0</v>
      </c>
      <c r="S825" s="1653">
        <f t="shared" si="282"/>
        <v>0</v>
      </c>
      <c r="T825" s="1653">
        <f t="shared" si="267"/>
        <v>0</v>
      </c>
      <c r="U825" s="1653">
        <f t="shared" si="268"/>
        <v>0</v>
      </c>
      <c r="V825" s="1653">
        <f t="shared" si="269"/>
        <v>0</v>
      </c>
      <c r="W825" s="1653">
        <f t="shared" si="270"/>
        <v>0</v>
      </c>
      <c r="X825" s="1653">
        <f t="shared" si="271"/>
        <v>0</v>
      </c>
      <c r="Y825" s="1653">
        <f t="shared" si="272"/>
        <v>0</v>
      </c>
    </row>
    <row r="826" spans="1:25" ht="15" hidden="1" outlineLevel="1">
      <c r="A826" s="1615">
        <v>818</v>
      </c>
      <c r="C826" s="1651" t="s">
        <v>3509</v>
      </c>
      <c r="D826" s="1651" t="s">
        <v>3510</v>
      </c>
      <c r="E826" s="1613">
        <v>19203.009999999998</v>
      </c>
      <c r="F826" s="1613">
        <v>-19203.009999999998</v>
      </c>
      <c r="G826" s="1613">
        <f t="shared" si="273"/>
        <v>0</v>
      </c>
      <c r="H826" s="1578">
        <v>2007</v>
      </c>
      <c r="I826" s="1662">
        <f t="shared" si="274"/>
        <v>8.5</v>
      </c>
      <c r="J826" s="1663">
        <v>36</v>
      </c>
      <c r="K826" s="1664">
        <f t="shared" si="275"/>
        <v>0.33333333333333331</v>
      </c>
      <c r="L826" s="1613">
        <f t="shared" si="276"/>
        <v>0</v>
      </c>
      <c r="M826" s="1613">
        <f t="shared" si="277"/>
        <v>19203.009999999998</v>
      </c>
      <c r="N826" s="1613">
        <f t="shared" si="266"/>
        <v>-19203.009999999998</v>
      </c>
      <c r="O826" s="1652">
        <f t="shared" si="278"/>
        <v>0</v>
      </c>
      <c r="P826" s="1653">
        <f t="shared" si="279"/>
        <v>0</v>
      </c>
      <c r="Q826" s="1653">
        <f t="shared" si="280"/>
        <v>0</v>
      </c>
      <c r="R826" s="1653">
        <f t="shared" si="281"/>
        <v>0</v>
      </c>
      <c r="S826" s="1653">
        <f t="shared" si="282"/>
        <v>0</v>
      </c>
      <c r="T826" s="1653">
        <f t="shared" si="267"/>
        <v>0</v>
      </c>
      <c r="U826" s="1653">
        <f t="shared" si="268"/>
        <v>0</v>
      </c>
      <c r="V826" s="1653">
        <f t="shared" si="269"/>
        <v>0</v>
      </c>
      <c r="W826" s="1653">
        <f t="shared" si="270"/>
        <v>0</v>
      </c>
      <c r="X826" s="1653">
        <f t="shared" si="271"/>
        <v>0</v>
      </c>
      <c r="Y826" s="1653">
        <f t="shared" si="272"/>
        <v>0</v>
      </c>
    </row>
    <row r="827" spans="1:25" ht="15" hidden="1" outlineLevel="1">
      <c r="A827" s="1615">
        <v>819</v>
      </c>
      <c r="C827" s="1651" t="s">
        <v>3511</v>
      </c>
      <c r="D827" s="1651" t="s">
        <v>2499</v>
      </c>
      <c r="E827" s="1613">
        <v>125024.21</v>
      </c>
      <c r="F827" s="1613">
        <v>-125024.21</v>
      </c>
      <c r="G827" s="1613">
        <f t="shared" si="273"/>
        <v>0</v>
      </c>
      <c r="H827" s="1578">
        <v>2007</v>
      </c>
      <c r="I827" s="1662">
        <f t="shared" si="274"/>
        <v>8.5</v>
      </c>
      <c r="J827" s="1663">
        <v>36</v>
      </c>
      <c r="K827" s="1664">
        <f t="shared" si="275"/>
        <v>0.33333333333333331</v>
      </c>
      <c r="L827" s="1613">
        <f t="shared" si="276"/>
        <v>0</v>
      </c>
      <c r="M827" s="1613">
        <f t="shared" si="277"/>
        <v>125024.21</v>
      </c>
      <c r="N827" s="1613">
        <f t="shared" si="266"/>
        <v>-125024.21</v>
      </c>
      <c r="O827" s="1652">
        <f t="shared" si="278"/>
        <v>0</v>
      </c>
      <c r="P827" s="1653">
        <f t="shared" si="279"/>
        <v>0</v>
      </c>
      <c r="Q827" s="1653">
        <f t="shared" si="280"/>
        <v>0</v>
      </c>
      <c r="R827" s="1653">
        <f t="shared" si="281"/>
        <v>0</v>
      </c>
      <c r="S827" s="1653">
        <f t="shared" si="282"/>
        <v>0</v>
      </c>
      <c r="T827" s="1653">
        <f t="shared" si="267"/>
        <v>0</v>
      </c>
      <c r="U827" s="1653">
        <f t="shared" si="268"/>
        <v>0</v>
      </c>
      <c r="V827" s="1653">
        <f t="shared" si="269"/>
        <v>0</v>
      </c>
      <c r="W827" s="1653">
        <f t="shared" si="270"/>
        <v>0</v>
      </c>
      <c r="X827" s="1653">
        <f t="shared" si="271"/>
        <v>0</v>
      </c>
      <c r="Y827" s="1653">
        <f t="shared" si="272"/>
        <v>0</v>
      </c>
    </row>
    <row r="828" spans="1:25" ht="15" hidden="1" outlineLevel="1">
      <c r="A828" s="1615">
        <v>820</v>
      </c>
      <c r="C828" s="1651" t="s">
        <v>3512</v>
      </c>
      <c r="D828" s="1651" t="s">
        <v>3510</v>
      </c>
      <c r="E828" s="1613">
        <v>159077.56</v>
      </c>
      <c r="F828" s="1613">
        <v>-159077.56</v>
      </c>
      <c r="G828" s="1613">
        <f t="shared" si="273"/>
        <v>0</v>
      </c>
      <c r="H828" s="1578">
        <v>2007</v>
      </c>
      <c r="I828" s="1662">
        <f t="shared" si="274"/>
        <v>8.5</v>
      </c>
      <c r="J828" s="1663">
        <v>36</v>
      </c>
      <c r="K828" s="1664">
        <f t="shared" si="275"/>
        <v>0.33333333333333331</v>
      </c>
      <c r="L828" s="1613">
        <f t="shared" si="276"/>
        <v>0</v>
      </c>
      <c r="M828" s="1613">
        <f t="shared" si="277"/>
        <v>159077.56</v>
      </c>
      <c r="N828" s="1613">
        <f t="shared" si="266"/>
        <v>-159077.56</v>
      </c>
      <c r="O828" s="1652">
        <f t="shared" si="278"/>
        <v>0</v>
      </c>
      <c r="P828" s="1653">
        <f t="shared" si="279"/>
        <v>0</v>
      </c>
      <c r="Q828" s="1653">
        <f t="shared" si="280"/>
        <v>0</v>
      </c>
      <c r="R828" s="1653">
        <f t="shared" si="281"/>
        <v>0</v>
      </c>
      <c r="S828" s="1653">
        <f t="shared" si="282"/>
        <v>0</v>
      </c>
      <c r="T828" s="1653">
        <f t="shared" si="267"/>
        <v>0</v>
      </c>
      <c r="U828" s="1653">
        <f t="shared" si="268"/>
        <v>0</v>
      </c>
      <c r="V828" s="1653">
        <f t="shared" si="269"/>
        <v>0</v>
      </c>
      <c r="W828" s="1653">
        <f t="shared" si="270"/>
        <v>0</v>
      </c>
      <c r="X828" s="1653">
        <f t="shared" si="271"/>
        <v>0</v>
      </c>
      <c r="Y828" s="1653">
        <f t="shared" si="272"/>
        <v>0</v>
      </c>
    </row>
    <row r="829" spans="1:25" ht="15" hidden="1" outlineLevel="1">
      <c r="A829" s="1615">
        <v>821</v>
      </c>
      <c r="C829" s="1651" t="s">
        <v>3513</v>
      </c>
      <c r="D829" s="1651" t="s">
        <v>3514</v>
      </c>
      <c r="E829" s="1613">
        <v>44192.04</v>
      </c>
      <c r="F829" s="1613">
        <v>-44192.04</v>
      </c>
      <c r="G829" s="1613">
        <f t="shared" si="273"/>
        <v>0</v>
      </c>
      <c r="H829" s="1578">
        <v>2008</v>
      </c>
      <c r="I829" s="1662">
        <f t="shared" si="274"/>
        <v>7.5</v>
      </c>
      <c r="J829" s="1663">
        <v>36</v>
      </c>
      <c r="K829" s="1664">
        <f t="shared" si="275"/>
        <v>0.33333333333333331</v>
      </c>
      <c r="L829" s="1613">
        <f t="shared" si="276"/>
        <v>0</v>
      </c>
      <c r="M829" s="1613">
        <f t="shared" si="277"/>
        <v>44192.04</v>
      </c>
      <c r="N829" s="1613">
        <f t="shared" si="266"/>
        <v>-44192.04</v>
      </c>
      <c r="O829" s="1652">
        <f t="shared" si="278"/>
        <v>0</v>
      </c>
      <c r="P829" s="1653">
        <f t="shared" si="279"/>
        <v>0</v>
      </c>
      <c r="Q829" s="1653">
        <f t="shared" si="280"/>
        <v>0</v>
      </c>
      <c r="R829" s="1653">
        <f t="shared" si="281"/>
        <v>0</v>
      </c>
      <c r="S829" s="1653">
        <f t="shared" si="282"/>
        <v>0</v>
      </c>
      <c r="T829" s="1653">
        <f t="shared" si="267"/>
        <v>0</v>
      </c>
      <c r="U829" s="1653">
        <f t="shared" si="268"/>
        <v>0</v>
      </c>
      <c r="V829" s="1653">
        <f t="shared" si="269"/>
        <v>0</v>
      </c>
      <c r="W829" s="1653">
        <f t="shared" si="270"/>
        <v>0</v>
      </c>
      <c r="X829" s="1653">
        <f t="shared" si="271"/>
        <v>0</v>
      </c>
      <c r="Y829" s="1653">
        <f t="shared" si="272"/>
        <v>0</v>
      </c>
    </row>
    <row r="830" spans="1:25" ht="15" hidden="1" outlineLevel="1">
      <c r="A830" s="1615">
        <v>822</v>
      </c>
      <c r="C830" s="1651" t="s">
        <v>3515</v>
      </c>
      <c r="D830" s="1651" t="s">
        <v>2004</v>
      </c>
      <c r="E830" s="1613">
        <v>44192.04</v>
      </c>
      <c r="F830" s="1613">
        <v>-44192.04</v>
      </c>
      <c r="G830" s="1613">
        <f t="shared" si="273"/>
        <v>0</v>
      </c>
      <c r="H830" s="1578">
        <v>2008</v>
      </c>
      <c r="I830" s="1662">
        <f t="shared" si="274"/>
        <v>7.5</v>
      </c>
      <c r="J830" s="1663">
        <v>36</v>
      </c>
      <c r="K830" s="1664">
        <f t="shared" si="275"/>
        <v>0.33333333333333331</v>
      </c>
      <c r="L830" s="1613">
        <f t="shared" si="276"/>
        <v>0</v>
      </c>
      <c r="M830" s="1613">
        <f t="shared" si="277"/>
        <v>44192.04</v>
      </c>
      <c r="N830" s="1613">
        <f t="shared" si="266"/>
        <v>-44192.04</v>
      </c>
      <c r="O830" s="1652">
        <f t="shared" si="278"/>
        <v>0</v>
      </c>
      <c r="P830" s="1653">
        <f t="shared" si="279"/>
        <v>0</v>
      </c>
      <c r="Q830" s="1653">
        <f t="shared" si="280"/>
        <v>0</v>
      </c>
      <c r="R830" s="1653">
        <f t="shared" si="281"/>
        <v>0</v>
      </c>
      <c r="S830" s="1653">
        <f t="shared" si="282"/>
        <v>0</v>
      </c>
      <c r="T830" s="1653">
        <f t="shared" si="267"/>
        <v>0</v>
      </c>
      <c r="U830" s="1653">
        <f t="shared" si="268"/>
        <v>0</v>
      </c>
      <c r="V830" s="1653">
        <f t="shared" si="269"/>
        <v>0</v>
      </c>
      <c r="W830" s="1653">
        <f t="shared" si="270"/>
        <v>0</v>
      </c>
      <c r="X830" s="1653">
        <f t="shared" si="271"/>
        <v>0</v>
      </c>
      <c r="Y830" s="1653">
        <f t="shared" si="272"/>
        <v>0</v>
      </c>
    </row>
    <row r="831" spans="1:25" ht="15" hidden="1" outlineLevel="1">
      <c r="A831" s="1615">
        <v>823</v>
      </c>
      <c r="C831" s="1651" t="s">
        <v>3516</v>
      </c>
      <c r="D831" s="1651" t="s">
        <v>2004</v>
      </c>
      <c r="E831" s="1613">
        <v>-41430.03</v>
      </c>
      <c r="F831" s="1613">
        <v>41430.03</v>
      </c>
      <c r="G831" s="1613">
        <f t="shared" si="273"/>
        <v>0</v>
      </c>
      <c r="H831" s="1578">
        <v>2008</v>
      </c>
      <c r="I831" s="1662">
        <f t="shared" si="274"/>
        <v>7.5</v>
      </c>
      <c r="J831" s="1663">
        <v>36</v>
      </c>
      <c r="K831" s="1664">
        <f t="shared" si="275"/>
        <v>0.33333333333333331</v>
      </c>
      <c r="L831" s="1613">
        <f t="shared" si="276"/>
        <v>0</v>
      </c>
      <c r="M831" s="1613">
        <f t="shared" si="277"/>
        <v>-41430.03</v>
      </c>
      <c r="N831" s="1613">
        <f t="shared" si="266"/>
        <v>41430.03</v>
      </c>
      <c r="O831" s="1652">
        <f t="shared" si="278"/>
        <v>0</v>
      </c>
      <c r="P831" s="1653">
        <f t="shared" si="279"/>
        <v>0</v>
      </c>
      <c r="Q831" s="1653">
        <f t="shared" si="280"/>
        <v>0</v>
      </c>
      <c r="R831" s="1653">
        <f t="shared" si="281"/>
        <v>0</v>
      </c>
      <c r="S831" s="1653">
        <f t="shared" si="282"/>
        <v>0</v>
      </c>
      <c r="T831" s="1653">
        <f t="shared" si="267"/>
        <v>0</v>
      </c>
      <c r="U831" s="1653">
        <f t="shared" si="268"/>
        <v>0</v>
      </c>
      <c r="V831" s="1653">
        <f t="shared" si="269"/>
        <v>0</v>
      </c>
      <c r="W831" s="1653">
        <f t="shared" si="270"/>
        <v>0</v>
      </c>
      <c r="X831" s="1653">
        <f t="shared" si="271"/>
        <v>0</v>
      </c>
      <c r="Y831" s="1653">
        <f t="shared" si="272"/>
        <v>0</v>
      </c>
    </row>
    <row r="832" spans="1:25" ht="15" hidden="1" outlineLevel="1">
      <c r="A832" s="1615">
        <v>824</v>
      </c>
      <c r="C832" s="1651" t="s">
        <v>3517</v>
      </c>
      <c r="D832" s="1651" t="s">
        <v>2004</v>
      </c>
      <c r="E832" s="1613">
        <v>210.88</v>
      </c>
      <c r="F832" s="1613">
        <v>-210.88</v>
      </c>
      <c r="G832" s="1613">
        <f t="shared" si="273"/>
        <v>0</v>
      </c>
      <c r="H832" s="1578">
        <v>2008</v>
      </c>
      <c r="I832" s="1662">
        <f t="shared" si="274"/>
        <v>7.5</v>
      </c>
      <c r="J832" s="1663">
        <v>36</v>
      </c>
      <c r="K832" s="1664">
        <f t="shared" si="275"/>
        <v>0.33333333333333331</v>
      </c>
      <c r="L832" s="1613">
        <f t="shared" si="276"/>
        <v>0</v>
      </c>
      <c r="M832" s="1613">
        <f t="shared" si="277"/>
        <v>210.88</v>
      </c>
      <c r="N832" s="1613">
        <f t="shared" si="266"/>
        <v>-210.88</v>
      </c>
      <c r="O832" s="1652">
        <f t="shared" si="278"/>
        <v>0</v>
      </c>
      <c r="P832" s="1653">
        <f t="shared" si="279"/>
        <v>0</v>
      </c>
      <c r="Q832" s="1653">
        <f t="shared" si="280"/>
        <v>0</v>
      </c>
      <c r="R832" s="1653">
        <f t="shared" si="281"/>
        <v>0</v>
      </c>
      <c r="S832" s="1653">
        <f t="shared" si="282"/>
        <v>0</v>
      </c>
      <c r="T832" s="1653">
        <f t="shared" si="267"/>
        <v>0</v>
      </c>
      <c r="U832" s="1653">
        <f t="shared" si="268"/>
        <v>0</v>
      </c>
      <c r="V832" s="1653">
        <f t="shared" si="269"/>
        <v>0</v>
      </c>
      <c r="W832" s="1653">
        <f t="shared" si="270"/>
        <v>0</v>
      </c>
      <c r="X832" s="1653">
        <f t="shared" si="271"/>
        <v>0</v>
      </c>
      <c r="Y832" s="1653">
        <f t="shared" si="272"/>
        <v>0</v>
      </c>
    </row>
    <row r="833" spans="1:27" ht="15" hidden="1" outlineLevel="1">
      <c r="A833" s="1615">
        <v>825</v>
      </c>
      <c r="C833" s="1651" t="s">
        <v>3518</v>
      </c>
      <c r="D833" s="1651" t="s">
        <v>2004</v>
      </c>
      <c r="E833" s="1613">
        <v>16200.92</v>
      </c>
      <c r="F833" s="1613">
        <v>-16200.92</v>
      </c>
      <c r="G833" s="1613">
        <f t="shared" si="273"/>
        <v>0</v>
      </c>
      <c r="H833" s="1578">
        <v>2008</v>
      </c>
      <c r="I833" s="1662">
        <f t="shared" si="274"/>
        <v>7.5</v>
      </c>
      <c r="J833" s="1663">
        <v>36</v>
      </c>
      <c r="K833" s="1664">
        <f t="shared" si="275"/>
        <v>0.33333333333333331</v>
      </c>
      <c r="L833" s="1613">
        <f t="shared" si="276"/>
        <v>0</v>
      </c>
      <c r="M833" s="1613">
        <f t="shared" si="277"/>
        <v>16200.92</v>
      </c>
      <c r="N833" s="1613">
        <f t="shared" si="266"/>
        <v>-16200.92</v>
      </c>
      <c r="O833" s="1652">
        <f t="shared" si="278"/>
        <v>0</v>
      </c>
      <c r="P833" s="1653">
        <f t="shared" si="279"/>
        <v>0</v>
      </c>
      <c r="Q833" s="1653">
        <f t="shared" si="280"/>
        <v>0</v>
      </c>
      <c r="R833" s="1653">
        <f t="shared" si="281"/>
        <v>0</v>
      </c>
      <c r="S833" s="1653">
        <f t="shared" si="282"/>
        <v>0</v>
      </c>
      <c r="T833" s="1653">
        <f t="shared" si="267"/>
        <v>0</v>
      </c>
      <c r="U833" s="1653">
        <f t="shared" si="268"/>
        <v>0</v>
      </c>
      <c r="V833" s="1653">
        <f t="shared" si="269"/>
        <v>0</v>
      </c>
      <c r="W833" s="1653">
        <f t="shared" si="270"/>
        <v>0</v>
      </c>
      <c r="X833" s="1653">
        <f t="shared" si="271"/>
        <v>0</v>
      </c>
      <c r="Y833" s="1653">
        <f t="shared" si="272"/>
        <v>0</v>
      </c>
    </row>
    <row r="834" spans="1:27" ht="15" hidden="1" outlineLevel="1">
      <c r="A834" s="1615">
        <v>826</v>
      </c>
      <c r="E834" s="1652"/>
      <c r="F834" s="1652"/>
      <c r="G834" s="1652"/>
      <c r="J834" s="1663"/>
      <c r="M834" s="1652"/>
      <c r="N834" s="1652"/>
      <c r="O834" s="1652"/>
      <c r="P834" s="1642"/>
      <c r="Q834" s="1642"/>
      <c r="R834" s="1642"/>
      <c r="S834" s="1642"/>
      <c r="T834" s="1642"/>
      <c r="U834" s="1642"/>
      <c r="V834" s="1642"/>
      <c r="W834" s="1642"/>
      <c r="X834" s="1642"/>
      <c r="Y834" s="1642"/>
    </row>
    <row r="835" spans="1:27" ht="15" collapsed="1">
      <c r="A835" s="1615">
        <v>827</v>
      </c>
      <c r="D835" s="1632" t="s">
        <v>2468</v>
      </c>
      <c r="E835" s="1739">
        <f>SUM(E802:E834)</f>
        <v>562325.68000000005</v>
      </c>
      <c r="F835" s="1739">
        <f>SUM(F802:F834)</f>
        <v>-562325.68000000005</v>
      </c>
      <c r="G835" s="1739">
        <f>SUM(G802:G834)</f>
        <v>0</v>
      </c>
      <c r="H835" s="1739"/>
      <c r="I835" s="1739"/>
      <c r="J835" s="1740"/>
      <c r="K835" s="1739"/>
      <c r="L835" s="1739">
        <f t="shared" ref="L835:Y835" si="283">SUM(L802:L834)</f>
        <v>0</v>
      </c>
      <c r="M835" s="1739">
        <f t="shared" si="283"/>
        <v>562325.68000000005</v>
      </c>
      <c r="N835" s="1739">
        <f t="shared" si="283"/>
        <v>-562325.68000000005</v>
      </c>
      <c r="O835" s="1739">
        <f t="shared" si="283"/>
        <v>0</v>
      </c>
      <c r="P835" s="1654">
        <f t="shared" si="283"/>
        <v>0</v>
      </c>
      <c r="Q835" s="1654">
        <f t="shared" si="283"/>
        <v>0</v>
      </c>
      <c r="R835" s="1654">
        <f t="shared" si="283"/>
        <v>0</v>
      </c>
      <c r="S835" s="1654">
        <f t="shared" si="283"/>
        <v>0</v>
      </c>
      <c r="T835" s="1654">
        <f t="shared" si="283"/>
        <v>0</v>
      </c>
      <c r="U835" s="1654">
        <f t="shared" si="283"/>
        <v>0</v>
      </c>
      <c r="V835" s="1654">
        <f t="shared" si="283"/>
        <v>0</v>
      </c>
      <c r="W835" s="1654">
        <f t="shared" si="283"/>
        <v>0</v>
      </c>
      <c r="X835" s="1654">
        <f t="shared" si="283"/>
        <v>0</v>
      </c>
      <c r="Y835" s="1654">
        <f t="shared" si="283"/>
        <v>0</v>
      </c>
    </row>
    <row r="836" spans="1:27" ht="15">
      <c r="A836" s="1615">
        <v>828</v>
      </c>
      <c r="D836" s="1665" t="s">
        <v>2469</v>
      </c>
      <c r="E836" s="1666">
        <f>'Input Schedule'!$D$17</f>
        <v>2.6393242386234281E-2</v>
      </c>
      <c r="F836" s="1666">
        <f>'Input Schedule'!$D$17</f>
        <v>2.6393242386234281E-2</v>
      </c>
      <c r="G836" s="1666">
        <f>'Input Schedule'!$D$17</f>
        <v>2.6393242386234281E-2</v>
      </c>
      <c r="J836" s="1663"/>
      <c r="L836" s="1666">
        <f>'Input Schedule'!$D$17</f>
        <v>2.6393242386234281E-2</v>
      </c>
      <c r="M836" s="1666">
        <f>'Input Schedule'!$D$17</f>
        <v>2.6393242386234281E-2</v>
      </c>
      <c r="N836" s="1666">
        <f>'Input Schedule'!$D$17</f>
        <v>2.6393242386234281E-2</v>
      </c>
      <c r="O836" s="1666">
        <f>'Input Schedule'!$D$17</f>
        <v>2.6393242386234281E-2</v>
      </c>
      <c r="P836" s="1666">
        <f>'Input Schedule'!$D$17</f>
        <v>2.6393242386234281E-2</v>
      </c>
      <c r="Q836" s="1666">
        <f>'Input Schedule'!$D$17</f>
        <v>2.6393242386234281E-2</v>
      </c>
      <c r="R836" s="1666">
        <f>'Input Schedule'!$D$17</f>
        <v>2.6393242386234281E-2</v>
      </c>
      <c r="S836" s="1666">
        <f>'Input Schedule'!$D$17</f>
        <v>2.6393242386234281E-2</v>
      </c>
      <c r="T836" s="1666">
        <f>'Input Schedule'!$D$17</f>
        <v>2.6393242386234281E-2</v>
      </c>
      <c r="U836" s="1666">
        <f>'Input Schedule'!$D$17</f>
        <v>2.6393242386234281E-2</v>
      </c>
      <c r="V836" s="1666">
        <f>'Input Schedule'!$D$17</f>
        <v>2.6393242386234281E-2</v>
      </c>
      <c r="W836" s="1666">
        <f>'Input Schedule'!$D$17</f>
        <v>2.6393242386234281E-2</v>
      </c>
      <c r="X836" s="1666">
        <f>'Input Schedule'!$D$17</f>
        <v>2.6393242386234281E-2</v>
      </c>
      <c r="Y836" s="1666">
        <f>'Input Schedule'!$D$17</f>
        <v>2.6393242386234281E-2</v>
      </c>
    </row>
    <row r="837" spans="1:27" ht="15">
      <c r="A837" s="1615">
        <v>829</v>
      </c>
      <c r="D837" s="1665" t="s">
        <v>2470</v>
      </c>
      <c r="E837" s="1741">
        <f>E835*E836</f>
        <v>14841.597972244017</v>
      </c>
      <c r="F837" s="1741">
        <f>F835*F836</f>
        <v>-14841.597972244017</v>
      </c>
      <c r="G837" s="1741">
        <f>G835*G836</f>
        <v>0</v>
      </c>
      <c r="H837" s="1621"/>
      <c r="I837" s="1621"/>
      <c r="J837" s="1742"/>
      <c r="K837" s="1621"/>
      <c r="L837" s="1741">
        <f t="shared" ref="L837:Y837" si="284">L835*L836</f>
        <v>0</v>
      </c>
      <c r="M837" s="1741">
        <f t="shared" si="284"/>
        <v>14841.597972244017</v>
      </c>
      <c r="N837" s="1741">
        <f t="shared" si="284"/>
        <v>-14841.597972244017</v>
      </c>
      <c r="O837" s="1741">
        <f t="shared" si="284"/>
        <v>0</v>
      </c>
      <c r="P837" s="1668">
        <f t="shared" si="284"/>
        <v>0</v>
      </c>
      <c r="Q837" s="1668">
        <f t="shared" si="284"/>
        <v>0</v>
      </c>
      <c r="R837" s="1668">
        <f t="shared" si="284"/>
        <v>0</v>
      </c>
      <c r="S837" s="1668">
        <f t="shared" si="284"/>
        <v>0</v>
      </c>
      <c r="T837" s="1668">
        <f t="shared" si="284"/>
        <v>0</v>
      </c>
      <c r="U837" s="1668">
        <f t="shared" si="284"/>
        <v>0</v>
      </c>
      <c r="V837" s="1668">
        <f t="shared" si="284"/>
        <v>0</v>
      </c>
      <c r="W837" s="1668">
        <f t="shared" si="284"/>
        <v>0</v>
      </c>
      <c r="X837" s="1668">
        <f t="shared" si="284"/>
        <v>0</v>
      </c>
      <c r="Y837" s="1668">
        <f t="shared" si="284"/>
        <v>0</v>
      </c>
    </row>
    <row r="838" spans="1:27" ht="15">
      <c r="A838" s="1615">
        <v>830</v>
      </c>
      <c r="P838" s="1642"/>
      <c r="Q838" s="1642"/>
      <c r="R838" s="1642"/>
      <c r="S838" s="1642"/>
      <c r="T838" s="1642"/>
      <c r="U838" s="1642"/>
      <c r="V838" s="1642"/>
      <c r="W838" s="1642"/>
      <c r="X838" s="1642"/>
      <c r="Y838" s="1642"/>
    </row>
    <row r="839" spans="1:27" ht="15">
      <c r="A839" s="1615">
        <v>831</v>
      </c>
      <c r="B839" s="1660" t="s">
        <v>3519</v>
      </c>
      <c r="C839" s="1648"/>
      <c r="D839" s="1648"/>
      <c r="E839" s="1649"/>
      <c r="F839" s="1649"/>
      <c r="G839" s="1649"/>
      <c r="H839" s="1649"/>
      <c r="I839" s="1649"/>
      <c r="J839" s="1649"/>
      <c r="K839" s="1649"/>
      <c r="L839" s="1649"/>
      <c r="M839" s="1649"/>
      <c r="N839" s="1649"/>
      <c r="O839" s="1660"/>
      <c r="P839" s="1661"/>
      <c r="Q839" s="1661"/>
      <c r="R839" s="1661"/>
      <c r="S839" s="1661"/>
      <c r="T839" s="1661"/>
      <c r="U839" s="1661"/>
      <c r="V839" s="1661"/>
      <c r="W839" s="1661"/>
      <c r="X839" s="1661"/>
      <c r="Y839" s="1661"/>
      <c r="Z839" s="1650"/>
      <c r="AA839" s="1650"/>
    </row>
    <row r="840" spans="1:27" ht="15" hidden="1" outlineLevel="1">
      <c r="A840" s="1615">
        <v>832</v>
      </c>
      <c r="C840" s="1651" t="s">
        <v>3520</v>
      </c>
      <c r="D840" s="1651" t="s">
        <v>3480</v>
      </c>
      <c r="E840" s="1613">
        <v>3237.48</v>
      </c>
      <c r="F840" s="1613">
        <v>-3237.48</v>
      </c>
      <c r="G840" s="1613">
        <f>E840+F840</f>
        <v>0</v>
      </c>
      <c r="H840" s="1578">
        <v>2005</v>
      </c>
      <c r="I840" s="1662">
        <f>IF(H840=2015,0.5,2015.5-H840)</f>
        <v>10.5</v>
      </c>
      <c r="J840" s="1663">
        <v>36</v>
      </c>
      <c r="K840" s="1664">
        <f>1/J840*12</f>
        <v>0.33333333333333331</v>
      </c>
      <c r="L840" s="1613">
        <f>IF(I840&lt;(J840/12),E840*K840,0)</f>
        <v>0</v>
      </c>
      <c r="M840" s="1613">
        <f>E840</f>
        <v>3237.48</v>
      </c>
      <c r="N840" s="1613">
        <f>-IF(I840+0.5&lt;(J840/12),M840*(I840+0.5)*K840,M840)</f>
        <v>-3237.48</v>
      </c>
      <c r="O840" s="1652">
        <f>M840+N840</f>
        <v>0</v>
      </c>
      <c r="P840" s="1653">
        <f>IF(O840&gt;0,IF(O840&lt;$K840,-$L840,N840-$K840),O840)</f>
        <v>0</v>
      </c>
      <c r="Q840" s="1653">
        <f>IF(P840&lt;0,$L840+P840,O840)</f>
        <v>0</v>
      </c>
      <c r="R840" s="1653">
        <f>IF(Q840&gt;0,IF(Q840&lt;$K840,-$L840,P840-$K840),Q840)</f>
        <v>0</v>
      </c>
      <c r="S840" s="1653">
        <f>IF(R840&lt;0,$L840+R840,Q840)</f>
        <v>0</v>
      </c>
      <c r="T840" s="1653">
        <f t="shared" ref="T840" si="285">IF(S840&gt;0,IF(S840&lt;$K840,-$L840,R840-$K840),S840)</f>
        <v>0</v>
      </c>
      <c r="U840" s="1653">
        <f t="shared" ref="U840" si="286">IF(T840&lt;0,$L840+T840,S840)</f>
        <v>0</v>
      </c>
      <c r="V840" s="1653">
        <f t="shared" ref="V840" si="287">IF(U840&gt;0,IF(U840&lt;$K840,-$L840,T840-$K840),U840)</f>
        <v>0</v>
      </c>
      <c r="W840" s="1653">
        <f t="shared" ref="W840" si="288">IF(V840&lt;0,$L840+V840,U840)</f>
        <v>0</v>
      </c>
      <c r="X840" s="1653">
        <f t="shared" ref="X840" si="289">IF(W840&gt;0,IF(W840&lt;$K840,-$L840,V840-$K840),W840)</f>
        <v>0</v>
      </c>
      <c r="Y840" s="1653">
        <f t="shared" ref="Y840" si="290">IF(X840&lt;0,$L840+X840,W840)</f>
        <v>0</v>
      </c>
    </row>
    <row r="841" spans="1:27" ht="15" hidden="1" outlineLevel="1">
      <c r="A841" s="1615">
        <v>833</v>
      </c>
      <c r="P841" s="1642"/>
      <c r="Q841" s="1642"/>
      <c r="R841" s="1642"/>
      <c r="S841" s="1642"/>
      <c r="T841" s="1642"/>
      <c r="U841" s="1642"/>
      <c r="V841" s="1642"/>
      <c r="W841" s="1642"/>
      <c r="X841" s="1642"/>
      <c r="Y841" s="1642"/>
    </row>
    <row r="842" spans="1:27" ht="15" collapsed="1">
      <c r="A842" s="1615">
        <v>834</v>
      </c>
      <c r="D842" s="1632" t="s">
        <v>314</v>
      </c>
      <c r="E842" s="1739">
        <f>SUM(E840:E841)</f>
        <v>3237.48</v>
      </c>
      <c r="F842" s="1739">
        <f t="shared" ref="F842:G842" si="291">SUM(F840:F841)</f>
        <v>-3237.48</v>
      </c>
      <c r="G842" s="1739">
        <f t="shared" si="291"/>
        <v>0</v>
      </c>
      <c r="H842" s="1739"/>
      <c r="I842" s="1739"/>
      <c r="J842" s="1740"/>
      <c r="K842" s="1739"/>
      <c r="L842" s="1739">
        <f t="shared" ref="L842:Y842" si="292">SUM(L840:L841)</f>
        <v>0</v>
      </c>
      <c r="M842" s="1739">
        <f t="shared" si="292"/>
        <v>3237.48</v>
      </c>
      <c r="N842" s="1739">
        <f t="shared" si="292"/>
        <v>-3237.48</v>
      </c>
      <c r="O842" s="1739">
        <f t="shared" si="292"/>
        <v>0</v>
      </c>
      <c r="P842" s="1654">
        <f t="shared" si="292"/>
        <v>0</v>
      </c>
      <c r="Q842" s="1654">
        <f t="shared" si="292"/>
        <v>0</v>
      </c>
      <c r="R842" s="1654">
        <f t="shared" si="292"/>
        <v>0</v>
      </c>
      <c r="S842" s="1654">
        <f t="shared" si="292"/>
        <v>0</v>
      </c>
      <c r="T842" s="1654">
        <f t="shared" si="292"/>
        <v>0</v>
      </c>
      <c r="U842" s="1654">
        <f t="shared" si="292"/>
        <v>0</v>
      </c>
      <c r="V842" s="1654">
        <f t="shared" si="292"/>
        <v>0</v>
      </c>
      <c r="W842" s="1654">
        <f t="shared" si="292"/>
        <v>0</v>
      </c>
      <c r="X842" s="1654">
        <f t="shared" si="292"/>
        <v>0</v>
      </c>
      <c r="Y842" s="1654">
        <f t="shared" si="292"/>
        <v>0</v>
      </c>
    </row>
    <row r="843" spans="1:27" ht="15">
      <c r="A843" s="1615">
        <v>835</v>
      </c>
      <c r="D843" s="1665" t="s">
        <v>2469</v>
      </c>
      <c r="E843" s="1666">
        <v>1</v>
      </c>
      <c r="F843" s="1666">
        <v>1</v>
      </c>
      <c r="G843" s="1666">
        <v>1</v>
      </c>
      <c r="J843" s="1663"/>
      <c r="L843" s="1666">
        <v>1</v>
      </c>
      <c r="M843" s="1666">
        <v>1</v>
      </c>
      <c r="N843" s="1666">
        <v>1</v>
      </c>
      <c r="O843" s="1666">
        <v>1</v>
      </c>
      <c r="P843" s="1667">
        <v>1</v>
      </c>
      <c r="Q843" s="1667">
        <v>1</v>
      </c>
      <c r="R843" s="1667">
        <v>1</v>
      </c>
      <c r="S843" s="1667">
        <v>1</v>
      </c>
      <c r="T843" s="1667">
        <v>1</v>
      </c>
      <c r="U843" s="1667">
        <v>1</v>
      </c>
      <c r="V843" s="1667">
        <v>1</v>
      </c>
      <c r="W843" s="1667">
        <v>1</v>
      </c>
      <c r="X843" s="1667">
        <v>1</v>
      </c>
      <c r="Y843" s="1667">
        <v>1</v>
      </c>
    </row>
    <row r="844" spans="1:27" ht="15">
      <c r="A844" s="1615">
        <v>836</v>
      </c>
      <c r="D844" s="1665" t="s">
        <v>2470</v>
      </c>
      <c r="E844" s="1741">
        <f>E842*E843</f>
        <v>3237.48</v>
      </c>
      <c r="F844" s="1741">
        <f>F842*F843</f>
        <v>-3237.48</v>
      </c>
      <c r="G844" s="1741">
        <f>G842*G843</f>
        <v>0</v>
      </c>
      <c r="H844" s="1621"/>
      <c r="I844" s="1621"/>
      <c r="J844" s="1742"/>
      <c r="K844" s="1621"/>
      <c r="L844" s="1741">
        <f>L842*L843</f>
        <v>0</v>
      </c>
      <c r="M844" s="1741">
        <f t="shared" ref="M844:Y844" si="293">M842*M843</f>
        <v>3237.48</v>
      </c>
      <c r="N844" s="1741">
        <f t="shared" si="293"/>
        <v>-3237.48</v>
      </c>
      <c r="O844" s="1741">
        <f t="shared" si="293"/>
        <v>0</v>
      </c>
      <c r="P844" s="1668">
        <f t="shared" si="293"/>
        <v>0</v>
      </c>
      <c r="Q844" s="1668">
        <f t="shared" si="293"/>
        <v>0</v>
      </c>
      <c r="R844" s="1668">
        <f t="shared" si="293"/>
        <v>0</v>
      </c>
      <c r="S844" s="1668">
        <f t="shared" si="293"/>
        <v>0</v>
      </c>
      <c r="T844" s="1668">
        <f t="shared" si="293"/>
        <v>0</v>
      </c>
      <c r="U844" s="1668">
        <f t="shared" si="293"/>
        <v>0</v>
      </c>
      <c r="V844" s="1668">
        <f t="shared" si="293"/>
        <v>0</v>
      </c>
      <c r="W844" s="1668">
        <f t="shared" si="293"/>
        <v>0</v>
      </c>
      <c r="X844" s="1668">
        <f t="shared" si="293"/>
        <v>0</v>
      </c>
      <c r="Y844" s="1668">
        <f t="shared" si="293"/>
        <v>0</v>
      </c>
    </row>
    <row r="845" spans="1:27" ht="15">
      <c r="A845" s="1615">
        <v>837</v>
      </c>
      <c r="P845" s="1642"/>
      <c r="Q845" s="1642"/>
      <c r="R845" s="1642"/>
      <c r="S845" s="1642"/>
      <c r="T845" s="1642"/>
      <c r="U845" s="1642"/>
      <c r="V845" s="1642"/>
      <c r="W845" s="1642"/>
      <c r="X845" s="1642"/>
      <c r="Y845" s="1642"/>
    </row>
    <row r="846" spans="1:27" ht="15">
      <c r="A846" s="1615">
        <v>838</v>
      </c>
      <c r="P846" s="1642"/>
      <c r="Q846" s="1642"/>
      <c r="R846" s="1642"/>
      <c r="S846" s="1642"/>
      <c r="T846" s="1642"/>
      <c r="U846" s="1642"/>
      <c r="V846" s="1642"/>
      <c r="W846" s="1642"/>
      <c r="X846" s="1642"/>
      <c r="Y846" s="1642"/>
    </row>
    <row r="847" spans="1:27" ht="30">
      <c r="A847" s="1615">
        <v>839</v>
      </c>
      <c r="B847" s="1660" t="s">
        <v>1872</v>
      </c>
      <c r="E847" s="1645" t="s">
        <v>2436</v>
      </c>
      <c r="F847" s="1645" t="s">
        <v>2437</v>
      </c>
      <c r="G847" s="1645" t="s">
        <v>2438</v>
      </c>
      <c r="H847" s="1645"/>
      <c r="I847" s="1645"/>
      <c r="J847" s="1645"/>
      <c r="K847" s="1645"/>
      <c r="L847" s="1645" t="s">
        <v>2441</v>
      </c>
      <c r="M847" s="1645" t="s">
        <v>2442</v>
      </c>
      <c r="N847" s="1645" t="s">
        <v>2443</v>
      </c>
      <c r="O847" s="1657" t="s">
        <v>2444</v>
      </c>
      <c r="P847" s="1658" t="s">
        <v>2445</v>
      </c>
      <c r="Q847" s="1658" t="s">
        <v>2446</v>
      </c>
      <c r="R847" s="1658" t="s">
        <v>2447</v>
      </c>
      <c r="S847" s="1658" t="s">
        <v>2448</v>
      </c>
      <c r="T847" s="1658" t="s">
        <v>2449</v>
      </c>
      <c r="U847" s="1658" t="s">
        <v>2450</v>
      </c>
      <c r="V847" s="1658" t="s">
        <v>2451</v>
      </c>
      <c r="W847" s="1658" t="s">
        <v>2452</v>
      </c>
      <c r="X847" s="1658" t="s">
        <v>2453</v>
      </c>
      <c r="Y847" s="1658" t="s">
        <v>2454</v>
      </c>
    </row>
    <row r="848" spans="1:27" ht="15.75" thickBot="1">
      <c r="A848" s="1615">
        <v>840</v>
      </c>
      <c r="D848" s="1632" t="s">
        <v>3521</v>
      </c>
      <c r="E848" s="1622">
        <f>E21+E691+E711+E799+E837+E844</f>
        <v>224000.06380615084</v>
      </c>
      <c r="F848" s="1622">
        <f>F21+F691+F711+F799+F837+F844</f>
        <v>-164713.15041583698</v>
      </c>
      <c r="G848" s="1622">
        <f>G21+G691+G711+G799+G837+G844</f>
        <v>59286.913390313552</v>
      </c>
      <c r="H848" s="1622"/>
      <c r="I848" s="1622"/>
      <c r="J848" s="1622"/>
      <c r="K848" s="1622"/>
      <c r="L848" s="1622">
        <f t="shared" ref="L848:Y848" si="294">L21+L691+L711+L799+L837+L844</f>
        <v>20465.481072483195</v>
      </c>
      <c r="M848" s="1622">
        <f t="shared" si="294"/>
        <v>224000.06380615084</v>
      </c>
      <c r="N848" s="1622">
        <f t="shared" si="294"/>
        <v>-185492.08113860234</v>
      </c>
      <c r="O848" s="1622">
        <f t="shared" si="294"/>
        <v>38507.982667548495</v>
      </c>
      <c r="P848" s="1656">
        <f t="shared" si="294"/>
        <v>-37136.23898297971</v>
      </c>
      <c r="Q848" s="1656">
        <f t="shared" si="294"/>
        <v>-18478.030887393696</v>
      </c>
      <c r="R848" s="1656">
        <f t="shared" si="294"/>
        <v>-18478.030887393696</v>
      </c>
      <c r="S848" s="1656">
        <f t="shared" si="294"/>
        <v>180.17439291311166</v>
      </c>
      <c r="T848" s="1656">
        <f t="shared" si="294"/>
        <v>-2505.5412588497852</v>
      </c>
      <c r="U848" s="1656">
        <f t="shared" si="294"/>
        <v>16152.664021457038</v>
      </c>
      <c r="V848" s="1656">
        <f t="shared" si="294"/>
        <v>-1080.8709743830136</v>
      </c>
      <c r="W848" s="1656">
        <f t="shared" si="294"/>
        <v>17577.334305923807</v>
      </c>
      <c r="X848" s="1656">
        <f t="shared" si="294"/>
        <v>-691.54841287934767</v>
      </c>
      <c r="Y848" s="1656">
        <f t="shared" si="294"/>
        <v>17966.656867427475</v>
      </c>
    </row>
    <row r="849" spans="1:5" ht="15.75" thickTop="1">
      <c r="A849" s="1615">
        <v>841</v>
      </c>
    </row>
    <row r="852" spans="1:5" ht="15">
      <c r="E852" s="1645" t="s">
        <v>2436</v>
      </c>
    </row>
    <row r="853" spans="1:5">
      <c r="C853" s="1578">
        <v>1580</v>
      </c>
      <c r="D853" s="1973" t="s">
        <v>2001</v>
      </c>
      <c r="E853" s="1626">
        <f>E21</f>
        <v>28678.820372546834</v>
      </c>
    </row>
    <row r="854" spans="1:5">
      <c r="C854" s="1578">
        <v>1585</v>
      </c>
      <c r="D854" s="1973" t="s">
        <v>2002</v>
      </c>
      <c r="E854" s="1626">
        <f>E691+E711</f>
        <v>134842.59210817434</v>
      </c>
    </row>
    <row r="855" spans="1:5">
      <c r="C855" s="1578">
        <v>1590</v>
      </c>
      <c r="D855" s="1973" t="s">
        <v>2003</v>
      </c>
      <c r="E855" s="1626">
        <f>E799</f>
        <v>42399.573353185602</v>
      </c>
    </row>
    <row r="856" spans="1:5">
      <c r="C856" s="1578">
        <v>1595</v>
      </c>
      <c r="D856" s="1973" t="s">
        <v>2004</v>
      </c>
      <c r="E856" s="1626">
        <f>E837+E844</f>
        <v>18079.077972244017</v>
      </c>
    </row>
    <row r="857" spans="1:5" ht="14.25" thickBot="1">
      <c r="E857" s="2100">
        <f>SUM(E853:E856)</f>
        <v>224000.06380615081</v>
      </c>
    </row>
    <row r="858" spans="1:5" ht="14.25" thickTop="1"/>
  </sheetData>
  <pageMargins left="0.7" right="0.7" top="0.75" bottom="0.75" header="0.3" footer="0.3"/>
  <pageSetup scale="4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showGridLines="0" view="pageBreakPreview" topLeftCell="A13" zoomScale="90" zoomScaleNormal="90" zoomScaleSheetLayoutView="90" workbookViewId="0"/>
  </sheetViews>
  <sheetFormatPr defaultRowHeight="13.5" outlineLevelCol="1"/>
  <cols>
    <col min="1" max="1" width="7.625" style="1578" customWidth="1"/>
    <col min="2" max="2" width="9" style="1578"/>
    <col min="3" max="3" width="33.5" style="1578" bestFit="1" customWidth="1"/>
    <col min="4" max="4" width="10.5" style="1578" bestFit="1" customWidth="1"/>
    <col min="5" max="5" width="11" style="1578" bestFit="1" customWidth="1"/>
    <col min="6" max="6" width="9.625" style="1578" bestFit="1" customWidth="1"/>
    <col min="7" max="7" width="11.25" style="1578" customWidth="1"/>
    <col min="8" max="8" width="11.625" style="1578" customWidth="1"/>
    <col min="9" max="9" width="9.125" style="1578" bestFit="1" customWidth="1"/>
    <col min="10" max="10" width="11.875" style="1578" customWidth="1"/>
    <col min="11" max="11" width="9.125" style="1578" bestFit="1" customWidth="1"/>
    <col min="12" max="12" width="12.125" style="1578" customWidth="1"/>
    <col min="13" max="13" width="9.625" style="1578" bestFit="1" customWidth="1"/>
    <col min="14" max="14" width="12.5" style="1578" customWidth="1"/>
    <col min="15" max="15" width="11" style="1578" bestFit="1" customWidth="1"/>
    <col min="16" max="16" width="10.5" style="1578" bestFit="1" customWidth="1"/>
    <col min="17" max="17" width="15.25" style="1578" customWidth="1" outlineLevel="1"/>
    <col min="18" max="18" width="11.25" style="1578" customWidth="1" outlineLevel="1"/>
    <col min="19" max="19" width="15.25" style="1578" customWidth="1" outlineLevel="1"/>
    <col min="20" max="20" width="11.25" style="1578" customWidth="1" outlineLevel="1"/>
    <col min="21" max="21" width="15.25" style="1578" customWidth="1" outlineLevel="1"/>
    <col min="22" max="22" width="11.25" style="1578" customWidth="1" outlineLevel="1"/>
    <col min="23" max="23" width="15.25" style="1578" customWidth="1" outlineLevel="1"/>
    <col min="24" max="24" width="11.25" style="1578" customWidth="1" outlineLevel="1"/>
    <col min="25" max="25" width="15.25" style="1578" customWidth="1" outlineLevel="1"/>
    <col min="26" max="26" width="11.25" style="1578" customWidth="1" outlineLevel="1"/>
    <col min="27" max="16384" width="9" style="1578"/>
  </cols>
  <sheetData>
    <row r="1" spans="1:27" ht="15">
      <c r="A1" s="1631" t="str">
        <f>Company_Name</f>
        <v>WATER SERVICE CORPORATION OF KENTUCKY</v>
      </c>
      <c r="P1" s="209" t="s">
        <v>323</v>
      </c>
    </row>
    <row r="2" spans="1:27" ht="15">
      <c r="A2" s="1631" t="str">
        <f>Docket</f>
        <v>Case No. 2015 - 00382</v>
      </c>
    </row>
    <row r="3" spans="1:27" ht="15">
      <c r="A3" s="1617" t="s">
        <v>2433</v>
      </c>
    </row>
    <row r="4" spans="1:27" ht="15">
      <c r="A4" s="1631" t="str">
        <f>TestYearEnded</f>
        <v>Test Year Ended 6/30/2015</v>
      </c>
    </row>
    <row r="5" spans="1:27" ht="6.75" customHeight="1"/>
    <row r="6" spans="1:27" s="1615" customFormat="1" ht="15.75" thickBot="1">
      <c r="B6" s="1615" t="s">
        <v>235</v>
      </c>
      <c r="C6" s="1615" t="s">
        <v>236</v>
      </c>
      <c r="D6" s="1615" t="s">
        <v>237</v>
      </c>
      <c r="E6" s="1615" t="s">
        <v>238</v>
      </c>
      <c r="F6" s="1615" t="s">
        <v>239</v>
      </c>
      <c r="G6" s="1615" t="s">
        <v>869</v>
      </c>
      <c r="H6" s="1615" t="s">
        <v>870</v>
      </c>
      <c r="I6" s="1615" t="s">
        <v>871</v>
      </c>
      <c r="J6" s="1615" t="s">
        <v>872</v>
      </c>
      <c r="K6" s="1615" t="s">
        <v>873</v>
      </c>
      <c r="L6" s="1615" t="s">
        <v>874</v>
      </c>
      <c r="M6" s="1615" t="s">
        <v>2304</v>
      </c>
      <c r="N6" s="1615" t="s">
        <v>2305</v>
      </c>
      <c r="O6" s="1615" t="s">
        <v>2306</v>
      </c>
      <c r="P6" s="1615" t="s">
        <v>2307</v>
      </c>
      <c r="Q6" s="1615" t="s">
        <v>2308</v>
      </c>
      <c r="R6" s="1615" t="s">
        <v>2309</v>
      </c>
      <c r="S6" s="1615" t="s">
        <v>2310</v>
      </c>
      <c r="T6" s="1615" t="s">
        <v>69</v>
      </c>
      <c r="U6" s="1615" t="s">
        <v>3603</v>
      </c>
      <c r="V6" s="1615" t="s">
        <v>3604</v>
      </c>
      <c r="W6" s="1615" t="s">
        <v>3605</v>
      </c>
      <c r="X6" s="1615" t="s">
        <v>727</v>
      </c>
      <c r="Y6" s="1615" t="s">
        <v>3882</v>
      </c>
      <c r="Z6" s="1615" t="s">
        <v>3883</v>
      </c>
    </row>
    <row r="7" spans="1:27" ht="60">
      <c r="A7" s="1577" t="s">
        <v>1786</v>
      </c>
      <c r="B7" s="1644" t="s">
        <v>2434</v>
      </c>
      <c r="C7" s="1644" t="s">
        <v>2435</v>
      </c>
      <c r="D7" s="1645" t="s">
        <v>2436</v>
      </c>
      <c r="E7" s="1645" t="s">
        <v>2437</v>
      </c>
      <c r="F7" s="1645" t="s">
        <v>2438</v>
      </c>
      <c r="G7" s="1993" t="s">
        <v>3880</v>
      </c>
      <c r="H7" s="1994" t="s">
        <v>3881</v>
      </c>
      <c r="I7" s="1645" t="s">
        <v>1829</v>
      </c>
      <c r="J7" s="1645" t="s">
        <v>2439</v>
      </c>
      <c r="K7" s="1645" t="s">
        <v>1830</v>
      </c>
      <c r="L7" s="1645" t="s">
        <v>3523</v>
      </c>
      <c r="M7" s="1645" t="s">
        <v>2441</v>
      </c>
      <c r="N7" s="1645" t="s">
        <v>2442</v>
      </c>
      <c r="O7" s="1645" t="s">
        <v>2443</v>
      </c>
      <c r="P7" s="1657" t="s">
        <v>2444</v>
      </c>
      <c r="Q7" s="1672" t="s">
        <v>2445</v>
      </c>
      <c r="R7" s="1673" t="s">
        <v>2446</v>
      </c>
      <c r="S7" s="1673" t="s">
        <v>2447</v>
      </c>
      <c r="T7" s="1673" t="s">
        <v>2448</v>
      </c>
      <c r="U7" s="1673" t="s">
        <v>2449</v>
      </c>
      <c r="V7" s="1673" t="s">
        <v>2450</v>
      </c>
      <c r="W7" s="1673" t="s">
        <v>2451</v>
      </c>
      <c r="X7" s="1673" t="s">
        <v>2452</v>
      </c>
      <c r="Y7" s="1673" t="s">
        <v>2453</v>
      </c>
      <c r="Z7" s="1674" t="s">
        <v>2454</v>
      </c>
      <c r="AA7" s="1643"/>
    </row>
    <row r="8" spans="1:27" ht="15">
      <c r="A8" s="1615">
        <v>1</v>
      </c>
      <c r="B8" s="1651" t="s">
        <v>3524</v>
      </c>
      <c r="C8" s="1651" t="s">
        <v>3525</v>
      </c>
      <c r="D8" s="1621">
        <v>18358.86</v>
      </c>
      <c r="E8" s="1621">
        <v>-18358.86</v>
      </c>
      <c r="F8" s="1621">
        <f>D8+E8</f>
        <v>0</v>
      </c>
      <c r="G8" s="1995">
        <f>MAX(-D8,-D8*J8*K8)</f>
        <v>-18358.86</v>
      </c>
      <c r="H8" s="1996">
        <f>D8+G8</f>
        <v>0</v>
      </c>
      <c r="I8" s="1578">
        <v>2003</v>
      </c>
      <c r="J8" s="1662">
        <f>IF(I8=2015,0.5,2015.5-I8)</f>
        <v>12.5</v>
      </c>
      <c r="K8" s="1670">
        <f>1/60*12</f>
        <v>0.2</v>
      </c>
      <c r="L8" s="1734">
        <v>0</v>
      </c>
      <c r="M8" s="1621">
        <f>IF(J8&lt;5,D8*K8,0)</f>
        <v>0</v>
      </c>
      <c r="N8" s="1621">
        <f>D8+L8</f>
        <v>18358.86</v>
      </c>
      <c r="O8" s="1621">
        <f>-IF(J8+0.5&lt;5,N8*(J8+0.5)*K8,N8)</f>
        <v>-18358.86</v>
      </c>
      <c r="P8" s="1621">
        <f>N8+O8</f>
        <v>0</v>
      </c>
      <c r="Q8" s="1726">
        <f>IF(P8&gt;0,IF(P8&lt;=$M8,-$N8,O8-$M8),P8)</f>
        <v>0</v>
      </c>
      <c r="R8" s="1653">
        <f t="shared" ref="R8:R28" si="0">IF(Q8&lt;0,$N8+Q8,P8)</f>
        <v>0</v>
      </c>
      <c r="S8" s="1653">
        <f>IF(R8&gt;0,IF(R8&lt;=$M8,-$N8,Q8-$M8),R8)</f>
        <v>0</v>
      </c>
      <c r="T8" s="1653">
        <f t="shared" ref="T8:T28" si="1">IF(S8&lt;0,$N8+S8,R8)</f>
        <v>0</v>
      </c>
      <c r="U8" s="1653">
        <f>IF(T8&gt;0,IF(T8&lt;=$M8,-$N8,S8-$M8),T8)</f>
        <v>0</v>
      </c>
      <c r="V8" s="1653">
        <f t="shared" ref="V8:V28" si="2">IF(U8&lt;0,$N8+U8,T8)</f>
        <v>0</v>
      </c>
      <c r="W8" s="1653">
        <f>IF(V8&gt;0,IF(V8&lt;=$M8,-$N8,U8-$M8),V8)</f>
        <v>0</v>
      </c>
      <c r="X8" s="1653">
        <f t="shared" ref="X8:X28" si="3">IF(W8&lt;0,$N8+W8,V8)</f>
        <v>0</v>
      </c>
      <c r="Y8" s="1653">
        <f>IF(X8&gt;0,IF(X8&lt;=$M8,-$N8,W8-$M8),X8)</f>
        <v>0</v>
      </c>
      <c r="Z8" s="1727">
        <f t="shared" ref="Z8:Z28" si="4">IF(Y8&lt;0,$N8+Y8,X8)</f>
        <v>0</v>
      </c>
    </row>
    <row r="9" spans="1:27" ht="15">
      <c r="A9" s="1615">
        <v>2</v>
      </c>
      <c r="B9" s="1651" t="s">
        <v>3526</v>
      </c>
      <c r="C9" s="1651" t="s">
        <v>3527</v>
      </c>
      <c r="D9" s="1613">
        <v>19892.64</v>
      </c>
      <c r="E9" s="1613">
        <v>-19892.64</v>
      </c>
      <c r="F9" s="1613">
        <f t="shared" ref="F9:F22" si="5">D9+E9</f>
        <v>0</v>
      </c>
      <c r="G9" s="1726">
        <f t="shared" ref="G9:G29" si="6">MAX(-D9,-D9*J9*K9)</f>
        <v>-19892.64</v>
      </c>
      <c r="H9" s="1727">
        <f t="shared" ref="H9:H29" si="7">D9+G9</f>
        <v>0</v>
      </c>
      <c r="I9" s="1578">
        <v>2005</v>
      </c>
      <c r="J9" s="1662">
        <f t="shared" ref="J9:J28" si="8">IF(I9=2015,0.5,2015.5-I9)</f>
        <v>10.5</v>
      </c>
      <c r="K9" s="1670">
        <f t="shared" ref="K9:K28" si="9">1/60*12</f>
        <v>0.2</v>
      </c>
      <c r="L9" s="1613">
        <v>0</v>
      </c>
      <c r="M9" s="1613">
        <f t="shared" ref="M9:M21" si="10">IF(J9&lt;5,D9*K9,0)</f>
        <v>0</v>
      </c>
      <c r="N9" s="1613">
        <f t="shared" ref="N9:N28" si="11">D9+L9</f>
        <v>19892.64</v>
      </c>
      <c r="O9" s="1621">
        <f t="shared" ref="O9:O28" si="12">-IF(J9+0.5&lt;5,N9*(J9+0.5)*K9,N9)</f>
        <v>-19892.64</v>
      </c>
      <c r="P9" s="1652">
        <f t="shared" ref="P9:P28" si="13">N9+O9</f>
        <v>0</v>
      </c>
      <c r="Q9" s="1726">
        <f t="shared" ref="Q9:Q28" si="14">IF(P9&gt;0,IF(P9&lt;=$M9,-$N9,O9-$M9),P9)</f>
        <v>0</v>
      </c>
      <c r="R9" s="1653">
        <f t="shared" si="0"/>
        <v>0</v>
      </c>
      <c r="S9" s="1653">
        <f t="shared" ref="S9:S28" si="15">IF(R9&gt;0,IF(R9&lt;=$M9,-$N9,Q9-$M9),R9)</f>
        <v>0</v>
      </c>
      <c r="T9" s="1653">
        <f t="shared" si="1"/>
        <v>0</v>
      </c>
      <c r="U9" s="1653">
        <f t="shared" ref="U9:U28" si="16">IF(T9&gt;0,IF(T9&lt;=$M9,-$N9,S9-$M9),T9)</f>
        <v>0</v>
      </c>
      <c r="V9" s="1653">
        <f t="shared" si="2"/>
        <v>0</v>
      </c>
      <c r="W9" s="1653">
        <f t="shared" ref="W9:W28" si="17">IF(V9&gt;0,IF(V9&lt;=$M9,-$N9,U9-$M9),V9)</f>
        <v>0</v>
      </c>
      <c r="X9" s="1653">
        <f t="shared" si="3"/>
        <v>0</v>
      </c>
      <c r="Y9" s="1653">
        <f t="shared" ref="Y9:Y28" si="18">IF(X9&gt;0,IF(X9&lt;=$M9,-$N9,W9-$M9),X9)</f>
        <v>0</v>
      </c>
      <c r="Z9" s="1727">
        <f t="shared" si="4"/>
        <v>0</v>
      </c>
    </row>
    <row r="10" spans="1:27" ht="15">
      <c r="A10" s="1615">
        <v>3</v>
      </c>
      <c r="B10" s="1651" t="s">
        <v>3528</v>
      </c>
      <c r="C10" s="1651" t="s">
        <v>3529</v>
      </c>
      <c r="D10" s="1613">
        <v>55831.7</v>
      </c>
      <c r="E10" s="1613">
        <v>-55831.7</v>
      </c>
      <c r="F10" s="1613">
        <f t="shared" si="5"/>
        <v>0</v>
      </c>
      <c r="G10" s="1726">
        <f t="shared" si="6"/>
        <v>-55831.7</v>
      </c>
      <c r="H10" s="1727">
        <f t="shared" si="7"/>
        <v>0</v>
      </c>
      <c r="I10" s="1578">
        <v>2004</v>
      </c>
      <c r="J10" s="1662">
        <f t="shared" si="8"/>
        <v>11.5</v>
      </c>
      <c r="K10" s="1670">
        <f t="shared" si="9"/>
        <v>0.2</v>
      </c>
      <c r="L10" s="1613">
        <v>0</v>
      </c>
      <c r="M10" s="1613">
        <f t="shared" si="10"/>
        <v>0</v>
      </c>
      <c r="N10" s="1613">
        <f t="shared" si="11"/>
        <v>55831.7</v>
      </c>
      <c r="O10" s="1621">
        <f t="shared" si="12"/>
        <v>-55831.7</v>
      </c>
      <c r="P10" s="1652">
        <f t="shared" si="13"/>
        <v>0</v>
      </c>
      <c r="Q10" s="1726">
        <f t="shared" si="14"/>
        <v>0</v>
      </c>
      <c r="R10" s="1653">
        <f t="shared" si="0"/>
        <v>0</v>
      </c>
      <c r="S10" s="1653">
        <f t="shared" si="15"/>
        <v>0</v>
      </c>
      <c r="T10" s="1653">
        <f t="shared" si="1"/>
        <v>0</v>
      </c>
      <c r="U10" s="1653">
        <f t="shared" si="16"/>
        <v>0</v>
      </c>
      <c r="V10" s="1653">
        <f t="shared" si="2"/>
        <v>0</v>
      </c>
      <c r="W10" s="1653">
        <f t="shared" si="17"/>
        <v>0</v>
      </c>
      <c r="X10" s="1653">
        <f t="shared" si="3"/>
        <v>0</v>
      </c>
      <c r="Y10" s="1653">
        <f t="shared" si="18"/>
        <v>0</v>
      </c>
      <c r="Z10" s="1727">
        <f t="shared" si="4"/>
        <v>0</v>
      </c>
    </row>
    <row r="11" spans="1:27" ht="15">
      <c r="A11" s="1615">
        <v>4</v>
      </c>
      <c r="B11" s="1651" t="s">
        <v>3530</v>
      </c>
      <c r="C11" s="1651" t="s">
        <v>3531</v>
      </c>
      <c r="D11" s="1613">
        <v>250699.21</v>
      </c>
      <c r="E11" s="1613">
        <v>-250699.21</v>
      </c>
      <c r="F11" s="1613">
        <f t="shared" si="5"/>
        <v>0</v>
      </c>
      <c r="G11" s="1726">
        <f t="shared" si="6"/>
        <v>-250699.21</v>
      </c>
      <c r="H11" s="1727">
        <f t="shared" si="7"/>
        <v>0</v>
      </c>
      <c r="I11" s="1578">
        <v>1999</v>
      </c>
      <c r="J11" s="1662">
        <f t="shared" si="8"/>
        <v>16.5</v>
      </c>
      <c r="K11" s="1670">
        <f t="shared" si="9"/>
        <v>0.2</v>
      </c>
      <c r="L11" s="1613">
        <v>-28000</v>
      </c>
      <c r="M11" s="1613">
        <f t="shared" si="10"/>
        <v>0</v>
      </c>
      <c r="N11" s="1613">
        <f t="shared" si="11"/>
        <v>222699.21</v>
      </c>
      <c r="O11" s="1621">
        <f t="shared" si="12"/>
        <v>-222699.21</v>
      </c>
      <c r="P11" s="1652">
        <f t="shared" si="13"/>
        <v>0</v>
      </c>
      <c r="Q11" s="1726">
        <f t="shared" si="14"/>
        <v>0</v>
      </c>
      <c r="R11" s="1653">
        <f t="shared" si="0"/>
        <v>0</v>
      </c>
      <c r="S11" s="1653">
        <f t="shared" si="15"/>
        <v>0</v>
      </c>
      <c r="T11" s="1653">
        <f t="shared" si="1"/>
        <v>0</v>
      </c>
      <c r="U11" s="1653">
        <f t="shared" si="16"/>
        <v>0</v>
      </c>
      <c r="V11" s="1653">
        <f t="shared" si="2"/>
        <v>0</v>
      </c>
      <c r="W11" s="1653">
        <f t="shared" si="17"/>
        <v>0</v>
      </c>
      <c r="X11" s="1653">
        <f t="shared" si="3"/>
        <v>0</v>
      </c>
      <c r="Y11" s="1653">
        <f t="shared" si="18"/>
        <v>0</v>
      </c>
      <c r="Z11" s="1727">
        <f t="shared" si="4"/>
        <v>0</v>
      </c>
    </row>
    <row r="12" spans="1:27" ht="15">
      <c r="A12" s="1615">
        <v>5</v>
      </c>
      <c r="B12" s="1651" t="s">
        <v>3532</v>
      </c>
      <c r="C12" s="1651" t="s">
        <v>3533</v>
      </c>
      <c r="D12" s="1613">
        <v>18507.07</v>
      </c>
      <c r="E12" s="1613">
        <v>-18507.07</v>
      </c>
      <c r="F12" s="1613">
        <f t="shared" si="5"/>
        <v>0</v>
      </c>
      <c r="G12" s="1726">
        <f t="shared" si="6"/>
        <v>-18507.07</v>
      </c>
      <c r="H12" s="1727">
        <f t="shared" si="7"/>
        <v>0</v>
      </c>
      <c r="I12" s="1578">
        <v>2007</v>
      </c>
      <c r="J12" s="1662">
        <f t="shared" si="8"/>
        <v>8.5</v>
      </c>
      <c r="K12" s="1670">
        <f t="shared" si="9"/>
        <v>0.2</v>
      </c>
      <c r="L12" s="1613">
        <f>-D12</f>
        <v>-18507.07</v>
      </c>
      <c r="M12" s="1613">
        <f t="shared" si="10"/>
        <v>0</v>
      </c>
      <c r="N12" s="1613">
        <f t="shared" si="11"/>
        <v>0</v>
      </c>
      <c r="O12" s="1621">
        <f t="shared" si="12"/>
        <v>0</v>
      </c>
      <c r="P12" s="1652">
        <f t="shared" si="13"/>
        <v>0</v>
      </c>
      <c r="Q12" s="1726">
        <f t="shared" si="14"/>
        <v>0</v>
      </c>
      <c r="R12" s="1653">
        <f t="shared" si="0"/>
        <v>0</v>
      </c>
      <c r="S12" s="1653">
        <f t="shared" si="15"/>
        <v>0</v>
      </c>
      <c r="T12" s="1653">
        <f t="shared" si="1"/>
        <v>0</v>
      </c>
      <c r="U12" s="1653">
        <f t="shared" si="16"/>
        <v>0</v>
      </c>
      <c r="V12" s="1653">
        <f t="shared" si="2"/>
        <v>0</v>
      </c>
      <c r="W12" s="1653">
        <f t="shared" si="17"/>
        <v>0</v>
      </c>
      <c r="X12" s="1653">
        <f t="shared" si="3"/>
        <v>0</v>
      </c>
      <c r="Y12" s="1653">
        <f t="shared" si="18"/>
        <v>0</v>
      </c>
      <c r="Z12" s="1727">
        <f t="shared" si="4"/>
        <v>0</v>
      </c>
    </row>
    <row r="13" spans="1:27" ht="15">
      <c r="A13" s="1615">
        <v>6</v>
      </c>
      <c r="B13" s="1651" t="s">
        <v>3534</v>
      </c>
      <c r="C13" s="1651" t="s">
        <v>3535</v>
      </c>
      <c r="D13" s="1613">
        <v>25452.36</v>
      </c>
      <c r="E13" s="1613">
        <v>-25452.36</v>
      </c>
      <c r="F13" s="1613">
        <f t="shared" si="5"/>
        <v>0</v>
      </c>
      <c r="G13" s="1726">
        <f t="shared" si="6"/>
        <v>-25452.36</v>
      </c>
      <c r="H13" s="1727">
        <f t="shared" si="7"/>
        <v>0</v>
      </c>
      <c r="I13" s="1578">
        <v>2007</v>
      </c>
      <c r="J13" s="1662">
        <f t="shared" si="8"/>
        <v>8.5</v>
      </c>
      <c r="K13" s="1670">
        <f t="shared" si="9"/>
        <v>0.2</v>
      </c>
      <c r="L13" s="1613">
        <f>-D13</f>
        <v>-25452.36</v>
      </c>
      <c r="M13" s="1613">
        <f t="shared" si="10"/>
        <v>0</v>
      </c>
      <c r="N13" s="1613">
        <f t="shared" si="11"/>
        <v>0</v>
      </c>
      <c r="O13" s="1621">
        <f t="shared" si="12"/>
        <v>0</v>
      </c>
      <c r="P13" s="1652">
        <f t="shared" si="13"/>
        <v>0</v>
      </c>
      <c r="Q13" s="1726">
        <f t="shared" si="14"/>
        <v>0</v>
      </c>
      <c r="R13" s="1653">
        <f t="shared" si="0"/>
        <v>0</v>
      </c>
      <c r="S13" s="1653">
        <f t="shared" si="15"/>
        <v>0</v>
      </c>
      <c r="T13" s="1653">
        <f t="shared" si="1"/>
        <v>0</v>
      </c>
      <c r="U13" s="1653">
        <f t="shared" si="16"/>
        <v>0</v>
      </c>
      <c r="V13" s="1653">
        <f t="shared" si="2"/>
        <v>0</v>
      </c>
      <c r="W13" s="1653">
        <f t="shared" si="17"/>
        <v>0</v>
      </c>
      <c r="X13" s="1653">
        <f t="shared" si="3"/>
        <v>0</v>
      </c>
      <c r="Y13" s="1653">
        <f t="shared" si="18"/>
        <v>0</v>
      </c>
      <c r="Z13" s="1727">
        <f t="shared" si="4"/>
        <v>0</v>
      </c>
    </row>
    <row r="14" spans="1:27" ht="15">
      <c r="A14" s="1615">
        <v>7</v>
      </c>
      <c r="B14" s="1651" t="s">
        <v>3536</v>
      </c>
      <c r="C14" s="1651" t="s">
        <v>3537</v>
      </c>
      <c r="D14" s="1613">
        <v>18903</v>
      </c>
      <c r="E14" s="1613">
        <v>-18903</v>
      </c>
      <c r="F14" s="1613">
        <f t="shared" si="5"/>
        <v>0</v>
      </c>
      <c r="G14" s="1726">
        <f t="shared" si="6"/>
        <v>-18903</v>
      </c>
      <c r="H14" s="1727">
        <f t="shared" si="7"/>
        <v>0</v>
      </c>
      <c r="I14" s="1578">
        <v>2008</v>
      </c>
      <c r="J14" s="1662">
        <f t="shared" si="8"/>
        <v>7.5</v>
      </c>
      <c r="K14" s="1670">
        <f t="shared" si="9"/>
        <v>0.2</v>
      </c>
      <c r="L14" s="1613">
        <f>-D14</f>
        <v>-18903</v>
      </c>
      <c r="M14" s="1613">
        <f t="shared" si="10"/>
        <v>0</v>
      </c>
      <c r="N14" s="1613">
        <f t="shared" si="11"/>
        <v>0</v>
      </c>
      <c r="O14" s="1621">
        <f t="shared" si="12"/>
        <v>0</v>
      </c>
      <c r="P14" s="1652">
        <f t="shared" si="13"/>
        <v>0</v>
      </c>
      <c r="Q14" s="1726">
        <f t="shared" si="14"/>
        <v>0</v>
      </c>
      <c r="R14" s="1653">
        <f t="shared" si="0"/>
        <v>0</v>
      </c>
      <c r="S14" s="1653">
        <f t="shared" si="15"/>
        <v>0</v>
      </c>
      <c r="T14" s="1653">
        <f t="shared" si="1"/>
        <v>0</v>
      </c>
      <c r="U14" s="1653">
        <f t="shared" si="16"/>
        <v>0</v>
      </c>
      <c r="V14" s="1653">
        <f t="shared" si="2"/>
        <v>0</v>
      </c>
      <c r="W14" s="1653">
        <f t="shared" si="17"/>
        <v>0</v>
      </c>
      <c r="X14" s="1653">
        <f t="shared" si="3"/>
        <v>0</v>
      </c>
      <c r="Y14" s="1653">
        <f t="shared" si="18"/>
        <v>0</v>
      </c>
      <c r="Z14" s="1727">
        <f t="shared" si="4"/>
        <v>0</v>
      </c>
    </row>
    <row r="15" spans="1:27" ht="15">
      <c r="A15" s="1615">
        <v>8</v>
      </c>
      <c r="B15" s="1651" t="s">
        <v>3538</v>
      </c>
      <c r="C15" s="1651" t="s">
        <v>3537</v>
      </c>
      <c r="D15" s="1613">
        <v>23307.03</v>
      </c>
      <c r="E15" s="1613">
        <v>-23307.03</v>
      </c>
      <c r="F15" s="1613">
        <f t="shared" si="5"/>
        <v>0</v>
      </c>
      <c r="G15" s="1726">
        <f t="shared" si="6"/>
        <v>-23307.03</v>
      </c>
      <c r="H15" s="1727">
        <f t="shared" si="7"/>
        <v>0</v>
      </c>
      <c r="I15" s="1578">
        <v>2008</v>
      </c>
      <c r="J15" s="1662">
        <f t="shared" si="8"/>
        <v>7.5</v>
      </c>
      <c r="K15" s="1670">
        <f t="shared" si="9"/>
        <v>0.2</v>
      </c>
      <c r="L15" s="1613">
        <v>0</v>
      </c>
      <c r="M15" s="1613">
        <f t="shared" si="10"/>
        <v>0</v>
      </c>
      <c r="N15" s="1613">
        <f t="shared" si="11"/>
        <v>23307.03</v>
      </c>
      <c r="O15" s="1621">
        <f t="shared" si="12"/>
        <v>-23307.03</v>
      </c>
      <c r="P15" s="1652">
        <f t="shared" si="13"/>
        <v>0</v>
      </c>
      <c r="Q15" s="1726">
        <f t="shared" si="14"/>
        <v>0</v>
      </c>
      <c r="R15" s="1653">
        <f t="shared" si="0"/>
        <v>0</v>
      </c>
      <c r="S15" s="1653">
        <f t="shared" si="15"/>
        <v>0</v>
      </c>
      <c r="T15" s="1653">
        <f t="shared" si="1"/>
        <v>0</v>
      </c>
      <c r="U15" s="1653">
        <f t="shared" si="16"/>
        <v>0</v>
      </c>
      <c r="V15" s="1653">
        <f t="shared" si="2"/>
        <v>0</v>
      </c>
      <c r="W15" s="1653">
        <f t="shared" si="17"/>
        <v>0</v>
      </c>
      <c r="X15" s="1653">
        <f t="shared" si="3"/>
        <v>0</v>
      </c>
      <c r="Y15" s="1653">
        <f t="shared" si="18"/>
        <v>0</v>
      </c>
      <c r="Z15" s="1727">
        <f t="shared" si="4"/>
        <v>0</v>
      </c>
    </row>
    <row r="16" spans="1:27" ht="15">
      <c r="A16" s="1615">
        <v>9</v>
      </c>
      <c r="B16" s="1651" t="s">
        <v>3539</v>
      </c>
      <c r="C16" s="1651" t="s">
        <v>3540</v>
      </c>
      <c r="D16" s="1613">
        <v>30387.38</v>
      </c>
      <c r="E16" s="1613">
        <v>-26195.26</v>
      </c>
      <c r="F16" s="1613">
        <f t="shared" si="5"/>
        <v>4192.1200000000026</v>
      </c>
      <c r="G16" s="1726">
        <f t="shared" si="6"/>
        <v>-27348.642</v>
      </c>
      <c r="H16" s="1727">
        <f t="shared" si="7"/>
        <v>3038.7380000000012</v>
      </c>
      <c r="I16" s="1578">
        <v>2011</v>
      </c>
      <c r="J16" s="1662">
        <f t="shared" si="8"/>
        <v>4.5</v>
      </c>
      <c r="K16" s="1670">
        <f t="shared" si="9"/>
        <v>0.2</v>
      </c>
      <c r="L16" s="1613">
        <v>0</v>
      </c>
      <c r="M16" s="1613">
        <f t="shared" si="10"/>
        <v>6077.4760000000006</v>
      </c>
      <c r="N16" s="1613">
        <f t="shared" si="11"/>
        <v>30387.38</v>
      </c>
      <c r="O16" s="1621">
        <f t="shared" si="12"/>
        <v>-30387.38</v>
      </c>
      <c r="P16" s="1652">
        <f t="shared" si="13"/>
        <v>0</v>
      </c>
      <c r="Q16" s="1726">
        <f t="shared" si="14"/>
        <v>0</v>
      </c>
      <c r="R16" s="1653">
        <f t="shared" si="0"/>
        <v>0</v>
      </c>
      <c r="S16" s="1653">
        <f t="shared" si="15"/>
        <v>0</v>
      </c>
      <c r="T16" s="1653">
        <f t="shared" si="1"/>
        <v>0</v>
      </c>
      <c r="U16" s="1653">
        <f t="shared" si="16"/>
        <v>0</v>
      </c>
      <c r="V16" s="1653">
        <f t="shared" si="2"/>
        <v>0</v>
      </c>
      <c r="W16" s="1653">
        <f t="shared" si="17"/>
        <v>0</v>
      </c>
      <c r="X16" s="1653">
        <f t="shared" si="3"/>
        <v>0</v>
      </c>
      <c r="Y16" s="1653">
        <f t="shared" si="18"/>
        <v>0</v>
      </c>
      <c r="Z16" s="1727">
        <f t="shared" si="4"/>
        <v>0</v>
      </c>
    </row>
    <row r="17" spans="1:26" ht="15">
      <c r="A17" s="1615">
        <v>10</v>
      </c>
      <c r="B17" s="1651" t="s">
        <v>3541</v>
      </c>
      <c r="C17" s="1651" t="s">
        <v>3542</v>
      </c>
      <c r="D17" s="1613">
        <v>31496.43</v>
      </c>
      <c r="E17" s="1613">
        <v>-26966.41</v>
      </c>
      <c r="F17" s="1613">
        <f t="shared" si="5"/>
        <v>4530.0200000000004</v>
      </c>
      <c r="G17" s="1726">
        <f t="shared" si="6"/>
        <v>-28346.787</v>
      </c>
      <c r="H17" s="1727">
        <f t="shared" si="7"/>
        <v>3149.643</v>
      </c>
      <c r="I17" s="1578">
        <v>2011</v>
      </c>
      <c r="J17" s="1662">
        <f t="shared" si="8"/>
        <v>4.5</v>
      </c>
      <c r="K17" s="1670">
        <f t="shared" si="9"/>
        <v>0.2</v>
      </c>
      <c r="L17" s="1613">
        <v>0</v>
      </c>
      <c r="M17" s="1613">
        <f t="shared" si="10"/>
        <v>6299.2860000000001</v>
      </c>
      <c r="N17" s="1613">
        <f t="shared" si="11"/>
        <v>31496.43</v>
      </c>
      <c r="O17" s="1621">
        <f t="shared" si="12"/>
        <v>-31496.43</v>
      </c>
      <c r="P17" s="1652">
        <f t="shared" si="13"/>
        <v>0</v>
      </c>
      <c r="Q17" s="1726">
        <f t="shared" si="14"/>
        <v>0</v>
      </c>
      <c r="R17" s="1653">
        <f t="shared" si="0"/>
        <v>0</v>
      </c>
      <c r="S17" s="1653">
        <f t="shared" si="15"/>
        <v>0</v>
      </c>
      <c r="T17" s="1653">
        <f t="shared" si="1"/>
        <v>0</v>
      </c>
      <c r="U17" s="1653">
        <f t="shared" si="16"/>
        <v>0</v>
      </c>
      <c r="V17" s="1653">
        <f t="shared" si="2"/>
        <v>0</v>
      </c>
      <c r="W17" s="1653">
        <f t="shared" si="17"/>
        <v>0</v>
      </c>
      <c r="X17" s="1653">
        <f t="shared" si="3"/>
        <v>0</v>
      </c>
      <c r="Y17" s="1653">
        <f t="shared" si="18"/>
        <v>0</v>
      </c>
      <c r="Z17" s="1727">
        <f t="shared" si="4"/>
        <v>0</v>
      </c>
    </row>
    <row r="18" spans="1:26" ht="15">
      <c r="A18" s="1615">
        <v>11</v>
      </c>
      <c r="B18" s="1651" t="s">
        <v>3543</v>
      </c>
      <c r="C18" s="1651" t="s">
        <v>3544</v>
      </c>
      <c r="D18" s="1613">
        <v>25445.119999999999</v>
      </c>
      <c r="E18" s="1613">
        <v>-21197.58</v>
      </c>
      <c r="F18" s="1613">
        <f t="shared" si="5"/>
        <v>4247.5399999999972</v>
      </c>
      <c r="G18" s="1726">
        <f t="shared" si="6"/>
        <v>-22900.608</v>
      </c>
      <c r="H18" s="1727">
        <f t="shared" si="7"/>
        <v>2544.5119999999988</v>
      </c>
      <c r="I18" s="1578">
        <v>2011</v>
      </c>
      <c r="J18" s="1662">
        <f t="shared" si="8"/>
        <v>4.5</v>
      </c>
      <c r="K18" s="1670">
        <f t="shared" si="9"/>
        <v>0.2</v>
      </c>
      <c r="L18" s="1613">
        <v>0</v>
      </c>
      <c r="M18" s="1613">
        <f t="shared" si="10"/>
        <v>5089.0240000000003</v>
      </c>
      <c r="N18" s="1613">
        <f t="shared" si="11"/>
        <v>25445.119999999999</v>
      </c>
      <c r="O18" s="1621">
        <f t="shared" si="12"/>
        <v>-25445.119999999999</v>
      </c>
      <c r="P18" s="1652">
        <f t="shared" si="13"/>
        <v>0</v>
      </c>
      <c r="Q18" s="1726">
        <f t="shared" si="14"/>
        <v>0</v>
      </c>
      <c r="R18" s="1653">
        <f t="shared" si="0"/>
        <v>0</v>
      </c>
      <c r="S18" s="1653">
        <f t="shared" si="15"/>
        <v>0</v>
      </c>
      <c r="T18" s="1653">
        <f t="shared" si="1"/>
        <v>0</v>
      </c>
      <c r="U18" s="1653">
        <f t="shared" si="16"/>
        <v>0</v>
      </c>
      <c r="V18" s="1653">
        <f t="shared" si="2"/>
        <v>0</v>
      </c>
      <c r="W18" s="1653">
        <f t="shared" si="17"/>
        <v>0</v>
      </c>
      <c r="X18" s="1653">
        <f t="shared" si="3"/>
        <v>0</v>
      </c>
      <c r="Y18" s="1653">
        <f t="shared" si="18"/>
        <v>0</v>
      </c>
      <c r="Z18" s="1727">
        <f t="shared" si="4"/>
        <v>0</v>
      </c>
    </row>
    <row r="19" spans="1:26" ht="15">
      <c r="A19" s="1615">
        <v>12</v>
      </c>
      <c r="B19" s="1651" t="s">
        <v>3545</v>
      </c>
      <c r="C19" s="1651" t="s">
        <v>3546</v>
      </c>
      <c r="D19" s="1613">
        <v>34488.07</v>
      </c>
      <c r="E19" s="1613">
        <v>-18496.189999999999</v>
      </c>
      <c r="F19" s="1613">
        <f t="shared" si="5"/>
        <v>15991.880000000001</v>
      </c>
      <c r="G19" s="1726">
        <f>MAX(-D19,-D19*J19*K19)</f>
        <v>-17244.035</v>
      </c>
      <c r="H19" s="1727">
        <f t="shared" si="7"/>
        <v>17244.035</v>
      </c>
      <c r="I19" s="1578">
        <v>2013</v>
      </c>
      <c r="J19" s="1662">
        <f t="shared" si="8"/>
        <v>2.5</v>
      </c>
      <c r="K19" s="1670">
        <f t="shared" si="9"/>
        <v>0.2</v>
      </c>
      <c r="L19" s="1613">
        <v>0</v>
      </c>
      <c r="M19" s="1613">
        <f t="shared" si="10"/>
        <v>6897.6140000000005</v>
      </c>
      <c r="N19" s="1613">
        <f t="shared" si="11"/>
        <v>34488.07</v>
      </c>
      <c r="O19" s="1621">
        <f t="shared" si="12"/>
        <v>-20692.842000000001</v>
      </c>
      <c r="P19" s="1652">
        <f t="shared" si="13"/>
        <v>13795.227999999999</v>
      </c>
      <c r="Q19" s="1726">
        <f t="shared" si="14"/>
        <v>-27590.456000000002</v>
      </c>
      <c r="R19" s="1653">
        <f t="shared" si="0"/>
        <v>6897.6139999999978</v>
      </c>
      <c r="S19" s="1653">
        <f t="shared" si="15"/>
        <v>-34488.07</v>
      </c>
      <c r="T19" s="1653">
        <f t="shared" si="1"/>
        <v>0</v>
      </c>
      <c r="U19" s="1653">
        <f t="shared" si="16"/>
        <v>0</v>
      </c>
      <c r="V19" s="1653">
        <f t="shared" si="2"/>
        <v>0</v>
      </c>
      <c r="W19" s="1653">
        <f t="shared" si="17"/>
        <v>0</v>
      </c>
      <c r="X19" s="1653">
        <f t="shared" si="3"/>
        <v>0</v>
      </c>
      <c r="Y19" s="1653">
        <f t="shared" si="18"/>
        <v>0</v>
      </c>
      <c r="Z19" s="1727">
        <f t="shared" si="4"/>
        <v>0</v>
      </c>
    </row>
    <row r="20" spans="1:26" ht="15">
      <c r="A20" s="1615">
        <v>13</v>
      </c>
      <c r="B20" s="1651" t="s">
        <v>3547</v>
      </c>
      <c r="C20" s="1651" t="s">
        <v>3546</v>
      </c>
      <c r="D20" s="1613">
        <v>32386.71</v>
      </c>
      <c r="E20" s="1613">
        <v>-17369.21</v>
      </c>
      <c r="F20" s="1613">
        <f t="shared" si="5"/>
        <v>15017.5</v>
      </c>
      <c r="G20" s="1726">
        <f t="shared" si="6"/>
        <v>-16193.355</v>
      </c>
      <c r="H20" s="1727">
        <f t="shared" si="7"/>
        <v>16193.355</v>
      </c>
      <c r="I20" s="1578">
        <v>2013</v>
      </c>
      <c r="J20" s="1662">
        <f t="shared" si="8"/>
        <v>2.5</v>
      </c>
      <c r="K20" s="1670">
        <f t="shared" si="9"/>
        <v>0.2</v>
      </c>
      <c r="L20" s="1613">
        <v>0</v>
      </c>
      <c r="M20" s="1613">
        <f t="shared" si="10"/>
        <v>6477.3420000000006</v>
      </c>
      <c r="N20" s="1613">
        <f t="shared" si="11"/>
        <v>32386.71</v>
      </c>
      <c r="O20" s="1621">
        <f t="shared" si="12"/>
        <v>-19432.026000000002</v>
      </c>
      <c r="P20" s="1652">
        <f t="shared" si="13"/>
        <v>12954.683999999997</v>
      </c>
      <c r="Q20" s="1726">
        <f t="shared" si="14"/>
        <v>-25909.368000000002</v>
      </c>
      <c r="R20" s="1653">
        <f t="shared" si="0"/>
        <v>6477.3419999999969</v>
      </c>
      <c r="S20" s="1653">
        <f t="shared" si="15"/>
        <v>-32386.71</v>
      </c>
      <c r="T20" s="1653">
        <f t="shared" si="1"/>
        <v>0</v>
      </c>
      <c r="U20" s="1653">
        <f t="shared" si="16"/>
        <v>0</v>
      </c>
      <c r="V20" s="1653">
        <f t="shared" si="2"/>
        <v>0</v>
      </c>
      <c r="W20" s="1653">
        <f t="shared" si="17"/>
        <v>0</v>
      </c>
      <c r="X20" s="1653">
        <f t="shared" si="3"/>
        <v>0</v>
      </c>
      <c r="Y20" s="1653">
        <f t="shared" si="18"/>
        <v>0</v>
      </c>
      <c r="Z20" s="1727">
        <f t="shared" si="4"/>
        <v>0</v>
      </c>
    </row>
    <row r="21" spans="1:26" ht="15">
      <c r="A21" s="1615">
        <v>14</v>
      </c>
      <c r="B21" s="1651" t="s">
        <v>3548</v>
      </c>
      <c r="C21" s="1651" t="s">
        <v>3549</v>
      </c>
      <c r="D21" s="1613">
        <v>8110.07</v>
      </c>
      <c r="E21" s="1613">
        <v>-8110.07</v>
      </c>
      <c r="F21" s="1613">
        <f t="shared" si="5"/>
        <v>0</v>
      </c>
      <c r="G21" s="1726">
        <f t="shared" si="6"/>
        <v>-8110.07</v>
      </c>
      <c r="H21" s="1727">
        <f t="shared" si="7"/>
        <v>0</v>
      </c>
      <c r="I21" s="1578">
        <v>2007</v>
      </c>
      <c r="J21" s="1662">
        <f t="shared" si="8"/>
        <v>8.5</v>
      </c>
      <c r="K21" s="1670">
        <f t="shared" si="9"/>
        <v>0.2</v>
      </c>
      <c r="L21" s="1613">
        <v>0</v>
      </c>
      <c r="M21" s="1613">
        <f t="shared" si="10"/>
        <v>0</v>
      </c>
      <c r="N21" s="1613">
        <f t="shared" si="11"/>
        <v>8110.07</v>
      </c>
      <c r="O21" s="1621">
        <f t="shared" si="12"/>
        <v>-8110.07</v>
      </c>
      <c r="P21" s="1652">
        <f t="shared" si="13"/>
        <v>0</v>
      </c>
      <c r="Q21" s="1726">
        <f t="shared" si="14"/>
        <v>0</v>
      </c>
      <c r="R21" s="1653">
        <f t="shared" si="0"/>
        <v>0</v>
      </c>
      <c r="S21" s="1653">
        <f t="shared" si="15"/>
        <v>0</v>
      </c>
      <c r="T21" s="1653">
        <f t="shared" si="1"/>
        <v>0</v>
      </c>
      <c r="U21" s="1653">
        <f t="shared" si="16"/>
        <v>0</v>
      </c>
      <c r="V21" s="1653">
        <f t="shared" si="2"/>
        <v>0</v>
      </c>
      <c r="W21" s="1653">
        <f t="shared" si="17"/>
        <v>0</v>
      </c>
      <c r="X21" s="1653">
        <f t="shared" si="3"/>
        <v>0</v>
      </c>
      <c r="Y21" s="1653">
        <f t="shared" si="18"/>
        <v>0</v>
      </c>
      <c r="Z21" s="1727">
        <f t="shared" si="4"/>
        <v>0</v>
      </c>
    </row>
    <row r="22" spans="1:26" ht="15">
      <c r="A22" s="1615">
        <v>15</v>
      </c>
      <c r="B22" s="1651" t="s">
        <v>3550</v>
      </c>
      <c r="C22" s="1651" t="s">
        <v>3551</v>
      </c>
      <c r="D22" s="1613">
        <v>938.73267486997656</v>
      </c>
      <c r="E22" s="1613">
        <v>-938.73267486997656</v>
      </c>
      <c r="F22" s="1613">
        <f t="shared" si="5"/>
        <v>0</v>
      </c>
      <c r="G22" s="1726">
        <f t="shared" si="6"/>
        <v>-938.73267486997656</v>
      </c>
      <c r="H22" s="1727">
        <f t="shared" si="7"/>
        <v>0</v>
      </c>
      <c r="I22" s="1578">
        <v>2006</v>
      </c>
      <c r="J22" s="1662">
        <f t="shared" si="8"/>
        <v>9.5</v>
      </c>
      <c r="K22" s="1670">
        <f t="shared" si="9"/>
        <v>0.2</v>
      </c>
      <c r="L22" s="1652">
        <f>-D22</f>
        <v>-938.73267486997656</v>
      </c>
      <c r="M22" s="1725">
        <f>IF(J22&lt;5,L22*K22,0)</f>
        <v>0</v>
      </c>
      <c r="N22" s="1613">
        <f t="shared" si="11"/>
        <v>0</v>
      </c>
      <c r="O22" s="1621">
        <f t="shared" si="12"/>
        <v>0</v>
      </c>
      <c r="P22" s="1652">
        <f t="shared" si="13"/>
        <v>0</v>
      </c>
      <c r="Q22" s="1726">
        <f t="shared" si="14"/>
        <v>0</v>
      </c>
      <c r="R22" s="1653">
        <f t="shared" si="0"/>
        <v>0</v>
      </c>
      <c r="S22" s="1653">
        <f t="shared" si="15"/>
        <v>0</v>
      </c>
      <c r="T22" s="1653">
        <f t="shared" si="1"/>
        <v>0</v>
      </c>
      <c r="U22" s="1653">
        <f t="shared" si="16"/>
        <v>0</v>
      </c>
      <c r="V22" s="1653">
        <f t="shared" si="2"/>
        <v>0</v>
      </c>
      <c r="W22" s="1653">
        <f t="shared" si="17"/>
        <v>0</v>
      </c>
      <c r="X22" s="1653">
        <f t="shared" si="3"/>
        <v>0</v>
      </c>
      <c r="Y22" s="1653">
        <f t="shared" si="18"/>
        <v>0</v>
      </c>
      <c r="Z22" s="1727">
        <f t="shared" si="4"/>
        <v>0</v>
      </c>
    </row>
    <row r="23" spans="1:26" ht="15">
      <c r="A23" s="1615">
        <v>16</v>
      </c>
      <c r="B23" s="1651" t="s">
        <v>3552</v>
      </c>
      <c r="C23" s="1651" t="s">
        <v>3553</v>
      </c>
      <c r="D23" s="1613"/>
      <c r="E23" s="1613"/>
      <c r="F23" s="1613"/>
      <c r="G23" s="1726">
        <f t="shared" si="6"/>
        <v>0</v>
      </c>
      <c r="H23" s="1727">
        <f t="shared" si="7"/>
        <v>0</v>
      </c>
      <c r="I23" s="1578">
        <v>2005</v>
      </c>
      <c r="J23" s="1662">
        <f t="shared" si="8"/>
        <v>10.5</v>
      </c>
      <c r="K23" s="1670">
        <f t="shared" si="9"/>
        <v>0.2</v>
      </c>
      <c r="L23" s="1613">
        <v>23222.83</v>
      </c>
      <c r="M23" s="1725">
        <f>IF(J23&lt;5,L23*K23,0)</f>
        <v>0</v>
      </c>
      <c r="N23" s="1613">
        <f t="shared" si="11"/>
        <v>23222.83</v>
      </c>
      <c r="O23" s="1621">
        <f t="shared" si="12"/>
        <v>-23222.83</v>
      </c>
      <c r="P23" s="1652">
        <f t="shared" si="13"/>
        <v>0</v>
      </c>
      <c r="Q23" s="1726">
        <f t="shared" si="14"/>
        <v>0</v>
      </c>
      <c r="R23" s="1653">
        <f t="shared" si="0"/>
        <v>0</v>
      </c>
      <c r="S23" s="1653">
        <f t="shared" si="15"/>
        <v>0</v>
      </c>
      <c r="T23" s="1653">
        <f t="shared" si="1"/>
        <v>0</v>
      </c>
      <c r="U23" s="1653">
        <f t="shared" si="16"/>
        <v>0</v>
      </c>
      <c r="V23" s="1653">
        <f t="shared" si="2"/>
        <v>0</v>
      </c>
      <c r="W23" s="1653">
        <f t="shared" si="17"/>
        <v>0</v>
      </c>
      <c r="X23" s="1653">
        <f t="shared" si="3"/>
        <v>0</v>
      </c>
      <c r="Y23" s="1653">
        <f t="shared" si="18"/>
        <v>0</v>
      </c>
      <c r="Z23" s="1727">
        <f t="shared" si="4"/>
        <v>0</v>
      </c>
    </row>
    <row r="24" spans="1:26" ht="15">
      <c r="A24" s="1615">
        <v>17</v>
      </c>
      <c r="B24" s="1651" t="s">
        <v>3554</v>
      </c>
      <c r="C24" s="1651" t="s">
        <v>3555</v>
      </c>
      <c r="D24" s="1613"/>
      <c r="E24" s="1613"/>
      <c r="F24" s="1613"/>
      <c r="G24" s="1726">
        <f t="shared" si="6"/>
        <v>0</v>
      </c>
      <c r="H24" s="1727">
        <f t="shared" si="7"/>
        <v>0</v>
      </c>
      <c r="I24" s="1578">
        <v>2015</v>
      </c>
      <c r="J24" s="1662">
        <v>0</v>
      </c>
      <c r="K24" s="1670">
        <f t="shared" si="9"/>
        <v>0.2</v>
      </c>
      <c r="L24" s="1613">
        <v>28000</v>
      </c>
      <c r="M24" s="1725">
        <f t="shared" ref="M24:M28" si="19">IF(J24&lt;5,L24*K24,0)</f>
        <v>5600</v>
      </c>
      <c r="N24" s="1613">
        <f t="shared" si="11"/>
        <v>28000</v>
      </c>
      <c r="O24" s="1621">
        <f t="shared" si="12"/>
        <v>-2800</v>
      </c>
      <c r="P24" s="1652">
        <f t="shared" si="13"/>
        <v>25200</v>
      </c>
      <c r="Q24" s="1726">
        <f t="shared" si="14"/>
        <v>-8400</v>
      </c>
      <c r="R24" s="1653">
        <f t="shared" si="0"/>
        <v>19600</v>
      </c>
      <c r="S24" s="1653">
        <f t="shared" si="15"/>
        <v>-14000</v>
      </c>
      <c r="T24" s="1653">
        <f t="shared" si="1"/>
        <v>14000</v>
      </c>
      <c r="U24" s="1653">
        <f t="shared" si="16"/>
        <v>-19600</v>
      </c>
      <c r="V24" s="1653">
        <f t="shared" si="2"/>
        <v>8400</v>
      </c>
      <c r="W24" s="1653">
        <f t="shared" si="17"/>
        <v>-25200</v>
      </c>
      <c r="X24" s="1653">
        <f t="shared" si="3"/>
        <v>2800</v>
      </c>
      <c r="Y24" s="1653">
        <f t="shared" si="18"/>
        <v>-28000</v>
      </c>
      <c r="Z24" s="1727">
        <f t="shared" si="4"/>
        <v>0</v>
      </c>
    </row>
    <row r="25" spans="1:26" ht="15">
      <c r="A25" s="1615">
        <v>18</v>
      </c>
      <c r="B25" s="1651" t="s">
        <v>3556</v>
      </c>
      <c r="C25" s="1651" t="s">
        <v>3555</v>
      </c>
      <c r="D25" s="1613"/>
      <c r="E25" s="1613"/>
      <c r="F25" s="1613"/>
      <c r="G25" s="1726">
        <f t="shared" si="6"/>
        <v>0</v>
      </c>
      <c r="H25" s="1727">
        <f t="shared" si="7"/>
        <v>0</v>
      </c>
      <c r="I25" s="1578">
        <v>2015</v>
      </c>
      <c r="J25" s="1662">
        <v>0</v>
      </c>
      <c r="K25" s="1670">
        <f t="shared" si="9"/>
        <v>0.2</v>
      </c>
      <c r="L25" s="1613">
        <v>28000</v>
      </c>
      <c r="M25" s="1725">
        <f t="shared" si="19"/>
        <v>5600</v>
      </c>
      <c r="N25" s="1613">
        <f t="shared" si="11"/>
        <v>28000</v>
      </c>
      <c r="O25" s="1621">
        <f t="shared" si="12"/>
        <v>-2800</v>
      </c>
      <c r="P25" s="1652">
        <f t="shared" si="13"/>
        <v>25200</v>
      </c>
      <c r="Q25" s="1726">
        <f t="shared" si="14"/>
        <v>-8400</v>
      </c>
      <c r="R25" s="1653">
        <f t="shared" si="0"/>
        <v>19600</v>
      </c>
      <c r="S25" s="1653">
        <f t="shared" si="15"/>
        <v>-14000</v>
      </c>
      <c r="T25" s="1653">
        <f t="shared" si="1"/>
        <v>14000</v>
      </c>
      <c r="U25" s="1653">
        <f t="shared" si="16"/>
        <v>-19600</v>
      </c>
      <c r="V25" s="1653">
        <f t="shared" si="2"/>
        <v>8400</v>
      </c>
      <c r="W25" s="1653">
        <f t="shared" si="17"/>
        <v>-25200</v>
      </c>
      <c r="X25" s="1653">
        <f t="shared" si="3"/>
        <v>2800</v>
      </c>
      <c r="Y25" s="1653">
        <f t="shared" si="18"/>
        <v>-28000</v>
      </c>
      <c r="Z25" s="1727">
        <f t="shared" si="4"/>
        <v>0</v>
      </c>
    </row>
    <row r="26" spans="1:26" ht="15">
      <c r="A26" s="1615">
        <v>19</v>
      </c>
      <c r="B26" s="1651" t="s">
        <v>3557</v>
      </c>
      <c r="C26" s="1651" t="s">
        <v>3555</v>
      </c>
      <c r="D26" s="1613"/>
      <c r="E26" s="1613"/>
      <c r="F26" s="1613"/>
      <c r="G26" s="1726">
        <f t="shared" si="6"/>
        <v>0</v>
      </c>
      <c r="H26" s="1727">
        <f t="shared" si="7"/>
        <v>0</v>
      </c>
      <c r="I26" s="1578">
        <v>2015</v>
      </c>
      <c r="J26" s="1662">
        <v>0</v>
      </c>
      <c r="K26" s="1670">
        <f t="shared" si="9"/>
        <v>0.2</v>
      </c>
      <c r="L26" s="1613">
        <v>30000</v>
      </c>
      <c r="M26" s="1725">
        <f t="shared" si="19"/>
        <v>6000</v>
      </c>
      <c r="N26" s="1613">
        <f t="shared" si="11"/>
        <v>30000</v>
      </c>
      <c r="O26" s="1621">
        <f t="shared" si="12"/>
        <v>-3000</v>
      </c>
      <c r="P26" s="1652">
        <f t="shared" si="13"/>
        <v>27000</v>
      </c>
      <c r="Q26" s="1726">
        <f t="shared" si="14"/>
        <v>-9000</v>
      </c>
      <c r="R26" s="1653">
        <f t="shared" si="0"/>
        <v>21000</v>
      </c>
      <c r="S26" s="1653">
        <f t="shared" si="15"/>
        <v>-15000</v>
      </c>
      <c r="T26" s="1653">
        <f t="shared" si="1"/>
        <v>15000</v>
      </c>
      <c r="U26" s="1653">
        <f t="shared" si="16"/>
        <v>-21000</v>
      </c>
      <c r="V26" s="1653">
        <f t="shared" si="2"/>
        <v>9000</v>
      </c>
      <c r="W26" s="1653">
        <f t="shared" si="17"/>
        <v>-27000</v>
      </c>
      <c r="X26" s="1653">
        <f t="shared" si="3"/>
        <v>3000</v>
      </c>
      <c r="Y26" s="1653">
        <f t="shared" si="18"/>
        <v>-30000</v>
      </c>
      <c r="Z26" s="1727">
        <f t="shared" si="4"/>
        <v>0</v>
      </c>
    </row>
    <row r="27" spans="1:26" ht="15">
      <c r="A27" s="1615">
        <v>20</v>
      </c>
      <c r="B27" s="1651" t="s">
        <v>3558</v>
      </c>
      <c r="C27" s="1651" t="s">
        <v>3555</v>
      </c>
      <c r="D27" s="1613"/>
      <c r="E27" s="1613"/>
      <c r="F27" s="1613"/>
      <c r="G27" s="1726">
        <f t="shared" si="6"/>
        <v>0</v>
      </c>
      <c r="H27" s="1727">
        <f t="shared" si="7"/>
        <v>0</v>
      </c>
      <c r="I27" s="1578">
        <v>2015</v>
      </c>
      <c r="J27" s="1662">
        <v>0</v>
      </c>
      <c r="K27" s="1670">
        <f t="shared" si="9"/>
        <v>0.2</v>
      </c>
      <c r="L27" s="1613">
        <v>30000</v>
      </c>
      <c r="M27" s="1725">
        <f t="shared" si="19"/>
        <v>6000</v>
      </c>
      <c r="N27" s="1613">
        <f t="shared" si="11"/>
        <v>30000</v>
      </c>
      <c r="O27" s="1621">
        <f t="shared" si="12"/>
        <v>-3000</v>
      </c>
      <c r="P27" s="1652">
        <f t="shared" si="13"/>
        <v>27000</v>
      </c>
      <c r="Q27" s="1726">
        <f t="shared" si="14"/>
        <v>-9000</v>
      </c>
      <c r="R27" s="1653">
        <f t="shared" si="0"/>
        <v>21000</v>
      </c>
      <c r="S27" s="1653">
        <f t="shared" si="15"/>
        <v>-15000</v>
      </c>
      <c r="T27" s="1653">
        <f t="shared" si="1"/>
        <v>15000</v>
      </c>
      <c r="U27" s="1653">
        <f t="shared" si="16"/>
        <v>-21000</v>
      </c>
      <c r="V27" s="1653">
        <f t="shared" si="2"/>
        <v>9000</v>
      </c>
      <c r="W27" s="1653">
        <f t="shared" si="17"/>
        <v>-27000</v>
      </c>
      <c r="X27" s="1653">
        <f t="shared" si="3"/>
        <v>3000</v>
      </c>
      <c r="Y27" s="1653">
        <f t="shared" si="18"/>
        <v>-30000</v>
      </c>
      <c r="Z27" s="1727">
        <f t="shared" si="4"/>
        <v>0</v>
      </c>
    </row>
    <row r="28" spans="1:26" ht="15">
      <c r="A28" s="1615">
        <v>21</v>
      </c>
      <c r="B28" s="1651" t="s">
        <v>3559</v>
      </c>
      <c r="C28" s="1651" t="s">
        <v>3560</v>
      </c>
      <c r="D28" s="1613"/>
      <c r="E28" s="1613"/>
      <c r="F28" s="1613"/>
      <c r="G28" s="1726">
        <f t="shared" si="6"/>
        <v>0</v>
      </c>
      <c r="H28" s="1727">
        <f t="shared" si="7"/>
        <v>0</v>
      </c>
      <c r="I28" s="1578">
        <v>2013</v>
      </c>
      <c r="J28" s="1662">
        <f t="shared" si="8"/>
        <v>2.5</v>
      </c>
      <c r="K28" s="1670">
        <f t="shared" si="9"/>
        <v>0.2</v>
      </c>
      <c r="L28" s="1613">
        <v>3567.3606155524903</v>
      </c>
      <c r="M28" s="1725">
        <f t="shared" si="19"/>
        <v>713.47212311049816</v>
      </c>
      <c r="N28" s="1613">
        <f t="shared" si="11"/>
        <v>3567.3606155524903</v>
      </c>
      <c r="O28" s="1621">
        <f t="shared" si="12"/>
        <v>-2140.4163693314945</v>
      </c>
      <c r="P28" s="1652">
        <f t="shared" si="13"/>
        <v>1426.9442462209959</v>
      </c>
      <c r="Q28" s="1726">
        <f t="shared" si="14"/>
        <v>-2853.8884924419926</v>
      </c>
      <c r="R28" s="1653">
        <f t="shared" si="0"/>
        <v>713.47212311049771</v>
      </c>
      <c r="S28" s="1653">
        <f t="shared" si="15"/>
        <v>-3567.3606155524903</v>
      </c>
      <c r="T28" s="1653">
        <f t="shared" si="1"/>
        <v>0</v>
      </c>
      <c r="U28" s="1653">
        <f t="shared" si="16"/>
        <v>0</v>
      </c>
      <c r="V28" s="1653">
        <f t="shared" si="2"/>
        <v>0</v>
      </c>
      <c r="W28" s="1653">
        <f t="shared" si="17"/>
        <v>0</v>
      </c>
      <c r="X28" s="1653">
        <f t="shared" si="3"/>
        <v>0</v>
      </c>
      <c r="Y28" s="1653">
        <f t="shared" si="18"/>
        <v>0</v>
      </c>
      <c r="Z28" s="1727">
        <f t="shared" si="4"/>
        <v>0</v>
      </c>
    </row>
    <row r="29" spans="1:26" ht="15">
      <c r="A29" s="1615">
        <v>22</v>
      </c>
      <c r="D29" s="1652"/>
      <c r="E29" s="1652"/>
      <c r="F29" s="1652"/>
      <c r="G29" s="1728">
        <f t="shared" si="6"/>
        <v>0</v>
      </c>
      <c r="H29" s="1729">
        <f t="shared" si="7"/>
        <v>0</v>
      </c>
      <c r="L29" s="1652"/>
      <c r="M29" s="1652"/>
      <c r="N29" s="1652"/>
      <c r="O29" s="1652"/>
      <c r="P29" s="1652"/>
      <c r="Q29" s="1728"/>
      <c r="R29" s="1655"/>
      <c r="S29" s="1655"/>
      <c r="T29" s="1655"/>
      <c r="U29" s="1655"/>
      <c r="V29" s="1655"/>
      <c r="W29" s="1655"/>
      <c r="X29" s="1655"/>
      <c r="Y29" s="1655"/>
      <c r="Z29" s="1729"/>
    </row>
    <row r="30" spans="1:26" ht="15.75" thickBot="1">
      <c r="A30" s="1615">
        <v>23</v>
      </c>
      <c r="D30" s="1622">
        <f>SUM(D8:D29)</f>
        <v>594204.38267486985</v>
      </c>
      <c r="E30" s="1622">
        <f>SUM(E8:E29)</f>
        <v>-550225.32267486991</v>
      </c>
      <c r="F30" s="1622">
        <f>SUM(F8:F29)</f>
        <v>43979.06</v>
      </c>
      <c r="G30" s="1997">
        <f>SUM(G8:G28)</f>
        <v>-552034.09967486991</v>
      </c>
      <c r="H30" s="1998">
        <f>SUM(H8:H28)</f>
        <v>42170.282999999996</v>
      </c>
      <c r="L30" s="1622">
        <f t="shared" ref="L30:Z30" si="20">SUM(L8:L29)</f>
        <v>50989.027940682528</v>
      </c>
      <c r="M30" s="1622">
        <f t="shared" si="20"/>
        <v>54754.214123110498</v>
      </c>
      <c r="N30" s="1622">
        <f t="shared" si="20"/>
        <v>645193.41061555245</v>
      </c>
      <c r="O30" s="1622">
        <f t="shared" si="20"/>
        <v>-512616.55436933145</v>
      </c>
      <c r="P30" s="1622">
        <f t="shared" si="20"/>
        <v>132576.856246221</v>
      </c>
      <c r="Q30" s="1730">
        <f t="shared" si="20"/>
        <v>-91153.712492442006</v>
      </c>
      <c r="R30" s="1656">
        <f t="shared" si="20"/>
        <v>95288.428123110483</v>
      </c>
      <c r="S30" s="1656">
        <f t="shared" si="20"/>
        <v>-128442.14061555249</v>
      </c>
      <c r="T30" s="1656">
        <f t="shared" si="20"/>
        <v>58000</v>
      </c>
      <c r="U30" s="1656">
        <f t="shared" si="20"/>
        <v>-81200</v>
      </c>
      <c r="V30" s="1656">
        <f t="shared" si="20"/>
        <v>34800</v>
      </c>
      <c r="W30" s="1656">
        <f t="shared" si="20"/>
        <v>-104400</v>
      </c>
      <c r="X30" s="1656">
        <f t="shared" si="20"/>
        <v>11600</v>
      </c>
      <c r="Y30" s="1656">
        <f t="shared" si="20"/>
        <v>-116000</v>
      </c>
      <c r="Z30" s="1731">
        <f t="shared" si="20"/>
        <v>0</v>
      </c>
    </row>
    <row r="31" spans="1:26" ht="16.5" thickTop="1" thickBot="1">
      <c r="A31" s="1615">
        <v>24</v>
      </c>
      <c r="G31" s="1999"/>
      <c r="H31" s="2000"/>
    </row>
    <row r="32" spans="1:26" ht="15">
      <c r="A32" s="1615">
        <v>25</v>
      </c>
      <c r="N32" s="1626"/>
    </row>
    <row r="33" spans="1:13" ht="15">
      <c r="A33" s="1615">
        <v>26</v>
      </c>
      <c r="M33" s="1652"/>
    </row>
  </sheetData>
  <pageMargins left="0.7" right="0.7" top="0.75" bottom="0.75" header="0.3" footer="0.3"/>
  <pageSetup scale="44" orientation="portrait" r:id="rId1"/>
  <colBreaks count="1" manualBreakCount="1">
    <brk id="16" max="29" man="1"/>
  </colBreaks>
  <ignoredErrors>
    <ignoredError sqref="R9:R28 R8 Z8 Z9:Z28 X9:X28 X8 V9:V28 V8 T9:T28 T8 S29:Y29 S8 U8 S9:S28 U9:U28 W8 W9:W28 Y8 Y9:Y28" formula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view="pageBreakPreview" zoomScaleNormal="90" zoomScaleSheetLayoutView="100" workbookViewId="0"/>
  </sheetViews>
  <sheetFormatPr defaultRowHeight="13.5"/>
  <cols>
    <col min="1" max="1" width="7.625" style="1578" customWidth="1"/>
    <col min="2" max="2" width="8.25" style="1578" bestFit="1" customWidth="1"/>
    <col min="3" max="3" width="26.375" style="1578" bestFit="1" customWidth="1"/>
    <col min="4" max="4" width="11.75" style="1578" bestFit="1" customWidth="1"/>
    <col min="5" max="5" width="2.125" style="1578" customWidth="1"/>
    <col min="6" max="6" width="11.875" style="1578" customWidth="1"/>
    <col min="7" max="7" width="2.125" style="1578" customWidth="1"/>
    <col min="8" max="8" width="12.75" style="1578" bestFit="1" customWidth="1"/>
    <col min="9" max="16384" width="9" style="1578"/>
  </cols>
  <sheetData>
    <row r="1" spans="1:9" ht="15">
      <c r="A1" s="1577" t="str">
        <f>Company_Name</f>
        <v>WATER SERVICE CORPORATION OF KENTUCKY</v>
      </c>
      <c r="H1" s="1579" t="s">
        <v>527</v>
      </c>
    </row>
    <row r="2" spans="1:9" ht="15">
      <c r="A2" s="1577" t="str">
        <f>Docket</f>
        <v>Case No. 2015 - 00382</v>
      </c>
    </row>
    <row r="3" spans="1:9" ht="15">
      <c r="A3" s="1577" t="s">
        <v>3871</v>
      </c>
    </row>
    <row r="4" spans="1:9" ht="15">
      <c r="A4" s="1577" t="str">
        <f>TestYearEnded</f>
        <v>Test Year Ended 6/30/2015</v>
      </c>
    </row>
    <row r="5" spans="1:9" ht="15">
      <c r="A5" s="1577"/>
    </row>
    <row r="6" spans="1:9" ht="15">
      <c r="A6" s="1615"/>
      <c r="B6" s="1615" t="s">
        <v>235</v>
      </c>
      <c r="C6" s="1615" t="s">
        <v>236</v>
      </c>
      <c r="D6" s="1615" t="s">
        <v>237</v>
      </c>
      <c r="E6" s="1615"/>
      <c r="F6" s="1615" t="s">
        <v>238</v>
      </c>
      <c r="G6" s="1615"/>
      <c r="H6" s="1615" t="s">
        <v>239</v>
      </c>
    </row>
    <row r="7" spans="1:9" ht="15">
      <c r="A7" s="1615"/>
      <c r="B7" s="1615"/>
      <c r="C7" s="1615"/>
      <c r="D7" s="1615"/>
      <c r="E7" s="1615"/>
      <c r="F7" s="1615"/>
      <c r="G7" s="1615"/>
      <c r="H7" s="1615"/>
    </row>
    <row r="8" spans="1:9" ht="30">
      <c r="A8" s="2001" t="s">
        <v>1786</v>
      </c>
      <c r="B8" s="2002" t="s">
        <v>957</v>
      </c>
      <c r="C8" s="2002" t="s">
        <v>150</v>
      </c>
      <c r="D8" s="2002" t="s">
        <v>230</v>
      </c>
      <c r="E8" s="2003"/>
      <c r="F8" s="2004" t="s">
        <v>3601</v>
      </c>
      <c r="G8" s="2003"/>
      <c r="H8" s="2004" t="s">
        <v>447</v>
      </c>
    </row>
    <row r="9" spans="1:9" ht="18">
      <c r="A9" s="1615">
        <v>1</v>
      </c>
      <c r="B9" s="1984">
        <v>3225</v>
      </c>
      <c r="C9" s="1578" t="s">
        <v>2067</v>
      </c>
      <c r="D9" s="2005">
        <f>'Linked TB'!C229</f>
        <v>-75637.36</v>
      </c>
      <c r="E9" s="2005"/>
      <c r="F9" s="2005">
        <f>H9-D9</f>
        <v>-37443.169999999984</v>
      </c>
      <c r="G9" s="2005"/>
      <c r="H9" s="2005">
        <v>-113080.52999999998</v>
      </c>
      <c r="I9" s="1985"/>
    </row>
    <row r="10" spans="1:9" ht="18">
      <c r="A10" s="1615">
        <v>2</v>
      </c>
      <c r="B10" s="1984"/>
      <c r="D10" s="2005"/>
      <c r="E10" s="2005"/>
      <c r="F10" s="2005"/>
      <c r="G10" s="2005"/>
      <c r="H10" s="2005"/>
      <c r="I10" s="1985"/>
    </row>
    <row r="11" spans="1:9" ht="18">
      <c r="A11" s="1615">
        <v>3</v>
      </c>
      <c r="B11" s="1984">
        <v>3235</v>
      </c>
      <c r="C11" s="1578" t="s">
        <v>2068</v>
      </c>
      <c r="D11" s="2005">
        <f>'Linked TB'!C230</f>
        <v>2261.61</v>
      </c>
      <c r="E11" s="2006"/>
      <c r="F11" s="2005">
        <f>H11-D11</f>
        <v>41966.389199999998</v>
      </c>
      <c r="G11" s="2005"/>
      <c r="H11" s="2005">
        <v>44227.999199999998</v>
      </c>
      <c r="I11" s="1985"/>
    </row>
    <row r="12" spans="1:9" ht="15">
      <c r="A12" s="1615">
        <v>4</v>
      </c>
      <c r="D12" s="2006"/>
      <c r="E12" s="2006"/>
      <c r="F12" s="2006"/>
      <c r="G12" s="2006"/>
      <c r="H12" s="2006"/>
    </row>
    <row r="13" spans="1:9" ht="15.75" thickBot="1">
      <c r="A13" s="1615">
        <v>5</v>
      </c>
      <c r="C13" s="1578" t="s">
        <v>3879</v>
      </c>
      <c r="D13" s="2007">
        <f>D9+D11</f>
        <v>-73375.75</v>
      </c>
      <c r="E13" s="2006"/>
      <c r="F13" s="2007">
        <f>F9+F11</f>
        <v>4523.2192000000141</v>
      </c>
      <c r="G13" s="2006"/>
      <c r="H13" s="2007">
        <f>H9+H11</f>
        <v>-68852.530799999979</v>
      </c>
    </row>
    <row r="14" spans="1:9" ht="14.25" thickTop="1"/>
    <row r="16" spans="1:9" ht="19.5">
      <c r="B16" s="1986"/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showGridLines="0" view="pageBreakPreview" zoomScale="90" zoomScaleNormal="90" zoomScaleSheetLayoutView="90" workbookViewId="0"/>
  </sheetViews>
  <sheetFormatPr defaultRowHeight="13.5"/>
  <cols>
    <col min="1" max="1" width="9" style="1578"/>
    <col min="2" max="2" width="20.25" style="1578" customWidth="1"/>
    <col min="3" max="3" width="11.5" style="1578" bestFit="1" customWidth="1"/>
    <col min="4" max="4" width="10.5" style="1578" bestFit="1" customWidth="1"/>
    <col min="5" max="5" width="8.75" style="1578" bestFit="1" customWidth="1"/>
    <col min="6" max="16384" width="9" style="1578"/>
  </cols>
  <sheetData>
    <row r="1" spans="1:5" ht="15">
      <c r="A1" s="1577" t="str">
        <f>Company_Name</f>
        <v>WATER SERVICE CORPORATION OF KENTUCKY</v>
      </c>
      <c r="E1" s="1579" t="s">
        <v>1940</v>
      </c>
    </row>
    <row r="2" spans="1:5" ht="15">
      <c r="A2" s="1577" t="str">
        <f>Docket</f>
        <v>Case No. 2015 - 00382</v>
      </c>
    </row>
    <row r="3" spans="1:5" ht="15">
      <c r="A3" s="1577" t="s">
        <v>3878</v>
      </c>
    </row>
    <row r="4" spans="1:5" ht="15">
      <c r="A4" s="1577" t="str">
        <f>TestYearEnded</f>
        <v>Test Year Ended 6/30/2015</v>
      </c>
    </row>
    <row r="7" spans="1:5" ht="15">
      <c r="A7" s="1676"/>
      <c r="B7" s="1676" t="s">
        <v>235</v>
      </c>
      <c r="C7" s="1676" t="s">
        <v>236</v>
      </c>
      <c r="D7" s="1676" t="s">
        <v>237</v>
      </c>
      <c r="E7" s="1676" t="s">
        <v>238</v>
      </c>
    </row>
    <row r="8" spans="1:5" ht="15">
      <c r="A8" s="1676"/>
      <c r="B8" s="1676"/>
      <c r="C8" s="1676"/>
      <c r="D8" s="1676"/>
      <c r="E8" s="1676"/>
    </row>
    <row r="9" spans="1:5" ht="15">
      <c r="A9" s="1632"/>
      <c r="B9" s="1632" t="s">
        <v>3873</v>
      </c>
      <c r="C9" s="1635"/>
      <c r="D9" s="1635"/>
      <c r="E9" s="1635"/>
    </row>
    <row r="10" spans="1:5">
      <c r="A10" s="1635"/>
      <c r="B10" s="1635"/>
      <c r="C10" s="1635"/>
      <c r="D10" s="1635"/>
      <c r="E10" s="1635"/>
    </row>
    <row r="11" spans="1:5" ht="15">
      <c r="A11" s="1987" t="s">
        <v>1786</v>
      </c>
      <c r="B11" s="1987" t="s">
        <v>3874</v>
      </c>
      <c r="C11" s="1987" t="s">
        <v>3875</v>
      </c>
      <c r="D11" s="1987" t="s">
        <v>3876</v>
      </c>
      <c r="E11" s="1987" t="s">
        <v>536</v>
      </c>
    </row>
    <row r="12" spans="1:5" ht="15">
      <c r="A12" s="1676">
        <v>1</v>
      </c>
      <c r="B12" s="1989">
        <v>41821</v>
      </c>
      <c r="C12" s="1635">
        <v>246</v>
      </c>
      <c r="D12" s="1640">
        <v>1</v>
      </c>
      <c r="E12" s="1640">
        <f>C12*D12</f>
        <v>246</v>
      </c>
    </row>
    <row r="13" spans="1:5" ht="15">
      <c r="A13" s="1676">
        <v>2</v>
      </c>
      <c r="B13" s="1989">
        <v>41852</v>
      </c>
      <c r="C13" s="1635">
        <v>272</v>
      </c>
      <c r="D13" s="1640">
        <v>1</v>
      </c>
      <c r="E13" s="1640">
        <f t="shared" ref="E13:E25" si="0">C13*D13</f>
        <v>272</v>
      </c>
    </row>
    <row r="14" spans="1:5" ht="15">
      <c r="A14" s="1676">
        <v>3</v>
      </c>
      <c r="B14" s="1989">
        <v>41883</v>
      </c>
      <c r="C14" s="1635">
        <v>276</v>
      </c>
      <c r="D14" s="1640">
        <v>1</v>
      </c>
      <c r="E14" s="1640">
        <f t="shared" si="0"/>
        <v>276</v>
      </c>
    </row>
    <row r="15" spans="1:5" ht="15">
      <c r="A15" s="1676">
        <v>4</v>
      </c>
      <c r="B15" s="1989">
        <v>41913</v>
      </c>
      <c r="C15" s="1635">
        <v>252</v>
      </c>
      <c r="D15" s="1640">
        <v>1</v>
      </c>
      <c r="E15" s="1640">
        <f t="shared" si="0"/>
        <v>252</v>
      </c>
    </row>
    <row r="16" spans="1:5" ht="15">
      <c r="A16" s="1676">
        <v>5</v>
      </c>
      <c r="B16" s="1989">
        <v>41944</v>
      </c>
      <c r="C16" s="1635">
        <v>264</v>
      </c>
      <c r="D16" s="1640">
        <v>1</v>
      </c>
      <c r="E16" s="1640">
        <f t="shared" si="0"/>
        <v>264</v>
      </c>
    </row>
    <row r="17" spans="1:5" ht="15">
      <c r="A17" s="1676">
        <v>6</v>
      </c>
      <c r="B17" s="1989">
        <v>41974</v>
      </c>
      <c r="C17" s="1635">
        <v>296</v>
      </c>
      <c r="D17" s="1640">
        <v>1</v>
      </c>
      <c r="E17" s="1640">
        <f t="shared" si="0"/>
        <v>296</v>
      </c>
    </row>
    <row r="18" spans="1:5" ht="15">
      <c r="A18" s="1676">
        <v>7</v>
      </c>
      <c r="B18" s="1989">
        <v>42005</v>
      </c>
      <c r="C18" s="1635">
        <v>287</v>
      </c>
      <c r="D18" s="1640">
        <v>1</v>
      </c>
      <c r="E18" s="1640">
        <f t="shared" si="0"/>
        <v>287</v>
      </c>
    </row>
    <row r="19" spans="1:5" ht="15">
      <c r="A19" s="1676">
        <v>8</v>
      </c>
      <c r="B19" s="1989">
        <v>42036</v>
      </c>
      <c r="C19" s="1635">
        <v>288</v>
      </c>
      <c r="D19" s="1640">
        <v>1</v>
      </c>
      <c r="E19" s="1640">
        <f t="shared" si="0"/>
        <v>288</v>
      </c>
    </row>
    <row r="20" spans="1:5" ht="15">
      <c r="A20" s="1676">
        <v>9</v>
      </c>
      <c r="B20" s="1989">
        <v>42064</v>
      </c>
      <c r="C20" s="1635">
        <v>300</v>
      </c>
      <c r="D20" s="1640">
        <v>1</v>
      </c>
      <c r="E20" s="1640">
        <f t="shared" si="0"/>
        <v>300</v>
      </c>
    </row>
    <row r="21" spans="1:5" ht="15">
      <c r="A21" s="1676">
        <v>10</v>
      </c>
      <c r="B21" s="1989">
        <v>42095</v>
      </c>
      <c r="C21" s="1635">
        <v>267</v>
      </c>
      <c r="D21" s="1640">
        <v>1</v>
      </c>
      <c r="E21" s="1640">
        <f t="shared" si="0"/>
        <v>267</v>
      </c>
    </row>
    <row r="22" spans="1:5" ht="15">
      <c r="A22" s="1676">
        <v>11</v>
      </c>
      <c r="B22" s="1989">
        <v>42125</v>
      </c>
      <c r="C22" s="1635">
        <v>249</v>
      </c>
      <c r="D22" s="1640">
        <v>2</v>
      </c>
      <c r="E22" s="1640">
        <f t="shared" si="0"/>
        <v>498</v>
      </c>
    </row>
    <row r="23" spans="1:5" ht="15">
      <c r="A23" s="1676">
        <v>12</v>
      </c>
      <c r="B23" s="1989">
        <v>42156</v>
      </c>
      <c r="C23" s="1635">
        <v>320</v>
      </c>
      <c r="D23" s="1640">
        <v>2</v>
      </c>
      <c r="E23" s="1640">
        <f t="shared" si="0"/>
        <v>640</v>
      </c>
    </row>
    <row r="24" spans="1:5" ht="15">
      <c r="A24" s="1676">
        <v>13</v>
      </c>
      <c r="B24" s="1635"/>
      <c r="C24" s="1635"/>
      <c r="D24" s="1991"/>
      <c r="E24" s="1991"/>
    </row>
    <row r="25" spans="1:5" ht="15">
      <c r="A25" s="1676">
        <v>14</v>
      </c>
      <c r="B25" s="1632" t="s">
        <v>3877</v>
      </c>
      <c r="C25" s="1990">
        <f>ROUND(AVERAGE(C12:C23),0)</f>
        <v>276</v>
      </c>
      <c r="D25" s="1992">
        <v>2</v>
      </c>
      <c r="E25" s="1992">
        <f t="shared" si="0"/>
        <v>552</v>
      </c>
    </row>
    <row r="26" spans="1:5" ht="15">
      <c r="A26" s="1676">
        <v>15</v>
      </c>
      <c r="B26" s="1635"/>
      <c r="C26" s="1635"/>
      <c r="D26" s="1635"/>
      <c r="E26" s="1635"/>
    </row>
    <row r="27" spans="1:5" ht="30">
      <c r="A27" s="1676">
        <v>16</v>
      </c>
      <c r="B27" s="1635"/>
      <c r="C27" s="1719" t="s">
        <v>230</v>
      </c>
      <c r="D27" s="1719" t="s">
        <v>3601</v>
      </c>
      <c r="E27" s="1719" t="s">
        <v>447</v>
      </c>
    </row>
    <row r="28" spans="1:5" ht="15">
      <c r="A28" s="1676">
        <v>17</v>
      </c>
      <c r="B28" s="1632" t="s">
        <v>72</v>
      </c>
      <c r="C28" s="1640">
        <v>4855</v>
      </c>
      <c r="D28" s="1640">
        <f>E28-C28</f>
        <v>1769</v>
      </c>
      <c r="E28" s="1640">
        <f>(C25*12)*2</f>
        <v>6624</v>
      </c>
    </row>
    <row r="29" spans="1:5">
      <c r="A29" s="1635"/>
      <c r="B29" s="1635"/>
      <c r="C29" s="1635"/>
      <c r="D29" s="1635"/>
      <c r="E29" s="1635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view="pageBreakPreview" zoomScaleNormal="100" zoomScaleSheetLayoutView="100" workbookViewId="0"/>
  </sheetViews>
  <sheetFormatPr defaultRowHeight="13.5"/>
  <cols>
    <col min="1" max="1" width="3.375" style="1578" customWidth="1"/>
    <col min="2" max="2" width="9" style="1578"/>
    <col min="3" max="3" width="9.125" style="1578" customWidth="1"/>
    <col min="4" max="4" width="29.125" style="1578" bestFit="1" customWidth="1"/>
    <col min="5" max="5" width="9.125" style="1578" customWidth="1"/>
    <col min="6" max="6" width="2.25" style="1578" customWidth="1"/>
    <col min="7" max="7" width="9.125" style="1578" customWidth="1"/>
    <col min="8" max="8" width="2.25" style="1578" customWidth="1"/>
    <col min="9" max="9" width="9.125" style="1578" customWidth="1"/>
    <col min="10" max="10" width="2.25" style="1578" customWidth="1"/>
    <col min="11" max="11" width="11.5" style="1578" customWidth="1"/>
    <col min="12" max="12" width="2.25" style="1578" customWidth="1"/>
    <col min="13" max="13" width="12.875" style="1578" customWidth="1"/>
    <col min="14" max="14" width="2.25" style="1578" customWidth="1"/>
    <col min="15" max="15" width="13.25" style="1578" customWidth="1"/>
    <col min="16" max="16" width="2.25" style="1578" customWidth="1"/>
    <col min="17" max="16384" width="9" style="1578"/>
  </cols>
  <sheetData>
    <row r="1" spans="1:17" ht="15">
      <c r="A1" s="1577" t="str">
        <f>Company_Name</f>
        <v>WATER SERVICE CORPORATION OF KENTUCKY</v>
      </c>
      <c r="Q1" s="1579" t="s">
        <v>2384</v>
      </c>
    </row>
    <row r="2" spans="1:17" ht="15">
      <c r="A2" s="1577" t="str">
        <f>Docket</f>
        <v>Case No. 2015 - 00382</v>
      </c>
    </row>
    <row r="3" spans="1:17" ht="15">
      <c r="A3" s="1577" t="s">
        <v>3884</v>
      </c>
    </row>
    <row r="4" spans="1:17" ht="15">
      <c r="A4" s="1577" t="str">
        <f>TestYearEnded</f>
        <v>Test Year Ended 6/30/2015</v>
      </c>
    </row>
    <row r="7" spans="1:17" ht="15">
      <c r="B7" s="1676"/>
      <c r="C7" s="1676" t="s">
        <v>235</v>
      </c>
      <c r="D7" s="1676" t="s">
        <v>236</v>
      </c>
      <c r="E7" s="1676" t="s">
        <v>237</v>
      </c>
      <c r="F7" s="1676"/>
      <c r="G7" s="1676" t="s">
        <v>238</v>
      </c>
      <c r="H7" s="1676"/>
      <c r="I7" s="1676" t="s">
        <v>239</v>
      </c>
      <c r="J7" s="1676"/>
      <c r="K7" s="1676" t="s">
        <v>869</v>
      </c>
      <c r="L7" s="1676"/>
      <c r="M7" s="1676" t="s">
        <v>870</v>
      </c>
      <c r="N7" s="1676"/>
      <c r="O7" s="1676" t="s">
        <v>871</v>
      </c>
      <c r="P7" s="1676"/>
      <c r="Q7" s="1676" t="s">
        <v>872</v>
      </c>
    </row>
    <row r="8" spans="1:17">
      <c r="B8" s="1635"/>
      <c r="C8" s="1635"/>
      <c r="D8" s="1635"/>
      <c r="E8" s="1635"/>
      <c r="F8" s="1635"/>
      <c r="G8" s="1635"/>
      <c r="H8" s="1635"/>
      <c r="I8" s="1635"/>
      <c r="J8" s="1635"/>
      <c r="K8" s="1635"/>
      <c r="L8" s="1635"/>
      <c r="M8" s="1635"/>
      <c r="N8" s="1635"/>
      <c r="O8" s="1635"/>
      <c r="P8" s="1635"/>
      <c r="Q8" s="1635"/>
    </row>
    <row r="9" spans="1:17" ht="60">
      <c r="B9" s="1988" t="s">
        <v>1786</v>
      </c>
      <c r="C9" s="1988" t="s">
        <v>3885</v>
      </c>
      <c r="D9" s="2008" t="s">
        <v>150</v>
      </c>
      <c r="E9" s="1988" t="s">
        <v>230</v>
      </c>
      <c r="F9" s="1635"/>
      <c r="G9" s="1719" t="s">
        <v>3886</v>
      </c>
      <c r="H9" s="1635"/>
      <c r="I9" s="1719" t="s">
        <v>3887</v>
      </c>
      <c r="J9" s="1635"/>
      <c r="K9" s="1719" t="s">
        <v>3903</v>
      </c>
      <c r="L9" s="1635"/>
      <c r="M9" s="1719" t="s">
        <v>3904</v>
      </c>
      <c r="N9" s="1635"/>
      <c r="O9" s="1719" t="s">
        <v>3905</v>
      </c>
      <c r="P9" s="1635"/>
      <c r="Q9" s="1719" t="s">
        <v>3906</v>
      </c>
    </row>
    <row r="10" spans="1:17" ht="15">
      <c r="B10" s="1676">
        <v>1</v>
      </c>
      <c r="C10" s="637">
        <v>5025</v>
      </c>
      <c r="D10" s="2009" t="s">
        <v>3888</v>
      </c>
      <c r="E10" s="2010">
        <f>-'Linked TB'!E339</f>
        <v>1384496.290000001</v>
      </c>
      <c r="F10" s="1635"/>
      <c r="G10" s="2010">
        <v>1207.52</v>
      </c>
      <c r="H10" s="1635"/>
      <c r="I10" s="2010">
        <v>0</v>
      </c>
      <c r="J10" s="1635"/>
      <c r="K10" s="2010">
        <v>0</v>
      </c>
      <c r="L10" s="1635"/>
      <c r="M10" s="2010">
        <v>-16372.77302204608</v>
      </c>
      <c r="N10" s="1635"/>
      <c r="O10" s="2010">
        <f>Q10-E10-G10-I10-K10-M10</f>
        <v>12697.831579998619</v>
      </c>
      <c r="P10" s="1635"/>
      <c r="Q10" s="2010">
        <v>1382028.8685579535</v>
      </c>
    </row>
    <row r="11" spans="1:17" ht="15">
      <c r="B11" s="1676">
        <v>2</v>
      </c>
      <c r="C11" s="637">
        <v>5030</v>
      </c>
      <c r="D11" s="2009" t="s">
        <v>2114</v>
      </c>
      <c r="E11" s="2010">
        <f>-'Linked TB'!E340</f>
        <v>-4653</v>
      </c>
      <c r="F11" s="1635"/>
      <c r="G11" s="2010">
        <v>0</v>
      </c>
      <c r="H11" s="1635"/>
      <c r="I11" s="2010">
        <v>0</v>
      </c>
      <c r="J11" s="1635"/>
      <c r="K11" s="2010">
        <v>4653</v>
      </c>
      <c r="L11" s="1635"/>
      <c r="M11" s="2010">
        <v>0</v>
      </c>
      <c r="N11" s="1635"/>
      <c r="O11" s="2010">
        <f t="shared" ref="O11:O17" si="0">Q11-E11-G11-I11-K11-M11</f>
        <v>0</v>
      </c>
      <c r="P11" s="1635"/>
      <c r="Q11" s="2010">
        <v>0</v>
      </c>
    </row>
    <row r="12" spans="1:17" ht="15">
      <c r="B12" s="1676">
        <v>3</v>
      </c>
      <c r="C12" s="637">
        <v>5035</v>
      </c>
      <c r="D12" s="2009" t="s">
        <v>3889</v>
      </c>
      <c r="E12" s="2010">
        <f>-'Linked TB'!E341</f>
        <v>399746.66999999993</v>
      </c>
      <c r="F12" s="1635"/>
      <c r="G12" s="2010">
        <v>-3912.43</v>
      </c>
      <c r="H12" s="1635"/>
      <c r="I12" s="2010">
        <v>0</v>
      </c>
      <c r="J12" s="1635"/>
      <c r="K12" s="2010">
        <v>0</v>
      </c>
      <c r="L12" s="1635"/>
      <c r="M12" s="2010">
        <v>-3617.1356002368848</v>
      </c>
      <c r="N12" s="1635"/>
      <c r="O12" s="2010">
        <f t="shared" si="0"/>
        <v>142.422970000021</v>
      </c>
      <c r="P12" s="1635"/>
      <c r="Q12" s="2010">
        <v>392359.52736976306</v>
      </c>
    </row>
    <row r="13" spans="1:17" ht="15">
      <c r="B13" s="1676">
        <v>4</v>
      </c>
      <c r="C13" s="637">
        <v>5040</v>
      </c>
      <c r="D13" s="2009" t="s">
        <v>3890</v>
      </c>
      <c r="E13" s="2010">
        <f>-'Linked TB'!E342</f>
        <v>156255.01999999996</v>
      </c>
      <c r="F13" s="1635"/>
      <c r="G13" s="2010">
        <v>-622.12</v>
      </c>
      <c r="H13" s="1635"/>
      <c r="I13" s="2010">
        <v>0</v>
      </c>
      <c r="J13" s="1635"/>
      <c r="K13" s="2010">
        <v>0</v>
      </c>
      <c r="L13" s="1635"/>
      <c r="M13" s="2010">
        <v>8119.0776763440226</v>
      </c>
      <c r="N13" s="1635"/>
      <c r="O13" s="2010">
        <f t="shared" si="0"/>
        <v>697.83528000003389</v>
      </c>
      <c r="P13" s="1635"/>
      <c r="Q13" s="2010">
        <v>164449.81295634402</v>
      </c>
    </row>
    <row r="14" spans="1:17" ht="15">
      <c r="B14" s="1676">
        <v>5</v>
      </c>
      <c r="C14" s="637">
        <v>5045</v>
      </c>
      <c r="D14" s="2009" t="s">
        <v>3891</v>
      </c>
      <c r="E14" s="2010">
        <f>-'Linked TB'!E343</f>
        <v>125305.62999999998</v>
      </c>
      <c r="F14" s="1635"/>
      <c r="G14" s="2010">
        <v>-3136.94</v>
      </c>
      <c r="H14" s="1635"/>
      <c r="I14" s="2010">
        <v>-8808.77</v>
      </c>
      <c r="J14" s="1635"/>
      <c r="K14" s="2010">
        <v>0</v>
      </c>
      <c r="L14" s="1635"/>
      <c r="M14" s="2010">
        <v>-1222.4079549001908</v>
      </c>
      <c r="N14" s="1635"/>
      <c r="O14" s="2010">
        <f t="shared" si="0"/>
        <v>3122.5726900000245</v>
      </c>
      <c r="P14" s="1635"/>
      <c r="Q14" s="2010">
        <v>115260.08473509981</v>
      </c>
    </row>
    <row r="15" spans="1:17" ht="15">
      <c r="B15" s="1676">
        <v>6</v>
      </c>
      <c r="C15" s="637">
        <v>5050</v>
      </c>
      <c r="D15" s="2009" t="s">
        <v>3892</v>
      </c>
      <c r="E15" s="2010">
        <f>-'Linked TB'!E344</f>
        <v>11539.069999999998</v>
      </c>
      <c r="F15" s="1635"/>
      <c r="G15" s="2010">
        <v>0</v>
      </c>
      <c r="H15" s="1635"/>
      <c r="I15" s="2010">
        <v>0</v>
      </c>
      <c r="J15" s="1635"/>
      <c r="K15" s="2010">
        <v>-7.99</v>
      </c>
      <c r="L15" s="1635"/>
      <c r="M15" s="2010">
        <v>-643.30624197273391</v>
      </c>
      <c r="N15" s="1635"/>
      <c r="O15" s="2010">
        <f t="shared" si="0"/>
        <v>67.266910000002326</v>
      </c>
      <c r="P15" s="1635"/>
      <c r="Q15" s="2010">
        <v>10955.040668027266</v>
      </c>
    </row>
    <row r="16" spans="1:17" ht="15">
      <c r="B16" s="1676">
        <v>7</v>
      </c>
      <c r="C16" s="637">
        <v>5052</v>
      </c>
      <c r="D16" s="2009" t="s">
        <v>2119</v>
      </c>
      <c r="E16" s="2010">
        <f>-'Linked TB'!E345</f>
        <v>-17.5</v>
      </c>
      <c r="F16" s="1635"/>
      <c r="G16" s="2010">
        <v>0</v>
      </c>
      <c r="H16" s="1635"/>
      <c r="I16" s="2010">
        <v>0</v>
      </c>
      <c r="J16" s="1635"/>
      <c r="K16" s="2010">
        <v>17.5</v>
      </c>
      <c r="L16" s="1635"/>
      <c r="M16" s="2010">
        <v>0</v>
      </c>
      <c r="N16" s="1635"/>
      <c r="O16" s="2010">
        <f t="shared" si="0"/>
        <v>0</v>
      </c>
      <c r="P16" s="1635"/>
      <c r="Q16" s="2010"/>
    </row>
    <row r="17" spans="2:17" ht="15">
      <c r="B17" s="1676">
        <v>8</v>
      </c>
      <c r="C17" s="637">
        <v>5060</v>
      </c>
      <c r="D17" s="2009" t="s">
        <v>2120</v>
      </c>
      <c r="E17" s="2010">
        <f>-'Linked TB'!E346</f>
        <v>35092.80999999999</v>
      </c>
      <c r="F17" s="1635"/>
      <c r="G17" s="2010">
        <v>0</v>
      </c>
      <c r="H17" s="1635"/>
      <c r="I17" s="2010">
        <v>0</v>
      </c>
      <c r="J17" s="1635"/>
      <c r="K17" s="2010">
        <v>0</v>
      </c>
      <c r="L17" s="1635"/>
      <c r="M17" s="2010">
        <v>0</v>
      </c>
      <c r="N17" s="1635"/>
      <c r="O17" s="2010">
        <f t="shared" si="0"/>
        <v>115.43000000000757</v>
      </c>
      <c r="P17" s="1635"/>
      <c r="Q17" s="2010">
        <v>35208.239999999998</v>
      </c>
    </row>
    <row r="18" spans="2:17" ht="15">
      <c r="B18" s="1676">
        <v>9</v>
      </c>
      <c r="C18" s="2014"/>
      <c r="D18" s="2013" t="s">
        <v>145</v>
      </c>
      <c r="E18" s="2012">
        <f>SUM(E10:E17)</f>
        <v>2107764.9900000007</v>
      </c>
      <c r="F18" s="2011"/>
      <c r="G18" s="2012">
        <f>SUM(G10:G17)</f>
        <v>-6463.9699999999993</v>
      </c>
      <c r="H18" s="1635"/>
      <c r="I18" s="2012">
        <f>SUM(I10:I17)</f>
        <v>-8808.77</v>
      </c>
      <c r="J18" s="1635"/>
      <c r="K18" s="2012">
        <f>SUM(K10:K17)</f>
        <v>4662.51</v>
      </c>
      <c r="L18" s="1635"/>
      <c r="M18" s="2012">
        <f>SUM(M10:M17)</f>
        <v>-13736.545142811867</v>
      </c>
      <c r="N18" s="1635"/>
      <c r="O18" s="2012">
        <f>SUM(O10:O17)</f>
        <v>16843.359429998709</v>
      </c>
      <c r="P18" s="1635"/>
      <c r="Q18" s="2012">
        <f>SUM(Q10:Q17)</f>
        <v>2100261.5742871878</v>
      </c>
    </row>
  </sheetData>
  <pageMargins left="0.7" right="0.7" top="0.75" bottom="0.75" header="0.3" footer="0.3"/>
  <pageSetup scale="6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showGridLines="0" tabSelected="1" zoomScale="90" zoomScaleNormal="90" workbookViewId="0"/>
  </sheetViews>
  <sheetFormatPr defaultRowHeight="16.5"/>
  <cols>
    <col min="1" max="1" width="9" style="1582"/>
    <col min="2" max="2" width="15" style="1582" bestFit="1" customWidth="1"/>
    <col min="3" max="3" width="11.875" style="1583" bestFit="1" customWidth="1"/>
    <col min="4" max="8" width="11.875" style="1582" bestFit="1" customWidth="1"/>
    <col min="9" max="9" width="9" style="1582"/>
    <col min="10" max="10" width="37" style="1582" bestFit="1" customWidth="1"/>
    <col min="11" max="11" width="3.5" style="1582" customWidth="1"/>
    <col min="12" max="12" width="14.5" style="1582" bestFit="1" customWidth="1"/>
    <col min="13" max="13" width="11.125" style="1582" bestFit="1" customWidth="1"/>
    <col min="14" max="16384" width="9" style="1582"/>
  </cols>
  <sheetData>
    <row r="1" spans="1:13" ht="24" thickBot="1">
      <c r="A1" s="1580" t="s">
        <v>2359</v>
      </c>
      <c r="B1" s="1580"/>
      <c r="C1" s="1581"/>
    </row>
    <row r="2" spans="1:13">
      <c r="A2" s="1584" t="s">
        <v>2362</v>
      </c>
      <c r="B2" s="1584" t="s">
        <v>2361</v>
      </c>
      <c r="C2" s="1585">
        <v>42035</v>
      </c>
      <c r="D2" s="1585">
        <f>EOMONTH(C2,1)</f>
        <v>42063</v>
      </c>
      <c r="E2" s="1585">
        <f t="shared" ref="E2:H2" si="0">EOMONTH(D2,1)</f>
        <v>42094</v>
      </c>
      <c r="F2" s="1585">
        <f t="shared" si="0"/>
        <v>42124</v>
      </c>
      <c r="G2" s="1585">
        <f t="shared" si="0"/>
        <v>42155</v>
      </c>
      <c r="H2" s="1585">
        <f t="shared" si="0"/>
        <v>42185</v>
      </c>
      <c r="I2" s="1591" t="s">
        <v>1529</v>
      </c>
      <c r="J2" s="1584" t="s">
        <v>1085</v>
      </c>
      <c r="L2" s="1592" t="s">
        <v>2360</v>
      </c>
      <c r="M2" s="1593">
        <f>H76</f>
        <v>272963.81</v>
      </c>
    </row>
    <row r="3" spans="1:13">
      <c r="A3" s="1586">
        <v>110</v>
      </c>
      <c r="B3" s="1586" t="s">
        <v>1566</v>
      </c>
      <c r="C3" s="1583">
        <v>2637.5</v>
      </c>
      <c r="D3" s="1583">
        <v>2636.5</v>
      </c>
      <c r="E3" s="1583">
        <v>2639.5</v>
      </c>
      <c r="F3" s="1583">
        <v>2638.5</v>
      </c>
      <c r="G3" s="1583">
        <v>2638.5</v>
      </c>
      <c r="H3" s="1583">
        <v>2636.5</v>
      </c>
      <c r="I3" s="1590" t="s">
        <v>1564</v>
      </c>
      <c r="J3" s="1582" t="s">
        <v>2367</v>
      </c>
      <c r="L3" s="1594" t="s">
        <v>1085</v>
      </c>
      <c r="M3" s="1595">
        <f>SUMIFS($H:$H,$J:$J,"PRESIDENT-MIDWEST/MID ATLANTIC")</f>
        <v>51686.899999999994</v>
      </c>
    </row>
    <row r="4" spans="1:13">
      <c r="A4" s="1586">
        <v>111</v>
      </c>
      <c r="B4" s="1586" t="s">
        <v>1567</v>
      </c>
      <c r="C4" s="1583">
        <v>434</v>
      </c>
      <c r="D4" s="1583">
        <v>434</v>
      </c>
      <c r="E4" s="1583">
        <v>432</v>
      </c>
      <c r="F4" s="1583">
        <v>435</v>
      </c>
      <c r="G4" s="1583">
        <v>435</v>
      </c>
      <c r="H4" s="1583">
        <v>436</v>
      </c>
      <c r="I4" s="1590" t="s">
        <v>1564</v>
      </c>
      <c r="J4" s="1582" t="s">
        <v>2367</v>
      </c>
      <c r="L4" s="1594" t="s">
        <v>2377</v>
      </c>
      <c r="M4" s="1595">
        <f>SUMIFS($H:$H,$I:$I,"MIDWEST")</f>
        <v>34692.5</v>
      </c>
    </row>
    <row r="5" spans="1:13" ht="17.25" thickBot="1">
      <c r="A5" s="1586">
        <v>112</v>
      </c>
      <c r="B5" s="1586" t="s">
        <v>1569</v>
      </c>
      <c r="C5" s="1583">
        <v>52</v>
      </c>
      <c r="D5" s="1583">
        <v>52</v>
      </c>
      <c r="E5" s="1583">
        <v>52</v>
      </c>
      <c r="F5" s="1583">
        <v>52</v>
      </c>
      <c r="G5" s="1583">
        <v>52</v>
      </c>
      <c r="H5" s="1583">
        <v>50</v>
      </c>
      <c r="I5" s="1590" t="s">
        <v>1564</v>
      </c>
      <c r="J5" s="1582" t="s">
        <v>2367</v>
      </c>
      <c r="L5" s="1596" t="s">
        <v>2373</v>
      </c>
      <c r="M5" s="1597">
        <f>H61</f>
        <v>7204.4000000000005</v>
      </c>
    </row>
    <row r="6" spans="1:13">
      <c r="A6" s="1586">
        <v>113</v>
      </c>
      <c r="B6" s="1586" t="s">
        <v>1570</v>
      </c>
      <c r="C6" s="1583">
        <v>258.60000000000002</v>
      </c>
      <c r="D6" s="1583">
        <v>258.60000000000002</v>
      </c>
      <c r="E6" s="1583">
        <v>258.60000000000002</v>
      </c>
      <c r="F6" s="1583">
        <v>258.60000000000002</v>
      </c>
      <c r="G6" s="1583">
        <v>258.60000000000002</v>
      </c>
      <c r="H6" s="1583">
        <v>257.60000000000002</v>
      </c>
      <c r="I6" s="1590" t="s">
        <v>1564</v>
      </c>
      <c r="J6" s="1582" t="s">
        <v>2367</v>
      </c>
      <c r="K6" s="1587"/>
    </row>
    <row r="7" spans="1:13">
      <c r="A7" s="1586">
        <v>114</v>
      </c>
      <c r="B7" s="1586" t="s">
        <v>1571</v>
      </c>
      <c r="C7" s="1583">
        <v>303.5</v>
      </c>
      <c r="D7" s="1583">
        <v>303.5</v>
      </c>
      <c r="E7" s="1583">
        <v>303.5</v>
      </c>
      <c r="F7" s="1583">
        <v>304.5</v>
      </c>
      <c r="G7" s="1583">
        <v>305.5</v>
      </c>
      <c r="H7" s="1583">
        <v>305.5</v>
      </c>
      <c r="I7" s="1590" t="s">
        <v>1564</v>
      </c>
      <c r="J7" s="1582" t="s">
        <v>2367</v>
      </c>
    </row>
    <row r="8" spans="1:13">
      <c r="A8" s="1586">
        <v>117</v>
      </c>
      <c r="B8" s="1586" t="s">
        <v>1572</v>
      </c>
      <c r="C8" s="1583">
        <v>81</v>
      </c>
      <c r="D8" s="1583">
        <v>81</v>
      </c>
      <c r="E8" s="1583">
        <v>81</v>
      </c>
      <c r="F8" s="1583">
        <v>81</v>
      </c>
      <c r="G8" s="1583">
        <v>81</v>
      </c>
      <c r="H8" s="1583">
        <v>81</v>
      </c>
      <c r="I8" s="1590" t="s">
        <v>1564</v>
      </c>
      <c r="J8" s="1582" t="s">
        <v>2367</v>
      </c>
    </row>
    <row r="9" spans="1:13">
      <c r="A9" s="1586">
        <v>118</v>
      </c>
      <c r="B9" s="1586" t="s">
        <v>1573</v>
      </c>
      <c r="C9" s="1583">
        <v>762</v>
      </c>
      <c r="D9" s="1583">
        <v>763</v>
      </c>
      <c r="E9" s="1583">
        <v>762</v>
      </c>
      <c r="F9" s="1583">
        <v>761</v>
      </c>
      <c r="G9" s="1583">
        <v>764</v>
      </c>
      <c r="H9" s="1583">
        <v>765</v>
      </c>
      <c r="I9" s="1590" t="s">
        <v>1564</v>
      </c>
      <c r="J9" s="1582" t="s">
        <v>2367</v>
      </c>
    </row>
    <row r="10" spans="1:13">
      <c r="A10" s="1586">
        <v>119</v>
      </c>
      <c r="B10" s="1586" t="s">
        <v>1574</v>
      </c>
      <c r="C10" s="1583">
        <v>3090.6</v>
      </c>
      <c r="D10" s="1583">
        <v>3090.6</v>
      </c>
      <c r="E10" s="1583">
        <v>3090.6</v>
      </c>
      <c r="F10" s="1583">
        <v>3091.6000000000004</v>
      </c>
      <c r="G10" s="1583">
        <v>3094.6</v>
      </c>
      <c r="H10" s="1583">
        <v>3094.6000000000004</v>
      </c>
      <c r="I10" s="1590" t="s">
        <v>1564</v>
      </c>
      <c r="J10" s="1582" t="s">
        <v>2367</v>
      </c>
    </row>
    <row r="11" spans="1:13">
      <c r="A11" s="1586">
        <v>120</v>
      </c>
      <c r="B11" s="1586" t="s">
        <v>1578</v>
      </c>
      <c r="C11" s="1583">
        <v>349.5</v>
      </c>
      <c r="D11" s="1583">
        <v>349.5</v>
      </c>
      <c r="E11" s="1583">
        <v>348.5</v>
      </c>
      <c r="F11" s="1583">
        <v>349.5</v>
      </c>
      <c r="G11" s="1583">
        <v>348.5</v>
      </c>
      <c r="H11" s="1583">
        <v>349.5</v>
      </c>
      <c r="I11" s="1590" t="s">
        <v>1564</v>
      </c>
      <c r="J11" s="1582" t="s">
        <v>2367</v>
      </c>
    </row>
    <row r="12" spans="1:13">
      <c r="A12" s="1586">
        <v>121</v>
      </c>
      <c r="B12" s="1586" t="s">
        <v>1579</v>
      </c>
      <c r="C12" s="1583">
        <v>2041.5</v>
      </c>
      <c r="D12" s="1583">
        <v>2044.5</v>
      </c>
      <c r="E12" s="1583">
        <v>2045.5</v>
      </c>
      <c r="F12" s="1583">
        <v>2047.5</v>
      </c>
      <c r="G12" s="1583">
        <v>2049.5</v>
      </c>
      <c r="H12" s="1583">
        <v>2047.5</v>
      </c>
      <c r="I12" s="1590" t="s">
        <v>1564</v>
      </c>
      <c r="J12" s="1582" t="s">
        <v>2367</v>
      </c>
    </row>
    <row r="13" spans="1:13">
      <c r="A13" s="1586">
        <v>122</v>
      </c>
      <c r="B13" s="1586" t="s">
        <v>1581</v>
      </c>
      <c r="C13" s="1583">
        <v>1399.5</v>
      </c>
      <c r="D13" s="1583">
        <v>1400.5</v>
      </c>
      <c r="E13" s="1583">
        <v>1401.5</v>
      </c>
      <c r="F13" s="1583">
        <v>1402.5</v>
      </c>
      <c r="G13" s="1583">
        <v>1405.5</v>
      </c>
      <c r="H13" s="1583">
        <v>1405.5</v>
      </c>
      <c r="I13" s="1590" t="s">
        <v>1564</v>
      </c>
      <c r="J13" s="1582" t="s">
        <v>2367</v>
      </c>
    </row>
    <row r="14" spans="1:13">
      <c r="A14" s="1586">
        <v>123</v>
      </c>
      <c r="B14" s="1586" t="s">
        <v>1583</v>
      </c>
      <c r="C14" s="1583">
        <v>349</v>
      </c>
      <c r="D14" s="1583">
        <v>349</v>
      </c>
      <c r="E14" s="1583">
        <v>349</v>
      </c>
      <c r="F14" s="1583">
        <v>351</v>
      </c>
      <c r="G14" s="1583">
        <v>351</v>
      </c>
      <c r="H14" s="1583">
        <v>351</v>
      </c>
      <c r="I14" s="1590" t="s">
        <v>1564</v>
      </c>
      <c r="J14" s="1582" t="s">
        <v>2367</v>
      </c>
    </row>
    <row r="15" spans="1:13">
      <c r="A15" s="1586">
        <v>124</v>
      </c>
      <c r="B15" s="1586" t="s">
        <v>1580</v>
      </c>
      <c r="C15" s="1583">
        <v>292</v>
      </c>
      <c r="D15" s="1583">
        <v>291</v>
      </c>
      <c r="E15" s="1583">
        <v>293</v>
      </c>
      <c r="F15" s="1583">
        <v>293</v>
      </c>
      <c r="G15" s="1583">
        <v>292</v>
      </c>
      <c r="H15" s="1583">
        <v>293</v>
      </c>
      <c r="I15" s="1590" t="s">
        <v>1564</v>
      </c>
      <c r="J15" s="1582" t="s">
        <v>2367</v>
      </c>
    </row>
    <row r="16" spans="1:13">
      <c r="A16" s="1586">
        <v>125</v>
      </c>
      <c r="B16" s="1586" t="s">
        <v>1588</v>
      </c>
      <c r="C16" s="1583">
        <v>193</v>
      </c>
      <c r="D16" s="1583">
        <v>193</v>
      </c>
      <c r="E16" s="1583">
        <v>193</v>
      </c>
      <c r="F16" s="1583">
        <v>193</v>
      </c>
      <c r="G16" s="1583">
        <v>193</v>
      </c>
      <c r="H16" s="1583">
        <v>193</v>
      </c>
      <c r="I16" s="1590" t="s">
        <v>1564</v>
      </c>
      <c r="J16" s="1582" t="s">
        <v>2367</v>
      </c>
    </row>
    <row r="17" spans="1:10">
      <c r="A17" s="1586">
        <v>126</v>
      </c>
      <c r="B17" s="1586" t="s">
        <v>1584</v>
      </c>
      <c r="C17" s="1583">
        <v>71</v>
      </c>
      <c r="D17" s="1583">
        <v>71</v>
      </c>
      <c r="E17" s="1583">
        <v>71</v>
      </c>
      <c r="F17" s="1583">
        <v>70</v>
      </c>
      <c r="G17" s="1583">
        <v>71</v>
      </c>
      <c r="H17" s="1583">
        <v>71</v>
      </c>
      <c r="I17" s="1590" t="s">
        <v>1564</v>
      </c>
      <c r="J17" s="1582" t="s">
        <v>2367</v>
      </c>
    </row>
    <row r="18" spans="1:10">
      <c r="A18" s="1586">
        <v>127</v>
      </c>
      <c r="B18" s="1586" t="s">
        <v>1585</v>
      </c>
      <c r="C18" s="1583">
        <v>218</v>
      </c>
      <c r="D18" s="1583">
        <v>217</v>
      </c>
      <c r="E18" s="1583">
        <v>218</v>
      </c>
      <c r="F18" s="1583">
        <v>218</v>
      </c>
      <c r="G18" s="1583">
        <v>218</v>
      </c>
      <c r="H18" s="1583">
        <v>218</v>
      </c>
      <c r="I18" s="1590" t="s">
        <v>1564</v>
      </c>
      <c r="J18" s="1582" t="s">
        <v>2367</v>
      </c>
    </row>
    <row r="19" spans="1:10">
      <c r="A19" s="1586">
        <v>128</v>
      </c>
      <c r="B19" s="1586" t="s">
        <v>1587</v>
      </c>
      <c r="C19" s="1583">
        <v>2331</v>
      </c>
      <c r="D19" s="1583">
        <v>2330.5</v>
      </c>
      <c r="E19" s="1583">
        <v>2333.5</v>
      </c>
      <c r="F19" s="1583">
        <v>2334.5</v>
      </c>
      <c r="G19" s="1583">
        <v>2331.5</v>
      </c>
      <c r="H19" s="1583">
        <v>2334.5</v>
      </c>
      <c r="I19" s="1590" t="s">
        <v>1564</v>
      </c>
      <c r="J19" s="1582" t="s">
        <v>2367</v>
      </c>
    </row>
    <row r="20" spans="1:10">
      <c r="A20" s="1586">
        <v>129</v>
      </c>
      <c r="B20" s="1586" t="s">
        <v>1577</v>
      </c>
      <c r="C20" s="1583">
        <v>244</v>
      </c>
      <c r="D20" s="1583">
        <v>244</v>
      </c>
      <c r="E20" s="1583">
        <v>244</v>
      </c>
      <c r="F20" s="1583">
        <v>245</v>
      </c>
      <c r="G20" s="1583">
        <v>245</v>
      </c>
      <c r="H20" s="1583">
        <v>245</v>
      </c>
      <c r="I20" s="1590" t="s">
        <v>1564</v>
      </c>
      <c r="J20" s="1582" t="s">
        <v>2367</v>
      </c>
    </row>
    <row r="21" spans="1:10">
      <c r="A21" s="1586">
        <v>130</v>
      </c>
      <c r="B21" s="1586" t="s">
        <v>1582</v>
      </c>
      <c r="C21" s="1583">
        <v>436.2</v>
      </c>
      <c r="D21" s="1583">
        <v>436.2</v>
      </c>
      <c r="E21" s="1583">
        <v>437.2</v>
      </c>
      <c r="F21" s="1583">
        <v>437.2</v>
      </c>
      <c r="G21" s="1583">
        <v>435.2</v>
      </c>
      <c r="H21" s="1583">
        <v>434.2</v>
      </c>
      <c r="I21" s="1590" t="s">
        <v>1564</v>
      </c>
      <c r="J21" s="1582" t="s">
        <v>2367</v>
      </c>
    </row>
    <row r="22" spans="1:10">
      <c r="A22" s="1586">
        <v>131</v>
      </c>
      <c r="B22" s="1586" t="s">
        <v>1586</v>
      </c>
      <c r="C22" s="1583">
        <v>1011.8</v>
      </c>
      <c r="D22" s="1583">
        <v>1013.8</v>
      </c>
      <c r="E22" s="1583">
        <v>1015.8</v>
      </c>
      <c r="F22" s="1583">
        <v>1017.8</v>
      </c>
      <c r="G22" s="1583">
        <v>1019.8</v>
      </c>
      <c r="H22" s="1583">
        <v>1022.8</v>
      </c>
      <c r="I22" s="1590" t="s">
        <v>1564</v>
      </c>
      <c r="J22" s="1582" t="s">
        <v>2367</v>
      </c>
    </row>
    <row r="23" spans="1:10">
      <c r="A23" s="1586">
        <v>132</v>
      </c>
      <c r="B23" s="1586" t="s">
        <v>1568</v>
      </c>
      <c r="C23" s="1583">
        <v>100</v>
      </c>
      <c r="D23" s="1583">
        <v>100</v>
      </c>
      <c r="E23" s="1583">
        <v>100</v>
      </c>
      <c r="F23" s="1583">
        <v>99</v>
      </c>
      <c r="G23" s="1583">
        <v>100</v>
      </c>
      <c r="H23" s="1583">
        <v>100</v>
      </c>
      <c r="I23" s="1590" t="s">
        <v>1564</v>
      </c>
      <c r="J23" s="1582" t="s">
        <v>2367</v>
      </c>
    </row>
    <row r="24" spans="1:10">
      <c r="A24" s="1586">
        <v>133</v>
      </c>
      <c r="B24" s="1586" t="s">
        <v>1576</v>
      </c>
      <c r="C24" s="1583">
        <v>633</v>
      </c>
      <c r="D24" s="1583">
        <v>633</v>
      </c>
      <c r="E24" s="1583">
        <v>635</v>
      </c>
      <c r="F24" s="1583">
        <v>637</v>
      </c>
      <c r="G24" s="1583">
        <v>639</v>
      </c>
      <c r="H24" s="1583">
        <v>636</v>
      </c>
      <c r="I24" s="1590" t="s">
        <v>1564</v>
      </c>
      <c r="J24" s="1582" t="s">
        <v>2367</v>
      </c>
    </row>
    <row r="25" spans="1:10">
      <c r="A25" s="1586">
        <v>134</v>
      </c>
      <c r="B25" s="1586" t="s">
        <v>1575</v>
      </c>
      <c r="C25" s="1583">
        <v>352</v>
      </c>
      <c r="D25" s="1583">
        <v>354</v>
      </c>
      <c r="E25" s="1583">
        <v>354</v>
      </c>
      <c r="F25" s="1583">
        <v>353</v>
      </c>
      <c r="G25" s="1583">
        <v>355</v>
      </c>
      <c r="H25" s="1583">
        <v>354</v>
      </c>
      <c r="I25" s="1590" t="s">
        <v>1564</v>
      </c>
      <c r="J25" s="1582" t="s">
        <v>2367</v>
      </c>
    </row>
    <row r="26" spans="1:10">
      <c r="A26" s="1586">
        <v>136</v>
      </c>
      <c r="B26" s="1586" t="s">
        <v>2363</v>
      </c>
      <c r="C26" s="1583">
        <v>1370</v>
      </c>
      <c r="D26" s="1583">
        <v>1372</v>
      </c>
      <c r="E26" s="1583">
        <v>1375</v>
      </c>
      <c r="F26" s="1583">
        <v>1376</v>
      </c>
      <c r="G26" s="1583">
        <v>1375</v>
      </c>
      <c r="H26" s="1583">
        <v>1367</v>
      </c>
      <c r="I26" s="1590" t="s">
        <v>1564</v>
      </c>
      <c r="J26" s="1582" t="s">
        <v>2367</v>
      </c>
    </row>
    <row r="27" spans="1:10">
      <c r="A27" s="1586">
        <v>150</v>
      </c>
      <c r="B27" s="1586" t="s">
        <v>1592</v>
      </c>
      <c r="C27" s="1583">
        <v>6214.4</v>
      </c>
      <c r="D27" s="1583">
        <v>6221.4</v>
      </c>
      <c r="E27" s="1583">
        <v>6215.4</v>
      </c>
      <c r="F27" s="1583">
        <v>6223.4</v>
      </c>
      <c r="G27" s="1583">
        <v>6235.4</v>
      </c>
      <c r="H27" s="1583">
        <v>6237.4</v>
      </c>
      <c r="I27" s="1590" t="s">
        <v>1564</v>
      </c>
      <c r="J27" s="1582" t="s">
        <v>2367</v>
      </c>
    </row>
    <row r="28" spans="1:10">
      <c r="A28" s="1586">
        <v>151</v>
      </c>
      <c r="B28" s="1586" t="s">
        <v>1593</v>
      </c>
      <c r="C28" s="1583">
        <v>359.2</v>
      </c>
      <c r="D28" s="1583">
        <v>354</v>
      </c>
      <c r="E28" s="1583">
        <v>354</v>
      </c>
      <c r="F28" s="1583">
        <v>362.6</v>
      </c>
      <c r="G28" s="1583">
        <v>362.4</v>
      </c>
      <c r="H28" s="1583">
        <v>363.4</v>
      </c>
      <c r="I28" s="1590" t="s">
        <v>1564</v>
      </c>
      <c r="J28" s="1582" t="s">
        <v>2367</v>
      </c>
    </row>
    <row r="29" spans="1:10">
      <c r="A29" s="1586">
        <v>152</v>
      </c>
      <c r="B29" s="1586" t="s">
        <v>1591</v>
      </c>
      <c r="C29" s="1583">
        <v>1841.1</v>
      </c>
      <c r="D29" s="1583">
        <v>1844.9</v>
      </c>
      <c r="E29" s="1583">
        <v>1843.9</v>
      </c>
      <c r="F29" s="1583">
        <v>1838.3</v>
      </c>
      <c r="G29" s="1583">
        <v>1838.3</v>
      </c>
      <c r="H29" s="1583">
        <v>1839.1</v>
      </c>
      <c r="I29" s="1590" t="s">
        <v>1564</v>
      </c>
      <c r="J29" s="1582" t="s">
        <v>2367</v>
      </c>
    </row>
    <row r="30" spans="1:10">
      <c r="A30" s="1586">
        <v>180</v>
      </c>
      <c r="B30" s="1586" t="s">
        <v>1548</v>
      </c>
      <c r="C30" s="1583">
        <v>107</v>
      </c>
      <c r="D30" s="1583">
        <v>108</v>
      </c>
      <c r="E30" s="1583">
        <v>108</v>
      </c>
      <c r="F30" s="1583">
        <v>108</v>
      </c>
      <c r="G30" s="1583">
        <v>108</v>
      </c>
      <c r="H30" s="1583">
        <v>108</v>
      </c>
      <c r="I30" s="1590" t="s">
        <v>1537</v>
      </c>
      <c r="J30" s="1582" t="s">
        <v>2368</v>
      </c>
    </row>
    <row r="31" spans="1:10">
      <c r="A31" s="1586">
        <v>181</v>
      </c>
      <c r="B31" s="1586" t="s">
        <v>1547</v>
      </c>
      <c r="C31" s="1583">
        <v>378.4</v>
      </c>
      <c r="D31" s="1583">
        <v>378.4</v>
      </c>
      <c r="E31" s="1583">
        <v>376.8</v>
      </c>
      <c r="F31" s="1583">
        <v>376.79999999999995</v>
      </c>
      <c r="G31" s="1583">
        <v>376.8</v>
      </c>
      <c r="H31" s="1583">
        <v>376.79999999999995</v>
      </c>
      <c r="I31" s="1590" t="s">
        <v>1537</v>
      </c>
      <c r="J31" s="1582" t="s">
        <v>2368</v>
      </c>
    </row>
    <row r="32" spans="1:10">
      <c r="A32" s="1586">
        <v>182</v>
      </c>
      <c r="B32" s="1586" t="s">
        <v>1545</v>
      </c>
      <c r="C32" s="1583">
        <v>32474.5</v>
      </c>
      <c r="D32" s="1583">
        <v>32522.7</v>
      </c>
      <c r="E32" s="1583">
        <v>32523.599999999999</v>
      </c>
      <c r="F32" s="1583">
        <v>32530.799999999996</v>
      </c>
      <c r="G32" s="1583">
        <v>32537</v>
      </c>
      <c r="H32" s="1583">
        <v>32535.999999999996</v>
      </c>
      <c r="I32" s="1590" t="s">
        <v>1537</v>
      </c>
      <c r="J32" s="1582" t="s">
        <v>2368</v>
      </c>
    </row>
    <row r="33" spans="1:10">
      <c r="A33" s="1586">
        <v>183</v>
      </c>
      <c r="B33" s="1586" t="s">
        <v>1546</v>
      </c>
      <c r="C33" s="1583">
        <v>12837.1</v>
      </c>
      <c r="D33" s="1583">
        <v>12848.5</v>
      </c>
      <c r="E33" s="1583">
        <v>12867.1</v>
      </c>
      <c r="F33" s="1583">
        <v>12895.9</v>
      </c>
      <c r="G33" s="1583">
        <v>12912.9</v>
      </c>
      <c r="H33" s="1583">
        <v>12883.099999999999</v>
      </c>
      <c r="I33" s="1590" t="s">
        <v>1537</v>
      </c>
      <c r="J33" s="1582" t="s">
        <v>2368</v>
      </c>
    </row>
    <row r="34" spans="1:10">
      <c r="A34" s="1586">
        <v>187</v>
      </c>
      <c r="B34" s="1586" t="s">
        <v>1544</v>
      </c>
      <c r="C34" s="1583">
        <v>3099.4</v>
      </c>
      <c r="D34" s="1583">
        <v>3102.8</v>
      </c>
      <c r="E34" s="1583">
        <v>3100.8</v>
      </c>
      <c r="F34" s="1583">
        <v>3110.8</v>
      </c>
      <c r="G34" s="1583">
        <v>3116.8</v>
      </c>
      <c r="H34" s="1583">
        <v>3106.4</v>
      </c>
      <c r="I34" s="1590" t="s">
        <v>1537</v>
      </c>
      <c r="J34" s="1582" t="s">
        <v>2368</v>
      </c>
    </row>
    <row r="35" spans="1:10">
      <c r="A35" s="1586">
        <v>188</v>
      </c>
      <c r="B35" s="1586" t="s">
        <v>1550</v>
      </c>
      <c r="C35" s="1583">
        <v>3177.2</v>
      </c>
      <c r="D35" s="1583">
        <v>3180.2</v>
      </c>
      <c r="E35" s="1583">
        <v>3189.2</v>
      </c>
      <c r="F35" s="1583">
        <v>3178.2</v>
      </c>
      <c r="G35" s="1583">
        <v>3175.8</v>
      </c>
      <c r="H35" s="1583">
        <v>3175.8</v>
      </c>
      <c r="I35" s="1590" t="s">
        <v>1537</v>
      </c>
      <c r="J35" s="1582" t="s">
        <v>2368</v>
      </c>
    </row>
    <row r="36" spans="1:10">
      <c r="A36" s="1586">
        <v>191</v>
      </c>
      <c r="B36" s="1586" t="s">
        <v>1543</v>
      </c>
      <c r="C36" s="1583">
        <v>2513.19</v>
      </c>
      <c r="D36" s="1583">
        <v>2516.19</v>
      </c>
      <c r="E36" s="1583">
        <v>2519.19</v>
      </c>
      <c r="F36" s="1583">
        <v>2532.19</v>
      </c>
      <c r="G36" s="1583">
        <v>2541.19</v>
      </c>
      <c r="H36" s="1583">
        <v>2540.19</v>
      </c>
      <c r="I36" s="1590" t="s">
        <v>1537</v>
      </c>
      <c r="J36" s="1582" t="s">
        <v>2368</v>
      </c>
    </row>
    <row r="37" spans="1:10">
      <c r="A37" s="1586">
        <v>195</v>
      </c>
      <c r="B37" s="1586" t="s">
        <v>2364</v>
      </c>
      <c r="C37" s="1583">
        <v>177</v>
      </c>
      <c r="D37" s="1583">
        <v>176</v>
      </c>
      <c r="E37" s="1583">
        <v>176</v>
      </c>
      <c r="F37" s="1583">
        <v>177</v>
      </c>
      <c r="G37" s="1583">
        <v>176</v>
      </c>
      <c r="H37" s="1583">
        <v>176</v>
      </c>
      <c r="I37" s="1590" t="s">
        <v>1537</v>
      </c>
      <c r="J37" s="1582" t="s">
        <v>2368</v>
      </c>
    </row>
    <row r="38" spans="1:10">
      <c r="A38" s="1586">
        <v>220</v>
      </c>
      <c r="B38" s="1586" t="s">
        <v>1598</v>
      </c>
      <c r="C38" s="1583">
        <v>562</v>
      </c>
      <c r="D38" s="1583">
        <v>562</v>
      </c>
      <c r="E38" s="1583">
        <v>564</v>
      </c>
      <c r="F38" s="1583">
        <v>564</v>
      </c>
      <c r="G38" s="1583">
        <v>566</v>
      </c>
      <c r="H38" s="1583">
        <v>566</v>
      </c>
      <c r="I38" s="1590" t="s">
        <v>1537</v>
      </c>
      <c r="J38" s="1582" t="s">
        <v>2368</v>
      </c>
    </row>
    <row r="39" spans="1:10">
      <c r="A39" s="1586">
        <v>241</v>
      </c>
      <c r="B39" s="1586" t="s">
        <v>1627</v>
      </c>
      <c r="C39" s="1583">
        <v>2094.1999999999998</v>
      </c>
      <c r="D39" s="1583">
        <v>2094.1999999999998</v>
      </c>
      <c r="E39" s="1583">
        <v>2094.1999999999998</v>
      </c>
      <c r="F39" s="1583">
        <v>2094.1999999999998</v>
      </c>
      <c r="G39" s="1583">
        <v>2094.1999999999998</v>
      </c>
      <c r="H39" s="1583">
        <v>2094.1999999999998</v>
      </c>
      <c r="I39" s="1590" t="s">
        <v>2374</v>
      </c>
      <c r="J39" s="1582" t="s">
        <v>2369</v>
      </c>
    </row>
    <row r="40" spans="1:10">
      <c r="A40" s="1586">
        <v>242</v>
      </c>
      <c r="B40" s="1586" t="s">
        <v>1619</v>
      </c>
      <c r="C40" s="1583">
        <v>264.8</v>
      </c>
      <c r="D40" s="1583">
        <v>266.8</v>
      </c>
      <c r="E40" s="1583">
        <v>266.8</v>
      </c>
      <c r="F40" s="1583">
        <v>263.8</v>
      </c>
      <c r="G40" s="1583">
        <v>264.8</v>
      </c>
      <c r="H40" s="1583">
        <v>262.39999999999998</v>
      </c>
      <c r="I40" s="1590" t="s">
        <v>2374</v>
      </c>
      <c r="J40" s="1582" t="s">
        <v>2369</v>
      </c>
    </row>
    <row r="41" spans="1:10">
      <c r="A41" s="1586">
        <v>246</v>
      </c>
      <c r="B41" s="1586" t="s">
        <v>1631</v>
      </c>
      <c r="C41" s="1583">
        <v>1731.5</v>
      </c>
      <c r="D41" s="1583">
        <v>1724.5</v>
      </c>
      <c r="E41" s="1583">
        <v>1717.5</v>
      </c>
      <c r="F41" s="1583">
        <v>1723.5</v>
      </c>
      <c r="G41" s="1583">
        <v>1721.5</v>
      </c>
      <c r="H41" s="1583">
        <v>1722.5</v>
      </c>
      <c r="I41" s="1590" t="s">
        <v>2374</v>
      </c>
      <c r="J41" s="1582" t="s">
        <v>2369</v>
      </c>
    </row>
    <row r="42" spans="1:10">
      <c r="A42" s="1586">
        <v>248</v>
      </c>
      <c r="B42" s="1586" t="s">
        <v>1616</v>
      </c>
      <c r="C42" s="1583">
        <v>2421.3000000000002</v>
      </c>
      <c r="D42" s="1583">
        <v>2422.9</v>
      </c>
      <c r="E42" s="1583">
        <v>2430.3000000000002</v>
      </c>
      <c r="F42" s="1583">
        <v>2427.1000000000004</v>
      </c>
      <c r="G42" s="1583">
        <v>2438.6999999999998</v>
      </c>
      <c r="H42" s="1583">
        <v>2442.3000000000002</v>
      </c>
      <c r="I42" s="1590" t="s">
        <v>2374</v>
      </c>
      <c r="J42" s="1582" t="s">
        <v>2369</v>
      </c>
    </row>
    <row r="43" spans="1:10">
      <c r="A43" s="1586">
        <v>249</v>
      </c>
      <c r="B43" s="1586" t="s">
        <v>1629</v>
      </c>
      <c r="C43" s="1583">
        <v>2524.6</v>
      </c>
      <c r="D43" s="1583">
        <v>2522.6</v>
      </c>
      <c r="E43" s="1583">
        <v>2517.1</v>
      </c>
      <c r="F43" s="1583">
        <v>2520.6</v>
      </c>
      <c r="G43" s="1583">
        <v>2521.6</v>
      </c>
      <c r="H43" s="1583">
        <v>2525.6</v>
      </c>
      <c r="I43" s="1590" t="s">
        <v>2374</v>
      </c>
      <c r="J43" s="1582" t="s">
        <v>2369</v>
      </c>
    </row>
    <row r="44" spans="1:10">
      <c r="A44" s="1586">
        <v>250</v>
      </c>
      <c r="B44" s="1586" t="s">
        <v>1621</v>
      </c>
      <c r="C44" s="1583">
        <v>3355</v>
      </c>
      <c r="D44" s="1583">
        <v>3355</v>
      </c>
      <c r="E44" s="1583">
        <v>3355</v>
      </c>
      <c r="F44" s="1583">
        <v>3355</v>
      </c>
      <c r="G44" s="1583">
        <v>3355</v>
      </c>
      <c r="H44" s="1583">
        <v>3355</v>
      </c>
      <c r="I44" s="1590" t="s">
        <v>2374</v>
      </c>
      <c r="J44" s="1582" t="s">
        <v>2369</v>
      </c>
    </row>
    <row r="45" spans="1:10">
      <c r="A45" s="1586">
        <v>251</v>
      </c>
      <c r="B45" s="1586" t="s">
        <v>1620</v>
      </c>
      <c r="C45" s="1589">
        <v>14478.6</v>
      </c>
      <c r="D45" s="1583">
        <v>14565.6</v>
      </c>
      <c r="E45" s="1583">
        <v>14802.4</v>
      </c>
      <c r="F45" s="1583">
        <v>14849.400000000001</v>
      </c>
      <c r="G45" s="1583">
        <v>14918.4</v>
      </c>
      <c r="H45" s="1583">
        <v>14917.2</v>
      </c>
      <c r="I45" s="1590" t="s">
        <v>2374</v>
      </c>
      <c r="J45" s="1582" t="s">
        <v>2369</v>
      </c>
    </row>
    <row r="46" spans="1:10">
      <c r="A46" s="1586">
        <v>252</v>
      </c>
      <c r="B46" s="1586" t="s">
        <v>1630</v>
      </c>
      <c r="C46" s="1583">
        <v>9501.6</v>
      </c>
      <c r="D46" s="1583">
        <v>9497.4</v>
      </c>
      <c r="E46" s="1583">
        <v>9499.6</v>
      </c>
      <c r="F46" s="1583">
        <v>9503.2000000000007</v>
      </c>
      <c r="G46" s="1583">
        <v>9516.5</v>
      </c>
      <c r="H46" s="1583">
        <v>9527.8000000000011</v>
      </c>
      <c r="I46" s="1590" t="s">
        <v>2374</v>
      </c>
      <c r="J46" s="1582" t="s">
        <v>2369</v>
      </c>
    </row>
    <row r="47" spans="1:10">
      <c r="A47" s="1586">
        <v>254</v>
      </c>
      <c r="B47" s="1586" t="s">
        <v>1657</v>
      </c>
      <c r="C47" s="1583">
        <v>808</v>
      </c>
      <c r="D47" s="1583">
        <v>811</v>
      </c>
      <c r="E47" s="1583">
        <v>811</v>
      </c>
      <c r="F47" s="1583">
        <v>810</v>
      </c>
      <c r="G47" s="1583">
        <v>813</v>
      </c>
      <c r="H47" s="1583">
        <v>834</v>
      </c>
      <c r="I47" s="1590" t="s">
        <v>1656</v>
      </c>
      <c r="J47" s="1582" t="s">
        <v>1655</v>
      </c>
    </row>
    <row r="48" spans="1:10">
      <c r="A48" s="1586">
        <v>255</v>
      </c>
      <c r="B48" s="1586" t="s">
        <v>1625</v>
      </c>
      <c r="C48" s="1583">
        <v>21262.6</v>
      </c>
      <c r="D48" s="1583">
        <v>21272.1</v>
      </c>
      <c r="E48" s="1583">
        <v>21278.6</v>
      </c>
      <c r="F48" s="1583">
        <v>21289.1</v>
      </c>
      <c r="G48" s="1583">
        <v>21300.1</v>
      </c>
      <c r="H48" s="1583">
        <v>21313.1</v>
      </c>
      <c r="I48" s="1590" t="s">
        <v>2374</v>
      </c>
      <c r="J48" s="1582" t="s">
        <v>2369</v>
      </c>
    </row>
    <row r="49" spans="1:10">
      <c r="A49" s="1586">
        <v>256</v>
      </c>
      <c r="B49" s="1586" t="s">
        <v>1633</v>
      </c>
      <c r="C49" s="1583">
        <v>1208.5999999999999</v>
      </c>
      <c r="D49" s="1583">
        <v>1212.4000000000001</v>
      </c>
      <c r="E49" s="1583">
        <v>1216.5999999999999</v>
      </c>
      <c r="F49" s="1583">
        <v>1222.4000000000001</v>
      </c>
      <c r="G49" s="1583">
        <v>1223.2</v>
      </c>
      <c r="H49" s="1583">
        <v>1218.2</v>
      </c>
      <c r="I49" s="1590" t="s">
        <v>2374</v>
      </c>
      <c r="J49" s="1582" t="s">
        <v>2369</v>
      </c>
    </row>
    <row r="50" spans="1:10">
      <c r="A50" s="1586">
        <v>259</v>
      </c>
      <c r="B50" s="1586" t="s">
        <v>1618</v>
      </c>
      <c r="C50" s="1583">
        <v>1521.6</v>
      </c>
      <c r="D50" s="1583">
        <v>1520</v>
      </c>
      <c r="E50" s="1583">
        <v>1520</v>
      </c>
      <c r="F50" s="1583">
        <v>1505.6</v>
      </c>
      <c r="G50" s="1583">
        <v>1499.2</v>
      </c>
      <c r="H50" s="1583">
        <v>1494.4</v>
      </c>
      <c r="I50" s="1590" t="s">
        <v>2374</v>
      </c>
      <c r="J50" s="1582" t="s">
        <v>2369</v>
      </c>
    </row>
    <row r="51" spans="1:10">
      <c r="A51" s="1586">
        <v>260</v>
      </c>
      <c r="B51" s="1586" t="s">
        <v>1632</v>
      </c>
      <c r="C51" s="1583">
        <v>2707</v>
      </c>
      <c r="D51" s="1583">
        <v>2712</v>
      </c>
      <c r="E51" s="1583">
        <v>2713</v>
      </c>
      <c r="F51" s="1583">
        <v>2714</v>
      </c>
      <c r="G51" s="1583">
        <v>2712</v>
      </c>
      <c r="H51" s="1583">
        <v>2723</v>
      </c>
      <c r="I51" s="1590" t="s">
        <v>2374</v>
      </c>
      <c r="J51" s="1582" t="s">
        <v>2369</v>
      </c>
    </row>
    <row r="52" spans="1:10">
      <c r="A52" s="1586">
        <v>286</v>
      </c>
      <c r="B52" s="1586" t="s">
        <v>1539</v>
      </c>
      <c r="C52" s="1583">
        <v>929.8</v>
      </c>
      <c r="D52" s="1583">
        <v>929.8</v>
      </c>
      <c r="E52" s="1583">
        <v>928.8</v>
      </c>
      <c r="F52" s="1583">
        <v>927.8</v>
      </c>
      <c r="G52" s="1583">
        <v>928.8</v>
      </c>
      <c r="H52" s="1583">
        <v>927.8</v>
      </c>
      <c r="I52" s="1590" t="s">
        <v>2375</v>
      </c>
      <c r="J52" s="1582" t="s">
        <v>2367</v>
      </c>
    </row>
    <row r="53" spans="1:10">
      <c r="A53" s="1586">
        <v>287</v>
      </c>
      <c r="B53" s="1586" t="s">
        <v>1541</v>
      </c>
      <c r="C53" s="1583">
        <v>1483</v>
      </c>
      <c r="D53" s="1583">
        <v>1481</v>
      </c>
      <c r="E53" s="1583">
        <v>1483</v>
      </c>
      <c r="F53" s="1583">
        <v>1484</v>
      </c>
      <c r="G53" s="1583">
        <v>1484</v>
      </c>
      <c r="H53" s="1583">
        <v>1484</v>
      </c>
      <c r="I53" s="1590" t="s">
        <v>2375</v>
      </c>
      <c r="J53" s="1582" t="s">
        <v>2367</v>
      </c>
    </row>
    <row r="54" spans="1:10">
      <c r="A54" s="1586">
        <v>288</v>
      </c>
      <c r="B54" s="1586" t="s">
        <v>1540</v>
      </c>
      <c r="C54" s="1583">
        <v>2183.9</v>
      </c>
      <c r="D54" s="1583">
        <v>2186.9</v>
      </c>
      <c r="E54" s="1583">
        <v>2188.9</v>
      </c>
      <c r="F54" s="1583">
        <v>2185.3000000000002</v>
      </c>
      <c r="G54" s="1583">
        <v>2187.9</v>
      </c>
      <c r="H54" s="1583">
        <v>2183.8999999999996</v>
      </c>
      <c r="I54" s="1590" t="s">
        <v>2375</v>
      </c>
      <c r="J54" s="1582" t="s">
        <v>2367</v>
      </c>
    </row>
    <row r="55" spans="1:10">
      <c r="A55" s="1586">
        <v>300</v>
      </c>
      <c r="B55" s="1586" t="s">
        <v>1553</v>
      </c>
      <c r="C55" s="1583">
        <v>1009.6</v>
      </c>
      <c r="D55" s="1583">
        <v>1007.6</v>
      </c>
      <c r="E55" s="1583">
        <v>1011.6</v>
      </c>
      <c r="F55" s="1583">
        <v>1015.5999999999999</v>
      </c>
      <c r="G55" s="1583">
        <v>1019.6</v>
      </c>
      <c r="H55" s="1583">
        <v>1015.5999999999999</v>
      </c>
      <c r="I55" s="1590" t="s">
        <v>2375</v>
      </c>
      <c r="J55" s="1582" t="s">
        <v>2367</v>
      </c>
    </row>
    <row r="56" spans="1:10">
      <c r="A56" s="1586">
        <v>315</v>
      </c>
      <c r="B56" s="1586" t="s">
        <v>1558</v>
      </c>
      <c r="C56" s="1583">
        <v>885</v>
      </c>
      <c r="D56" s="1583">
        <v>890</v>
      </c>
      <c r="E56" s="1583">
        <v>897</v>
      </c>
      <c r="F56" s="1583">
        <v>905</v>
      </c>
      <c r="G56" s="1583">
        <v>906</v>
      </c>
      <c r="H56" s="1583">
        <v>913</v>
      </c>
      <c r="I56" s="1590" t="s">
        <v>2375</v>
      </c>
      <c r="J56" s="1582" t="s">
        <v>2367</v>
      </c>
    </row>
    <row r="57" spans="1:10">
      <c r="A57" s="1586">
        <v>316</v>
      </c>
      <c r="B57" s="1586" t="s">
        <v>1557</v>
      </c>
      <c r="C57" s="1583">
        <v>2367</v>
      </c>
      <c r="D57" s="1583">
        <v>2408</v>
      </c>
      <c r="E57" s="1583">
        <v>2403</v>
      </c>
      <c r="F57" s="1583">
        <v>1361.7</v>
      </c>
      <c r="G57" s="1583">
        <v>1365.7</v>
      </c>
      <c r="H57" s="1583">
        <v>1362.7</v>
      </c>
      <c r="I57" s="1590" t="s">
        <v>2375</v>
      </c>
      <c r="J57" s="1582" t="s">
        <v>2367</v>
      </c>
    </row>
    <row r="58" spans="1:10">
      <c r="A58" s="1586">
        <v>317</v>
      </c>
      <c r="B58" s="1586" t="s">
        <v>1556</v>
      </c>
      <c r="C58" s="1583">
        <v>3233</v>
      </c>
      <c r="D58" s="1583">
        <v>3235</v>
      </c>
      <c r="E58" s="1583">
        <v>3230</v>
      </c>
      <c r="F58" s="1583">
        <v>3227.5</v>
      </c>
      <c r="G58" s="1583">
        <v>3242.5</v>
      </c>
      <c r="H58" s="1583">
        <v>3251.5</v>
      </c>
      <c r="I58" s="1590" t="s">
        <v>2375</v>
      </c>
      <c r="J58" s="1582" t="s">
        <v>2367</v>
      </c>
    </row>
    <row r="59" spans="1:10">
      <c r="A59" s="1586">
        <v>332</v>
      </c>
      <c r="B59" s="1586" t="s">
        <v>1560</v>
      </c>
      <c r="C59" s="1583">
        <v>169</v>
      </c>
      <c r="D59" s="1583">
        <v>169</v>
      </c>
      <c r="E59" s="1583">
        <v>169</v>
      </c>
      <c r="F59" s="1583">
        <v>169</v>
      </c>
      <c r="G59" s="1583">
        <v>169</v>
      </c>
      <c r="H59" s="1583">
        <v>169</v>
      </c>
      <c r="I59" s="1590" t="s">
        <v>2375</v>
      </c>
      <c r="J59" s="1582" t="s">
        <v>2367</v>
      </c>
    </row>
    <row r="60" spans="1:10">
      <c r="A60" s="1586">
        <v>333</v>
      </c>
      <c r="B60" s="1586" t="s">
        <v>1561</v>
      </c>
      <c r="C60" s="1583">
        <v>5852.5</v>
      </c>
      <c r="D60" s="1583">
        <v>5856.5</v>
      </c>
      <c r="E60" s="1583">
        <v>5851.5</v>
      </c>
      <c r="F60" s="1583">
        <v>5873.5</v>
      </c>
      <c r="G60" s="1583">
        <v>5866.5</v>
      </c>
      <c r="H60" s="1583">
        <v>5686.9</v>
      </c>
      <c r="I60" s="1590" t="s">
        <v>2375</v>
      </c>
      <c r="J60" s="1582" t="s">
        <v>2367</v>
      </c>
    </row>
    <row r="61" spans="1:10">
      <c r="A61" s="1586">
        <v>345</v>
      </c>
      <c r="B61" s="1586" t="s">
        <v>1595</v>
      </c>
      <c r="C61" s="1583">
        <v>7273.6</v>
      </c>
      <c r="D61" s="1583">
        <v>7216.8</v>
      </c>
      <c r="E61" s="1583">
        <v>7198.4</v>
      </c>
      <c r="F61" s="1583">
        <v>7205.8</v>
      </c>
      <c r="G61" s="1583">
        <v>7196.7</v>
      </c>
      <c r="H61" s="1583">
        <v>7204.4000000000005</v>
      </c>
      <c r="I61" s="1590" t="s">
        <v>1564</v>
      </c>
      <c r="J61" s="1582" t="s">
        <v>2367</v>
      </c>
    </row>
    <row r="62" spans="1:10">
      <c r="A62" s="1586">
        <v>356</v>
      </c>
      <c r="B62" s="1586" t="s">
        <v>1609</v>
      </c>
      <c r="C62" s="1583">
        <v>10238.9</v>
      </c>
      <c r="D62" s="1583">
        <v>10238.700000000001</v>
      </c>
      <c r="E62" s="1583">
        <v>10251.1</v>
      </c>
      <c r="F62" s="1583">
        <v>10273.299999999999</v>
      </c>
      <c r="G62" s="1583">
        <v>10281.9</v>
      </c>
      <c r="H62" s="1583">
        <v>10268.699999999999</v>
      </c>
      <c r="I62" s="1590" t="s">
        <v>1603</v>
      </c>
      <c r="J62" s="1582" t="s">
        <v>2370</v>
      </c>
    </row>
    <row r="63" spans="1:10">
      <c r="A63" s="1586">
        <v>357</v>
      </c>
      <c r="B63" s="1586" t="s">
        <v>1610</v>
      </c>
      <c r="C63" s="1583">
        <v>14971.5</v>
      </c>
      <c r="D63" s="1583">
        <v>15036</v>
      </c>
      <c r="E63" s="1583">
        <v>15083.4</v>
      </c>
      <c r="F63" s="1583">
        <v>15109.9</v>
      </c>
      <c r="G63" s="1583">
        <v>15141.7</v>
      </c>
      <c r="H63" s="1583">
        <v>15151.099999999999</v>
      </c>
      <c r="I63" s="1590" t="s">
        <v>1603</v>
      </c>
      <c r="J63" s="1582" t="s">
        <v>2370</v>
      </c>
    </row>
    <row r="64" spans="1:10">
      <c r="A64" s="1586">
        <v>358</v>
      </c>
      <c r="B64" s="1586" t="s">
        <v>2365</v>
      </c>
      <c r="C64" s="1583">
        <v>0</v>
      </c>
      <c r="D64" s="1583">
        <v>2432.35</v>
      </c>
      <c r="E64" s="1583">
        <v>2412.8200000000002</v>
      </c>
      <c r="F64" s="1583">
        <v>2400.8199999999997</v>
      </c>
      <c r="G64" s="1583">
        <v>2419.8200000000002</v>
      </c>
      <c r="H64" s="1583">
        <v>2419.8199999999997</v>
      </c>
      <c r="I64" s="1590" t="s">
        <v>1603</v>
      </c>
      <c r="J64" s="1582" t="s">
        <v>2370</v>
      </c>
    </row>
    <row r="65" spans="1:10">
      <c r="A65" s="1586">
        <v>385</v>
      </c>
      <c r="B65" s="1586" t="s">
        <v>1605</v>
      </c>
      <c r="C65" s="1583">
        <v>10442.299999999999</v>
      </c>
      <c r="D65" s="1583">
        <v>10437.9</v>
      </c>
      <c r="E65" s="1583">
        <v>10526.9</v>
      </c>
      <c r="F65" s="1583">
        <v>10543.3</v>
      </c>
      <c r="G65" s="1583">
        <v>10542.9</v>
      </c>
      <c r="H65" s="1583">
        <v>10529.900000000001</v>
      </c>
      <c r="I65" s="1590" t="s">
        <v>1603</v>
      </c>
      <c r="J65" s="1582" t="s">
        <v>2370</v>
      </c>
    </row>
    <row r="66" spans="1:10">
      <c r="A66" s="1586">
        <v>386</v>
      </c>
      <c r="B66" s="1586" t="s">
        <v>1606</v>
      </c>
      <c r="C66" s="1583">
        <v>2383</v>
      </c>
      <c r="D66" s="1583">
        <v>2389</v>
      </c>
      <c r="E66" s="1583">
        <v>2393</v>
      </c>
      <c r="F66" s="1583">
        <v>2392</v>
      </c>
      <c r="G66" s="1583">
        <v>2393</v>
      </c>
      <c r="H66" s="1583">
        <v>2385</v>
      </c>
      <c r="I66" s="1590" t="s">
        <v>1603</v>
      </c>
      <c r="J66" s="1582" t="s">
        <v>2370</v>
      </c>
    </row>
    <row r="67" spans="1:10">
      <c r="A67" s="1586">
        <v>400</v>
      </c>
      <c r="B67" s="1586" t="s">
        <v>1637</v>
      </c>
      <c r="C67" s="1583">
        <v>21968.5</v>
      </c>
      <c r="D67" s="1583">
        <v>21998.3</v>
      </c>
      <c r="E67" s="1583">
        <v>21988.3</v>
      </c>
      <c r="F67" s="1583">
        <v>22043.3</v>
      </c>
      <c r="G67" s="1583">
        <v>22117.8</v>
      </c>
      <c r="H67" s="1583">
        <v>22178.799999999999</v>
      </c>
      <c r="I67" s="1590" t="s">
        <v>2376</v>
      </c>
      <c r="J67" s="1582" t="s">
        <v>2371</v>
      </c>
    </row>
    <row r="68" spans="1:10">
      <c r="A68" s="1586">
        <v>401</v>
      </c>
      <c r="B68" s="1586" t="s">
        <v>1641</v>
      </c>
      <c r="C68" s="1583">
        <v>6812.9</v>
      </c>
      <c r="D68" s="1583">
        <v>6812.9</v>
      </c>
      <c r="E68" s="1583">
        <v>6812.1</v>
      </c>
      <c r="F68" s="1583">
        <v>6815.3</v>
      </c>
      <c r="G68" s="1583">
        <v>6811.7</v>
      </c>
      <c r="H68" s="1583">
        <v>6815.5</v>
      </c>
      <c r="I68" s="1590" t="s">
        <v>2376</v>
      </c>
      <c r="J68" s="1582" t="s">
        <v>2371</v>
      </c>
    </row>
    <row r="69" spans="1:10">
      <c r="A69" s="1586">
        <v>402</v>
      </c>
      <c r="B69" s="1586" t="s">
        <v>1638</v>
      </c>
      <c r="C69" s="1583">
        <v>171</v>
      </c>
      <c r="D69" s="1583">
        <v>170</v>
      </c>
      <c r="E69" s="1583">
        <v>169</v>
      </c>
      <c r="F69" s="1583">
        <v>170</v>
      </c>
      <c r="G69" s="1583">
        <v>171</v>
      </c>
      <c r="H69" s="1583">
        <v>171</v>
      </c>
      <c r="I69" s="1590" t="s">
        <v>2376</v>
      </c>
      <c r="J69" s="1582" t="s">
        <v>2371</v>
      </c>
    </row>
    <row r="70" spans="1:10">
      <c r="A70" s="1586">
        <v>403</v>
      </c>
      <c r="B70" s="1586" t="s">
        <v>2366</v>
      </c>
      <c r="C70" s="1583">
        <v>1018.7</v>
      </c>
      <c r="D70" s="1583">
        <v>1017.3</v>
      </c>
      <c r="E70" s="1583">
        <v>1017.9</v>
      </c>
      <c r="F70" s="1583">
        <v>1011.3</v>
      </c>
      <c r="G70" s="1583">
        <v>1013.9</v>
      </c>
      <c r="H70" s="1583">
        <v>1019.1</v>
      </c>
      <c r="I70" s="1590" t="s">
        <v>2376</v>
      </c>
      <c r="J70" s="1582" t="s">
        <v>2371</v>
      </c>
    </row>
    <row r="71" spans="1:10">
      <c r="A71" s="1586">
        <v>425</v>
      </c>
      <c r="B71" s="1586" t="s">
        <v>1646</v>
      </c>
      <c r="C71" s="1583">
        <v>8740.9</v>
      </c>
      <c r="D71" s="1583">
        <v>8756.9</v>
      </c>
      <c r="E71" s="1583">
        <v>8769.4</v>
      </c>
      <c r="F71" s="1583">
        <v>8746.4</v>
      </c>
      <c r="G71" s="1583">
        <v>8747.9</v>
      </c>
      <c r="H71" s="1583">
        <v>8764.4</v>
      </c>
      <c r="I71" s="1590" t="s">
        <v>1644</v>
      </c>
      <c r="J71" s="1582" t="s">
        <v>2372</v>
      </c>
    </row>
    <row r="72" spans="1:10">
      <c r="A72" s="1586">
        <v>450</v>
      </c>
      <c r="B72" s="1586" t="s">
        <v>1651</v>
      </c>
      <c r="C72" s="1583">
        <v>3573.5</v>
      </c>
      <c r="D72" s="1583">
        <v>3586.5</v>
      </c>
      <c r="E72" s="1583">
        <v>3599.5</v>
      </c>
      <c r="F72" s="1583">
        <v>3594.5</v>
      </c>
      <c r="G72" s="1583">
        <v>3601.5</v>
      </c>
      <c r="H72" s="1583">
        <v>3609.5</v>
      </c>
      <c r="I72" s="1590" t="s">
        <v>1644</v>
      </c>
      <c r="J72" s="1582" t="s">
        <v>2372</v>
      </c>
    </row>
    <row r="73" spans="1:10">
      <c r="A73" s="1586">
        <v>451</v>
      </c>
      <c r="B73" s="1586" t="s">
        <v>1649</v>
      </c>
      <c r="C73" s="1583">
        <v>5127.2</v>
      </c>
      <c r="D73" s="1583">
        <v>5131.2</v>
      </c>
      <c r="E73" s="1583">
        <v>5160.2</v>
      </c>
      <c r="F73" s="1583">
        <v>5176.2</v>
      </c>
      <c r="G73" s="1583">
        <v>5191.2</v>
      </c>
      <c r="H73" s="1583">
        <v>5218.2</v>
      </c>
      <c r="I73" s="1590" t="s">
        <v>1644</v>
      </c>
      <c r="J73" s="1582" t="s">
        <v>2372</v>
      </c>
    </row>
    <row r="74" spans="1:10">
      <c r="A74" s="1586">
        <v>452</v>
      </c>
      <c r="B74" s="1586" t="s">
        <v>1648</v>
      </c>
      <c r="C74" s="1583">
        <v>586</v>
      </c>
      <c r="D74" s="1583">
        <v>587</v>
      </c>
      <c r="E74" s="1583">
        <v>586</v>
      </c>
      <c r="F74" s="1583">
        <v>586</v>
      </c>
      <c r="G74" s="1583">
        <v>586</v>
      </c>
      <c r="H74" s="1583">
        <v>586</v>
      </c>
      <c r="I74" s="1590" t="s">
        <v>1644</v>
      </c>
      <c r="J74" s="1582" t="s">
        <v>2372</v>
      </c>
    </row>
    <row r="75" spans="1:10">
      <c r="A75" s="1586">
        <v>453</v>
      </c>
      <c r="B75" s="1586" t="s">
        <v>1650</v>
      </c>
      <c r="C75" s="1583">
        <v>12152.6</v>
      </c>
      <c r="D75" s="1583">
        <v>12173.8</v>
      </c>
      <c r="E75" s="1583">
        <v>12206</v>
      </c>
      <c r="F75" s="1583">
        <v>12215.5</v>
      </c>
      <c r="G75" s="1583">
        <v>12228.8</v>
      </c>
      <c r="H75" s="1583">
        <v>12261.900000000001</v>
      </c>
      <c r="I75" s="1590" t="s">
        <v>1644</v>
      </c>
      <c r="J75" s="1582" t="s">
        <v>2372</v>
      </c>
    </row>
    <row r="76" spans="1:10" ht="17.25" thickBot="1">
      <c r="C76" s="1588">
        <f t="shared" ref="C76:H76" si="1">SUM(C3:C75)</f>
        <v>270203.99</v>
      </c>
      <c r="D76" s="1588">
        <f t="shared" si="1"/>
        <v>272958.24</v>
      </c>
      <c r="E76" s="1588">
        <f t="shared" si="1"/>
        <v>273430.11</v>
      </c>
      <c r="F76" s="1588">
        <f t="shared" si="1"/>
        <v>272655.10999999993</v>
      </c>
      <c r="G76" s="1588">
        <f t="shared" si="1"/>
        <v>272998.81000000006</v>
      </c>
      <c r="H76" s="1588">
        <f t="shared" si="1"/>
        <v>272963.81</v>
      </c>
    </row>
    <row r="77" spans="1:10" ht="17.25" thickTop="1">
      <c r="D77" s="1583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"/>
  <sheetViews>
    <sheetView workbookViewId="0"/>
  </sheetViews>
  <sheetFormatPr defaultRowHeight="12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29"/>
  <sheetViews>
    <sheetView view="pageBreakPreview" zoomScaleNormal="100" zoomScaleSheetLayoutView="100" workbookViewId="0"/>
  </sheetViews>
  <sheetFormatPr defaultRowHeight="12.75"/>
  <cols>
    <col min="1" max="1" width="7.375" style="1418" customWidth="1"/>
    <col min="2" max="2" width="3.75" style="1418" customWidth="1"/>
    <col min="3" max="3" width="32.125" style="1418" bestFit="1" customWidth="1"/>
    <col min="4" max="4" width="12.875" style="1419" customWidth="1"/>
    <col min="5" max="5" width="8.25" style="1418" hidden="1" customWidth="1"/>
    <col min="6" max="16384" width="9" style="1418"/>
  </cols>
  <sheetData>
    <row r="1" spans="1:5">
      <c r="A1" s="1417" t="str">
        <f>Company_Name</f>
        <v>WATER SERVICE CORPORATION OF KENTUCKY</v>
      </c>
    </row>
    <row r="2" spans="1:5">
      <c r="A2" s="1420" t="str">
        <f>Docket</f>
        <v>Case No. 2015 - 00382</v>
      </c>
      <c r="C2" s="1421"/>
    </row>
    <row r="3" spans="1:5">
      <c r="A3" s="1417" t="s">
        <v>1944</v>
      </c>
    </row>
    <row r="4" spans="1:5">
      <c r="A4" s="1417" t="str">
        <f>TestYearEnded</f>
        <v>Test Year Ended 6/30/2015</v>
      </c>
    </row>
    <row r="6" spans="1:5" s="1500" customFormat="1">
      <c r="C6" s="1500" t="s">
        <v>235</v>
      </c>
      <c r="D6" s="1501" t="s">
        <v>236</v>
      </c>
    </row>
    <row r="8" spans="1:5">
      <c r="A8" s="1498" t="s">
        <v>1786</v>
      </c>
      <c r="B8" s="1498"/>
      <c r="C8" s="1498"/>
      <c r="D8" s="1499">
        <v>42185</v>
      </c>
    </row>
    <row r="9" spans="1:5">
      <c r="D9" s="1422"/>
    </row>
    <row r="10" spans="1:5">
      <c r="A10" s="1500">
        <v>1</v>
      </c>
      <c r="B10" s="1418" t="s">
        <v>1945</v>
      </c>
      <c r="D10" s="1423">
        <f>+'Sch.A-B.S'!$G$47</f>
        <v>7579883.2900000019</v>
      </c>
      <c r="E10" s="1418" t="s">
        <v>1946</v>
      </c>
    </row>
    <row r="11" spans="1:5">
      <c r="A11" s="1500">
        <v>2</v>
      </c>
      <c r="D11" s="1422"/>
    </row>
    <row r="12" spans="1:5">
      <c r="A12" s="1500">
        <v>3</v>
      </c>
      <c r="B12" s="1418" t="s">
        <v>1947</v>
      </c>
      <c r="D12" s="1422"/>
    </row>
    <row r="13" spans="1:5">
      <c r="A13" s="1500">
        <v>4</v>
      </c>
      <c r="C13" s="1418" t="s">
        <v>1972</v>
      </c>
      <c r="D13" s="1422">
        <f>+'Sch.C-R.B'!G14</f>
        <v>-390934.42313278373</v>
      </c>
      <c r="E13" s="1418" t="s">
        <v>1948</v>
      </c>
    </row>
    <row r="14" spans="1:5">
      <c r="A14" s="1500">
        <v>5</v>
      </c>
      <c r="C14" s="1418" t="s">
        <v>1949</v>
      </c>
      <c r="D14" s="1422">
        <f>+'Sch.C-R.B'!G15</f>
        <v>589462.34499045974</v>
      </c>
      <c r="E14" s="1424" t="s">
        <v>1950</v>
      </c>
    </row>
    <row r="15" spans="1:5">
      <c r="A15" s="1500">
        <v>6</v>
      </c>
      <c r="C15" s="1418" t="s">
        <v>1951</v>
      </c>
      <c r="D15" s="1422">
        <f ca="1">+'Sch.C-R.B'!I17</f>
        <v>232335</v>
      </c>
      <c r="E15" s="1418" t="s">
        <v>1952</v>
      </c>
    </row>
    <row r="16" spans="1:5">
      <c r="A16" s="1500">
        <v>7</v>
      </c>
      <c r="C16" s="1418" t="s">
        <v>1953</v>
      </c>
      <c r="D16" s="1422">
        <f>+'Sch.C-R.B'!I18</f>
        <v>-182305.26936486256</v>
      </c>
      <c r="E16" s="1418" t="s">
        <v>1954</v>
      </c>
    </row>
    <row r="17" spans="1:5">
      <c r="A17" s="1500">
        <v>8</v>
      </c>
      <c r="C17" s="1418" t="s">
        <v>1955</v>
      </c>
      <c r="D17" s="1422">
        <f>+'Sch.C-R.B'!I19</f>
        <v>-68852.530799999979</v>
      </c>
      <c r="E17" s="1418" t="s">
        <v>1956</v>
      </c>
    </row>
    <row r="18" spans="1:5">
      <c r="A18" s="1500">
        <v>9</v>
      </c>
      <c r="C18" s="1418" t="s">
        <v>1957</v>
      </c>
      <c r="D18" s="1422">
        <f>+'Sch.C-R.B'!I20</f>
        <v>-836172.26</v>
      </c>
      <c r="E18" s="1418" t="s">
        <v>1958</v>
      </c>
    </row>
    <row r="19" spans="1:5">
      <c r="A19" s="1500">
        <v>10</v>
      </c>
      <c r="C19" s="1418" t="s">
        <v>1959</v>
      </c>
      <c r="D19" s="1422">
        <f>+'Sch.C-R.B'!I21</f>
        <v>-35468.68</v>
      </c>
      <c r="E19" s="1418" t="s">
        <v>1960</v>
      </c>
    </row>
    <row r="20" spans="1:5">
      <c r="A20" s="1500">
        <v>11</v>
      </c>
      <c r="C20" s="1418" t="s">
        <v>1961</v>
      </c>
      <c r="D20" s="1422">
        <f>-'Sch.A-B.S'!G26</f>
        <v>137268.54</v>
      </c>
      <c r="E20" s="1418" t="s">
        <v>1962</v>
      </c>
    </row>
    <row r="21" spans="1:5">
      <c r="A21" s="1500">
        <v>12</v>
      </c>
      <c r="C21" s="1418" t="s">
        <v>3564</v>
      </c>
      <c r="D21" s="1422">
        <f>+'Sch.A-B.S'!G32</f>
        <v>0</v>
      </c>
      <c r="E21" s="1418" t="s">
        <v>1963</v>
      </c>
    </row>
    <row r="22" spans="1:5">
      <c r="A22" s="1500">
        <v>13</v>
      </c>
      <c r="C22" s="1425" t="s">
        <v>0</v>
      </c>
      <c r="D22" s="1422">
        <f>-'Sch.A-B.S'!G38</f>
        <v>-104802.78</v>
      </c>
      <c r="E22" s="1418" t="s">
        <v>1964</v>
      </c>
    </row>
    <row r="23" spans="1:5">
      <c r="A23" s="1500">
        <v>14</v>
      </c>
      <c r="C23" s="1425" t="s">
        <v>1965</v>
      </c>
      <c r="D23" s="1422">
        <f>-'Sch.A-B.S'!G39</f>
        <v>-725575.09</v>
      </c>
      <c r="E23" s="1418" t="s">
        <v>1966</v>
      </c>
    </row>
    <row r="24" spans="1:5">
      <c r="A24" s="1500">
        <v>15</v>
      </c>
      <c r="C24" s="1425" t="s">
        <v>1967</v>
      </c>
      <c r="D24" s="1422">
        <f>-'Sch.A-B.S'!G40</f>
        <v>-13800</v>
      </c>
      <c r="E24" s="1418" t="s">
        <v>1968</v>
      </c>
    </row>
    <row r="25" spans="1:5">
      <c r="A25" s="1500">
        <v>16</v>
      </c>
      <c r="C25" s="1418" t="s">
        <v>1969</v>
      </c>
      <c r="D25" s="1422">
        <f>-'Sch.A-B.S'!G45</f>
        <v>-224616.64999999997</v>
      </c>
      <c r="E25" s="1418" t="s">
        <v>1970</v>
      </c>
    </row>
    <row r="26" spans="1:5">
      <c r="A26" s="1500">
        <v>17</v>
      </c>
    </row>
    <row r="27" spans="1:5">
      <c r="A27" s="1500">
        <v>18</v>
      </c>
    </row>
    <row r="28" spans="1:5" ht="13.5" thickBot="1">
      <c r="A28" s="1500">
        <v>19</v>
      </c>
      <c r="B28" s="1418" t="s">
        <v>1971</v>
      </c>
      <c r="D28" s="1426">
        <f ca="1">SUM(D10:D26)</f>
        <v>5956421.4916928159</v>
      </c>
    </row>
    <row r="29" spans="1:5" ht="13.5" thickTop="1"/>
  </sheetData>
  <pageMargins left="0.75" right="0.75" top="1" bottom="1" header="0.5" footer="0.5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view="pageBreakPreview" zoomScaleNormal="100" zoomScaleSheetLayoutView="100" workbookViewId="0"/>
  </sheetViews>
  <sheetFormatPr defaultRowHeight="12.75"/>
  <cols>
    <col min="1" max="1" width="6.625" style="636" customWidth="1"/>
    <col min="2" max="2" width="2.75" style="636" bestFit="1" customWidth="1"/>
    <col min="3" max="3" width="3.25" style="636" customWidth="1"/>
    <col min="4" max="4" width="2.625" style="636" customWidth="1"/>
    <col min="5" max="5" width="13" style="636" bestFit="1" customWidth="1"/>
    <col min="6" max="6" width="4.5" style="636" bestFit="1" customWidth="1"/>
    <col min="7" max="7" width="9.875" style="636" bestFit="1" customWidth="1"/>
    <col min="8" max="8" width="10.75" style="636" bestFit="1" customWidth="1"/>
    <col min="9" max="9" width="10.125" style="636" bestFit="1" customWidth="1"/>
    <col min="10" max="10" width="9.125" style="636" bestFit="1" customWidth="1"/>
    <col min="11" max="11" width="3" style="636" customWidth="1"/>
    <col min="12" max="12" width="12" style="636" bestFit="1" customWidth="1"/>
    <col min="13" max="13" width="10.25" style="636" bestFit="1" customWidth="1"/>
    <col min="14" max="16384" width="9" style="636"/>
  </cols>
  <sheetData>
    <row r="1" spans="1:13">
      <c r="A1" s="1457" t="str">
        <f>Company_Name</f>
        <v>WATER SERVICE CORPORATION OF KENTUCKY</v>
      </c>
      <c r="B1" s="1458"/>
      <c r="C1" s="1459"/>
      <c r="D1" s="1458"/>
      <c r="E1" s="1458"/>
      <c r="F1" s="1458"/>
      <c r="G1" s="1458"/>
      <c r="H1" s="1458"/>
      <c r="I1" s="1458"/>
      <c r="M1" s="1460" t="s">
        <v>1890</v>
      </c>
    </row>
    <row r="2" spans="1:13">
      <c r="A2" s="1457" t="str">
        <f>Docket</f>
        <v>Case No. 2015 - 00382</v>
      </c>
      <c r="B2" s="1458"/>
      <c r="C2" s="1459"/>
      <c r="D2" s="1458"/>
      <c r="E2" s="1458"/>
      <c r="F2" s="1458"/>
      <c r="G2" s="1458"/>
      <c r="H2" s="1458"/>
      <c r="I2" s="1458"/>
      <c r="M2" s="1460"/>
    </row>
    <row r="3" spans="1:13">
      <c r="A3" s="1457" t="s">
        <v>1891</v>
      </c>
      <c r="B3" s="1458"/>
      <c r="C3" s="1459"/>
      <c r="D3" s="1458"/>
      <c r="E3" s="1458"/>
      <c r="F3" s="1458"/>
      <c r="G3" s="1458"/>
      <c r="H3" s="1458"/>
      <c r="I3" s="1458"/>
      <c r="M3" s="1460"/>
    </row>
    <row r="4" spans="1:13">
      <c r="A4" s="1461" t="str">
        <f>TestYearEnded</f>
        <v>Test Year Ended 6/30/2015</v>
      </c>
      <c r="B4" s="1458"/>
      <c r="C4" s="1461"/>
      <c r="D4" s="1461"/>
      <c r="E4" s="1461"/>
      <c r="F4" s="1461"/>
      <c r="G4" s="1461"/>
      <c r="H4" s="1458"/>
      <c r="I4" s="1458"/>
      <c r="J4" s="1458"/>
    </row>
    <row r="6" spans="1:13" ht="15">
      <c r="A6" s="1016"/>
      <c r="B6" s="1458"/>
      <c r="C6" s="1540"/>
      <c r="D6" s="1540"/>
      <c r="E6" s="1540"/>
      <c r="F6" s="1540"/>
      <c r="G6" s="1540"/>
      <c r="H6" s="1540"/>
      <c r="I6" s="1540"/>
      <c r="J6" s="1540"/>
      <c r="K6" s="1540"/>
      <c r="L6" s="1540"/>
      <c r="M6" s="1540"/>
    </row>
    <row r="7" spans="1:13" s="884" customFormat="1">
      <c r="B7" s="1541"/>
      <c r="C7" s="1541"/>
      <c r="D7" s="1541" t="s">
        <v>235</v>
      </c>
      <c r="E7" s="1541"/>
      <c r="F7" s="1541" t="s">
        <v>236</v>
      </c>
      <c r="G7" s="1541" t="s">
        <v>237</v>
      </c>
      <c r="H7" s="1541" t="s">
        <v>238</v>
      </c>
      <c r="I7" s="1541" t="s">
        <v>239</v>
      </c>
      <c r="J7" s="1541" t="s">
        <v>869</v>
      </c>
      <c r="K7" s="1541"/>
      <c r="L7" s="884" t="s">
        <v>870</v>
      </c>
      <c r="M7" s="884" t="s">
        <v>871</v>
      </c>
    </row>
    <row r="8" spans="1:13">
      <c r="A8" s="1016"/>
      <c r="B8" s="1458"/>
      <c r="C8" s="1459"/>
      <c r="D8" s="1458"/>
      <c r="E8" s="1458"/>
      <c r="F8" s="1458"/>
      <c r="G8" s="1458"/>
      <c r="H8" s="1458"/>
      <c r="I8" s="1458"/>
      <c r="J8" s="1458"/>
      <c r="K8" s="1458"/>
    </row>
    <row r="9" spans="1:13" ht="15">
      <c r="A9" s="1463" t="s">
        <v>1786</v>
      </c>
      <c r="B9" s="1458"/>
      <c r="C9" s="2139" t="s">
        <v>1892</v>
      </c>
      <c r="D9" s="2139"/>
      <c r="E9" s="2139"/>
      <c r="F9" s="1462" t="s">
        <v>1893</v>
      </c>
      <c r="G9" s="1462"/>
      <c r="H9" s="1463" t="s">
        <v>1894</v>
      </c>
      <c r="I9" s="1463" t="s">
        <v>671</v>
      </c>
      <c r="J9" s="1463" t="s">
        <v>92</v>
      </c>
      <c r="K9" s="1458"/>
      <c r="L9" s="1463" t="s">
        <v>1901</v>
      </c>
      <c r="M9" s="1463" t="s">
        <v>531</v>
      </c>
    </row>
    <row r="10" spans="1:13">
      <c r="A10" s="884">
        <v>1</v>
      </c>
    </row>
    <row r="11" spans="1:13">
      <c r="A11" s="884">
        <v>2</v>
      </c>
      <c r="C11" s="636" t="s">
        <v>292</v>
      </c>
    </row>
    <row r="12" spans="1:13">
      <c r="A12" s="884">
        <v>3</v>
      </c>
      <c r="E12" s="636" t="s">
        <v>1899</v>
      </c>
      <c r="F12" s="636" t="s">
        <v>2429</v>
      </c>
      <c r="G12" s="886">
        <f>'wp-o-Computers'!E844+'wp-o-Computers'!E711</f>
        <v>45816.600000000013</v>
      </c>
      <c r="I12" s="886"/>
      <c r="J12" s="886"/>
    </row>
    <row r="13" spans="1:13">
      <c r="A13" s="884">
        <v>4</v>
      </c>
      <c r="E13" s="636" t="s">
        <v>1900</v>
      </c>
      <c r="F13" s="636" t="s">
        <v>2429</v>
      </c>
      <c r="G13" s="886">
        <f>'wp-o-Computers'!E848-G12</f>
        <v>178183.46380615083</v>
      </c>
      <c r="I13" s="886"/>
      <c r="J13" s="886"/>
    </row>
    <row r="14" spans="1:13">
      <c r="A14" s="884">
        <v>5</v>
      </c>
      <c r="D14" s="636" t="s">
        <v>89</v>
      </c>
      <c r="H14" s="886">
        <f>SUM(G12:G13)</f>
        <v>224000.06380615084</v>
      </c>
      <c r="I14" s="886">
        <f>+H14*1</f>
        <v>224000.06380615084</v>
      </c>
      <c r="J14" s="886">
        <f>+H14*0</f>
        <v>0</v>
      </c>
      <c r="L14" s="888">
        <f>+'Linked TB'!E80</f>
        <v>838547.34</v>
      </c>
      <c r="M14" s="888">
        <f>+H14-L14</f>
        <v>-614547.27619384916</v>
      </c>
    </row>
    <row r="15" spans="1:13">
      <c r="A15" s="884">
        <v>6</v>
      </c>
      <c r="D15" s="636" t="s">
        <v>432</v>
      </c>
      <c r="F15" s="636" t="s">
        <v>3565</v>
      </c>
      <c r="H15" s="886">
        <f>SUM('wp-p-Vehicles'!$N$24:$N$28,'wp-p-Vehicles'!$N$16:$N$20)</f>
        <v>273771.07061555248</v>
      </c>
      <c r="I15" s="886">
        <f>+H15*1</f>
        <v>273771.07061555248</v>
      </c>
      <c r="J15" s="886">
        <f>+H15*0</f>
        <v>0</v>
      </c>
      <c r="L15" s="888">
        <f>+'Linked TB'!E73</f>
        <v>594204.38</v>
      </c>
      <c r="M15" s="888">
        <f>+H15-L15</f>
        <v>-320433.30938444752</v>
      </c>
    </row>
    <row r="16" spans="1:13">
      <c r="A16" s="884">
        <v>7</v>
      </c>
      <c r="D16" s="636" t="s">
        <v>1924</v>
      </c>
      <c r="F16" s="636" t="s">
        <v>1936</v>
      </c>
      <c r="H16" s="886">
        <f>+'wp-p5 Recon Summary'!E39</f>
        <v>36282.689999998169</v>
      </c>
      <c r="I16" s="886">
        <f>+H16*1</f>
        <v>36282.689999998169</v>
      </c>
      <c r="J16" s="886">
        <f>+H16*0</f>
        <v>0</v>
      </c>
      <c r="L16" s="888"/>
      <c r="M16" s="888">
        <f>+H16</f>
        <v>36282.689999998169</v>
      </c>
    </row>
    <row r="17" spans="1:13">
      <c r="A17" s="884">
        <v>8</v>
      </c>
      <c r="H17" s="996"/>
      <c r="I17" s="996"/>
      <c r="J17" s="996"/>
      <c r="L17" s="1464"/>
      <c r="M17" s="1464"/>
    </row>
    <row r="18" spans="1:13">
      <c r="A18" s="884">
        <v>9</v>
      </c>
      <c r="C18" s="636" t="s">
        <v>463</v>
      </c>
      <c r="H18" s="886">
        <f>SUM(H11:H17)</f>
        <v>534053.82442170149</v>
      </c>
      <c r="I18" s="886">
        <f>SUM(I11:I17)</f>
        <v>534053.82442170149</v>
      </c>
      <c r="J18" s="886">
        <f>SUM(J11:J17)</f>
        <v>0</v>
      </c>
      <c r="L18" s="886">
        <f>SUM(L11:L17)</f>
        <v>1432751.72</v>
      </c>
      <c r="M18" s="886">
        <f>SUM(M11:M17)</f>
        <v>-898697.89557829848</v>
      </c>
    </row>
    <row r="19" spans="1:13">
      <c r="A19" s="884">
        <v>10</v>
      </c>
      <c r="H19" s="886"/>
      <c r="I19" s="886"/>
      <c r="J19" s="886"/>
      <c r="M19" s="888"/>
    </row>
    <row r="20" spans="1:13">
      <c r="A20" s="884">
        <v>11</v>
      </c>
      <c r="H20" s="886"/>
      <c r="I20" s="886"/>
      <c r="J20" s="886"/>
      <c r="M20" s="888"/>
    </row>
    <row r="21" spans="1:13">
      <c r="A21" s="884">
        <v>12</v>
      </c>
      <c r="C21" s="636" t="s">
        <v>1831</v>
      </c>
      <c r="H21" s="886"/>
      <c r="I21" s="886"/>
      <c r="J21" s="886"/>
      <c r="M21" s="888"/>
    </row>
    <row r="22" spans="1:13">
      <c r="A22" s="884">
        <v>13</v>
      </c>
      <c r="E22" s="636" t="s">
        <v>1899</v>
      </c>
      <c r="F22" s="636" t="s">
        <v>1895</v>
      </c>
      <c r="G22" s="886">
        <f>'wp-o-Computers'!F844+'wp-o-Computers'!F711</f>
        <v>-45816.600000000013</v>
      </c>
      <c r="I22" s="886"/>
      <c r="J22" s="886"/>
      <c r="M22" s="888"/>
    </row>
    <row r="23" spans="1:13">
      <c r="A23" s="884">
        <v>14</v>
      </c>
      <c r="E23" s="636" t="s">
        <v>1900</v>
      </c>
      <c r="F23" s="636" t="s">
        <v>1896</v>
      </c>
      <c r="G23" s="886">
        <f>'wp-o-Computers'!F848-G22</f>
        <v>-118896.55041583697</v>
      </c>
      <c r="I23" s="886"/>
      <c r="J23" s="886"/>
      <c r="M23" s="888"/>
    </row>
    <row r="24" spans="1:13">
      <c r="A24" s="884">
        <v>15</v>
      </c>
      <c r="D24" s="636" t="s">
        <v>89</v>
      </c>
      <c r="H24" s="886">
        <f>SUM(G22:G23)</f>
        <v>-164713.15041583698</v>
      </c>
      <c r="I24" s="886">
        <f t="shared" ref="I24" si="0">+H24*1</f>
        <v>-164713.15041583698</v>
      </c>
      <c r="J24" s="886">
        <f>+H24*0</f>
        <v>0</v>
      </c>
      <c r="L24" s="888">
        <f>+'Linked TB'!E156+'Linked TB'!E157</f>
        <v>-129628.59</v>
      </c>
      <c r="M24" s="888">
        <f>+H24-L24</f>
        <v>-35084.560415836982</v>
      </c>
    </row>
    <row r="25" spans="1:13">
      <c r="A25" s="884">
        <v>16</v>
      </c>
      <c r="D25" s="636" t="s">
        <v>432</v>
      </c>
      <c r="F25" s="636" t="s">
        <v>1897</v>
      </c>
      <c r="H25" s="886">
        <f>SUM('wp-p-Vehicles'!$O$24:$O$28,'wp-p-Vehicles'!$O$16:$O$20)</f>
        <v>-141194.21436933152</v>
      </c>
      <c r="I25" s="886">
        <f>+H25*1</f>
        <v>-141194.21436933152</v>
      </c>
      <c r="J25" s="886">
        <f>+H25*0</f>
        <v>0</v>
      </c>
      <c r="L25" s="888">
        <f>+'Linked TB'!E155</f>
        <v>-550225.31999999995</v>
      </c>
      <c r="M25" s="888">
        <f>+H25-L25</f>
        <v>409031.10563066846</v>
      </c>
    </row>
    <row r="26" spans="1:13">
      <c r="A26" s="884">
        <v>17</v>
      </c>
      <c r="D26" s="636" t="s">
        <v>1924</v>
      </c>
      <c r="F26" s="636" t="s">
        <v>1936</v>
      </c>
      <c r="H26" s="886">
        <f>+'wp-p5 Recon Summary'!M39</f>
        <v>522733.6230999995</v>
      </c>
      <c r="I26" s="886"/>
      <c r="J26" s="886"/>
      <c r="L26" s="888"/>
      <c r="M26" s="888">
        <f>+H26</f>
        <v>522733.6230999995</v>
      </c>
    </row>
    <row r="27" spans="1:13">
      <c r="A27" s="884">
        <v>18</v>
      </c>
      <c r="H27" s="996"/>
      <c r="I27" s="996"/>
      <c r="J27" s="996"/>
      <c r="L27" s="1465"/>
      <c r="M27" s="1464"/>
    </row>
    <row r="28" spans="1:13">
      <c r="A28" s="884">
        <v>19</v>
      </c>
      <c r="C28" s="636" t="s">
        <v>1898</v>
      </c>
      <c r="H28" s="888">
        <f>SUM(H22:H27)</f>
        <v>216826.25831483101</v>
      </c>
      <c r="I28" s="888">
        <f>SUM(I22:I27)</f>
        <v>-305907.36478516849</v>
      </c>
      <c r="J28" s="888">
        <f>SUM(J22:J27)</f>
        <v>0</v>
      </c>
      <c r="L28" s="888">
        <f>SUM(L22:L27)</f>
        <v>-679853.90999999992</v>
      </c>
      <c r="M28" s="888">
        <f>SUM(M22:M27)</f>
        <v>896680.16831483098</v>
      </c>
    </row>
    <row r="29" spans="1:13">
      <c r="A29" s="884">
        <v>20</v>
      </c>
      <c r="H29" s="886"/>
      <c r="I29" s="886"/>
      <c r="J29" s="886"/>
      <c r="M29" s="888"/>
    </row>
    <row r="30" spans="1:13">
      <c r="A30" s="884">
        <v>21</v>
      </c>
      <c r="H30" s="886"/>
      <c r="I30" s="886"/>
      <c r="J30" s="886"/>
    </row>
    <row r="31" spans="1:13">
      <c r="A31" s="884">
        <v>22</v>
      </c>
      <c r="C31" s="636" t="s">
        <v>723</v>
      </c>
      <c r="H31" s="886"/>
      <c r="I31" s="886"/>
      <c r="J31" s="886"/>
    </row>
    <row r="32" spans="1:13">
      <c r="A32" s="884">
        <v>23</v>
      </c>
      <c r="D32" s="636" t="s">
        <v>1902</v>
      </c>
      <c r="F32" s="636" t="s">
        <v>1936</v>
      </c>
      <c r="H32" s="888">
        <f>+'wp-p5 Recon Summary'!E71+'wp-p5 Recon Summary'!M71</f>
        <v>-7104.8270999999877</v>
      </c>
      <c r="I32" s="886">
        <f>+H32*1</f>
        <v>-7104.8270999999877</v>
      </c>
      <c r="J32" s="886">
        <f>+H32*0</f>
        <v>0</v>
      </c>
      <c r="L32" s="954"/>
      <c r="M32" s="888">
        <f>+H32-L32</f>
        <v>-7104.8270999999877</v>
      </c>
    </row>
    <row r="33" spans="1:13">
      <c r="A33" s="884">
        <v>24</v>
      </c>
    </row>
    <row r="34" spans="1:13">
      <c r="A34" s="884">
        <v>25</v>
      </c>
    </row>
    <row r="35" spans="1:13">
      <c r="A35" s="884">
        <v>26</v>
      </c>
      <c r="C35" s="636" t="s">
        <v>941</v>
      </c>
    </row>
    <row r="36" spans="1:13">
      <c r="A36" s="884">
        <v>27</v>
      </c>
      <c r="D36" s="636" t="s">
        <v>1902</v>
      </c>
      <c r="F36" s="636" t="s">
        <v>1936</v>
      </c>
      <c r="H36" s="888">
        <f>+'wp-p5 Recon Summary'!E75+'wp-p5 Recon Summary'!M75</f>
        <v>32354.543550000002</v>
      </c>
      <c r="I36" s="886">
        <f>+H36*1</f>
        <v>32354.543550000002</v>
      </c>
      <c r="J36" s="886">
        <f>+H36*0</f>
        <v>0</v>
      </c>
      <c r="L36" s="954"/>
      <c r="M36" s="888">
        <f>+H36-L36</f>
        <v>32354.543550000002</v>
      </c>
    </row>
    <row r="37" spans="1:13">
      <c r="A37" s="884">
        <v>28</v>
      </c>
    </row>
  </sheetData>
  <mergeCells count="1">
    <mergeCell ref="C9:E9"/>
  </mergeCells>
  <pageMargins left="0.7" right="0.7" top="0.75" bottom="0.75" header="0.3" footer="0.3"/>
  <pageSetup scale="8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4" transitionEvaluation="1" transitionEntry="1">
    <tabColor theme="5" tint="0.79998168889431442"/>
    <pageSetUpPr fitToPage="1"/>
  </sheetPr>
  <dimension ref="A1:W276"/>
  <sheetViews>
    <sheetView view="pageBreakPreview" topLeftCell="A4" zoomScale="80" zoomScaleNormal="85" zoomScaleSheetLayoutView="80" workbookViewId="0"/>
  </sheetViews>
  <sheetFormatPr defaultColWidth="11.625" defaultRowHeight="13.5"/>
  <cols>
    <col min="1" max="1" width="4.75" style="1760" bestFit="1" customWidth="1"/>
    <col min="2" max="2" width="21.875" style="1760" customWidth="1"/>
    <col min="3" max="3" width="8.625" style="1760" customWidth="1"/>
    <col min="4" max="4" width="10.125" style="1760" customWidth="1"/>
    <col min="5" max="5" width="4.25" style="1760" customWidth="1"/>
    <col min="6" max="6" width="2.75" style="1760" customWidth="1"/>
    <col min="7" max="7" width="18.25" style="1760" bestFit="1" customWidth="1"/>
    <col min="8" max="8" width="12.5" style="1760" bestFit="1" customWidth="1"/>
    <col min="9" max="9" width="13.625" style="1760" bestFit="1" customWidth="1"/>
    <col min="10" max="10" width="12.5" style="1760" bestFit="1" customWidth="1"/>
    <col min="11" max="11" width="13.625" style="1760" bestFit="1" customWidth="1"/>
    <col min="12" max="12" width="12.5" style="1760" bestFit="1" customWidth="1"/>
    <col min="13" max="13" width="13.625" style="1760" bestFit="1" customWidth="1"/>
    <col min="14" max="14" width="12.5" style="1760" bestFit="1" customWidth="1"/>
    <col min="15" max="15" width="13.75" style="1760" customWidth="1"/>
    <col min="16" max="16" width="12.5" style="1760" bestFit="1" customWidth="1"/>
    <col min="17" max="17" width="11.625" style="1760" customWidth="1"/>
    <col min="18" max="18" width="10.625" style="1760" customWidth="1"/>
    <col min="19" max="16384" width="11.625" style="1760"/>
  </cols>
  <sheetData>
    <row r="1" spans="1:23" ht="15">
      <c r="A1" s="1827" t="str">
        <f>Company_Name</f>
        <v>WATER SERVICE CORPORATION OF KENTUCKY</v>
      </c>
      <c r="C1" s="1763"/>
      <c r="D1" s="1763"/>
      <c r="E1" s="1763"/>
      <c r="F1" s="1763"/>
      <c r="G1" s="1763"/>
      <c r="H1" s="1763"/>
      <c r="I1" s="1828"/>
      <c r="J1" s="1763"/>
      <c r="K1" s="1763"/>
      <c r="L1" s="1763"/>
      <c r="M1" s="1763"/>
      <c r="N1" s="1763"/>
      <c r="O1" s="1763"/>
      <c r="P1" s="1763"/>
      <c r="Q1" s="1764" t="s">
        <v>3646</v>
      </c>
    </row>
    <row r="2" spans="1:23" ht="15">
      <c r="A2" s="1827" t="str">
        <f>Docket</f>
        <v>Case No. 2015 - 00382</v>
      </c>
      <c r="C2" s="1763"/>
      <c r="D2" s="1763"/>
      <c r="E2" s="1763"/>
      <c r="F2" s="1763"/>
      <c r="G2" s="1763"/>
      <c r="H2" s="1763"/>
      <c r="I2" s="1828"/>
      <c r="J2" s="1763"/>
      <c r="K2" s="1763"/>
      <c r="L2" s="1763"/>
      <c r="M2" s="1763"/>
      <c r="N2" s="1763"/>
      <c r="O2" s="1763"/>
      <c r="P2" s="1763"/>
      <c r="Q2" s="1764"/>
    </row>
    <row r="3" spans="1:23" ht="15">
      <c r="A3" s="1759" t="s">
        <v>3612</v>
      </c>
      <c r="C3" s="1763"/>
      <c r="D3" s="1763"/>
      <c r="E3" s="1763"/>
      <c r="F3" s="1763"/>
      <c r="G3" s="1763"/>
      <c r="H3" s="1763"/>
      <c r="I3" s="1781"/>
      <c r="J3" s="1763"/>
      <c r="K3" s="1763"/>
      <c r="L3" s="1763"/>
      <c r="M3" s="1763"/>
      <c r="N3" s="1763"/>
      <c r="O3" s="1763"/>
      <c r="P3" s="1763"/>
      <c r="Q3" s="1763"/>
    </row>
    <row r="4" spans="1:23" ht="15">
      <c r="A4" s="1767" t="s">
        <v>3613</v>
      </c>
      <c r="C4" s="1763"/>
      <c r="D4" s="1763"/>
      <c r="E4" s="1763"/>
      <c r="F4" s="1763"/>
      <c r="G4" s="1763"/>
      <c r="H4" s="1763"/>
      <c r="I4" s="1781"/>
      <c r="J4" s="1763"/>
      <c r="K4" s="1763"/>
      <c r="L4" s="1763"/>
      <c r="M4" s="1763"/>
      <c r="N4" s="1763"/>
      <c r="O4" s="1763"/>
      <c r="P4" s="1763"/>
      <c r="Q4" s="1763"/>
    </row>
    <row r="5" spans="1:23" ht="15">
      <c r="A5" s="2115" t="str">
        <f>TestYearEnded</f>
        <v>Test Year Ended 6/30/2015</v>
      </c>
      <c r="B5" s="2115"/>
      <c r="C5" s="2115"/>
      <c r="D5" s="2115"/>
      <c r="E5" s="1768"/>
      <c r="F5" s="1763"/>
      <c r="G5" s="1763"/>
      <c r="H5" s="1829"/>
      <c r="I5" s="1828"/>
      <c r="J5" s="1763"/>
      <c r="K5" s="1763"/>
      <c r="L5" s="1763"/>
      <c r="M5" s="1763"/>
      <c r="N5" s="1763"/>
      <c r="O5" s="1763"/>
      <c r="P5" s="1763"/>
      <c r="Q5" s="1763"/>
    </row>
    <row r="6" spans="1:23" ht="15">
      <c r="A6" s="1770"/>
      <c r="B6" s="1770"/>
      <c r="C6" s="1770"/>
      <c r="D6" s="1770"/>
      <c r="E6" s="1768"/>
      <c r="F6" s="1763"/>
      <c r="G6" s="1763"/>
      <c r="H6" s="1829"/>
      <c r="I6" s="1828"/>
      <c r="J6" s="1763"/>
      <c r="K6" s="1763"/>
      <c r="L6" s="1763"/>
      <c r="M6" s="1763"/>
      <c r="N6" s="1763"/>
      <c r="O6" s="1763"/>
      <c r="P6" s="1763"/>
      <c r="Q6" s="1763"/>
    </row>
    <row r="7" spans="1:23" ht="15">
      <c r="A7" s="1771"/>
      <c r="B7" s="1771" t="s">
        <v>235</v>
      </c>
      <c r="C7" s="1771" t="s">
        <v>236</v>
      </c>
      <c r="D7" s="1771" t="s">
        <v>237</v>
      </c>
      <c r="E7" s="1771"/>
      <c r="F7" s="1791"/>
      <c r="G7" s="1791" t="s">
        <v>239</v>
      </c>
      <c r="H7" s="1830" t="s">
        <v>869</v>
      </c>
      <c r="I7" s="1831" t="s">
        <v>870</v>
      </c>
      <c r="J7" s="1791" t="s">
        <v>871</v>
      </c>
      <c r="K7" s="1791" t="s">
        <v>872</v>
      </c>
      <c r="L7" s="1791" t="s">
        <v>873</v>
      </c>
      <c r="M7" s="1791" t="s">
        <v>874</v>
      </c>
      <c r="N7" s="1791" t="s">
        <v>2304</v>
      </c>
      <c r="O7" s="1791" t="s">
        <v>2305</v>
      </c>
      <c r="P7" s="1791" t="s">
        <v>2306</v>
      </c>
      <c r="Q7" s="1791" t="s">
        <v>2307</v>
      </c>
    </row>
    <row r="8" spans="1:23">
      <c r="B8" s="1832"/>
      <c r="G8" s="1773"/>
      <c r="H8" s="1833"/>
      <c r="I8" s="1773"/>
      <c r="J8" s="1773"/>
      <c r="K8" s="1773"/>
      <c r="L8" s="1773"/>
      <c r="M8" s="1773"/>
      <c r="N8" s="1773"/>
      <c r="O8" s="1773"/>
      <c r="P8" s="1773"/>
      <c r="Q8" s="1773"/>
    </row>
    <row r="9" spans="1:23">
      <c r="B9" s="1796"/>
      <c r="D9" s="1805"/>
      <c r="E9" s="1805"/>
      <c r="F9" s="1790"/>
      <c r="G9" s="1778" t="s">
        <v>3754</v>
      </c>
      <c r="H9" s="1779"/>
      <c r="I9" s="1778" t="s">
        <v>3755</v>
      </c>
      <c r="J9" s="1779"/>
      <c r="K9" s="1778" t="s">
        <v>3936</v>
      </c>
      <c r="L9" s="1779"/>
      <c r="M9" s="1778" t="s">
        <v>3756</v>
      </c>
      <c r="N9" s="1779"/>
      <c r="O9" s="1778" t="s">
        <v>3937</v>
      </c>
      <c r="P9" s="1779"/>
      <c r="Q9" s="1780"/>
    </row>
    <row r="10" spans="1:23">
      <c r="B10" s="1834" t="s">
        <v>3647</v>
      </c>
      <c r="D10" s="1805"/>
      <c r="E10" s="1805"/>
      <c r="F10" s="1805"/>
      <c r="G10" s="1787" t="s">
        <v>3620</v>
      </c>
      <c r="H10" s="1788" t="s">
        <v>3621</v>
      </c>
      <c r="I10" s="1789" t="s">
        <v>3620</v>
      </c>
      <c r="J10" s="1788" t="s">
        <v>3621</v>
      </c>
      <c r="K10" s="1789" t="s">
        <v>3620</v>
      </c>
      <c r="L10" s="1788" t="s">
        <v>3621</v>
      </c>
      <c r="M10" s="1789" t="s">
        <v>3620</v>
      </c>
      <c r="N10" s="1788" t="s">
        <v>3621</v>
      </c>
      <c r="O10" s="1789" t="s">
        <v>3620</v>
      </c>
      <c r="P10" s="1788" t="s">
        <v>3621</v>
      </c>
      <c r="Q10" s="1788" t="s">
        <v>959</v>
      </c>
      <c r="T10" s="1817"/>
      <c r="U10" s="1817"/>
      <c r="V10" s="1817"/>
      <c r="W10" s="1817"/>
    </row>
    <row r="11" spans="1:23">
      <c r="A11" s="1773" t="s">
        <v>3617</v>
      </c>
      <c r="B11" s="1835" t="s">
        <v>3648</v>
      </c>
      <c r="C11" s="1773"/>
      <c r="G11" s="1836"/>
      <c r="H11" s="1776"/>
      <c r="I11" s="1776"/>
      <c r="J11" s="1776"/>
      <c r="K11" s="1776"/>
      <c r="L11" s="1776"/>
      <c r="M11" s="1776"/>
      <c r="N11" s="1776"/>
      <c r="O11" s="1776"/>
      <c r="P11" s="1776"/>
      <c r="Q11" s="1776"/>
    </row>
    <row r="12" spans="1:23" ht="15">
      <c r="A12" s="1791">
        <v>1</v>
      </c>
      <c r="D12" s="1837" t="s">
        <v>446</v>
      </c>
      <c r="E12" s="1838" t="s">
        <v>3636</v>
      </c>
      <c r="F12" s="1838" t="s">
        <v>3636</v>
      </c>
      <c r="G12" s="2084">
        <f>'wp - t-1 COSS'!G26+'wp - t-1 COSS'!G41</f>
        <v>1382612.6915764674</v>
      </c>
      <c r="H12" s="2084">
        <f>'wp - t-1 COSS'!H26+'wp - t-1 COSS'!H41</f>
        <v>0</v>
      </c>
      <c r="I12" s="2084">
        <f>'wp - t-1 COSS'!I26+'wp - t-1 COSS'!I41</f>
        <v>394737.70792268368</v>
      </c>
      <c r="J12" s="2084">
        <f>'wp - t-1 COSS'!J26+'wp - t-1 COSS'!J41</f>
        <v>0</v>
      </c>
      <c r="K12" s="2084">
        <f>'wp - t-1 COSS'!K26+'wp - t-1 COSS'!K41</f>
        <v>108030.78841277931</v>
      </c>
      <c r="L12" s="2084">
        <f>'wp - t-1 COSS'!L26+'wp - t-1 COSS'!L41</f>
        <v>0</v>
      </c>
      <c r="M12" s="2084">
        <f>'wp - t-1 COSS'!M26+'wp - t-1 COSS'!M41</f>
        <v>164726.69535482585</v>
      </c>
      <c r="N12" s="2084">
        <f>'wp - t-1 COSS'!N26+'wp - t-1 COSS'!N41</f>
        <v>0</v>
      </c>
      <c r="O12" s="2084">
        <f>'wp - t-1 COSS'!O26+'wp - t-1 COSS'!O41</f>
        <v>9470.5710204313182</v>
      </c>
      <c r="P12" s="2084">
        <f>'wp - t-1 COSS'!P26+'wp - t-1 COSS'!P41</f>
        <v>0</v>
      </c>
      <c r="Q12" s="2085">
        <f>'wp - t-1 COSS'!Q26+'wp - t-1 COSS'!Q41</f>
        <v>2059578.4542871874</v>
      </c>
    </row>
    <row r="13" spans="1:23" ht="15">
      <c r="A13" s="1791">
        <v>2</v>
      </c>
      <c r="E13" s="1838" t="s">
        <v>3636</v>
      </c>
      <c r="F13" s="1838" t="s">
        <v>3636</v>
      </c>
      <c r="G13" s="2084">
        <f>'wp - t-1 COSS'!G27+'wp - t-1 COSS'!G42</f>
        <v>0</v>
      </c>
      <c r="H13" s="2084">
        <f>'wp - t-1 COSS'!H27+'wp - t-1 COSS'!H42</f>
        <v>0</v>
      </c>
      <c r="I13" s="2084">
        <f>'wp - t-1 COSS'!I27+'wp - t-1 COSS'!I42</f>
        <v>0</v>
      </c>
      <c r="J13" s="2084">
        <f>'wp - t-1 COSS'!J27+'wp - t-1 COSS'!J42</f>
        <v>0</v>
      </c>
      <c r="K13" s="2084">
        <f>'wp - t-1 COSS'!K27+'wp - t-1 COSS'!K42</f>
        <v>0</v>
      </c>
      <c r="L13" s="2084">
        <f>'wp - t-1 COSS'!L27+'wp - t-1 COSS'!L42</f>
        <v>0</v>
      </c>
      <c r="M13" s="2084">
        <f>'wp - t-1 COSS'!M27+'wp - t-1 COSS'!M42</f>
        <v>0</v>
      </c>
      <c r="N13" s="2084">
        <f>'wp - t-1 COSS'!N27+'wp - t-1 COSS'!N42</f>
        <v>0</v>
      </c>
      <c r="O13" s="2084">
        <f>'wp - t-1 COSS'!O27+'wp - t-1 COSS'!O42</f>
        <v>0</v>
      </c>
      <c r="P13" s="2084">
        <f>'wp - t-1 COSS'!P27+'wp - t-1 COSS'!P42</f>
        <v>0</v>
      </c>
      <c r="Q13" s="2085">
        <f>'wp - t-1 COSS'!Q27+'wp - t-1 COSS'!Q42</f>
        <v>0</v>
      </c>
    </row>
    <row r="14" spans="1:23" ht="15">
      <c r="A14" s="1791">
        <v>3</v>
      </c>
      <c r="D14" s="1837" t="s">
        <v>139</v>
      </c>
      <c r="E14" s="1838" t="s">
        <v>3636</v>
      </c>
      <c r="F14" s="1838" t="s">
        <v>3636</v>
      </c>
      <c r="G14" s="2085">
        <f ca="1">'wp - t-1 COSS'!G28+'wp - t-1 COSS'!G43</f>
        <v>1725545.3506674285</v>
      </c>
      <c r="H14" s="2085">
        <f ca="1">'wp - t-1 COSS'!H28+'wp - t-1 COSS'!H43</f>
        <v>0</v>
      </c>
      <c r="I14" s="2085">
        <f ca="1">'wp - t-1 COSS'!I28+'wp - t-1 COSS'!I43</f>
        <v>484851.50054998935</v>
      </c>
      <c r="J14" s="2085">
        <f ca="1">'wp - t-1 COSS'!J28+'wp - t-1 COSS'!J43</f>
        <v>0</v>
      </c>
      <c r="K14" s="2085">
        <f ca="1">'wp - t-1 COSS'!K28+'wp - t-1 COSS'!K43</f>
        <v>128107.57002488821</v>
      </c>
      <c r="L14" s="2085">
        <f ca="1">'wp - t-1 COSS'!L28+'wp - t-1 COSS'!L43</f>
        <v>0</v>
      </c>
      <c r="M14" s="2085">
        <f ca="1">'wp - t-1 COSS'!M28+'wp - t-1 COSS'!M43</f>
        <v>219674.44898281415</v>
      </c>
      <c r="N14" s="2085">
        <f ca="1">'wp - t-1 COSS'!N28+'wp - t-1 COSS'!N43</f>
        <v>0</v>
      </c>
      <c r="O14" s="2085">
        <f ca="1">'wp - t-1 COSS'!O28+'wp - t-1 COSS'!O43</f>
        <v>8309.8574752859786</v>
      </c>
      <c r="P14" s="2085">
        <f ca="1">'wp - t-1 COSS'!P28+'wp - t-1 COSS'!P43</f>
        <v>0</v>
      </c>
      <c r="Q14" s="2085">
        <f ca="1">'wp - t-1 COSS'!Q28+'wp - t-1 COSS'!Q43</f>
        <v>2566488.7277004058</v>
      </c>
    </row>
    <row r="15" spans="1:23" ht="15">
      <c r="A15" s="1791">
        <v>4</v>
      </c>
      <c r="D15" s="1805"/>
      <c r="E15" s="1795" t="s">
        <v>3636</v>
      </c>
      <c r="F15" s="1795" t="s">
        <v>3636</v>
      </c>
      <c r="G15" s="1804"/>
      <c r="H15" s="1804"/>
      <c r="I15" s="1804"/>
      <c r="J15" s="1804"/>
      <c r="K15" s="1804"/>
      <c r="L15" s="1804"/>
      <c r="M15" s="1804"/>
      <c r="N15" s="1804"/>
      <c r="O15" s="1804"/>
      <c r="P15" s="1804"/>
      <c r="Q15" s="1834" t="s">
        <v>3636</v>
      </c>
    </row>
    <row r="16" spans="1:23" ht="15">
      <c r="A16" s="1791">
        <v>5</v>
      </c>
      <c r="D16" s="1805"/>
      <c r="E16" s="1817"/>
      <c r="G16" s="1803"/>
      <c r="H16" s="1804"/>
      <c r="I16" s="1803"/>
      <c r="J16" s="1804"/>
      <c r="K16" s="1803"/>
      <c r="L16" s="1804"/>
      <c r="M16" s="1803"/>
      <c r="N16" s="1804"/>
      <c r="O16" s="1803"/>
      <c r="P16" s="1804"/>
      <c r="Q16" s="1804"/>
      <c r="S16" s="1817"/>
      <c r="T16" s="1817"/>
      <c r="U16" s="1817"/>
      <c r="V16" s="1817"/>
      <c r="W16" s="1817"/>
    </row>
    <row r="17" spans="1:23" ht="15">
      <c r="A17" s="1791">
        <v>6</v>
      </c>
      <c r="D17" s="1802"/>
      <c r="G17" s="1781" t="s">
        <v>3649</v>
      </c>
      <c r="I17" s="1781" t="s">
        <v>3650</v>
      </c>
      <c r="K17" s="1781" t="s">
        <v>959</v>
      </c>
      <c r="Q17" s="1840" t="s">
        <v>959</v>
      </c>
      <c r="S17" s="1817"/>
      <c r="T17" s="1817"/>
      <c r="U17" s="1817"/>
      <c r="V17" s="1817"/>
      <c r="W17" s="1817"/>
    </row>
    <row r="18" spans="1:23" ht="15">
      <c r="A18" s="1791">
        <v>7</v>
      </c>
      <c r="G18" s="1789" t="s">
        <v>3651</v>
      </c>
      <c r="I18" s="1789" t="s">
        <v>1028</v>
      </c>
      <c r="K18" s="1789" t="s">
        <v>3652</v>
      </c>
      <c r="Q18" s="1789" t="s">
        <v>1028</v>
      </c>
      <c r="S18" s="1817"/>
      <c r="T18" s="1817"/>
      <c r="U18" s="1817"/>
      <c r="V18" s="1817"/>
      <c r="W18" s="1817"/>
    </row>
    <row r="19" spans="1:23" ht="15">
      <c r="A19" s="1791">
        <v>8</v>
      </c>
      <c r="B19" s="1841" t="s">
        <v>3653</v>
      </c>
      <c r="D19" s="1808" t="s">
        <v>446</v>
      </c>
      <c r="F19" s="1804"/>
      <c r="G19" s="2086">
        <f>'Sch.D - Summary'!U14</f>
        <v>40683.120000000003</v>
      </c>
      <c r="H19" s="2087"/>
      <c r="I19" s="2086">
        <f>'Sch.D - Summary'!V14</f>
        <v>0</v>
      </c>
      <c r="J19" s="2087"/>
      <c r="K19" s="2088">
        <f>G19+I19</f>
        <v>40683.120000000003</v>
      </c>
      <c r="O19" s="1808" t="s">
        <v>446</v>
      </c>
      <c r="Q19" s="1804">
        <f>Q12+K19</f>
        <v>2100261.5742871873</v>
      </c>
      <c r="S19" s="1817"/>
      <c r="T19" s="1817"/>
      <c r="U19" s="1817"/>
      <c r="V19" s="1817"/>
      <c r="W19" s="1817"/>
    </row>
    <row r="20" spans="1:23" ht="15">
      <c r="A20" s="1791">
        <v>9</v>
      </c>
      <c r="B20" s="1804"/>
      <c r="F20" s="1804"/>
      <c r="G20" s="2086">
        <v>0</v>
      </c>
      <c r="H20" s="2087"/>
      <c r="I20" s="2088">
        <f>I$19*(Q13)/(Q$12)</f>
        <v>0</v>
      </c>
      <c r="J20" s="2087"/>
      <c r="K20" s="2088">
        <f>G20+I20</f>
        <v>0</v>
      </c>
      <c r="Q20" s="1804">
        <f>Q13+K20</f>
        <v>0</v>
      </c>
      <c r="U20" s="1817"/>
      <c r="V20" s="1817"/>
      <c r="W20" s="1817"/>
    </row>
    <row r="21" spans="1:23" ht="15">
      <c r="A21" s="1791">
        <v>10</v>
      </c>
      <c r="D21" s="1808" t="s">
        <v>139</v>
      </c>
      <c r="F21" s="1804"/>
      <c r="G21" s="2086">
        <f ca="1">'Sch.D - Summary'!Y14</f>
        <v>50697.459793491827</v>
      </c>
      <c r="H21" s="2087"/>
      <c r="I21" s="2089">
        <f>'Sch.D - Summary'!Z14</f>
        <v>0</v>
      </c>
      <c r="J21" s="2087"/>
      <c r="K21" s="2088">
        <f ca="1">G21+I21</f>
        <v>50697.459793491827</v>
      </c>
      <c r="O21" s="1808" t="s">
        <v>139</v>
      </c>
      <c r="Q21" s="1804">
        <f ca="1">Q14+K21</f>
        <v>2617186.1874938975</v>
      </c>
      <c r="T21" s="1817"/>
      <c r="U21" s="1817"/>
      <c r="V21" s="1817"/>
      <c r="W21" s="1817"/>
    </row>
    <row r="22" spans="1:23" ht="15">
      <c r="A22" s="1791">
        <v>11</v>
      </c>
      <c r="O22" s="1796" t="s">
        <v>3654</v>
      </c>
      <c r="P22" s="1804"/>
      <c r="Q22" s="1804">
        <f ca="1">'wp - t-4 COSS'!E38</f>
        <v>2684749.33948552</v>
      </c>
      <c r="T22" s="1817"/>
      <c r="U22" s="1817"/>
      <c r="V22" s="1817"/>
      <c r="W22" s="1817"/>
    </row>
    <row r="23" spans="1:23" ht="15">
      <c r="A23" s="1791">
        <v>12</v>
      </c>
      <c r="T23" s="1817"/>
      <c r="U23" s="1817"/>
      <c r="V23" s="1817"/>
      <c r="W23" s="1817"/>
    </row>
    <row r="24" spans="1:23" ht="15">
      <c r="A24" s="1791">
        <v>13</v>
      </c>
      <c r="Q24" s="1760">
        <f ca="1">Q22-Q21</f>
        <v>67563.151991622522</v>
      </c>
      <c r="T24" s="1817"/>
      <c r="U24" s="1817"/>
      <c r="V24" s="1817"/>
      <c r="W24" s="1817"/>
    </row>
    <row r="25" spans="1:23" ht="15">
      <c r="A25" s="1791">
        <v>14</v>
      </c>
      <c r="T25" s="1817"/>
      <c r="U25" s="1817"/>
      <c r="V25" s="1817"/>
      <c r="W25" s="1817"/>
    </row>
    <row r="26" spans="1:23" ht="15">
      <c r="A26" s="1791">
        <v>15</v>
      </c>
      <c r="T26" s="1817"/>
      <c r="U26" s="1817"/>
      <c r="V26" s="1817"/>
      <c r="W26" s="1817"/>
    </row>
    <row r="27" spans="1:23" ht="15">
      <c r="A27" s="1791">
        <v>16</v>
      </c>
      <c r="C27" s="1835" t="s">
        <v>3655</v>
      </c>
      <c r="D27" s="1773"/>
      <c r="E27" s="1773"/>
      <c r="F27" s="1773"/>
      <c r="T27" s="1817"/>
      <c r="U27" s="1817"/>
      <c r="V27" s="1817"/>
      <c r="W27" s="1817"/>
    </row>
    <row r="28" spans="1:23" ht="15">
      <c r="A28" s="1791">
        <v>17</v>
      </c>
      <c r="T28" s="1817"/>
      <c r="U28" s="1817"/>
      <c r="V28" s="1817"/>
      <c r="W28" s="1817"/>
    </row>
    <row r="29" spans="1:23" ht="15">
      <c r="A29" s="1791">
        <v>18</v>
      </c>
      <c r="B29" s="1789" t="s">
        <v>3656</v>
      </c>
      <c r="C29" s="1781" t="s">
        <v>3657</v>
      </c>
      <c r="D29" s="1781" t="s">
        <v>3658</v>
      </c>
      <c r="G29" s="1789" t="s">
        <v>3659</v>
      </c>
      <c r="H29" s="1781" t="s">
        <v>3657</v>
      </c>
      <c r="I29" s="1781" t="s">
        <v>3658</v>
      </c>
      <c r="T29" s="1817"/>
      <c r="U29" s="1817"/>
      <c r="V29" s="1817"/>
      <c r="W29" s="1817"/>
    </row>
    <row r="30" spans="1:23" ht="15">
      <c r="A30" s="1791">
        <v>19</v>
      </c>
      <c r="B30" s="1796" t="s">
        <v>3660</v>
      </c>
      <c r="C30" s="1842">
        <f>'wp - t-1 COSS'!$Q$23</f>
        <v>75084</v>
      </c>
      <c r="D30" s="1843">
        <f>C30/C32</f>
        <v>1</v>
      </c>
      <c r="G30" s="1796" t="s">
        <v>3660</v>
      </c>
      <c r="H30" s="1842">
        <f>'wp - t-1 COSS'!$Q$23</f>
        <v>75084</v>
      </c>
      <c r="I30" s="1843">
        <f>H30/H$32</f>
        <v>1</v>
      </c>
      <c r="T30" s="1817"/>
      <c r="U30" s="1817"/>
      <c r="V30" s="1817"/>
      <c r="W30" s="1817"/>
    </row>
    <row r="31" spans="1:23" ht="15">
      <c r="A31" s="1791">
        <v>20</v>
      </c>
      <c r="B31" s="1796" t="s">
        <v>3661</v>
      </c>
      <c r="C31" s="1804">
        <v>0</v>
      </c>
      <c r="D31" s="1843">
        <f>1-D30</f>
        <v>0</v>
      </c>
      <c r="G31" s="1796" t="s">
        <v>3661</v>
      </c>
      <c r="H31" s="1804">
        <v>0</v>
      </c>
      <c r="I31" s="1843">
        <f>1-I30</f>
        <v>0</v>
      </c>
      <c r="T31" s="1817"/>
      <c r="V31" s="1817"/>
      <c r="W31" s="1817"/>
    </row>
    <row r="32" spans="1:23" ht="15">
      <c r="A32" s="1791">
        <v>21</v>
      </c>
      <c r="B32" s="1796" t="s">
        <v>314</v>
      </c>
      <c r="C32" s="1804">
        <f>C31+C30</f>
        <v>75084</v>
      </c>
      <c r="D32" s="1844">
        <f>D31+D30</f>
        <v>1</v>
      </c>
      <c r="G32" s="1796" t="s">
        <v>314</v>
      </c>
      <c r="H32" s="1804">
        <f>H31+H30</f>
        <v>75084</v>
      </c>
      <c r="I32" s="1844">
        <f>I31+I30</f>
        <v>1</v>
      </c>
      <c r="L32" s="1804"/>
      <c r="M32" s="1804"/>
      <c r="N32" s="1804"/>
      <c r="O32" s="1804"/>
      <c r="T32" s="1817"/>
      <c r="V32" s="1817"/>
      <c r="W32" s="1817"/>
    </row>
    <row r="33" spans="1:20" ht="15">
      <c r="A33" s="1791">
        <v>22</v>
      </c>
      <c r="C33" s="1804"/>
      <c r="L33" s="1804"/>
      <c r="M33" s="1804"/>
      <c r="N33" s="1804"/>
      <c r="O33" s="1804"/>
      <c r="T33" s="1817"/>
    </row>
    <row r="34" spans="1:20" ht="15">
      <c r="A34" s="1791">
        <v>23</v>
      </c>
      <c r="B34" s="1789" t="s">
        <v>3662</v>
      </c>
      <c r="C34" s="1804"/>
      <c r="G34" s="1789" t="s">
        <v>3663</v>
      </c>
    </row>
    <row r="35" spans="1:20" ht="15">
      <c r="A35" s="1791">
        <v>24</v>
      </c>
      <c r="B35" s="1796" t="s">
        <v>3660</v>
      </c>
      <c r="C35" s="1842">
        <f>'wp - t-1 COSS'!$Q$23</f>
        <v>75084</v>
      </c>
      <c r="D35" s="1843">
        <f>C35/C$37</f>
        <v>1</v>
      </c>
      <c r="G35" s="1796" t="s">
        <v>3660</v>
      </c>
      <c r="H35" s="1842">
        <f>'wp - t-1 COSS'!$Q$23</f>
        <v>75084</v>
      </c>
      <c r="I35" s="1843">
        <f>H35/H$37</f>
        <v>1</v>
      </c>
      <c r="R35" s="1809"/>
    </row>
    <row r="36" spans="1:20" ht="15">
      <c r="A36" s="1791">
        <v>25</v>
      </c>
      <c r="B36" s="1796" t="s">
        <v>3661</v>
      </c>
      <c r="C36" s="1804">
        <v>0</v>
      </c>
      <c r="D36" s="1843">
        <f>C36/C$37</f>
        <v>0</v>
      </c>
      <c r="G36" s="1796" t="s">
        <v>3661</v>
      </c>
      <c r="H36" s="1804">
        <v>0</v>
      </c>
      <c r="I36" s="1843">
        <f>1-I35</f>
        <v>0</v>
      </c>
    </row>
    <row r="37" spans="1:20" ht="15">
      <c r="A37" s="1791">
        <v>26</v>
      </c>
      <c r="B37" s="1796" t="s">
        <v>3664</v>
      </c>
      <c r="C37" s="1804">
        <f>C35+C36</f>
        <v>75084</v>
      </c>
      <c r="D37" s="1845">
        <f>D36+D35</f>
        <v>1</v>
      </c>
      <c r="G37" s="1796" t="s">
        <v>3664</v>
      </c>
      <c r="H37" s="1804">
        <f>H35+H36</f>
        <v>75084</v>
      </c>
      <c r="I37" s="1845">
        <f>I36+I35</f>
        <v>1</v>
      </c>
    </row>
    <row r="38" spans="1:20" ht="15">
      <c r="A38" s="1791">
        <v>27</v>
      </c>
    </row>
    <row r="39" spans="1:20" ht="15">
      <c r="A39" s="1791">
        <v>28</v>
      </c>
      <c r="B39" s="1846" t="s">
        <v>3665</v>
      </c>
      <c r="G39" s="1846" t="s">
        <v>3666</v>
      </c>
    </row>
    <row r="40" spans="1:20" ht="15">
      <c r="A40" s="1791">
        <v>29</v>
      </c>
      <c r="B40" s="1796" t="s">
        <v>3660</v>
      </c>
      <c r="C40" s="1842">
        <f>'wp - t-1 COSS'!$Q$23</f>
        <v>75084</v>
      </c>
      <c r="D40" s="1843">
        <v>1</v>
      </c>
      <c r="G40" s="1796" t="s">
        <v>3660</v>
      </c>
      <c r="H40" s="1842">
        <f>'wp - t-1 COSS'!$Q$23</f>
        <v>75084</v>
      </c>
      <c r="I40" s="1843">
        <f>H40/H$42</f>
        <v>1</v>
      </c>
    </row>
    <row r="41" spans="1:20" ht="15">
      <c r="A41" s="1791">
        <v>30</v>
      </c>
      <c r="B41" s="1760" t="s">
        <v>3661</v>
      </c>
      <c r="C41" s="1804">
        <v>0</v>
      </c>
      <c r="D41" s="1843">
        <v>0</v>
      </c>
      <c r="G41" s="1760" t="s">
        <v>3661</v>
      </c>
      <c r="H41" s="1804">
        <v>0</v>
      </c>
      <c r="I41" s="1843">
        <f>1-I40</f>
        <v>0</v>
      </c>
    </row>
    <row r="42" spans="1:20" ht="15">
      <c r="A42" s="1791">
        <v>31</v>
      </c>
      <c r="B42" s="1760" t="s">
        <v>3667</v>
      </c>
      <c r="C42" s="1804">
        <f>C40+C41</f>
        <v>75084</v>
      </c>
      <c r="G42" s="1796" t="s">
        <v>3664</v>
      </c>
      <c r="H42" s="1804">
        <f>H40+H41</f>
        <v>75084</v>
      </c>
      <c r="I42" s="1845">
        <f>I41+I40</f>
        <v>1</v>
      </c>
    </row>
    <row r="43" spans="1:20" ht="15">
      <c r="A43" s="1791">
        <v>32</v>
      </c>
    </row>
    <row r="44" spans="1:20" ht="15">
      <c r="A44" s="1791">
        <v>33</v>
      </c>
      <c r="B44" s="1847" t="s">
        <v>3668</v>
      </c>
      <c r="D44" s="1843">
        <v>1</v>
      </c>
    </row>
    <row r="45" spans="1:20" ht="15">
      <c r="A45" s="1791">
        <v>34</v>
      </c>
      <c r="B45" s="1847"/>
      <c r="D45" s="1843"/>
    </row>
    <row r="46" spans="1:20" ht="15">
      <c r="A46" s="1791">
        <v>35</v>
      </c>
      <c r="B46" s="1847" t="s">
        <v>3669</v>
      </c>
      <c r="D46" s="1843">
        <v>1</v>
      </c>
    </row>
    <row r="47" spans="1:20" ht="15">
      <c r="A47" s="1791">
        <v>36</v>
      </c>
      <c r="B47" s="1847"/>
      <c r="D47" s="1843"/>
    </row>
    <row r="48" spans="1:20" ht="15">
      <c r="A48" s="1791">
        <v>37</v>
      </c>
    </row>
    <row r="49" spans="1:10" ht="15">
      <c r="A49" s="1791">
        <v>38</v>
      </c>
      <c r="B49" s="1847" t="s">
        <v>3670</v>
      </c>
    </row>
    <row r="50" spans="1:10" ht="15">
      <c r="A50" s="1791">
        <v>39</v>
      </c>
      <c r="B50" s="1760" t="s">
        <v>3671</v>
      </c>
    </row>
    <row r="51" spans="1:10" ht="15">
      <c r="A51" s="1791">
        <v>40</v>
      </c>
      <c r="B51" s="1760" t="s">
        <v>3672</v>
      </c>
      <c r="C51" s="1848">
        <f ca="1">'wp - t-1 COSS'!T13</f>
        <v>-0.94620054696368716</v>
      </c>
    </row>
    <row r="52" spans="1:10" ht="15">
      <c r="A52" s="1791">
        <v>41</v>
      </c>
      <c r="B52" s="1760" t="s">
        <v>3673</v>
      </c>
      <c r="C52" s="1849">
        <f>'wp - t-4 COSS'!G38</f>
        <v>0</v>
      </c>
    </row>
    <row r="53" spans="1:10" ht="15">
      <c r="A53" s="1791">
        <v>42</v>
      </c>
      <c r="B53" s="1760" t="s">
        <v>3674</v>
      </c>
      <c r="C53" s="1849">
        <f>'wp - t-1 COSS'!Q23</f>
        <v>75084</v>
      </c>
    </row>
    <row r="54" spans="1:10" ht="15">
      <c r="A54" s="1791">
        <v>43</v>
      </c>
      <c r="B54" s="1760" t="s">
        <v>3675</v>
      </c>
      <c r="C54" s="1850" t="e">
        <f>'wp - t-1 COSS'!#REF!</f>
        <v>#REF!</v>
      </c>
    </row>
    <row r="61" spans="1:10">
      <c r="J61" s="1805"/>
    </row>
    <row r="62" spans="1:10">
      <c r="J62" s="1805"/>
    </row>
    <row r="63" spans="1:10">
      <c r="J63" s="1805"/>
    </row>
    <row r="66" spans="3:18">
      <c r="C66" s="1817"/>
    </row>
    <row r="67" spans="3:18">
      <c r="C67" s="1817"/>
      <c r="P67" s="1820"/>
    </row>
    <row r="70" spans="3:18">
      <c r="E70" s="1805"/>
      <c r="F70" s="1805"/>
      <c r="G70" s="1805"/>
    </row>
    <row r="71" spans="3:18">
      <c r="E71" s="1805"/>
      <c r="F71" s="1805"/>
      <c r="G71" s="1805"/>
    </row>
    <row r="74" spans="3:18">
      <c r="E74" s="1802"/>
      <c r="F74" s="1802"/>
      <c r="G74" s="1802"/>
      <c r="H74" s="1803"/>
      <c r="I74" s="1803"/>
      <c r="J74" s="1803"/>
      <c r="K74" s="1803"/>
      <c r="L74" s="1803"/>
      <c r="M74" s="1803"/>
      <c r="N74" s="1803"/>
      <c r="O74" s="1803"/>
      <c r="P74" s="1803"/>
      <c r="Q74" s="1803"/>
      <c r="R74" s="1804"/>
    </row>
    <row r="75" spans="3:18">
      <c r="E75" s="1802"/>
      <c r="F75" s="1802"/>
      <c r="G75" s="1802"/>
      <c r="H75" s="1803"/>
      <c r="I75" s="1803"/>
      <c r="J75" s="1803"/>
      <c r="K75" s="1803"/>
      <c r="L75" s="1803"/>
      <c r="M75" s="1803"/>
      <c r="N75" s="1803"/>
      <c r="O75" s="1803"/>
      <c r="P75" s="1803"/>
      <c r="Q75" s="1803"/>
      <c r="R75" s="1804"/>
    </row>
    <row r="76" spans="3:18">
      <c r="E76" s="1802"/>
      <c r="F76" s="1802"/>
      <c r="G76" s="1802"/>
      <c r="H76" s="1803"/>
      <c r="I76" s="1803"/>
      <c r="J76" s="1803"/>
      <c r="K76" s="1803"/>
      <c r="L76" s="1803"/>
      <c r="M76" s="1803"/>
      <c r="N76" s="1803"/>
      <c r="O76" s="1803"/>
      <c r="P76" s="1803"/>
      <c r="Q76" s="1803"/>
      <c r="R76" s="1804"/>
    </row>
    <row r="77" spans="3:18">
      <c r="E77" s="1802"/>
      <c r="F77" s="1802"/>
      <c r="G77" s="1802"/>
      <c r="H77" s="1803"/>
      <c r="I77" s="1803"/>
      <c r="J77" s="1803"/>
      <c r="K77" s="1803"/>
      <c r="L77" s="1803"/>
      <c r="M77" s="1803"/>
      <c r="N77" s="1803"/>
      <c r="O77" s="1803"/>
      <c r="P77" s="1803"/>
      <c r="Q77" s="1803"/>
      <c r="R77" s="1804"/>
    </row>
    <row r="78" spans="3:18">
      <c r="E78" s="1802"/>
      <c r="F78" s="1802"/>
      <c r="G78" s="1802"/>
      <c r="H78" s="1803"/>
      <c r="I78" s="1803"/>
      <c r="J78" s="1803"/>
      <c r="K78" s="1803"/>
      <c r="L78" s="1803"/>
      <c r="M78" s="1803"/>
      <c r="N78" s="1803"/>
      <c r="O78" s="1803"/>
      <c r="P78" s="1803"/>
      <c r="Q78" s="1803"/>
      <c r="R78" s="1804"/>
    </row>
    <row r="79" spans="3:18">
      <c r="E79" s="1802"/>
      <c r="F79" s="1802"/>
      <c r="G79" s="1802"/>
      <c r="H79" s="1803"/>
      <c r="I79" s="1803"/>
      <c r="J79" s="1803"/>
      <c r="K79" s="1803"/>
      <c r="L79" s="1803"/>
      <c r="M79" s="1803"/>
      <c r="N79" s="1803"/>
      <c r="O79" s="1803"/>
      <c r="P79" s="1803"/>
      <c r="Q79" s="1803"/>
      <c r="R79" s="1804"/>
    </row>
    <row r="80" spans="3:18">
      <c r="E80" s="1802"/>
      <c r="F80" s="1802"/>
      <c r="G80" s="1802"/>
      <c r="H80" s="1803"/>
      <c r="I80" s="1803"/>
      <c r="J80" s="1803"/>
      <c r="K80" s="1803"/>
      <c r="L80" s="1803"/>
      <c r="M80" s="1803"/>
      <c r="N80" s="1803"/>
      <c r="O80" s="1803"/>
      <c r="P80" s="1803"/>
      <c r="Q80" s="1803"/>
      <c r="R80" s="1804"/>
    </row>
    <row r="81" spans="5:18">
      <c r="E81" s="1802"/>
      <c r="F81" s="1802"/>
      <c r="G81" s="1802"/>
      <c r="H81" s="1803"/>
      <c r="I81" s="1803"/>
      <c r="J81" s="1803"/>
      <c r="K81" s="1803"/>
      <c r="L81" s="1803"/>
      <c r="M81" s="1803"/>
      <c r="N81" s="1803"/>
      <c r="O81" s="1803"/>
      <c r="P81" s="1803"/>
      <c r="Q81" s="1803"/>
      <c r="R81" s="1804"/>
    </row>
    <row r="82" spans="5:18">
      <c r="E82" s="1802"/>
      <c r="F82" s="1802"/>
      <c r="G82" s="1802"/>
      <c r="H82" s="1803"/>
      <c r="I82" s="1803"/>
      <c r="J82" s="1803"/>
      <c r="K82" s="1803"/>
      <c r="L82" s="1803"/>
      <c r="M82" s="1803"/>
      <c r="N82" s="1803"/>
      <c r="O82" s="1803"/>
      <c r="P82" s="1803"/>
      <c r="Q82" s="1803"/>
      <c r="R82" s="1804"/>
    </row>
    <row r="83" spans="5:18">
      <c r="E83" s="1802"/>
      <c r="F83" s="1802"/>
      <c r="G83" s="1802"/>
      <c r="H83" s="1803"/>
      <c r="I83" s="1803"/>
      <c r="J83" s="1803"/>
      <c r="K83" s="1803"/>
      <c r="L83" s="1803"/>
      <c r="M83" s="1803"/>
      <c r="N83" s="1803"/>
      <c r="O83" s="1803"/>
      <c r="P83" s="1803"/>
      <c r="Q83" s="1803"/>
      <c r="R83" s="1804"/>
    </row>
    <row r="84" spans="5:18">
      <c r="E84" s="1802"/>
      <c r="F84" s="1802"/>
      <c r="G84" s="1802"/>
      <c r="H84" s="1803"/>
      <c r="I84" s="1803"/>
      <c r="J84" s="1803"/>
      <c r="K84" s="1803"/>
      <c r="L84" s="1803"/>
      <c r="M84" s="1803"/>
      <c r="N84" s="1803"/>
      <c r="O84" s="1803"/>
      <c r="P84" s="1803"/>
      <c r="Q84" s="1803"/>
      <c r="R84" s="1804"/>
    </row>
    <row r="85" spans="5:18">
      <c r="E85" s="1802"/>
      <c r="F85" s="1802"/>
      <c r="G85" s="1802"/>
      <c r="H85" s="1803"/>
      <c r="I85" s="1803"/>
      <c r="J85" s="1803"/>
      <c r="K85" s="1803"/>
      <c r="L85" s="1803"/>
      <c r="M85" s="1803"/>
      <c r="N85" s="1803"/>
      <c r="O85" s="1803"/>
      <c r="P85" s="1803"/>
      <c r="Q85" s="1803"/>
      <c r="R85" s="1804"/>
    </row>
    <row r="86" spans="5:18">
      <c r="E86" s="1802"/>
      <c r="F86" s="1802"/>
      <c r="G86" s="1802"/>
      <c r="H86" s="1803"/>
      <c r="I86" s="1803"/>
      <c r="J86" s="1803"/>
      <c r="K86" s="1803"/>
      <c r="L86" s="1803"/>
      <c r="M86" s="1803"/>
      <c r="N86" s="1803"/>
      <c r="O86" s="1803"/>
      <c r="P86" s="1803"/>
      <c r="Q86" s="1803"/>
      <c r="R86" s="1804"/>
    </row>
    <row r="87" spans="5:18">
      <c r="E87" s="1802"/>
      <c r="F87" s="1802"/>
      <c r="G87" s="1802"/>
      <c r="H87" s="1803"/>
      <c r="I87" s="1803"/>
      <c r="J87" s="1803"/>
      <c r="K87" s="1803"/>
      <c r="L87" s="1803"/>
      <c r="M87" s="1803"/>
      <c r="N87" s="1803"/>
      <c r="O87" s="1803"/>
      <c r="P87" s="1803"/>
      <c r="Q87" s="1803"/>
      <c r="R87" s="1804"/>
    </row>
    <row r="88" spans="5:18">
      <c r="E88" s="1802"/>
      <c r="F88" s="1802"/>
      <c r="G88" s="1802"/>
      <c r="H88" s="1803"/>
      <c r="I88" s="1803"/>
      <c r="J88" s="1803"/>
      <c r="K88" s="1803"/>
      <c r="L88" s="1803"/>
      <c r="M88" s="1803"/>
      <c r="N88" s="1803"/>
      <c r="O88" s="1803"/>
      <c r="P88" s="1803"/>
      <c r="Q88" s="1803"/>
      <c r="R88" s="1804"/>
    </row>
    <row r="89" spans="5:18">
      <c r="E89" s="1802"/>
      <c r="F89" s="1802"/>
      <c r="G89" s="1802"/>
      <c r="H89" s="1803"/>
      <c r="I89" s="1803"/>
      <c r="J89" s="1803"/>
      <c r="K89" s="1803"/>
      <c r="L89" s="1803"/>
      <c r="M89" s="1803"/>
      <c r="N89" s="1803"/>
      <c r="O89" s="1803"/>
      <c r="P89" s="1803"/>
      <c r="Q89" s="1803"/>
      <c r="R89" s="1804"/>
    </row>
    <row r="90" spans="5:18">
      <c r="E90" s="1802"/>
      <c r="F90" s="1802"/>
      <c r="G90" s="1802"/>
      <c r="H90" s="1803"/>
      <c r="I90" s="1803"/>
      <c r="J90" s="1803"/>
      <c r="K90" s="1803"/>
      <c r="L90" s="1803"/>
      <c r="M90" s="1803"/>
      <c r="N90" s="1803"/>
      <c r="O90" s="1803"/>
      <c r="P90" s="1803"/>
      <c r="Q90" s="1803"/>
      <c r="R90" s="1804"/>
    </row>
    <row r="92" spans="5:18">
      <c r="F92" s="1805"/>
      <c r="G92" s="1805"/>
      <c r="H92" s="1804"/>
      <c r="I92" s="1804"/>
      <c r="J92" s="1804"/>
      <c r="K92" s="1804"/>
      <c r="L92" s="1804"/>
      <c r="M92" s="1804"/>
      <c r="N92" s="1804"/>
      <c r="O92" s="1804"/>
      <c r="P92" s="1804"/>
      <c r="Q92" s="1804"/>
      <c r="R92" s="1804"/>
    </row>
    <row r="94" spans="5:18">
      <c r="E94" s="1805"/>
      <c r="F94" s="1805"/>
      <c r="G94" s="1805"/>
      <c r="H94" s="1804"/>
      <c r="I94" s="1804"/>
      <c r="J94" s="1804"/>
      <c r="K94" s="1804"/>
      <c r="L94" s="1804"/>
      <c r="M94" s="1804"/>
      <c r="N94" s="1804"/>
      <c r="O94" s="1804"/>
      <c r="P94" s="1804"/>
      <c r="Q94" s="1804"/>
      <c r="R94" s="1804"/>
    </row>
    <row r="95" spans="5:18">
      <c r="E95" s="1805"/>
      <c r="F95" s="1805"/>
      <c r="G95" s="1805"/>
      <c r="H95" s="1804"/>
      <c r="I95" s="1804"/>
      <c r="J95" s="1804"/>
      <c r="K95" s="1804"/>
      <c r="L95" s="1804"/>
      <c r="M95" s="1804"/>
      <c r="N95" s="1804"/>
      <c r="O95" s="1804"/>
      <c r="P95" s="1804"/>
      <c r="Q95" s="1804"/>
      <c r="R95" s="1804"/>
    </row>
    <row r="96" spans="5:18">
      <c r="E96" s="1805"/>
      <c r="F96" s="1805"/>
      <c r="G96" s="1805"/>
      <c r="H96" s="1804"/>
      <c r="I96" s="1804"/>
      <c r="J96" s="1804"/>
      <c r="K96" s="1804"/>
      <c r="L96" s="1804"/>
      <c r="M96" s="1804"/>
      <c r="N96" s="1804"/>
      <c r="O96" s="1804"/>
      <c r="P96" s="1804"/>
      <c r="Q96" s="1804"/>
      <c r="R96" s="1804"/>
    </row>
    <row r="97" spans="3:18">
      <c r="F97" s="1805"/>
      <c r="G97" s="1805"/>
    </row>
    <row r="98" spans="3:18">
      <c r="G98" s="1811"/>
    </row>
    <row r="99" spans="3:18">
      <c r="E99" s="1825"/>
      <c r="F99" s="1825"/>
      <c r="G99" s="1825"/>
      <c r="H99" s="1803"/>
      <c r="I99" s="1803"/>
      <c r="J99" s="1803"/>
      <c r="K99" s="1803"/>
      <c r="L99" s="1803"/>
      <c r="M99" s="1803"/>
      <c r="N99" s="1803"/>
      <c r="O99" s="1803"/>
      <c r="P99" s="1803"/>
      <c r="Q99" s="1803"/>
      <c r="R99" s="1804"/>
    </row>
    <row r="100" spans="3:18">
      <c r="E100" s="1825"/>
      <c r="F100" s="1825"/>
      <c r="G100" s="1825"/>
      <c r="H100" s="1803"/>
      <c r="I100" s="1803"/>
      <c r="J100" s="1803"/>
      <c r="K100" s="1803"/>
      <c r="L100" s="1803"/>
      <c r="M100" s="1803"/>
      <c r="N100" s="1803"/>
      <c r="O100" s="1803"/>
      <c r="P100" s="1803"/>
      <c r="Q100" s="1803"/>
      <c r="R100" s="1804"/>
    </row>
    <row r="101" spans="3:18">
      <c r="E101" s="1825"/>
      <c r="F101" s="1825"/>
      <c r="G101" s="1825"/>
      <c r="H101" s="1803"/>
      <c r="I101" s="1803"/>
      <c r="J101" s="1803"/>
      <c r="K101" s="1803"/>
      <c r="L101" s="1803"/>
      <c r="M101" s="1803"/>
      <c r="N101" s="1803"/>
      <c r="O101" s="1803"/>
      <c r="P101" s="1803"/>
      <c r="Q101" s="1803"/>
      <c r="R101" s="1804"/>
    </row>
    <row r="102" spans="3:18">
      <c r="E102" s="1825"/>
      <c r="F102" s="1825"/>
      <c r="G102" s="1825"/>
      <c r="H102" s="1803"/>
      <c r="I102" s="1803"/>
      <c r="J102" s="1803"/>
      <c r="K102" s="1803"/>
      <c r="L102" s="1803"/>
      <c r="M102" s="1803"/>
      <c r="N102" s="1803"/>
      <c r="O102" s="1803"/>
      <c r="P102" s="1803"/>
      <c r="Q102" s="1803"/>
      <c r="R102" s="1804"/>
    </row>
    <row r="103" spans="3:18">
      <c r="E103" s="1825"/>
      <c r="F103" s="1825"/>
      <c r="G103" s="1825"/>
      <c r="H103" s="1803"/>
      <c r="I103" s="1803"/>
      <c r="J103" s="1803"/>
      <c r="K103" s="1803"/>
      <c r="L103" s="1803"/>
      <c r="M103" s="1803"/>
      <c r="N103" s="1803"/>
      <c r="O103" s="1803"/>
      <c r="P103" s="1803"/>
      <c r="Q103" s="1803"/>
      <c r="R103" s="1804"/>
    </row>
    <row r="104" spans="3:18">
      <c r="R104" s="1804"/>
    </row>
    <row r="105" spans="3:18">
      <c r="E105" s="1811"/>
      <c r="F105" s="1811"/>
      <c r="G105" s="1811"/>
      <c r="H105" s="1803"/>
      <c r="I105" s="1803"/>
      <c r="J105" s="1803"/>
      <c r="K105" s="1803"/>
      <c r="L105" s="1803"/>
      <c r="M105" s="1803"/>
      <c r="N105" s="1803"/>
      <c r="O105" s="1803"/>
      <c r="P105" s="1803"/>
      <c r="Q105" s="1803"/>
      <c r="R105" s="1804"/>
    </row>
    <row r="106" spans="3:18">
      <c r="E106" s="1811"/>
      <c r="F106" s="1811"/>
      <c r="G106" s="1811"/>
      <c r="H106" s="1803"/>
      <c r="I106" s="1803"/>
      <c r="J106" s="1803"/>
      <c r="K106" s="1803"/>
      <c r="L106" s="1803"/>
      <c r="M106" s="1803"/>
      <c r="N106" s="1803"/>
      <c r="O106" s="1803"/>
      <c r="P106" s="1803"/>
      <c r="Q106" s="1803"/>
      <c r="R106" s="1804"/>
    </row>
    <row r="107" spans="3:18">
      <c r="E107" s="1811"/>
      <c r="F107" s="1811"/>
      <c r="G107" s="1811"/>
      <c r="H107" s="1803"/>
      <c r="I107" s="1803"/>
      <c r="J107" s="1803"/>
      <c r="K107" s="1803"/>
      <c r="L107" s="1803"/>
      <c r="M107" s="1803"/>
      <c r="N107" s="1803"/>
      <c r="O107" s="1803"/>
      <c r="P107" s="1803"/>
      <c r="Q107" s="1803"/>
      <c r="R107" s="1804"/>
    </row>
    <row r="108" spans="3:18">
      <c r="E108" s="1811"/>
      <c r="F108" s="1811"/>
      <c r="G108" s="1811"/>
      <c r="H108" s="1803"/>
      <c r="I108" s="1803"/>
      <c r="J108" s="1803"/>
      <c r="K108" s="1803"/>
      <c r="L108" s="1803"/>
      <c r="M108" s="1803"/>
      <c r="N108" s="1803"/>
      <c r="O108" s="1803"/>
      <c r="P108" s="1803"/>
      <c r="Q108" s="1803"/>
      <c r="R108" s="1804"/>
    </row>
    <row r="110" spans="3:18">
      <c r="C110" s="1817"/>
    </row>
    <row r="111" spans="3:18">
      <c r="C111" s="1817"/>
    </row>
    <row r="116" spans="3:18">
      <c r="E116" s="1805"/>
      <c r="F116" s="1805"/>
      <c r="G116" s="1805"/>
      <c r="H116" s="1804"/>
      <c r="I116" s="1804"/>
      <c r="J116" s="1804"/>
      <c r="K116" s="1804"/>
      <c r="L116" s="1804"/>
      <c r="M116" s="1804"/>
      <c r="N116" s="1804"/>
      <c r="O116" s="1804"/>
      <c r="P116" s="1804"/>
      <c r="Q116" s="1804"/>
      <c r="R116" s="1804"/>
    </row>
    <row r="117" spans="3:18">
      <c r="E117" s="1805"/>
      <c r="F117" s="1805"/>
      <c r="G117" s="1805"/>
      <c r="H117" s="1804"/>
      <c r="I117" s="1804"/>
      <c r="J117" s="1804"/>
      <c r="K117" s="1804"/>
      <c r="L117" s="1804"/>
      <c r="M117" s="1804"/>
      <c r="N117" s="1804"/>
      <c r="O117" s="1804"/>
      <c r="P117" s="1804"/>
      <c r="Q117" s="1804"/>
      <c r="R117" s="1804"/>
    </row>
    <row r="118" spans="3:18">
      <c r="E118" s="1805"/>
      <c r="F118" s="1805"/>
      <c r="G118" s="1805"/>
      <c r="H118" s="1804"/>
      <c r="I118" s="1804"/>
      <c r="J118" s="1804"/>
      <c r="K118" s="1804"/>
      <c r="L118" s="1804"/>
      <c r="M118" s="1804"/>
      <c r="N118" s="1804"/>
      <c r="O118" s="1804"/>
      <c r="P118" s="1804"/>
      <c r="Q118" s="1804"/>
      <c r="R118" s="1804"/>
    </row>
    <row r="119" spans="3:18">
      <c r="F119" s="1805"/>
      <c r="G119" s="1805"/>
      <c r="R119" s="1804"/>
    </row>
    <row r="120" spans="3:18">
      <c r="E120" s="1805"/>
      <c r="H120" s="1803"/>
      <c r="I120" s="1804"/>
      <c r="J120" s="1803"/>
      <c r="K120" s="1804"/>
      <c r="L120" s="1803"/>
      <c r="M120" s="1804"/>
      <c r="N120" s="1803"/>
      <c r="O120" s="1804"/>
      <c r="P120" s="1803"/>
      <c r="Q120" s="1804"/>
      <c r="R120" s="1804"/>
    </row>
    <row r="121" spans="3:18">
      <c r="E121" s="1805"/>
      <c r="H121" s="1804"/>
      <c r="I121" s="1804"/>
      <c r="J121" s="1804"/>
      <c r="K121" s="1804"/>
      <c r="L121" s="1804"/>
      <c r="M121" s="1804"/>
      <c r="N121" s="1804"/>
      <c r="O121" s="1804"/>
      <c r="P121" s="1804"/>
      <c r="Q121" s="1804"/>
      <c r="R121" s="1804"/>
    </row>
    <row r="122" spans="3:18">
      <c r="E122" s="1805"/>
      <c r="H122" s="1804"/>
      <c r="I122" s="1804"/>
      <c r="J122" s="1804"/>
      <c r="K122" s="1804"/>
      <c r="L122" s="1804"/>
      <c r="M122" s="1804"/>
      <c r="N122" s="1804"/>
      <c r="O122" s="1804"/>
      <c r="P122" s="1804"/>
      <c r="Q122" s="1804"/>
      <c r="R122" s="1804"/>
    </row>
    <row r="124" spans="3:18">
      <c r="C124" s="1804"/>
      <c r="E124" s="1805"/>
      <c r="F124" s="1805"/>
      <c r="G124" s="1805"/>
      <c r="H124" s="1804"/>
      <c r="I124" s="1804"/>
      <c r="J124" s="1804"/>
      <c r="K124" s="1804"/>
      <c r="L124" s="1804"/>
      <c r="M124" s="1804"/>
      <c r="N124" s="1804"/>
      <c r="O124" s="1804"/>
      <c r="P124" s="1804"/>
      <c r="Q124" s="1804"/>
      <c r="R124" s="1804"/>
    </row>
    <row r="125" spans="3:18">
      <c r="E125" s="1805"/>
      <c r="F125" s="1805"/>
      <c r="G125" s="1805"/>
      <c r="H125" s="1804"/>
      <c r="I125" s="1804"/>
      <c r="J125" s="1804"/>
      <c r="K125" s="1804"/>
      <c r="L125" s="1804"/>
      <c r="M125" s="1804"/>
      <c r="N125" s="1804"/>
      <c r="O125" s="1804"/>
      <c r="P125" s="1804"/>
      <c r="Q125" s="1804"/>
      <c r="R125" s="1804"/>
    </row>
    <row r="126" spans="3:18">
      <c r="E126" s="1805"/>
      <c r="F126" s="1805"/>
      <c r="G126" s="1805"/>
      <c r="H126" s="1804"/>
      <c r="I126" s="1804"/>
      <c r="J126" s="1804"/>
      <c r="K126" s="1804"/>
      <c r="L126" s="1804"/>
      <c r="M126" s="1804"/>
      <c r="N126" s="1804"/>
      <c r="O126" s="1804"/>
      <c r="P126" s="1804"/>
      <c r="Q126" s="1804"/>
      <c r="R126" s="1804"/>
    </row>
    <row r="128" spans="3:18">
      <c r="R128" s="1804"/>
    </row>
    <row r="130" spans="3:18">
      <c r="C130" s="1805"/>
      <c r="F130" s="1803"/>
      <c r="H130" s="1803"/>
      <c r="K130" s="1804"/>
      <c r="R130" s="1804"/>
    </row>
    <row r="131" spans="3:18">
      <c r="C131" s="1805"/>
      <c r="F131" s="1803"/>
      <c r="H131" s="1804"/>
      <c r="K131" s="1804"/>
      <c r="R131" s="1804"/>
    </row>
    <row r="132" spans="3:18">
      <c r="C132" s="1805"/>
      <c r="F132" s="1804"/>
      <c r="H132" s="1804"/>
      <c r="K132" s="1804"/>
      <c r="R132" s="1804"/>
    </row>
    <row r="141" spans="3:18">
      <c r="R141" s="1805"/>
    </row>
    <row r="142" spans="3:18">
      <c r="R142" s="1805"/>
    </row>
    <row r="143" spans="3:18">
      <c r="R143" s="1805"/>
    </row>
    <row r="144" spans="3:18">
      <c r="R144" s="1805"/>
    </row>
    <row r="145" spans="3:18">
      <c r="R145" s="1805"/>
    </row>
    <row r="146" spans="3:18">
      <c r="R146" s="1805"/>
    </row>
    <row r="147" spans="3:18">
      <c r="R147" s="1805"/>
    </row>
    <row r="148" spans="3:18">
      <c r="R148" s="1805"/>
    </row>
    <row r="149" spans="3:18">
      <c r="R149" s="1805"/>
    </row>
    <row r="150" spans="3:18">
      <c r="R150" s="1805"/>
    </row>
    <row r="151" spans="3:18">
      <c r="R151" s="1805"/>
    </row>
    <row r="152" spans="3:18">
      <c r="R152" s="1805"/>
    </row>
    <row r="153" spans="3:18">
      <c r="D153" s="1804"/>
      <c r="E153" s="1804"/>
      <c r="F153" s="1804"/>
      <c r="G153" s="1804"/>
      <c r="H153" s="1804"/>
      <c r="I153" s="1804"/>
      <c r="J153" s="1804"/>
      <c r="K153" s="1804"/>
      <c r="L153" s="1804"/>
      <c r="N153" s="1805"/>
      <c r="O153" s="1805"/>
      <c r="P153" s="1826"/>
      <c r="Q153" s="1804"/>
      <c r="R153" s="1805"/>
    </row>
    <row r="154" spans="3:18">
      <c r="C154" s="1817"/>
      <c r="D154" s="1804"/>
      <c r="E154" s="1803"/>
      <c r="F154" s="1804"/>
      <c r="G154" s="1803"/>
      <c r="H154" s="1803"/>
      <c r="I154" s="1803"/>
      <c r="J154" s="1803"/>
      <c r="K154" s="1804"/>
      <c r="L154" s="1804"/>
      <c r="M154" s="1805"/>
      <c r="N154" s="1805"/>
      <c r="O154" s="1805"/>
      <c r="P154" s="1805"/>
      <c r="Q154" s="1804"/>
      <c r="R154" s="1805"/>
    </row>
    <row r="155" spans="3:18">
      <c r="D155" s="1804"/>
      <c r="E155" s="1804"/>
      <c r="F155" s="1804"/>
      <c r="G155" s="1804"/>
      <c r="H155" s="1804"/>
      <c r="I155" s="1804"/>
      <c r="J155" s="1804"/>
      <c r="K155" s="1804"/>
      <c r="L155" s="1804"/>
      <c r="N155" s="1805"/>
      <c r="O155" s="1805"/>
      <c r="P155" s="1826"/>
      <c r="Q155" s="1804"/>
      <c r="R155" s="1805"/>
    </row>
    <row r="156" spans="3:18">
      <c r="C156" s="1817"/>
      <c r="D156" s="1804"/>
      <c r="E156" s="1803"/>
      <c r="F156" s="1804"/>
      <c r="G156" s="1803"/>
      <c r="H156" s="1803"/>
      <c r="I156" s="1803"/>
      <c r="J156" s="1803"/>
      <c r="K156" s="1804"/>
      <c r="L156" s="1804"/>
      <c r="M156" s="1805"/>
      <c r="N156" s="1805"/>
      <c r="O156" s="1805"/>
      <c r="P156" s="1805"/>
      <c r="Q156" s="1804"/>
      <c r="R156" s="1805"/>
    </row>
    <row r="220" spans="3:18">
      <c r="O220" s="1805"/>
      <c r="P220" s="1805"/>
      <c r="Q220" s="1826"/>
      <c r="R220" s="1805"/>
    </row>
    <row r="221" spans="3:18">
      <c r="C221" s="1817"/>
      <c r="G221" s="1817"/>
      <c r="I221" s="1817"/>
      <c r="J221" s="1817"/>
      <c r="K221" s="1817"/>
      <c r="L221" s="1817"/>
      <c r="O221" s="1805"/>
      <c r="P221" s="1805"/>
      <c r="Q221" s="1805"/>
      <c r="R221" s="1805"/>
    </row>
    <row r="222" spans="3:18">
      <c r="O222" s="1805"/>
      <c r="P222" s="1805"/>
      <c r="Q222" s="1826"/>
      <c r="R222" s="1805"/>
    </row>
    <row r="223" spans="3:18">
      <c r="C223" s="1817"/>
      <c r="G223" s="1817"/>
      <c r="I223" s="1817"/>
      <c r="J223" s="1817"/>
      <c r="K223" s="1817"/>
      <c r="L223" s="1817"/>
      <c r="O223" s="1805"/>
      <c r="P223" s="1805"/>
      <c r="Q223" s="1805"/>
      <c r="R223" s="1805"/>
    </row>
    <row r="224" spans="3:18">
      <c r="O224" s="1805"/>
      <c r="P224" s="1805"/>
      <c r="Q224" s="1826"/>
      <c r="R224" s="1805"/>
    </row>
    <row r="225" spans="10:18">
      <c r="J225" s="1817"/>
      <c r="K225" s="1817"/>
      <c r="L225" s="1817"/>
      <c r="O225" s="1805"/>
      <c r="P225" s="1805"/>
      <c r="Q225" s="1805"/>
      <c r="R225" s="1805"/>
    </row>
    <row r="226" spans="10:18">
      <c r="O226" s="1805"/>
      <c r="P226" s="1805"/>
      <c r="Q226" s="1826"/>
      <c r="R226" s="1805"/>
    </row>
    <row r="227" spans="10:18">
      <c r="J227" s="1817"/>
      <c r="K227" s="1817"/>
      <c r="L227" s="1817"/>
      <c r="O227" s="1805"/>
      <c r="P227" s="1805"/>
      <c r="Q227" s="1805"/>
      <c r="R227" s="1805"/>
    </row>
    <row r="228" spans="10:18">
      <c r="O228" s="1805"/>
      <c r="P228" s="1805"/>
      <c r="Q228" s="1826"/>
      <c r="R228" s="1805"/>
    </row>
    <row r="229" spans="10:18">
      <c r="J229" s="1817"/>
      <c r="K229" s="1817"/>
      <c r="L229" s="1817"/>
      <c r="O229" s="1805"/>
      <c r="P229" s="1805"/>
      <c r="Q229" s="1805"/>
      <c r="R229" s="1805"/>
    </row>
    <row r="230" spans="10:18">
      <c r="O230" s="1805"/>
      <c r="P230" s="1805"/>
      <c r="Q230" s="1826"/>
      <c r="R230" s="1805"/>
    </row>
    <row r="231" spans="10:18">
      <c r="J231" s="1817"/>
      <c r="K231" s="1817"/>
      <c r="L231" s="1817"/>
      <c r="O231" s="1805"/>
      <c r="P231" s="1805"/>
      <c r="Q231" s="1805"/>
      <c r="R231" s="1805"/>
    </row>
    <row r="232" spans="10:18">
      <c r="O232" s="1805"/>
      <c r="P232" s="1805"/>
      <c r="Q232" s="1826"/>
      <c r="R232" s="1805"/>
    </row>
    <row r="233" spans="10:18">
      <c r="J233" s="1817"/>
      <c r="K233" s="1817"/>
      <c r="L233" s="1817"/>
      <c r="O233" s="1805"/>
      <c r="P233" s="1805"/>
      <c r="Q233" s="1805"/>
      <c r="R233" s="1805"/>
    </row>
    <row r="234" spans="10:18">
      <c r="O234" s="1805"/>
      <c r="P234" s="1805"/>
      <c r="Q234" s="1826"/>
      <c r="R234" s="1805"/>
    </row>
    <row r="235" spans="10:18">
      <c r="J235" s="1817"/>
      <c r="K235" s="1817"/>
      <c r="L235" s="1817"/>
      <c r="O235" s="1805"/>
      <c r="P235" s="1805"/>
      <c r="Q235" s="1805"/>
      <c r="R235" s="1805"/>
    </row>
    <row r="236" spans="10:18">
      <c r="O236" s="1805"/>
      <c r="P236" s="1805"/>
      <c r="Q236" s="1826"/>
      <c r="R236" s="1805"/>
    </row>
    <row r="237" spans="10:18">
      <c r="J237" s="1817"/>
      <c r="K237" s="1817"/>
      <c r="L237" s="1817"/>
      <c r="O237" s="1805"/>
      <c r="P237" s="1805"/>
      <c r="Q237" s="1805"/>
      <c r="R237" s="1805"/>
    </row>
    <row r="238" spans="10:18">
      <c r="O238" s="1805"/>
      <c r="P238" s="1805"/>
      <c r="Q238" s="1826"/>
      <c r="R238" s="1805"/>
    </row>
    <row r="239" spans="10:18">
      <c r="J239" s="1817"/>
      <c r="K239" s="1817"/>
      <c r="L239" s="1817"/>
      <c r="O239" s="1805"/>
      <c r="P239" s="1805"/>
      <c r="Q239" s="1805"/>
      <c r="R239" s="1805"/>
    </row>
    <row r="240" spans="10:18">
      <c r="O240" s="1805"/>
      <c r="P240" s="1805"/>
      <c r="Q240" s="1826"/>
      <c r="R240" s="1805"/>
    </row>
    <row r="241" spans="3:18">
      <c r="J241" s="1817"/>
      <c r="K241" s="1817"/>
      <c r="L241" s="1817"/>
      <c r="O241" s="1805"/>
      <c r="P241" s="1805"/>
      <c r="Q241" s="1805"/>
      <c r="R241" s="1805"/>
    </row>
    <row r="242" spans="3:18">
      <c r="O242" s="1805"/>
      <c r="P242" s="1805"/>
      <c r="Q242" s="1826"/>
      <c r="R242" s="1805"/>
    </row>
    <row r="243" spans="3:18">
      <c r="J243" s="1817"/>
      <c r="K243" s="1817"/>
      <c r="L243" s="1817"/>
      <c r="O243" s="1805"/>
      <c r="P243" s="1805"/>
      <c r="Q243" s="1805"/>
      <c r="R243" s="1805"/>
    </row>
    <row r="244" spans="3:18">
      <c r="O244" s="1805"/>
      <c r="P244" s="1805"/>
      <c r="Q244" s="1826"/>
      <c r="R244" s="1805"/>
    </row>
    <row r="245" spans="3:18">
      <c r="J245" s="1817"/>
      <c r="K245" s="1817"/>
      <c r="L245" s="1817"/>
      <c r="O245" s="1805"/>
      <c r="P245" s="1805"/>
      <c r="Q245" s="1805"/>
      <c r="R245" s="1805"/>
    </row>
    <row r="246" spans="3:18">
      <c r="O246" s="1805"/>
      <c r="P246" s="1805"/>
      <c r="Q246" s="1826"/>
      <c r="R246" s="1805"/>
    </row>
    <row r="247" spans="3:18">
      <c r="J247" s="1817"/>
      <c r="K247" s="1817"/>
      <c r="L247" s="1817"/>
      <c r="O247" s="1805"/>
      <c r="P247" s="1805"/>
      <c r="Q247" s="1805"/>
      <c r="R247" s="1805"/>
    </row>
    <row r="248" spans="3:18">
      <c r="O248" s="1805"/>
      <c r="P248" s="1805"/>
      <c r="Q248" s="1826"/>
      <c r="R248" s="1805"/>
    </row>
    <row r="249" spans="3:18">
      <c r="J249" s="1817"/>
      <c r="K249" s="1817"/>
      <c r="L249" s="1817"/>
      <c r="O249" s="1805"/>
      <c r="P249" s="1805"/>
      <c r="Q249" s="1805"/>
      <c r="R249" s="1805"/>
    </row>
    <row r="250" spans="3:18">
      <c r="O250" s="1805"/>
      <c r="P250" s="1805"/>
      <c r="Q250" s="1826"/>
      <c r="R250" s="1805"/>
    </row>
    <row r="251" spans="3:18">
      <c r="J251" s="1817"/>
      <c r="K251" s="1817"/>
      <c r="L251" s="1817"/>
      <c r="O251" s="1805"/>
      <c r="P251" s="1805"/>
      <c r="Q251" s="1805"/>
      <c r="R251" s="1805"/>
    </row>
    <row r="252" spans="3:18">
      <c r="O252" s="1805"/>
      <c r="P252" s="1805"/>
      <c r="Q252" s="1826"/>
      <c r="R252" s="1805"/>
    </row>
    <row r="253" spans="3:18">
      <c r="C253" s="1817"/>
    </row>
    <row r="255" spans="3:18">
      <c r="C255" s="1817"/>
    </row>
    <row r="274" spans="7:7">
      <c r="G274" s="1817"/>
    </row>
    <row r="275" spans="7:7">
      <c r="G275" s="1817"/>
    </row>
    <row r="276" spans="7:7">
      <c r="G276" s="1817"/>
    </row>
  </sheetData>
  <mergeCells count="1">
    <mergeCell ref="A5:D5"/>
  </mergeCells>
  <printOptions horizontalCentered="1"/>
  <pageMargins left="0.5" right="0.5" top="0.5" bottom="0.5" header="0.25" footer="0.25"/>
  <pageSetup scale="65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T46"/>
  <sheetViews>
    <sheetView showGridLines="0" view="pageBreakPreview" topLeftCell="A10" zoomScale="90" zoomScaleNormal="100" zoomScaleSheetLayoutView="90" workbookViewId="0"/>
  </sheetViews>
  <sheetFormatPr defaultColWidth="11" defaultRowHeight="15"/>
  <cols>
    <col min="1" max="1" width="9.5" style="2" customWidth="1"/>
    <col min="2" max="2" width="4.375" style="2" customWidth="1"/>
    <col min="3" max="3" width="29" style="2" bestFit="1" customWidth="1"/>
    <col min="4" max="4" width="1.75" style="2" customWidth="1"/>
    <col min="5" max="5" width="7" style="2" customWidth="1"/>
    <col min="6" max="6" width="1.75" style="2" customWidth="1"/>
    <col min="7" max="7" width="16" style="2" customWidth="1"/>
    <col min="8" max="13" width="11" style="2" customWidth="1"/>
    <col min="14" max="14" width="26.625" style="2" customWidth="1"/>
    <col min="15" max="15" width="11" style="2" customWidth="1"/>
    <col min="16" max="20" width="11" style="2" hidden="1" customWidth="1"/>
    <col min="21" max="16384" width="11" style="2"/>
  </cols>
  <sheetData>
    <row r="1" spans="1:9">
      <c r="A1" s="134" t="str">
        <f>Company_Name</f>
        <v>WATER SERVICE CORPORATION OF KENTUCKY</v>
      </c>
      <c r="B1" s="37"/>
      <c r="G1" s="932" t="s">
        <v>802</v>
      </c>
    </row>
    <row r="2" spans="1:9">
      <c r="A2" s="134" t="str">
        <f>Docket</f>
        <v>Case No. 2015 - 00382</v>
      </c>
      <c r="B2" s="37"/>
      <c r="G2" s="158"/>
    </row>
    <row r="3" spans="1:9">
      <c r="A3" s="37" t="s">
        <v>104</v>
      </c>
      <c r="B3" s="37"/>
    </row>
    <row r="4" spans="1:9">
      <c r="A4" s="37" t="str">
        <f>TestYearEnded</f>
        <v>Test Year Ended 6/30/2015</v>
      </c>
      <c r="B4" s="37"/>
    </row>
    <row r="6" spans="1:9">
      <c r="B6" s="158" t="s">
        <v>235</v>
      </c>
      <c r="C6" s="158" t="s">
        <v>236</v>
      </c>
      <c r="D6" s="158"/>
      <c r="E6" s="158" t="s">
        <v>237</v>
      </c>
      <c r="F6" s="158"/>
      <c r="G6" s="158" t="s">
        <v>238</v>
      </c>
    </row>
    <row r="7" spans="1:9" ht="15.75">
      <c r="A7" s="1696" t="s">
        <v>1786</v>
      </c>
      <c r="G7" s="1472" t="s">
        <v>671</v>
      </c>
    </row>
    <row r="8" spans="1:9">
      <c r="G8" s="31"/>
    </row>
    <row r="9" spans="1:9">
      <c r="A9" s="158">
        <v>1</v>
      </c>
      <c r="B9" s="2" t="s">
        <v>522</v>
      </c>
      <c r="G9" s="40">
        <f>'Linked TB'!E69+'Linked TB'!E80+'Linked TB'!E73</f>
        <v>11829534.330000002</v>
      </c>
    </row>
    <row r="10" spans="1:9">
      <c r="A10" s="158">
        <v>2</v>
      </c>
      <c r="G10" s="40"/>
    </row>
    <row r="11" spans="1:9">
      <c r="A11" s="158">
        <v>3</v>
      </c>
      <c r="B11" s="2" t="s">
        <v>3872</v>
      </c>
      <c r="G11" s="40">
        <f>'wp-c-PIS Adj'!I9</f>
        <v>172623.82472222255</v>
      </c>
    </row>
    <row r="12" spans="1:9">
      <c r="A12" s="158">
        <v>4</v>
      </c>
      <c r="G12" s="59"/>
    </row>
    <row r="13" spans="1:9">
      <c r="A13" s="158">
        <v>5</v>
      </c>
      <c r="B13" s="2" t="s">
        <v>510</v>
      </c>
      <c r="G13" s="59"/>
    </row>
    <row r="14" spans="1:9">
      <c r="A14" s="158">
        <v>6</v>
      </c>
      <c r="C14" s="2" t="s">
        <v>511</v>
      </c>
      <c r="G14" s="59">
        <f>-('Linked TB'!E11+'Linked TB'!E12)</f>
        <v>-22551.41</v>
      </c>
      <c r="I14" s="59"/>
    </row>
    <row r="15" spans="1:9">
      <c r="A15" s="158">
        <v>7</v>
      </c>
      <c r="C15" s="2" t="s">
        <v>89</v>
      </c>
      <c r="G15" s="59">
        <f>-(+'Linked TB'!E80)</f>
        <v>-838547.34</v>
      </c>
      <c r="I15" s="59"/>
    </row>
    <row r="16" spans="1:9">
      <c r="A16" s="158">
        <v>8</v>
      </c>
      <c r="C16" s="2" t="s">
        <v>432</v>
      </c>
      <c r="G16" s="61">
        <f>-(+'Linked TB'!E73)</f>
        <v>-594204.38</v>
      </c>
      <c r="I16" s="59"/>
    </row>
    <row r="17" spans="1:10">
      <c r="A17" s="158">
        <v>9</v>
      </c>
      <c r="G17" s="61"/>
      <c r="I17" s="59"/>
    </row>
    <row r="18" spans="1:10">
      <c r="A18" s="158">
        <v>10</v>
      </c>
      <c r="B18" s="2" t="s">
        <v>942</v>
      </c>
      <c r="E18" s="58"/>
      <c r="G18" s="40">
        <f>SUM(G9:G16)</f>
        <v>10546855.024722224</v>
      </c>
    </row>
    <row r="19" spans="1:10">
      <c r="A19" s="158">
        <v>11</v>
      </c>
    </row>
    <row r="20" spans="1:10">
      <c r="A20" s="158">
        <v>12</v>
      </c>
      <c r="C20" s="2" t="s">
        <v>806</v>
      </c>
      <c r="E20" s="42">
        <v>0.02</v>
      </c>
      <c r="G20" s="43">
        <f>G18*E20</f>
        <v>210937.10049444449</v>
      </c>
    </row>
    <row r="21" spans="1:10">
      <c r="A21" s="158">
        <v>13</v>
      </c>
    </row>
    <row r="22" spans="1:10">
      <c r="A22" s="158">
        <v>14</v>
      </c>
      <c r="C22" s="2" t="s">
        <v>3561</v>
      </c>
      <c r="G22" s="581">
        <f>SUM('wp-p-Vehicles'!N16:N20,'wp-p-Vehicles'!N24:N28)</f>
        <v>273771.07061555248</v>
      </c>
    </row>
    <row r="23" spans="1:10">
      <c r="A23" s="158">
        <v>15</v>
      </c>
      <c r="G23" s="581"/>
    </row>
    <row r="24" spans="1:10">
      <c r="A24" s="158">
        <v>16</v>
      </c>
      <c r="C24" s="2" t="s">
        <v>1889</v>
      </c>
      <c r="E24" s="42"/>
      <c r="G24" s="1343">
        <f>+'wp-p-Vehicles'!M30</f>
        <v>54754.214123110498</v>
      </c>
    </row>
    <row r="25" spans="1:10">
      <c r="A25" s="158">
        <v>17</v>
      </c>
      <c r="C25" s="2" t="s">
        <v>3562</v>
      </c>
      <c r="E25" s="42"/>
      <c r="G25" s="270"/>
    </row>
    <row r="26" spans="1:10">
      <c r="A26" s="158">
        <v>18</v>
      </c>
    </row>
    <row r="27" spans="1:10">
      <c r="A27" s="158">
        <v>19</v>
      </c>
      <c r="C27" s="2" t="s">
        <v>3522</v>
      </c>
      <c r="G27" s="584">
        <f>+'wp-o-Computers'!E848</f>
        <v>224000.06380615084</v>
      </c>
    </row>
    <row r="28" spans="1:10">
      <c r="A28" s="158">
        <v>20</v>
      </c>
      <c r="G28" s="581"/>
    </row>
    <row r="29" spans="1:10">
      <c r="A29" s="158">
        <v>21</v>
      </c>
      <c r="C29" s="2" t="s">
        <v>1873</v>
      </c>
      <c r="E29" s="42"/>
      <c r="G29" s="1334">
        <f>+'wp-o-Computers'!L848</f>
        <v>20465.481072483195</v>
      </c>
      <c r="I29" s="2">
        <f>G29/0.88</f>
        <v>23256.228491458176</v>
      </c>
      <c r="J29" s="2">
        <f>I29*0.0077</f>
        <v>179.07295938422797</v>
      </c>
    </row>
    <row r="30" spans="1:10">
      <c r="A30" s="158">
        <v>22</v>
      </c>
      <c r="C30" s="2" t="s">
        <v>3563</v>
      </c>
    </row>
    <row r="31" spans="1:10">
      <c r="A31" s="158">
        <v>23</v>
      </c>
    </row>
    <row r="32" spans="1:10" ht="15.75" thickBot="1">
      <c r="A32" s="158">
        <v>24</v>
      </c>
      <c r="B32" s="2" t="s">
        <v>499</v>
      </c>
      <c r="G32" s="44">
        <f>G20+G24+G29</f>
        <v>286156.79569003818</v>
      </c>
    </row>
    <row r="33" spans="1:7" ht="15.75" thickTop="1">
      <c r="A33" s="158">
        <v>25</v>
      </c>
    </row>
    <row r="34" spans="1:7">
      <c r="A34" s="158">
        <v>26</v>
      </c>
      <c r="C34" s="198"/>
    </row>
    <row r="35" spans="1:7">
      <c r="A35" s="158">
        <v>27</v>
      </c>
      <c r="B35" s="2" t="s">
        <v>723</v>
      </c>
      <c r="G35" s="240">
        <f>('Linked TB'!F234+'Linked TB'!F235+'Linked TB'!F236)</f>
        <v>-239021.94</v>
      </c>
    </row>
    <row r="36" spans="1:7">
      <c r="A36" s="158">
        <v>28</v>
      </c>
      <c r="G36" s="240"/>
    </row>
    <row r="37" spans="1:7">
      <c r="A37" s="158">
        <v>29</v>
      </c>
      <c r="B37" s="2" t="s">
        <v>941</v>
      </c>
      <c r="G37" s="240">
        <f>'wp-q AIAC'!H9</f>
        <v>-113080.52999999998</v>
      </c>
    </row>
    <row r="38" spans="1:7">
      <c r="A38" s="158">
        <v>30</v>
      </c>
    </row>
    <row r="39" spans="1:7" ht="15.75" thickBot="1">
      <c r="A39" s="158">
        <v>31</v>
      </c>
      <c r="C39" s="2" t="s">
        <v>645</v>
      </c>
      <c r="E39" s="42">
        <f>E20</f>
        <v>0.02</v>
      </c>
      <c r="G39" s="44">
        <f>SUM(G35:G37)*E39</f>
        <v>-7042.0493999999999</v>
      </c>
    </row>
    <row r="40" spans="1:7" ht="15.75" thickTop="1">
      <c r="A40" s="158">
        <v>32</v>
      </c>
    </row>
    <row r="41" spans="1:7" hidden="1"/>
    <row r="42" spans="1:7" hidden="1"/>
    <row r="43" spans="1:7" hidden="1">
      <c r="B43" s="2" t="s">
        <v>941</v>
      </c>
      <c r="G43" s="240">
        <v>0</v>
      </c>
    </row>
    <row r="44" spans="1:7" hidden="1"/>
    <row r="45" spans="1:7" ht="15.75" hidden="1" thickBot="1">
      <c r="C45" s="2" t="s">
        <v>645</v>
      </c>
      <c r="E45" s="42">
        <v>0</v>
      </c>
      <c r="G45" s="295">
        <f>G43*E45</f>
        <v>0</v>
      </c>
    </row>
    <row r="46" spans="1:7" hidden="1"/>
  </sheetData>
  <phoneticPr fontId="28" type="noConversion"/>
  <pageMargins left="0.75" right="0.75" top="1" bottom="1" header="0.5" footer="0.5"/>
  <pageSetup scale="75" orientation="portrait" horizontalDpi="4294967292" verticalDpi="4294967292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0"/>
  <sheetViews>
    <sheetView workbookViewId="0"/>
  </sheetViews>
  <sheetFormatPr defaultRowHeight="12"/>
  <cols>
    <col min="1" max="1" width="20.75" bestFit="1" customWidth="1"/>
    <col min="2" max="2" width="18.125" bestFit="1" customWidth="1"/>
    <col min="3" max="4" width="8.125" bestFit="1" customWidth="1"/>
    <col min="5" max="5" width="13.875" bestFit="1" customWidth="1"/>
    <col min="8" max="8" width="18.5" bestFit="1" customWidth="1"/>
  </cols>
  <sheetData>
    <row r="3" spans="1:8">
      <c r="A3" s="1051" t="s">
        <v>1731</v>
      </c>
      <c r="B3" s="1051" t="s">
        <v>1732</v>
      </c>
    </row>
    <row r="4" spans="1:8">
      <c r="A4" s="1051" t="s">
        <v>1528</v>
      </c>
      <c r="B4">
        <v>345101</v>
      </c>
      <c r="C4">
        <v>345102</v>
      </c>
      <c r="D4">
        <v>345103</v>
      </c>
      <c r="E4" t="s">
        <v>1661</v>
      </c>
      <c r="H4" s="1045"/>
    </row>
    <row r="5" spans="1:8">
      <c r="A5" s="1045" t="s">
        <v>1321</v>
      </c>
      <c r="B5" s="1048"/>
      <c r="C5" s="1048">
        <v>100</v>
      </c>
      <c r="D5" s="1048"/>
      <c r="E5" s="1048">
        <v>100</v>
      </c>
      <c r="H5" s="1045"/>
    </row>
    <row r="6" spans="1:8">
      <c r="A6" s="1045" t="s">
        <v>1322</v>
      </c>
      <c r="B6" s="1048"/>
      <c r="C6" s="1048">
        <v>100</v>
      </c>
      <c r="D6" s="1048"/>
      <c r="E6" s="1048">
        <v>100</v>
      </c>
      <c r="H6" s="1045"/>
    </row>
    <row r="7" spans="1:8">
      <c r="A7" s="1045" t="s">
        <v>1665</v>
      </c>
      <c r="B7" s="1048"/>
      <c r="C7" s="1048">
        <v>100</v>
      </c>
      <c r="D7" s="1048"/>
      <c r="E7" s="1048">
        <v>100</v>
      </c>
      <c r="H7" s="1045"/>
    </row>
    <row r="8" spans="1:8">
      <c r="A8" s="1045" t="s">
        <v>1323</v>
      </c>
      <c r="B8" s="1048">
        <v>9.27</v>
      </c>
      <c r="C8" s="1048">
        <v>82.31</v>
      </c>
      <c r="D8" s="1048">
        <v>8.42</v>
      </c>
      <c r="E8" s="1048">
        <v>100</v>
      </c>
      <c r="H8" s="1045"/>
    </row>
    <row r="9" spans="1:8">
      <c r="A9" s="1045" t="s">
        <v>1324</v>
      </c>
      <c r="B9" s="1048"/>
      <c r="C9" s="1048">
        <v>100</v>
      </c>
      <c r="D9" s="1048"/>
      <c r="E9" s="1048">
        <v>100</v>
      </c>
      <c r="H9" s="1045"/>
    </row>
    <row r="10" spans="1:8">
      <c r="A10" s="1045" t="s">
        <v>1325</v>
      </c>
      <c r="B10" s="1048"/>
      <c r="C10" s="1048">
        <v>100</v>
      </c>
      <c r="D10" s="1048"/>
      <c r="E10" s="1048">
        <v>100</v>
      </c>
      <c r="H10" s="1045"/>
    </row>
    <row r="11" spans="1:8">
      <c r="A11" s="1045" t="s">
        <v>1326</v>
      </c>
      <c r="B11" s="1048"/>
      <c r="C11" s="1048">
        <v>100</v>
      </c>
      <c r="D11" s="1048"/>
      <c r="E11" s="1048">
        <v>100</v>
      </c>
      <c r="H11" s="1045"/>
    </row>
    <row r="12" spans="1:8">
      <c r="A12" s="1045" t="s">
        <v>1724</v>
      </c>
      <c r="B12" s="1048">
        <v>52.42</v>
      </c>
      <c r="C12" s="1048"/>
      <c r="D12" s="1048">
        <v>47.58</v>
      </c>
      <c r="E12" s="1048">
        <v>100</v>
      </c>
      <c r="H12" s="1045"/>
    </row>
    <row r="13" spans="1:8">
      <c r="A13" s="1045" t="s">
        <v>1327</v>
      </c>
      <c r="B13" s="1048"/>
      <c r="C13" s="1048">
        <v>100</v>
      </c>
      <c r="D13" s="1048"/>
      <c r="E13" s="1048">
        <v>100</v>
      </c>
      <c r="H13" s="1045"/>
    </row>
    <row r="14" spans="1:8">
      <c r="A14" s="1045" t="s">
        <v>1328</v>
      </c>
      <c r="B14" s="1048">
        <v>52.42</v>
      </c>
      <c r="C14" s="1048"/>
      <c r="D14" s="1048">
        <v>47.58</v>
      </c>
      <c r="E14" s="1048">
        <v>100</v>
      </c>
      <c r="H14" s="1045"/>
    </row>
    <row r="15" spans="1:8">
      <c r="A15" s="1045" t="s">
        <v>1329</v>
      </c>
      <c r="B15" s="1048">
        <v>9.27</v>
      </c>
      <c r="C15" s="1048">
        <v>82.31</v>
      </c>
      <c r="D15" s="1048">
        <v>8.42</v>
      </c>
      <c r="E15" s="1048">
        <v>100</v>
      </c>
      <c r="H15" s="1045"/>
    </row>
    <row r="16" spans="1:8">
      <c r="A16" s="1045" t="s">
        <v>1661</v>
      </c>
      <c r="B16" s="1048">
        <v>123.38</v>
      </c>
      <c r="C16" s="1048">
        <v>864.61999999999989</v>
      </c>
      <c r="D16" s="1048">
        <v>112</v>
      </c>
      <c r="E16" s="1048">
        <v>1100</v>
      </c>
      <c r="H16" s="1045"/>
    </row>
    <row r="17" spans="8:8">
      <c r="H17" s="1045"/>
    </row>
    <row r="18" spans="8:8">
      <c r="H18" s="1045"/>
    </row>
    <row r="19" spans="8:8">
      <c r="H19" s="1045"/>
    </row>
    <row r="20" spans="8:8">
      <c r="H20" s="1045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52"/>
  <sheetViews>
    <sheetView view="pageBreakPreview" zoomScale="85" zoomScaleNormal="100" zoomScaleSheetLayoutView="85" workbookViewId="0"/>
  </sheetViews>
  <sheetFormatPr defaultRowHeight="15"/>
  <cols>
    <col min="1" max="1" width="9" style="2"/>
    <col min="2" max="2" width="16.125" style="2" bestFit="1" customWidth="1"/>
    <col min="3" max="3" width="3" style="2" customWidth="1"/>
    <col min="4" max="4" width="31.875" style="2" bestFit="1" customWidth="1"/>
    <col min="5" max="5" width="3" style="2" customWidth="1"/>
    <col min="6" max="6" width="10.875" style="2" customWidth="1"/>
    <col min="7" max="7" width="3" style="2" customWidth="1"/>
    <col min="8" max="8" width="16.375" style="2" customWidth="1"/>
    <col min="9" max="9" width="3" style="2" customWidth="1"/>
    <col min="10" max="10" width="11.125" style="2" bestFit="1" customWidth="1"/>
    <col min="11" max="14" width="9" style="2"/>
    <col min="15" max="15" width="26.625" style="2" customWidth="1"/>
    <col min="16" max="16" width="16" style="2" bestFit="1" customWidth="1"/>
    <col min="17" max="16384" width="9" style="2"/>
  </cols>
  <sheetData>
    <row r="1" spans="1:10">
      <c r="A1" s="37" t="str">
        <f>Company_Name</f>
        <v>WATER SERVICE CORPORATION OF KENTUCKY</v>
      </c>
      <c r="C1" s="37"/>
      <c r="J1" s="932" t="s">
        <v>1448</v>
      </c>
    </row>
    <row r="2" spans="1:10">
      <c r="A2" s="37" t="str">
        <f>Docket</f>
        <v>Case No. 2015 - 00382</v>
      </c>
      <c r="C2" s="37"/>
      <c r="J2" s="932"/>
    </row>
    <row r="3" spans="1:10">
      <c r="A3" s="37" t="s">
        <v>1446</v>
      </c>
      <c r="C3" s="37"/>
    </row>
    <row r="4" spans="1:10">
      <c r="A4" s="37" t="str">
        <f>TestYearEnded</f>
        <v>Test Year Ended 6/30/2015</v>
      </c>
      <c r="C4" s="37"/>
    </row>
    <row r="6" spans="1:10" s="158" customFormat="1" ht="14.25">
      <c r="B6" s="158" t="s">
        <v>235</v>
      </c>
      <c r="D6" s="158" t="s">
        <v>236</v>
      </c>
      <c r="F6" s="158" t="s">
        <v>237</v>
      </c>
      <c r="H6" s="158" t="s">
        <v>238</v>
      </c>
      <c r="J6" s="158" t="s">
        <v>239</v>
      </c>
    </row>
    <row r="8" spans="1:10" ht="57.75">
      <c r="A8" s="1466" t="s">
        <v>1786</v>
      </c>
      <c r="B8" s="1466" t="s">
        <v>437</v>
      </c>
      <c r="C8" s="1467"/>
      <c r="D8" s="1466" t="s">
        <v>150</v>
      </c>
      <c r="E8" s="1467"/>
      <c r="F8" s="1466" t="s">
        <v>1663</v>
      </c>
      <c r="G8" s="1467"/>
      <c r="H8" s="1466" t="s">
        <v>1664</v>
      </c>
      <c r="I8" s="1467"/>
      <c r="J8" s="1466" t="s">
        <v>1465</v>
      </c>
    </row>
    <row r="9" spans="1:10">
      <c r="A9" s="158">
        <v>1</v>
      </c>
      <c r="B9" s="2">
        <v>5630</v>
      </c>
      <c r="D9" s="2" t="s">
        <v>1309</v>
      </c>
      <c r="F9" s="198">
        <v>573961.37</v>
      </c>
      <c r="G9" s="198"/>
      <c r="H9" s="15"/>
      <c r="I9" s="15"/>
      <c r="J9" s="15"/>
    </row>
    <row r="10" spans="1:10">
      <c r="A10" s="158">
        <v>2</v>
      </c>
      <c r="B10" s="2">
        <v>5635</v>
      </c>
      <c r="D10" s="2" t="s">
        <v>791</v>
      </c>
      <c r="F10" s="198">
        <v>131369.94</v>
      </c>
      <c r="G10" s="198"/>
      <c r="H10" s="15"/>
      <c r="I10" s="15"/>
      <c r="J10" s="15"/>
    </row>
    <row r="11" spans="1:10">
      <c r="A11" s="158">
        <v>3</v>
      </c>
      <c r="B11" s="2">
        <v>5640</v>
      </c>
      <c r="D11" s="2" t="s">
        <v>792</v>
      </c>
      <c r="F11" s="198">
        <v>0</v>
      </c>
      <c r="G11" s="198"/>
      <c r="H11" s="15"/>
      <c r="I11" s="15"/>
      <c r="J11" s="15"/>
    </row>
    <row r="12" spans="1:10">
      <c r="A12" s="158">
        <v>4</v>
      </c>
      <c r="B12" s="2">
        <v>5645</v>
      </c>
      <c r="D12" s="2" t="s">
        <v>392</v>
      </c>
      <c r="F12" s="198">
        <v>-864246.86</v>
      </c>
      <c r="G12" s="198"/>
      <c r="H12" s="15"/>
      <c r="I12" s="15"/>
      <c r="J12" s="15"/>
    </row>
    <row r="13" spans="1:10">
      <c r="A13" s="158">
        <v>5</v>
      </c>
      <c r="B13" s="2">
        <v>5650</v>
      </c>
      <c r="D13" s="2" t="s">
        <v>393</v>
      </c>
      <c r="F13" s="198">
        <v>15294.42</v>
      </c>
      <c r="G13" s="198"/>
      <c r="H13" s="15"/>
      <c r="I13" s="15"/>
      <c r="J13" s="15"/>
    </row>
    <row r="14" spans="1:10">
      <c r="A14" s="158">
        <v>6</v>
      </c>
      <c r="B14" s="2">
        <v>5655</v>
      </c>
      <c r="D14" s="2" t="s">
        <v>394</v>
      </c>
      <c r="F14" s="198">
        <v>3233625.57</v>
      </c>
      <c r="G14" s="198"/>
      <c r="H14" s="15"/>
      <c r="I14" s="15"/>
      <c r="J14" s="15"/>
    </row>
    <row r="15" spans="1:10" ht="15.75" thickBot="1">
      <c r="A15" s="158">
        <v>7</v>
      </c>
      <c r="B15" s="15"/>
      <c r="C15" s="15"/>
      <c r="D15" s="1468" t="s">
        <v>151</v>
      </c>
      <c r="E15" s="1468"/>
      <c r="F15" s="1469">
        <f>SUM(F9:F14)</f>
        <v>3090004.44</v>
      </c>
      <c r="G15" s="1470"/>
      <c r="H15" s="584">
        <f>D41</f>
        <v>413</v>
      </c>
      <c r="I15" s="584"/>
      <c r="J15" s="584">
        <f>F15/H15</f>
        <v>7481.8509443099274</v>
      </c>
    </row>
    <row r="16" spans="1:10" ht="15.75" thickTop="1">
      <c r="A16" s="158">
        <v>8</v>
      </c>
      <c r="B16" s="15"/>
      <c r="C16" s="15"/>
      <c r="D16" s="21"/>
      <c r="E16" s="21"/>
      <c r="F16" s="1471"/>
      <c r="G16" s="1471"/>
      <c r="H16" s="15"/>
      <c r="I16" s="15"/>
      <c r="J16" s="15"/>
    </row>
    <row r="17" spans="1:10">
      <c r="A17" s="158">
        <v>9</v>
      </c>
      <c r="B17" s="2">
        <v>5660</v>
      </c>
      <c r="D17" s="2" t="s">
        <v>1333</v>
      </c>
      <c r="F17" s="198">
        <v>28222.79</v>
      </c>
      <c r="G17" s="198"/>
      <c r="H17" s="15"/>
      <c r="I17" s="15"/>
      <c r="J17" s="15"/>
    </row>
    <row r="18" spans="1:10">
      <c r="A18" s="158">
        <v>10</v>
      </c>
      <c r="B18" s="2">
        <v>5670</v>
      </c>
      <c r="D18" s="2" t="s">
        <v>397</v>
      </c>
      <c r="F18" s="198">
        <v>187547.14</v>
      </c>
      <c r="G18" s="198"/>
      <c r="H18" s="15"/>
      <c r="I18" s="15"/>
      <c r="J18" s="15"/>
    </row>
    <row r="19" spans="1:10">
      <c r="A19" s="158">
        <v>11</v>
      </c>
      <c r="B19" s="2">
        <v>5675</v>
      </c>
      <c r="D19" s="2" t="s">
        <v>899</v>
      </c>
      <c r="F19" s="198">
        <v>-22819.02</v>
      </c>
      <c r="G19" s="198"/>
      <c r="H19" s="15"/>
      <c r="I19" s="15"/>
      <c r="J19" s="15"/>
    </row>
    <row r="20" spans="1:10">
      <c r="A20" s="158">
        <v>12</v>
      </c>
      <c r="B20" s="2">
        <v>5680</v>
      </c>
      <c r="D20" s="2" t="s">
        <v>900</v>
      </c>
      <c r="F20" s="198">
        <v>-14443.13</v>
      </c>
      <c r="G20" s="198"/>
      <c r="H20" s="15"/>
      <c r="I20" s="15"/>
      <c r="J20" s="15"/>
    </row>
    <row r="21" spans="1:10">
      <c r="A21" s="158">
        <v>13</v>
      </c>
      <c r="B21" s="2">
        <v>5685</v>
      </c>
      <c r="D21" s="2" t="s">
        <v>901</v>
      </c>
      <c r="F21" s="198">
        <v>0</v>
      </c>
      <c r="G21" s="198"/>
      <c r="H21" s="15"/>
      <c r="I21" s="15"/>
      <c r="J21" s="15"/>
    </row>
    <row r="22" spans="1:10">
      <c r="A22" s="158">
        <v>14</v>
      </c>
      <c r="B22" s="2">
        <v>5690</v>
      </c>
      <c r="D22" s="2" t="s">
        <v>902</v>
      </c>
      <c r="F22" s="198">
        <v>8797.18</v>
      </c>
      <c r="G22" s="198"/>
      <c r="H22" s="15"/>
      <c r="I22" s="15"/>
      <c r="J22" s="15"/>
    </row>
    <row r="23" spans="1:10" ht="15.75" thickBot="1">
      <c r="A23" s="158">
        <v>15</v>
      </c>
      <c r="B23" s="15"/>
      <c r="C23" s="15"/>
      <c r="D23" s="1468" t="s">
        <v>152</v>
      </c>
      <c r="E23" s="1468"/>
      <c r="F23" s="1469">
        <f>SUM(F17:F22)</f>
        <v>187304.96000000002</v>
      </c>
      <c r="G23" s="1470"/>
      <c r="H23" s="584">
        <f>D41</f>
        <v>413</v>
      </c>
      <c r="I23" s="584"/>
      <c r="J23" s="584">
        <f>F23/H23</f>
        <v>453.52290556900732</v>
      </c>
    </row>
    <row r="24" spans="1:10" ht="15.75" thickTop="1">
      <c r="A24" s="158">
        <v>16</v>
      </c>
      <c r="B24" s="15"/>
      <c r="C24" s="15"/>
      <c r="D24" s="21"/>
      <c r="E24" s="21"/>
      <c r="F24" s="15"/>
      <c r="G24" s="15"/>
      <c r="H24" s="15"/>
      <c r="I24" s="15"/>
      <c r="J24" s="15"/>
    </row>
    <row r="25" spans="1:10">
      <c r="A25" s="158">
        <v>17</v>
      </c>
    </row>
    <row r="26" spans="1:10">
      <c r="A26" s="158">
        <v>18</v>
      </c>
    </row>
    <row r="27" spans="1:10">
      <c r="A27" s="158">
        <v>19</v>
      </c>
      <c r="B27" s="158"/>
      <c r="C27" s="158"/>
      <c r="D27" s="158" t="s">
        <v>1335</v>
      </c>
      <c r="E27" s="158"/>
    </row>
    <row r="28" spans="1:10">
      <c r="A28" s="158">
        <v>20</v>
      </c>
      <c r="B28" s="1472" t="s">
        <v>1447</v>
      </c>
      <c r="C28" s="1473"/>
      <c r="D28" s="1472" t="s">
        <v>1334</v>
      </c>
      <c r="E28" s="1473"/>
      <c r="F28" s="885"/>
      <c r="G28" s="885"/>
    </row>
    <row r="29" spans="1:10">
      <c r="A29" s="158">
        <v>21</v>
      </c>
      <c r="B29" s="1379">
        <v>40939</v>
      </c>
      <c r="C29" s="1379"/>
      <c r="D29" s="1474">
        <v>410</v>
      </c>
      <c r="E29" s="885"/>
      <c r="F29" s="885"/>
      <c r="G29" s="885"/>
      <c r="H29" s="59"/>
      <c r="I29" s="59"/>
    </row>
    <row r="30" spans="1:10">
      <c r="A30" s="158">
        <v>22</v>
      </c>
      <c r="B30" s="1379">
        <v>40967</v>
      </c>
      <c r="C30" s="1379"/>
      <c r="D30" s="1474">
        <v>415</v>
      </c>
      <c r="E30" s="885"/>
      <c r="F30" s="885"/>
      <c r="G30" s="885"/>
    </row>
    <row r="31" spans="1:10">
      <c r="A31" s="158">
        <v>23</v>
      </c>
      <c r="B31" s="1379">
        <v>40999</v>
      </c>
      <c r="C31" s="1379"/>
      <c r="D31" s="1474">
        <v>415</v>
      </c>
      <c r="E31" s="885"/>
      <c r="F31" s="885"/>
      <c r="G31" s="885"/>
    </row>
    <row r="32" spans="1:10">
      <c r="A32" s="158">
        <v>24</v>
      </c>
      <c r="B32" s="1379">
        <v>41029</v>
      </c>
      <c r="C32" s="1379"/>
      <c r="D32" s="1474">
        <v>414</v>
      </c>
      <c r="E32" s="885"/>
      <c r="F32" s="885"/>
      <c r="G32" s="885"/>
    </row>
    <row r="33" spans="1:10">
      <c r="A33" s="158">
        <v>25</v>
      </c>
      <c r="B33" s="1379">
        <v>41060</v>
      </c>
      <c r="C33" s="1379"/>
      <c r="D33" s="1474">
        <v>412</v>
      </c>
      <c r="E33" s="885"/>
      <c r="F33" s="885"/>
      <c r="G33" s="885"/>
      <c r="H33" s="47"/>
      <c r="I33" s="47"/>
    </row>
    <row r="34" spans="1:10">
      <c r="A34" s="158">
        <v>26</v>
      </c>
      <c r="B34" s="1379">
        <v>41090</v>
      </c>
      <c r="C34" s="1379"/>
      <c r="D34" s="1474">
        <v>414</v>
      </c>
      <c r="E34" s="885"/>
      <c r="F34" s="885"/>
      <c r="G34" s="885"/>
    </row>
    <row r="35" spans="1:10">
      <c r="A35" s="158">
        <v>27</v>
      </c>
      <c r="B35" s="1379">
        <v>41121</v>
      </c>
      <c r="C35" s="1379"/>
      <c r="D35" s="1474">
        <v>412</v>
      </c>
      <c r="E35" s="885"/>
      <c r="F35" s="885"/>
      <c r="G35" s="885"/>
    </row>
    <row r="36" spans="1:10">
      <c r="A36" s="158">
        <v>28</v>
      </c>
      <c r="B36" s="1379">
        <v>41152</v>
      </c>
      <c r="C36" s="1379"/>
      <c r="D36" s="1474">
        <v>411</v>
      </c>
      <c r="E36" s="885"/>
      <c r="F36" s="885"/>
      <c r="G36" s="885"/>
    </row>
    <row r="37" spans="1:10">
      <c r="A37" s="158">
        <v>29</v>
      </c>
      <c r="B37" s="1379">
        <v>41182</v>
      </c>
      <c r="C37" s="1379"/>
      <c r="D37" s="1474">
        <v>410</v>
      </c>
      <c r="E37" s="885"/>
    </row>
    <row r="38" spans="1:10">
      <c r="A38" s="158">
        <v>30</v>
      </c>
      <c r="B38" s="1379">
        <v>41213</v>
      </c>
      <c r="C38" s="1379"/>
      <c r="D38" s="581">
        <v>410</v>
      </c>
    </row>
    <row r="39" spans="1:10">
      <c r="A39" s="158">
        <v>31</v>
      </c>
      <c r="B39" s="1379">
        <v>41243</v>
      </c>
      <c r="C39" s="1379"/>
      <c r="D39" s="581">
        <v>415</v>
      </c>
    </row>
    <row r="40" spans="1:10">
      <c r="A40" s="158">
        <v>32</v>
      </c>
      <c r="B40" s="1379">
        <v>41274</v>
      </c>
      <c r="C40" s="1379"/>
      <c r="D40" s="581">
        <v>418</v>
      </c>
    </row>
    <row r="41" spans="1:10" ht="15.75" thickBot="1">
      <c r="A41" s="158">
        <v>33</v>
      </c>
      <c r="B41" s="1475" t="s">
        <v>1336</v>
      </c>
      <c r="C41" s="1475"/>
      <c r="D41" s="282">
        <f>ROUND(AVERAGE(D29:D40),0)</f>
        <v>413</v>
      </c>
      <c r="E41" s="252"/>
    </row>
    <row r="42" spans="1:10" ht="15.75" thickTop="1"/>
    <row r="46" spans="1:10">
      <c r="D46" s="281"/>
      <c r="E46" s="281"/>
      <c r="F46" s="198"/>
      <c r="G46" s="198"/>
      <c r="H46" s="776"/>
      <c r="I46" s="776"/>
      <c r="J46" s="198"/>
    </row>
    <row r="47" spans="1:10">
      <c r="D47" s="1476"/>
      <c r="E47" s="1476"/>
      <c r="F47" s="198"/>
      <c r="G47" s="198"/>
      <c r="H47" s="776"/>
      <c r="I47" s="776"/>
      <c r="J47" s="198"/>
    </row>
    <row r="51" spans="4:10">
      <c r="D51" s="281"/>
      <c r="E51" s="281"/>
      <c r="F51" s="198"/>
      <c r="G51" s="198"/>
      <c r="H51" s="776"/>
      <c r="I51" s="776"/>
      <c r="J51" s="198"/>
    </row>
    <row r="52" spans="4:10">
      <c r="D52" s="1476"/>
      <c r="E52" s="1476"/>
      <c r="F52" s="198"/>
      <c r="G52" s="198"/>
      <c r="H52" s="776"/>
      <c r="I52" s="776"/>
      <c r="J52" s="198"/>
    </row>
  </sheetData>
  <phoneticPr fontId="44" type="noConversion"/>
  <pageMargins left="0.7" right="0.7" top="0.75" bottom="0.75" header="0.3" footer="0.3"/>
  <pageSetup scale="81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122"/>
  <sheetViews>
    <sheetView view="pageBreakPreview" topLeftCell="A88" zoomScale="80" zoomScaleNormal="100" zoomScaleSheetLayoutView="80" workbookViewId="0"/>
  </sheetViews>
  <sheetFormatPr defaultRowHeight="12.75"/>
  <cols>
    <col min="1" max="1" width="8" style="439" customWidth="1"/>
    <col min="2" max="2" width="1.75" style="439" customWidth="1"/>
    <col min="3" max="3" width="30.625" style="439" bestFit="1" customWidth="1"/>
    <col min="4" max="4" width="2.75" style="439" bestFit="1" customWidth="1"/>
    <col min="5" max="5" width="11.125" style="439" bestFit="1" customWidth="1"/>
    <col min="6" max="6" width="2.75" style="439" bestFit="1" customWidth="1"/>
    <col min="7" max="7" width="11.5" style="439" bestFit="1" customWidth="1"/>
    <col min="8" max="8" width="2.75" style="439" customWidth="1"/>
    <col min="9" max="9" width="19.5" style="439" bestFit="1" customWidth="1"/>
    <col min="10" max="10" width="2.75" style="439" bestFit="1" customWidth="1"/>
    <col min="11" max="16384" width="9" style="439"/>
  </cols>
  <sheetData>
    <row r="1" spans="1:10">
      <c r="A1" s="718" t="str">
        <f>Company_Name</f>
        <v>WATER SERVICE CORPORATION OF KENTUCKY</v>
      </c>
      <c r="I1" s="1028" t="s">
        <v>1450</v>
      </c>
    </row>
    <row r="2" spans="1:10">
      <c r="A2" s="718" t="str">
        <f>Docket</f>
        <v>Case No. 2015 - 00382</v>
      </c>
      <c r="I2" s="939"/>
    </row>
    <row r="3" spans="1:10">
      <c r="A3" s="719" t="s">
        <v>1049</v>
      </c>
      <c r="G3" s="1036" t="s">
        <v>1483</v>
      </c>
    </row>
    <row r="4" spans="1:10">
      <c r="A4" s="719" t="str">
        <f>TestYearEnded</f>
        <v>Test Year Ended 6/30/2015</v>
      </c>
    </row>
    <row r="5" spans="1:10">
      <c r="B5" s="719"/>
    </row>
    <row r="6" spans="1:10" s="1068" customFormat="1">
      <c r="B6" s="1024"/>
      <c r="C6" s="1068" t="s">
        <v>235</v>
      </c>
      <c r="E6" s="1068" t="s">
        <v>236</v>
      </c>
      <c r="G6" s="1068" t="s">
        <v>237</v>
      </c>
      <c r="I6" s="1068" t="s">
        <v>238</v>
      </c>
    </row>
    <row r="7" spans="1:10">
      <c r="B7" s="719"/>
    </row>
    <row r="8" spans="1:10">
      <c r="B8" s="719"/>
      <c r="C8" s="720"/>
      <c r="D8" s="721"/>
      <c r="E8" s="1023" t="s">
        <v>73</v>
      </c>
      <c r="F8" s="719"/>
      <c r="G8" s="1024" t="s">
        <v>325</v>
      </c>
      <c r="H8" s="1025"/>
      <c r="I8" s="1024" t="s">
        <v>1449</v>
      </c>
      <c r="J8" s="724"/>
    </row>
    <row r="9" spans="1:10">
      <c r="B9" s="723"/>
      <c r="C9" s="723"/>
      <c r="D9" s="723"/>
      <c r="E9" s="1023" t="s">
        <v>1050</v>
      </c>
      <c r="F9" s="1024"/>
      <c r="G9" s="1024" t="s">
        <v>748</v>
      </c>
      <c r="H9" s="1025"/>
      <c r="I9" s="1024" t="s">
        <v>1051</v>
      </c>
      <c r="J9" s="725"/>
    </row>
    <row r="10" spans="1:10">
      <c r="A10" s="1555" t="s">
        <v>1786</v>
      </c>
      <c r="B10" s="723"/>
      <c r="C10" s="1554" t="s">
        <v>59</v>
      </c>
      <c r="D10" s="723"/>
      <c r="E10" s="1026" t="s">
        <v>1051</v>
      </c>
      <c r="F10" s="1024"/>
      <c r="G10" s="1027" t="s">
        <v>1052</v>
      </c>
      <c r="H10" s="1025"/>
      <c r="I10" s="1027" t="s">
        <v>721</v>
      </c>
      <c r="J10" s="722"/>
    </row>
    <row r="11" spans="1:10">
      <c r="A11" s="1556"/>
      <c r="B11" s="723"/>
      <c r="C11" s="748"/>
      <c r="D11" s="723"/>
      <c r="E11" s="1023"/>
      <c r="F11" s="1024"/>
      <c r="G11" s="1025"/>
      <c r="H11" s="1025"/>
      <c r="I11" s="1025"/>
      <c r="J11" s="722"/>
    </row>
    <row r="12" spans="1:10">
      <c r="A12" s="1068">
        <v>1</v>
      </c>
      <c r="B12" s="726" t="s">
        <v>677</v>
      </c>
      <c r="C12" s="727"/>
      <c r="D12" s="721"/>
      <c r="E12" s="728"/>
      <c r="F12" s="720"/>
      <c r="G12" s="720"/>
      <c r="H12" s="727"/>
      <c r="I12" s="720"/>
      <c r="J12" s="724"/>
    </row>
    <row r="13" spans="1:10">
      <c r="A13" s="1068">
        <v>2</v>
      </c>
      <c r="B13" s="729"/>
      <c r="C13" s="777" t="s">
        <v>1321</v>
      </c>
      <c r="D13" s="720"/>
      <c r="E13" s="730">
        <v>-17536.969999999994</v>
      </c>
      <c r="F13" s="731"/>
      <c r="G13" s="732">
        <f>'Wp b - salary'!Z12</f>
        <v>1</v>
      </c>
      <c r="H13" s="733"/>
      <c r="I13" s="734">
        <f>E13*G13</f>
        <v>-17536.969999999994</v>
      </c>
      <c r="J13" s="735"/>
    </row>
    <row r="14" spans="1:10">
      <c r="A14" s="1068">
        <v>3</v>
      </c>
      <c r="B14" s="729"/>
      <c r="C14" s="777" t="s">
        <v>1322</v>
      </c>
      <c r="D14" s="721"/>
      <c r="E14" s="730">
        <v>-1583.15</v>
      </c>
      <c r="F14" s="731"/>
      <c r="G14" s="732">
        <f>'Wp b - salary'!Z13</f>
        <v>1</v>
      </c>
      <c r="H14" s="733"/>
      <c r="I14" s="734">
        <f t="shared" ref="I14:I22" si="0">E14*G14</f>
        <v>-1583.15</v>
      </c>
      <c r="J14" s="735"/>
    </row>
    <row r="15" spans="1:10">
      <c r="A15" s="1068">
        <v>4</v>
      </c>
      <c r="B15" s="729"/>
      <c r="C15" s="777" t="s">
        <v>1665</v>
      </c>
      <c r="D15" s="721"/>
      <c r="E15" s="730">
        <v>-5257.0099999999966</v>
      </c>
      <c r="F15" s="731"/>
      <c r="G15" s="732">
        <f>'Wp b - salary'!Z14</f>
        <v>1</v>
      </c>
      <c r="H15" s="733"/>
      <c r="I15" s="734">
        <f t="shared" si="0"/>
        <v>-5257.0099999999966</v>
      </c>
      <c r="J15" s="735"/>
    </row>
    <row r="16" spans="1:10">
      <c r="A16" s="1068">
        <v>5</v>
      </c>
      <c r="B16" s="729"/>
      <c r="C16" s="777" t="s">
        <v>1323</v>
      </c>
      <c r="D16" s="721"/>
      <c r="E16" s="730">
        <v>-24040.190000000053</v>
      </c>
      <c r="F16" s="731"/>
      <c r="G16" s="732">
        <f>'Wp b - salary'!Z15</f>
        <v>1</v>
      </c>
      <c r="H16" s="733"/>
      <c r="I16" s="734">
        <f t="shared" si="0"/>
        <v>-24040.190000000053</v>
      </c>
      <c r="J16" s="735"/>
    </row>
    <row r="17" spans="1:10">
      <c r="A17" s="1068">
        <v>6</v>
      </c>
      <c r="B17" s="729"/>
      <c r="C17" s="777" t="s">
        <v>1324</v>
      </c>
      <c r="D17" s="721"/>
      <c r="E17" s="730">
        <v>-8687.5499999999993</v>
      </c>
      <c r="F17" s="731"/>
      <c r="G17" s="732">
        <f>'Wp b - salary'!Z16</f>
        <v>1</v>
      </c>
      <c r="H17" s="733"/>
      <c r="I17" s="734">
        <f t="shared" si="0"/>
        <v>-8687.5499999999993</v>
      </c>
      <c r="J17" s="735"/>
    </row>
    <row r="18" spans="1:10">
      <c r="A18" s="1068">
        <v>7</v>
      </c>
      <c r="B18" s="729"/>
      <c r="C18" s="777" t="s">
        <v>1325</v>
      </c>
      <c r="D18" s="720"/>
      <c r="E18" s="730">
        <v>-5899.2799999999961</v>
      </c>
      <c r="F18" s="731"/>
      <c r="G18" s="732">
        <f>'Wp b - salary'!Z17</f>
        <v>1</v>
      </c>
      <c r="H18" s="733"/>
      <c r="I18" s="734">
        <f t="shared" si="0"/>
        <v>-5899.2799999999961</v>
      </c>
      <c r="J18" s="735"/>
    </row>
    <row r="19" spans="1:10">
      <c r="A19" s="1068">
        <v>8</v>
      </c>
      <c r="B19" s="729"/>
      <c r="C19" s="777" t="s">
        <v>1326</v>
      </c>
      <c r="D19" s="720"/>
      <c r="E19" s="730">
        <v>-4913.8299999999981</v>
      </c>
      <c r="F19" s="731"/>
      <c r="G19" s="732">
        <f>'Wp b - salary'!Z18</f>
        <v>1</v>
      </c>
      <c r="H19" s="733"/>
      <c r="I19" s="734">
        <f t="shared" si="0"/>
        <v>-4913.8299999999981</v>
      </c>
      <c r="J19" s="735"/>
    </row>
    <row r="20" spans="1:10">
      <c r="A20" s="1068">
        <v>9</v>
      </c>
      <c r="B20" s="729"/>
      <c r="C20" s="777" t="s">
        <v>1327</v>
      </c>
      <c r="D20" s="720"/>
      <c r="E20" s="730">
        <v>-15749.75</v>
      </c>
      <c r="F20" s="731"/>
      <c r="G20" s="732">
        <f>'Wp b - salary'!Z19</f>
        <v>1</v>
      </c>
      <c r="H20" s="733"/>
      <c r="I20" s="734">
        <f t="shared" si="0"/>
        <v>-15749.75</v>
      </c>
      <c r="J20" s="735"/>
    </row>
    <row r="21" spans="1:10">
      <c r="A21" s="1068">
        <v>10</v>
      </c>
      <c r="B21" s="729"/>
      <c r="C21" s="777" t="s">
        <v>1328</v>
      </c>
      <c r="D21" s="720"/>
      <c r="E21" s="730">
        <v>-8167.8300000000027</v>
      </c>
      <c r="F21" s="731"/>
      <c r="G21" s="732">
        <f>'Wp b - salary'!Z20</f>
        <v>1</v>
      </c>
      <c r="H21" s="733"/>
      <c r="I21" s="734">
        <f t="shared" si="0"/>
        <v>-8167.8300000000027</v>
      </c>
      <c r="J21" s="735"/>
    </row>
    <row r="22" spans="1:10">
      <c r="A22" s="1068">
        <v>11</v>
      </c>
      <c r="B22" s="729"/>
      <c r="C22" s="777" t="s">
        <v>1329</v>
      </c>
      <c r="D22" s="720"/>
      <c r="E22" s="730">
        <v>-11948.47</v>
      </c>
      <c r="F22" s="731"/>
      <c r="G22" s="732">
        <f>'Wp b - salary'!Z21</f>
        <v>1</v>
      </c>
      <c r="H22" s="733"/>
      <c r="I22" s="734">
        <f t="shared" si="0"/>
        <v>-11948.47</v>
      </c>
      <c r="J22" s="735"/>
    </row>
    <row r="23" spans="1:10">
      <c r="A23" s="1068">
        <v>12</v>
      </c>
      <c r="B23" s="729"/>
      <c r="C23" s="777"/>
      <c r="D23" s="720"/>
      <c r="E23" s="730"/>
      <c r="F23" s="731"/>
      <c r="G23" s="732"/>
      <c r="H23" s="733"/>
      <c r="I23" s="734"/>
      <c r="J23" s="735"/>
    </row>
    <row r="24" spans="1:10">
      <c r="A24" s="1068">
        <v>13</v>
      </c>
      <c r="B24" s="720"/>
      <c r="C24" s="738"/>
      <c r="D24" s="721"/>
      <c r="E24" s="730"/>
      <c r="F24" s="731"/>
      <c r="G24" s="736"/>
      <c r="H24" s="736"/>
      <c r="I24" s="737"/>
      <c r="J24" s="724"/>
    </row>
    <row r="25" spans="1:10">
      <c r="A25" s="1068">
        <v>14</v>
      </c>
      <c r="B25" s="726" t="s">
        <v>464</v>
      </c>
      <c r="C25" s="727"/>
      <c r="D25" s="727"/>
      <c r="E25" s="730"/>
      <c r="F25" s="730"/>
      <c r="G25" s="736"/>
      <c r="H25" s="736"/>
      <c r="I25" s="737"/>
      <c r="J25" s="724"/>
    </row>
    <row r="26" spans="1:10">
      <c r="A26" s="1068">
        <v>15</v>
      </c>
      <c r="B26" s="729"/>
      <c r="C26" s="738" t="s">
        <v>1722</v>
      </c>
      <c r="D26" s="721"/>
      <c r="E26" s="730">
        <v>-104603</v>
      </c>
      <c r="F26" s="731"/>
      <c r="G26" s="732">
        <f>'Wp b - salary'!Z25</f>
        <v>0.20766448079556102</v>
      </c>
      <c r="H26" s="733"/>
      <c r="I26" s="734">
        <f>E26*G26</f>
        <v>-21722.32768465807</v>
      </c>
      <c r="J26" s="735"/>
    </row>
    <row r="27" spans="1:10">
      <c r="A27" s="1068">
        <v>16</v>
      </c>
      <c r="B27" s="729"/>
      <c r="C27" s="738" t="s">
        <v>1337</v>
      </c>
      <c r="D27" s="721"/>
      <c r="E27" s="730">
        <v>-89132.21000000037</v>
      </c>
      <c r="F27" s="731"/>
      <c r="G27" s="732">
        <f>'Wp b - salary'!Z26</f>
        <v>0.13938541487301429</v>
      </c>
      <c r="H27" s="733"/>
      <c r="I27" s="734">
        <f>E27*G27</f>
        <v>-12423.730069398684</v>
      </c>
      <c r="J27" s="735"/>
    </row>
    <row r="28" spans="1:10">
      <c r="A28" s="1068">
        <v>17</v>
      </c>
      <c r="B28" s="729"/>
      <c r="C28" s="738" t="str">
        <f>+'Wp b - salary'!D27</f>
        <v>Veronica Stannis</v>
      </c>
      <c r="D28" s="721"/>
      <c r="E28" s="730">
        <v>0</v>
      </c>
      <c r="F28" s="731"/>
      <c r="G28" s="732">
        <f>'Wp b - salary'!Z27</f>
        <v>0.13938541487301429</v>
      </c>
      <c r="H28" s="733"/>
      <c r="I28" s="734">
        <f>E28*G28</f>
        <v>0</v>
      </c>
      <c r="J28" s="735"/>
    </row>
    <row r="29" spans="1:10">
      <c r="A29" s="1068">
        <v>18</v>
      </c>
      <c r="B29" s="729"/>
      <c r="C29" s="738" t="s">
        <v>1723</v>
      </c>
      <c r="D29" s="721"/>
      <c r="E29" s="730">
        <v>-540.28</v>
      </c>
      <c r="F29" s="731"/>
      <c r="G29" s="732">
        <f>'Wp b - salary'!Z28</f>
        <v>0.13938541487301429</v>
      </c>
      <c r="H29" s="733"/>
      <c r="I29" s="734">
        <f>E29*G29</f>
        <v>-75.30715194759216</v>
      </c>
      <c r="J29" s="735"/>
    </row>
    <row r="30" spans="1:10">
      <c r="A30" s="1068">
        <v>19</v>
      </c>
      <c r="B30" s="729"/>
      <c r="C30" s="738" t="str">
        <f>+'Wp b - salary'!D29</f>
        <v>Mary Rollins</v>
      </c>
      <c r="D30" s="721"/>
      <c r="E30" s="739">
        <v>0</v>
      </c>
      <c r="F30" s="731"/>
      <c r="G30" s="732">
        <f>'Wp b - salary'!Z29</f>
        <v>0.13938541487301429</v>
      </c>
      <c r="H30" s="733"/>
      <c r="I30" s="740">
        <f>E30*G30</f>
        <v>0</v>
      </c>
      <c r="J30" s="729"/>
    </row>
    <row r="31" spans="1:10">
      <c r="A31" s="1068">
        <v>20</v>
      </c>
      <c r="B31" s="720"/>
      <c r="C31" s="720"/>
      <c r="D31" s="720"/>
      <c r="E31" s="730"/>
      <c r="F31" s="731"/>
      <c r="G31" s="727"/>
      <c r="H31" s="727"/>
      <c r="I31" s="727"/>
      <c r="J31" s="741"/>
    </row>
    <row r="32" spans="1:10">
      <c r="A32" s="1068">
        <v>21</v>
      </c>
      <c r="B32" s="719" t="s">
        <v>1053</v>
      </c>
      <c r="C32" s="720"/>
      <c r="D32" s="720"/>
      <c r="E32" s="730">
        <f>SUM(E13:E30)</f>
        <v>-298059.52000000043</v>
      </c>
      <c r="F32" s="730"/>
      <c r="G32" s="727"/>
      <c r="H32" s="727"/>
      <c r="I32" s="730">
        <f>SUM(I13:I30)</f>
        <v>-138005.39490600437</v>
      </c>
      <c r="J32" s="741"/>
    </row>
    <row r="33" spans="1:10">
      <c r="A33" s="1068">
        <v>22</v>
      </c>
      <c r="B33" s="719"/>
      <c r="C33" s="720"/>
      <c r="D33" s="721"/>
      <c r="E33" s="742"/>
      <c r="F33" s="731"/>
      <c r="G33" s="727"/>
      <c r="H33" s="727"/>
      <c r="I33" s="727"/>
      <c r="J33" s="741"/>
    </row>
    <row r="34" spans="1:10">
      <c r="A34" s="1068">
        <v>23</v>
      </c>
      <c r="B34" s="719" t="s">
        <v>87</v>
      </c>
      <c r="C34" s="720"/>
      <c r="D34" s="720"/>
      <c r="E34" s="730"/>
      <c r="F34" s="731"/>
      <c r="G34" s="727"/>
      <c r="H34" s="727"/>
      <c r="I34" s="727"/>
      <c r="J34" s="741"/>
    </row>
    <row r="35" spans="1:10">
      <c r="A35" s="1068">
        <v>24</v>
      </c>
      <c r="B35" s="719"/>
      <c r="D35" s="720"/>
      <c r="E35" s="730"/>
      <c r="F35" s="731"/>
      <c r="G35" s="743"/>
      <c r="H35" s="727"/>
      <c r="I35" s="734"/>
      <c r="J35" s="741"/>
    </row>
    <row r="36" spans="1:10">
      <c r="A36" s="1068">
        <v>25</v>
      </c>
      <c r="B36" s="719"/>
      <c r="D36" s="720"/>
      <c r="E36" s="730"/>
      <c r="F36" s="731"/>
      <c r="G36" s="743"/>
      <c r="H36" s="727"/>
      <c r="I36" s="734"/>
      <c r="J36" s="741"/>
    </row>
    <row r="37" spans="1:10">
      <c r="A37" s="1068">
        <v>26</v>
      </c>
      <c r="B37" s="719"/>
      <c r="C37" s="890" t="s">
        <v>1067</v>
      </c>
      <c r="D37" s="720"/>
      <c r="E37" s="730">
        <v>-79.64</v>
      </c>
      <c r="F37" s="731"/>
      <c r="G37" s="743">
        <f>+'Input Schedule'!$D$17</f>
        <v>2.6393242386234281E-2</v>
      </c>
      <c r="H37" s="727"/>
      <c r="I37" s="734">
        <f>E37*G37</f>
        <v>-2.1019578236396983</v>
      </c>
      <c r="J37" s="741"/>
    </row>
    <row r="38" spans="1:10">
      <c r="A38" s="1068">
        <v>27</v>
      </c>
      <c r="B38" s="719"/>
      <c r="C38" s="890" t="s">
        <v>1666</v>
      </c>
      <c r="D38" s="720"/>
      <c r="E38" s="730">
        <v>-360.13</v>
      </c>
      <c r="F38" s="731"/>
      <c r="G38" s="743">
        <f>+'Input Schedule'!$D$17</f>
        <v>2.6393242386234281E-2</v>
      </c>
      <c r="H38" s="727"/>
      <c r="I38" s="734">
        <f>E38*G38</f>
        <v>-9.5049983805545519</v>
      </c>
      <c r="J38" s="741"/>
    </row>
    <row r="39" spans="1:10">
      <c r="A39" s="1068">
        <v>28</v>
      </c>
      <c r="B39" s="720"/>
      <c r="C39" s="890" t="s">
        <v>1070</v>
      </c>
      <c r="D39" s="720"/>
      <c r="E39" s="730">
        <v>-3255.3299999999995</v>
      </c>
      <c r="F39" s="730"/>
      <c r="G39" s="743">
        <f>+'Input Schedule'!$D$17</f>
        <v>2.6393242386234281E-2</v>
      </c>
      <c r="H39" s="744"/>
      <c r="I39" s="734">
        <f t="shared" ref="I39:I63" si="1">E39*G39</f>
        <v>-85.918713737180028</v>
      </c>
      <c r="J39" s="741"/>
    </row>
    <row r="40" spans="1:10">
      <c r="A40" s="1068">
        <v>29</v>
      </c>
      <c r="B40" s="720"/>
      <c r="C40" s="890" t="s">
        <v>1071</v>
      </c>
      <c r="D40" s="720"/>
      <c r="E40" s="730">
        <v>-199.1</v>
      </c>
      <c r="F40" s="730"/>
      <c r="G40" s="743">
        <f>+'Input Schedule'!$D$17</f>
        <v>2.6393242386234281E-2</v>
      </c>
      <c r="H40" s="744"/>
      <c r="I40" s="734">
        <f t="shared" si="1"/>
        <v>-5.2548945590992453</v>
      </c>
      <c r="J40" s="741"/>
    </row>
    <row r="41" spans="1:10">
      <c r="A41" s="1068">
        <v>30</v>
      </c>
      <c r="B41" s="720"/>
      <c r="C41" s="890" t="s">
        <v>1667</v>
      </c>
      <c r="D41" s="720"/>
      <c r="E41" s="730">
        <v>-293.3</v>
      </c>
      <c r="F41" s="730"/>
      <c r="G41" s="743">
        <f>+'Input Schedule'!$D$17</f>
        <v>2.6393242386234281E-2</v>
      </c>
      <c r="H41" s="744"/>
      <c r="I41" s="734">
        <f t="shared" si="1"/>
        <v>-7.7411379918825149</v>
      </c>
      <c r="J41" s="741"/>
    </row>
    <row r="42" spans="1:10">
      <c r="A42" s="1068">
        <v>31</v>
      </c>
      <c r="B42" s="720"/>
      <c r="C42" s="890" t="s">
        <v>1668</v>
      </c>
      <c r="D42" s="720"/>
      <c r="E42" s="730">
        <v>-2100.5100000000002</v>
      </c>
      <c r="F42" s="730"/>
      <c r="G42" s="743">
        <f>+'Input Schedule'!$D$17</f>
        <v>2.6393242386234281E-2</v>
      </c>
      <c r="H42" s="744"/>
      <c r="I42" s="734">
        <f t="shared" si="1"/>
        <v>-55.439269564708979</v>
      </c>
      <c r="J42" s="741"/>
    </row>
    <row r="43" spans="1:10">
      <c r="A43" s="1068">
        <v>32</v>
      </c>
      <c r="B43" s="720"/>
      <c r="C43" s="890" t="s">
        <v>1669</v>
      </c>
      <c r="D43" s="727"/>
      <c r="E43" s="730">
        <v>-2219.9899999999998</v>
      </c>
      <c r="F43" s="730"/>
      <c r="G43" s="743">
        <f>+'Input Schedule'!$D$17</f>
        <v>2.6393242386234281E-2</v>
      </c>
      <c r="H43" s="733"/>
      <c r="I43" s="734">
        <f t="shared" si="1"/>
        <v>-58.592734165016239</v>
      </c>
      <c r="J43" s="724"/>
    </row>
    <row r="44" spans="1:10">
      <c r="A44" s="1068">
        <v>33</v>
      </c>
      <c r="B44" s="720"/>
      <c r="C44" s="890" t="s">
        <v>1670</v>
      </c>
      <c r="D44" s="727"/>
      <c r="E44" s="730">
        <v>-3058.6999999999989</v>
      </c>
      <c r="F44" s="730"/>
      <c r="G44" s="743">
        <f>+'Input Schedule'!$D$17</f>
        <v>2.6393242386234281E-2</v>
      </c>
      <c r="H44" s="733"/>
      <c r="I44" s="734">
        <f t="shared" si="1"/>
        <v>-80.729010486774769</v>
      </c>
      <c r="J44" s="724"/>
    </row>
    <row r="45" spans="1:10">
      <c r="A45" s="1068">
        <v>34</v>
      </c>
      <c r="B45" s="720"/>
      <c r="C45" s="890" t="s">
        <v>1671</v>
      </c>
      <c r="D45" s="727"/>
      <c r="E45" s="730">
        <v>-318.56</v>
      </c>
      <c r="F45" s="730"/>
      <c r="G45" s="743">
        <f>+'Input Schedule'!$D$17</f>
        <v>2.6393242386234281E-2</v>
      </c>
      <c r="H45" s="733"/>
      <c r="I45" s="734">
        <f t="shared" si="1"/>
        <v>-8.4078312945587932</v>
      </c>
      <c r="J45" s="724"/>
    </row>
    <row r="46" spans="1:10">
      <c r="A46" s="1068">
        <v>35</v>
      </c>
      <c r="B46" s="720"/>
      <c r="C46" s="890" t="s">
        <v>1672</v>
      </c>
      <c r="D46" s="727"/>
      <c r="E46" s="730">
        <v>-408.17</v>
      </c>
      <c r="F46" s="730"/>
      <c r="G46" s="743">
        <f>+'Input Schedule'!$D$17</f>
        <v>2.6393242386234281E-2</v>
      </c>
      <c r="H46" s="733"/>
      <c r="I46" s="734">
        <f t="shared" si="1"/>
        <v>-10.772929744789247</v>
      </c>
      <c r="J46" s="724"/>
    </row>
    <row r="47" spans="1:10">
      <c r="A47" s="1068">
        <v>36</v>
      </c>
      <c r="B47" s="720"/>
      <c r="C47" s="890" t="s">
        <v>1072</v>
      </c>
      <c r="D47" s="727"/>
      <c r="E47" s="730">
        <v>-2040.8300000000006</v>
      </c>
      <c r="F47" s="730"/>
      <c r="G47" s="743">
        <f>+'Input Schedule'!$D$17</f>
        <v>2.6393242386234281E-2</v>
      </c>
      <c r="H47" s="733"/>
      <c r="I47" s="734">
        <f t="shared" si="1"/>
        <v>-53.864120859098527</v>
      </c>
      <c r="J47" s="724"/>
    </row>
    <row r="48" spans="1:10">
      <c r="A48" s="1068">
        <v>37</v>
      </c>
      <c r="B48" s="720"/>
      <c r="C48" s="890" t="s">
        <v>1073</v>
      </c>
      <c r="D48" s="727"/>
      <c r="E48" s="730">
        <v>-1149.48</v>
      </c>
      <c r="F48" s="730"/>
      <c r="G48" s="743">
        <f>+'Input Schedule'!$D$17</f>
        <v>2.6393242386234281E-2</v>
      </c>
      <c r="H48" s="733"/>
      <c r="I48" s="734">
        <f t="shared" si="1"/>
        <v>-30.338504258128584</v>
      </c>
      <c r="J48" s="724"/>
    </row>
    <row r="49" spans="1:10">
      <c r="A49" s="1068">
        <v>38</v>
      </c>
      <c r="B49" s="720"/>
      <c r="C49" s="891" t="s">
        <v>1080</v>
      </c>
      <c r="D49" s="727"/>
      <c r="E49" s="730">
        <v>-2515.38</v>
      </c>
      <c r="F49" s="730"/>
      <c r="G49" s="743">
        <f>+'Input Schedule'!$D$17</f>
        <v>2.6393242386234281E-2</v>
      </c>
      <c r="H49" s="733"/>
      <c r="I49" s="734">
        <f t="shared" si="1"/>
        <v>-66.389034033485984</v>
      </c>
      <c r="J49" s="724"/>
    </row>
    <row r="50" spans="1:10">
      <c r="A50" s="1068">
        <v>39</v>
      </c>
      <c r="B50" s="720"/>
      <c r="C50" s="890" t="s">
        <v>1673</v>
      </c>
      <c r="D50" s="727"/>
      <c r="E50" s="730">
        <v>-13999</v>
      </c>
      <c r="F50" s="730"/>
      <c r="G50" s="743">
        <f>+'Input Schedule'!$D$17</f>
        <v>2.6393242386234281E-2</v>
      </c>
      <c r="H50" s="733"/>
      <c r="I50" s="734">
        <f t="shared" si="1"/>
        <v>-369.47900016489371</v>
      </c>
      <c r="J50" s="724"/>
    </row>
    <row r="51" spans="1:10">
      <c r="A51" s="1068">
        <v>40</v>
      </c>
      <c r="B51" s="720"/>
      <c r="C51" s="890" t="s">
        <v>1674</v>
      </c>
      <c r="D51" s="727"/>
      <c r="E51" s="730">
        <v>-2195.31</v>
      </c>
      <c r="F51" s="730"/>
      <c r="G51" s="743">
        <f>+'Input Schedule'!$D$17</f>
        <v>2.6393242386234281E-2</v>
      </c>
      <c r="H51" s="733"/>
      <c r="I51" s="734">
        <f t="shared" si="1"/>
        <v>-57.94134894292398</v>
      </c>
      <c r="J51" s="724"/>
    </row>
    <row r="52" spans="1:10">
      <c r="A52" s="1068">
        <v>41</v>
      </c>
      <c r="B52" s="720"/>
      <c r="C52" s="890" t="s">
        <v>1675</v>
      </c>
      <c r="D52" s="727"/>
      <c r="E52" s="730">
        <v>-2006.04</v>
      </c>
      <c r="F52" s="730"/>
      <c r="G52" s="743">
        <f>+'Input Schedule'!$D$17</f>
        <v>2.6393242386234281E-2</v>
      </c>
      <c r="H52" s="733"/>
      <c r="I52" s="734">
        <f t="shared" si="1"/>
        <v>-52.945899956481419</v>
      </c>
      <c r="J52" s="724"/>
    </row>
    <row r="53" spans="1:10">
      <c r="A53" s="1068">
        <v>42</v>
      </c>
      <c r="B53" s="720"/>
      <c r="C53" s="890" t="s">
        <v>1081</v>
      </c>
      <c r="D53" s="727"/>
      <c r="E53" s="730">
        <v>-448.20000000000005</v>
      </c>
      <c r="F53" s="730"/>
      <c r="G53" s="743">
        <f>+'Input Schedule'!$D$17</f>
        <v>2.6393242386234281E-2</v>
      </c>
      <c r="H53" s="733"/>
      <c r="I53" s="734">
        <f t="shared" si="1"/>
        <v>-11.829451237510206</v>
      </c>
      <c r="J53" s="724"/>
    </row>
    <row r="54" spans="1:10">
      <c r="A54" s="1068">
        <v>43</v>
      </c>
      <c r="B54" s="720"/>
      <c r="C54" s="890" t="s">
        <v>1676</v>
      </c>
      <c r="D54" s="727"/>
      <c r="E54" s="730">
        <v>-293.31</v>
      </c>
      <c r="F54" s="730"/>
      <c r="G54" s="743">
        <f>+'Input Schedule'!$D$17</f>
        <v>2.6393242386234281E-2</v>
      </c>
      <c r="H54" s="733"/>
      <c r="I54" s="734">
        <f t="shared" si="1"/>
        <v>-7.741401924306377</v>
      </c>
      <c r="J54" s="724"/>
    </row>
    <row r="55" spans="1:10">
      <c r="A55" s="1068">
        <v>44</v>
      </c>
      <c r="B55" s="720"/>
      <c r="C55" s="890" t="s">
        <v>1677</v>
      </c>
      <c r="D55" s="727"/>
      <c r="E55" s="730">
        <v>-756.58000000000015</v>
      </c>
      <c r="F55" s="730"/>
      <c r="G55" s="743">
        <f>+'Input Schedule'!$D$17</f>
        <v>2.6393242386234281E-2</v>
      </c>
      <c r="H55" s="733"/>
      <c r="I55" s="734">
        <f t="shared" si="1"/>
        <v>-19.968599324577138</v>
      </c>
      <c r="J55" s="724"/>
    </row>
    <row r="56" spans="1:10">
      <c r="A56" s="1068">
        <v>45</v>
      </c>
      <c r="B56" s="720"/>
      <c r="C56" s="890" t="s">
        <v>1678</v>
      </c>
      <c r="D56" s="727"/>
      <c r="E56" s="730">
        <v>-275.87</v>
      </c>
      <c r="F56" s="730"/>
      <c r="G56" s="743">
        <f>+'Input Schedule'!$D$17</f>
        <v>2.6393242386234281E-2</v>
      </c>
      <c r="H56" s="733"/>
      <c r="I56" s="734">
        <f t="shared" si="1"/>
        <v>-7.2811037770904514</v>
      </c>
      <c r="J56" s="724"/>
    </row>
    <row r="57" spans="1:10">
      <c r="A57" s="1068">
        <v>46</v>
      </c>
      <c r="B57" s="720"/>
      <c r="C57" s="890" t="s">
        <v>1679</v>
      </c>
      <c r="D57" s="727"/>
      <c r="E57" s="730">
        <v>-1829.7299999999993</v>
      </c>
      <c r="F57" s="730"/>
      <c r="G57" s="743">
        <f>+'Input Schedule'!$D$17</f>
        <v>2.6393242386234281E-2</v>
      </c>
      <c r="H57" s="733"/>
      <c r="I57" s="734">
        <f t="shared" si="1"/>
        <v>-48.292507391364431</v>
      </c>
      <c r="J57" s="724"/>
    </row>
    <row r="58" spans="1:10">
      <c r="A58" s="1068">
        <v>47</v>
      </c>
      <c r="B58" s="720"/>
      <c r="C58" s="890" t="s">
        <v>1680</v>
      </c>
      <c r="D58" s="727"/>
      <c r="E58" s="730">
        <v>-438.02</v>
      </c>
      <c r="F58" s="730"/>
      <c r="G58" s="743">
        <f>+'Input Schedule'!$D$17</f>
        <v>2.6393242386234281E-2</v>
      </c>
      <c r="H58" s="733"/>
      <c r="I58" s="734">
        <f t="shared" si="1"/>
        <v>-11.560768030018339</v>
      </c>
      <c r="J58" s="724"/>
    </row>
    <row r="59" spans="1:10">
      <c r="A59" s="1068">
        <v>48</v>
      </c>
      <c r="B59" s="720"/>
      <c r="C59" s="890" t="s">
        <v>1077</v>
      </c>
      <c r="D59" s="727"/>
      <c r="E59" s="730">
        <v>-565.65000000000009</v>
      </c>
      <c r="F59" s="730"/>
      <c r="G59" s="743">
        <f>+'Input Schedule'!$D$17</f>
        <v>2.6393242386234281E-2</v>
      </c>
      <c r="H59" s="733"/>
      <c r="I59" s="734">
        <f t="shared" si="1"/>
        <v>-14.929337555773424</v>
      </c>
      <c r="J59" s="724"/>
    </row>
    <row r="60" spans="1:10">
      <c r="A60" s="1068">
        <v>49</v>
      </c>
      <c r="B60" s="720"/>
      <c r="C60" s="890" t="s">
        <v>1681</v>
      </c>
      <c r="D60" s="727"/>
      <c r="E60" s="730">
        <v>-1134.8700000000001</v>
      </c>
      <c r="F60" s="730"/>
      <c r="G60" s="743">
        <f>+'Input Schedule'!$D$17</f>
        <v>2.6393242386234281E-2</v>
      </c>
      <c r="H60" s="733"/>
      <c r="I60" s="734">
        <f t="shared" si="1"/>
        <v>-29.952898986865701</v>
      </c>
      <c r="J60" s="724"/>
    </row>
    <row r="61" spans="1:10">
      <c r="A61" s="1068">
        <v>50</v>
      </c>
      <c r="B61" s="720"/>
      <c r="C61" s="890" t="s">
        <v>1074</v>
      </c>
      <c r="D61" s="727"/>
      <c r="E61" s="730">
        <v>-1105.01</v>
      </c>
      <c r="F61" s="730"/>
      <c r="G61" s="743">
        <f>+'Input Schedule'!$D$17</f>
        <v>2.6393242386234281E-2</v>
      </c>
      <c r="H61" s="733"/>
      <c r="I61" s="734">
        <f t="shared" si="1"/>
        <v>-29.164796769212742</v>
      </c>
      <c r="J61" s="724"/>
    </row>
    <row r="62" spans="1:10">
      <c r="A62" s="1068">
        <v>51</v>
      </c>
      <c r="B62" s="720"/>
      <c r="C62" s="890" t="s">
        <v>1682</v>
      </c>
      <c r="D62" s="727"/>
      <c r="E62" s="730">
        <v>-2578.3500000000004</v>
      </c>
      <c r="F62" s="730"/>
      <c r="G62" s="743">
        <f>+'Input Schedule'!$D$17</f>
        <v>2.6393242386234281E-2</v>
      </c>
      <c r="H62" s="733"/>
      <c r="I62" s="734">
        <f t="shared" si="1"/>
        <v>-68.051016506547171</v>
      </c>
      <c r="J62" s="724"/>
    </row>
    <row r="63" spans="1:10">
      <c r="A63" s="1068">
        <v>52</v>
      </c>
      <c r="B63" s="720"/>
      <c r="C63" s="890" t="s">
        <v>1683</v>
      </c>
      <c r="D63" s="727"/>
      <c r="E63" s="739">
        <v>-223.85000000000002</v>
      </c>
      <c r="F63" s="730"/>
      <c r="G63" s="743">
        <f>+'Input Schedule'!$D$17</f>
        <v>2.6393242386234281E-2</v>
      </c>
      <c r="H63" s="733"/>
      <c r="I63" s="740">
        <f t="shared" si="1"/>
        <v>-5.9081273081585444</v>
      </c>
      <c r="J63" s="724"/>
    </row>
    <row r="64" spans="1:10">
      <c r="A64" s="1068">
        <v>53</v>
      </c>
      <c r="B64" s="720"/>
      <c r="C64" s="890"/>
      <c r="D64" s="727"/>
      <c r="E64" s="730"/>
      <c r="F64" s="730"/>
      <c r="G64" s="733"/>
      <c r="H64" s="733"/>
      <c r="I64" s="734"/>
      <c r="J64" s="724"/>
    </row>
    <row r="65" spans="1:10">
      <c r="A65" s="1068">
        <v>54</v>
      </c>
      <c r="B65" s="719" t="s">
        <v>1054</v>
      </c>
      <c r="C65" s="720"/>
      <c r="D65" s="720"/>
      <c r="E65" s="730">
        <f>SUM(E37:E64)</f>
        <v>-45848.909999999996</v>
      </c>
      <c r="F65" s="730"/>
      <c r="G65" s="727"/>
      <c r="H65" s="727"/>
      <c r="I65" s="730">
        <f>SUM(I37:I63)</f>
        <v>-1210.1013947746408</v>
      </c>
      <c r="J65" s="741"/>
    </row>
    <row r="66" spans="1:10">
      <c r="A66" s="1068">
        <v>55</v>
      </c>
      <c r="B66" s="719"/>
      <c r="C66" s="720"/>
      <c r="D66" s="720"/>
      <c r="E66" s="730"/>
      <c r="F66" s="730"/>
      <c r="G66" s="736"/>
      <c r="H66" s="736"/>
      <c r="I66" s="736"/>
      <c r="J66" s="741"/>
    </row>
    <row r="67" spans="1:10">
      <c r="A67" s="1068">
        <v>56</v>
      </c>
      <c r="B67" s="719"/>
      <c r="C67" s="720"/>
      <c r="D67" s="720"/>
      <c r="E67" s="730"/>
      <c r="F67" s="730"/>
      <c r="G67" s="736"/>
      <c r="H67" s="736"/>
      <c r="I67" s="734"/>
      <c r="J67" s="741"/>
    </row>
    <row r="68" spans="1:10">
      <c r="A68" s="1068">
        <v>57</v>
      </c>
      <c r="B68" s="719" t="s">
        <v>726</v>
      </c>
      <c r="C68" s="720"/>
      <c r="D68" s="720"/>
      <c r="E68" s="730"/>
      <c r="F68" s="730"/>
      <c r="G68" s="736"/>
      <c r="H68" s="736"/>
      <c r="I68" s="736"/>
      <c r="J68" s="741"/>
    </row>
    <row r="69" spans="1:10">
      <c r="A69" s="1068">
        <v>58</v>
      </c>
      <c r="B69" s="719"/>
      <c r="C69" s="636" t="s">
        <v>1684</v>
      </c>
      <c r="D69" s="720"/>
      <c r="E69" s="730">
        <v>-9409</v>
      </c>
      <c r="F69" s="730"/>
      <c r="G69" s="743">
        <f>+'Input Schedule'!$D$17</f>
        <v>2.6393242386234281E-2</v>
      </c>
      <c r="H69" s="736"/>
      <c r="I69" s="734">
        <f>E69*G69</f>
        <v>-248.33401761207836</v>
      </c>
      <c r="J69" s="741"/>
    </row>
    <row r="70" spans="1:10">
      <c r="A70" s="1068">
        <v>59</v>
      </c>
      <c r="B70" s="719"/>
      <c r="C70" s="636" t="s">
        <v>1685</v>
      </c>
      <c r="D70" s="720"/>
      <c r="E70" s="730">
        <v>-38498</v>
      </c>
      <c r="F70" s="730"/>
      <c r="G70" s="743">
        <f>+'Input Schedule'!$D$17</f>
        <v>2.6393242386234281E-2</v>
      </c>
      <c r="H70" s="736"/>
      <c r="I70" s="734">
        <f t="shared" ref="I70:I106" si="2">E70*G70</f>
        <v>-1016.0870453852474</v>
      </c>
      <c r="J70" s="741"/>
    </row>
    <row r="71" spans="1:10">
      <c r="A71" s="1068">
        <v>60</v>
      </c>
      <c r="B71" s="719"/>
      <c r="C71" s="636" t="s">
        <v>1686</v>
      </c>
      <c r="D71" s="720"/>
      <c r="E71" s="730">
        <v>-1188</v>
      </c>
      <c r="F71" s="730"/>
      <c r="G71" s="743">
        <f>+'Input Schedule'!$D$17</f>
        <v>2.6393242386234281E-2</v>
      </c>
      <c r="H71" s="736"/>
      <c r="I71" s="734">
        <f t="shared" si="2"/>
        <v>-31.355171954846327</v>
      </c>
      <c r="J71" s="741"/>
    </row>
    <row r="72" spans="1:10">
      <c r="A72" s="1068">
        <v>61</v>
      </c>
      <c r="B72" s="719"/>
      <c r="C72" s="636" t="s">
        <v>1687</v>
      </c>
      <c r="D72" s="720"/>
      <c r="E72" s="730">
        <v>-41125</v>
      </c>
      <c r="F72" s="730"/>
      <c r="G72" s="743">
        <f>+'Input Schedule'!$D$17</f>
        <v>2.6393242386234281E-2</v>
      </c>
      <c r="H72" s="736"/>
      <c r="I72" s="734">
        <f t="shared" si="2"/>
        <v>-1085.4220931338848</v>
      </c>
      <c r="J72" s="741"/>
    </row>
    <row r="73" spans="1:10">
      <c r="A73" s="1068">
        <v>62</v>
      </c>
      <c r="B73" s="719"/>
      <c r="C73" s="636" t="s">
        <v>1688</v>
      </c>
      <c r="D73" s="720"/>
      <c r="E73" s="730">
        <v>-16199.5</v>
      </c>
      <c r="F73" s="730"/>
      <c r="G73" s="743">
        <f>+'Input Schedule'!$D$17</f>
        <v>2.6393242386234281E-2</v>
      </c>
      <c r="H73" s="736"/>
      <c r="I73" s="734">
        <f t="shared" si="2"/>
        <v>-427.55733003580224</v>
      </c>
      <c r="J73" s="741"/>
    </row>
    <row r="74" spans="1:10">
      <c r="A74" s="1068">
        <v>63</v>
      </c>
      <c r="B74" s="719"/>
      <c r="C74" s="636" t="s">
        <v>1689</v>
      </c>
      <c r="D74" s="720"/>
      <c r="E74" s="730">
        <v>-33017.729999999989</v>
      </c>
      <c r="F74" s="730"/>
      <c r="G74" s="743">
        <f>+'Input Schedule'!$D$17</f>
        <v>2.6393242386234281E-2</v>
      </c>
      <c r="H74" s="736"/>
      <c r="I74" s="734">
        <f t="shared" si="2"/>
        <v>-871.44495093323894</v>
      </c>
      <c r="J74" s="741"/>
    </row>
    <row r="75" spans="1:10">
      <c r="A75" s="1068">
        <v>64</v>
      </c>
      <c r="B75" s="719"/>
      <c r="C75" s="636" t="s">
        <v>1690</v>
      </c>
      <c r="D75" s="720"/>
      <c r="E75" s="730">
        <v>-71692</v>
      </c>
      <c r="F75" s="730"/>
      <c r="G75" s="743">
        <f>+'Input Schedule'!$D$17</f>
        <v>2.6393242386234281E-2</v>
      </c>
      <c r="H75" s="736"/>
      <c r="I75" s="734">
        <f t="shared" si="2"/>
        <v>-1892.184333153908</v>
      </c>
      <c r="J75" s="741"/>
    </row>
    <row r="76" spans="1:10">
      <c r="A76" s="1068">
        <v>65</v>
      </c>
      <c r="B76" s="719"/>
      <c r="C76" s="636" t="s">
        <v>1691</v>
      </c>
      <c r="D76" s="720"/>
      <c r="E76" s="730">
        <v>-62378.979999999799</v>
      </c>
      <c r="F76" s="730"/>
      <c r="G76" s="743">
        <f>+'Input Schedule'!$D$17</f>
        <v>2.6393242386234281E-2</v>
      </c>
      <c r="H76" s="736"/>
      <c r="I76" s="734">
        <f t="shared" si="2"/>
        <v>-1646.3835389460553</v>
      </c>
      <c r="J76" s="741"/>
    </row>
    <row r="77" spans="1:10">
      <c r="A77" s="1068">
        <v>66</v>
      </c>
      <c r="B77" s="719"/>
      <c r="C77" s="636" t="s">
        <v>1692</v>
      </c>
      <c r="D77" s="720"/>
      <c r="E77" s="730">
        <v>-35120</v>
      </c>
      <c r="F77" s="730"/>
      <c r="G77" s="743">
        <f>+'Input Schedule'!$D$17</f>
        <v>2.6393242386234281E-2</v>
      </c>
      <c r="H77" s="736"/>
      <c r="I77" s="734">
        <f t="shared" si="2"/>
        <v>-926.93067260454791</v>
      </c>
      <c r="J77" s="741"/>
    </row>
    <row r="78" spans="1:10">
      <c r="A78" s="1068">
        <v>67</v>
      </c>
      <c r="B78" s="719"/>
      <c r="C78" s="636" t="s">
        <v>1693</v>
      </c>
      <c r="D78" s="720"/>
      <c r="E78" s="730">
        <v>-14378</v>
      </c>
      <c r="F78" s="730"/>
      <c r="G78" s="743">
        <f>+'Input Schedule'!$D$17</f>
        <v>2.6393242386234281E-2</v>
      </c>
      <c r="H78" s="736"/>
      <c r="I78" s="734">
        <f t="shared" si="2"/>
        <v>-379.48203902927651</v>
      </c>
      <c r="J78" s="741"/>
    </row>
    <row r="79" spans="1:10">
      <c r="A79" s="1068">
        <v>68</v>
      </c>
      <c r="B79" s="719"/>
      <c r="C79" s="636" t="s">
        <v>1694</v>
      </c>
      <c r="D79" s="720"/>
      <c r="E79" s="730">
        <v>-610.40000000000009</v>
      </c>
      <c r="F79" s="730"/>
      <c r="G79" s="743">
        <f>+'Input Schedule'!$D$17</f>
        <v>2.6393242386234281E-2</v>
      </c>
      <c r="H79" s="736"/>
      <c r="I79" s="734">
        <f t="shared" si="2"/>
        <v>-16.110435152557407</v>
      </c>
      <c r="J79" s="741"/>
    </row>
    <row r="80" spans="1:10">
      <c r="A80" s="1068">
        <v>69</v>
      </c>
      <c r="B80" s="719"/>
      <c r="C80" s="636" t="s">
        <v>1695</v>
      </c>
      <c r="D80" s="720"/>
      <c r="E80" s="730">
        <v>-1127</v>
      </c>
      <c r="F80" s="730"/>
      <c r="G80" s="743">
        <f>+'Input Schedule'!$D$17</f>
        <v>2.6393242386234281E-2</v>
      </c>
      <c r="H80" s="736"/>
      <c r="I80" s="734">
        <f t="shared" si="2"/>
        <v>-29.745184169286034</v>
      </c>
      <c r="J80" s="741"/>
    </row>
    <row r="81" spans="1:10">
      <c r="A81" s="1068">
        <v>70</v>
      </c>
      <c r="B81" s="719"/>
      <c r="C81" s="636" t="s">
        <v>1696</v>
      </c>
      <c r="D81" s="720"/>
      <c r="E81" s="730">
        <v>-57540</v>
      </c>
      <c r="F81" s="730"/>
      <c r="G81" s="743">
        <f>+'Input Schedule'!$D$17</f>
        <v>2.6393242386234281E-2</v>
      </c>
      <c r="H81" s="736"/>
      <c r="I81" s="734">
        <f t="shared" si="2"/>
        <v>-1518.6671669039206</v>
      </c>
      <c r="J81" s="741"/>
    </row>
    <row r="82" spans="1:10">
      <c r="A82" s="1068">
        <v>71</v>
      </c>
      <c r="B82" s="719"/>
      <c r="C82" s="636" t="s">
        <v>1697</v>
      </c>
      <c r="D82" s="720"/>
      <c r="E82" s="730">
        <v>-703</v>
      </c>
      <c r="F82" s="730"/>
      <c r="G82" s="743">
        <f>+'Input Schedule'!$D$17</f>
        <v>2.6393242386234281E-2</v>
      </c>
      <c r="H82" s="736"/>
      <c r="I82" s="734">
        <f t="shared" si="2"/>
        <v>-18.554449397522699</v>
      </c>
      <c r="J82" s="741"/>
    </row>
    <row r="83" spans="1:10">
      <c r="A83" s="1068">
        <v>72</v>
      </c>
      <c r="B83" s="719"/>
      <c r="C83" s="636" t="s">
        <v>1698</v>
      </c>
      <c r="D83" s="720"/>
      <c r="E83" s="730">
        <v>-2123.71</v>
      </c>
      <c r="F83" s="730"/>
      <c r="G83" s="743">
        <f>+'Input Schedule'!$D$17</f>
        <v>2.6393242386234281E-2</v>
      </c>
      <c r="H83" s="736"/>
      <c r="I83" s="734">
        <f t="shared" si="2"/>
        <v>-56.051592788069605</v>
      </c>
      <c r="J83" s="741"/>
    </row>
    <row r="84" spans="1:10">
      <c r="A84" s="1068">
        <v>73</v>
      </c>
      <c r="B84" s="719"/>
      <c r="C84" s="636" t="s">
        <v>1699</v>
      </c>
      <c r="D84" s="720"/>
      <c r="E84" s="730">
        <v>-149830</v>
      </c>
      <c r="F84" s="730"/>
      <c r="G84" s="743">
        <f>+'Input Schedule'!$D$17</f>
        <v>2.6393242386234281E-2</v>
      </c>
      <c r="H84" s="736"/>
      <c r="I84" s="734">
        <f t="shared" si="2"/>
        <v>-3954.4995067294822</v>
      </c>
      <c r="J84" s="741"/>
    </row>
    <row r="85" spans="1:10">
      <c r="A85" s="1068">
        <v>74</v>
      </c>
      <c r="B85" s="719"/>
      <c r="C85" s="636" t="s">
        <v>1700</v>
      </c>
      <c r="D85" s="720"/>
      <c r="E85" s="730">
        <v>-24267.75</v>
      </c>
      <c r="F85" s="730"/>
      <c r="G85" s="743">
        <f>+'Input Schedule'!$D$17</f>
        <v>2.6393242386234281E-2</v>
      </c>
      <c r="H85" s="736"/>
      <c r="I85" s="734">
        <f t="shared" si="2"/>
        <v>-640.50460791853698</v>
      </c>
      <c r="J85" s="741"/>
    </row>
    <row r="86" spans="1:10">
      <c r="A86" s="1068">
        <v>75</v>
      </c>
      <c r="B86" s="719"/>
      <c r="C86" s="636" t="s">
        <v>1701</v>
      </c>
      <c r="D86" s="720"/>
      <c r="E86" s="730">
        <v>-3563.5</v>
      </c>
      <c r="F86" s="730"/>
      <c r="G86" s="743">
        <f>+'Input Schedule'!$D$17</f>
        <v>2.6393242386234281E-2</v>
      </c>
      <c r="H86" s="736"/>
      <c r="I86" s="734">
        <f t="shared" si="2"/>
        <v>-94.052319243345863</v>
      </c>
      <c r="J86" s="741"/>
    </row>
    <row r="87" spans="1:10">
      <c r="A87" s="1068">
        <v>76</v>
      </c>
      <c r="B87" s="719"/>
      <c r="C87" s="636" t="s">
        <v>1702</v>
      </c>
      <c r="D87" s="720"/>
      <c r="E87" s="730">
        <v>-12258</v>
      </c>
      <c r="F87" s="730"/>
      <c r="G87" s="743">
        <f>+'Input Schedule'!$D$17</f>
        <v>2.6393242386234281E-2</v>
      </c>
      <c r="H87" s="736"/>
      <c r="I87" s="734">
        <f t="shared" si="2"/>
        <v>-323.52836517045984</v>
      </c>
      <c r="J87" s="741"/>
    </row>
    <row r="88" spans="1:10">
      <c r="A88" s="1068">
        <v>77</v>
      </c>
      <c r="B88" s="719"/>
      <c r="C88" s="636" t="s">
        <v>1703</v>
      </c>
      <c r="D88" s="720"/>
      <c r="E88" s="730">
        <v>-49571.75</v>
      </c>
      <c r="F88" s="730"/>
      <c r="G88" s="743">
        <f>+'Input Schedule'!$D$17</f>
        <v>2.6393242386234281E-2</v>
      </c>
      <c r="H88" s="736"/>
      <c r="I88" s="734">
        <f t="shared" si="2"/>
        <v>-1308.3592132598092</v>
      </c>
      <c r="J88" s="741"/>
    </row>
    <row r="89" spans="1:10">
      <c r="A89" s="1068">
        <v>78</v>
      </c>
      <c r="B89" s="719"/>
      <c r="C89" s="636" t="s">
        <v>1704</v>
      </c>
      <c r="D89" s="720"/>
      <c r="E89" s="730">
        <v>-3986.6799999999957</v>
      </c>
      <c r="F89" s="730"/>
      <c r="G89" s="743">
        <f>+'Input Schedule'!$D$17</f>
        <v>2.6393242386234281E-2</v>
      </c>
      <c r="H89" s="736"/>
      <c r="I89" s="734">
        <f t="shared" si="2"/>
        <v>-105.22141155635238</v>
      </c>
      <c r="J89" s="741"/>
    </row>
    <row r="90" spans="1:10">
      <c r="A90" s="1068">
        <v>79</v>
      </c>
      <c r="B90" s="719"/>
      <c r="C90" s="636" t="s">
        <v>1705</v>
      </c>
      <c r="D90" s="720"/>
      <c r="E90" s="730">
        <v>-29669.799999999985</v>
      </c>
      <c r="F90" s="730"/>
      <c r="G90" s="743">
        <f>+'Input Schedule'!$D$17</f>
        <v>2.6393242386234281E-2</v>
      </c>
      <c r="H90" s="736"/>
      <c r="I90" s="734">
        <f t="shared" si="2"/>
        <v>-783.08222295109351</v>
      </c>
      <c r="J90" s="741"/>
    </row>
    <row r="91" spans="1:10">
      <c r="A91" s="1068">
        <v>80</v>
      </c>
      <c r="B91" s="719"/>
      <c r="C91" s="636" t="s">
        <v>1706</v>
      </c>
      <c r="D91" s="720"/>
      <c r="E91" s="730">
        <v>-18936.799999999988</v>
      </c>
      <c r="F91" s="730"/>
      <c r="G91" s="743">
        <f>+'Input Schedule'!$D$17</f>
        <v>2.6393242386234281E-2</v>
      </c>
      <c r="H91" s="736"/>
      <c r="I91" s="734">
        <f t="shared" si="2"/>
        <v>-499.80355241964105</v>
      </c>
      <c r="J91" s="741"/>
    </row>
    <row r="92" spans="1:10">
      <c r="A92" s="1068">
        <v>81</v>
      </c>
      <c r="B92" s="719"/>
      <c r="C92" s="636" t="s">
        <v>1707</v>
      </c>
      <c r="D92" s="720"/>
      <c r="E92" s="730">
        <v>-9643.5</v>
      </c>
      <c r="F92" s="730"/>
      <c r="G92" s="743">
        <f>+'Input Schedule'!$D$17</f>
        <v>2.6393242386234281E-2</v>
      </c>
      <c r="H92" s="736"/>
      <c r="I92" s="734">
        <f t="shared" si="2"/>
        <v>-254.5232329516503</v>
      </c>
      <c r="J92" s="741"/>
    </row>
    <row r="93" spans="1:10">
      <c r="A93" s="1068">
        <v>82</v>
      </c>
      <c r="B93" s="719"/>
      <c r="C93" s="636" t="s">
        <v>1708</v>
      </c>
      <c r="D93" s="720"/>
      <c r="E93" s="730">
        <v>-1482.63</v>
      </c>
      <c r="F93" s="730"/>
      <c r="G93" s="743">
        <f>+'Input Schedule'!$D$17</f>
        <v>2.6393242386234281E-2</v>
      </c>
      <c r="H93" s="736"/>
      <c r="I93" s="734">
        <f t="shared" si="2"/>
        <v>-39.131412959102533</v>
      </c>
      <c r="J93" s="741"/>
    </row>
    <row r="94" spans="1:10">
      <c r="A94" s="1068">
        <v>83</v>
      </c>
      <c r="B94" s="719"/>
      <c r="C94" s="636" t="s">
        <v>1709</v>
      </c>
      <c r="D94" s="721"/>
      <c r="E94" s="730">
        <v>-7314</v>
      </c>
      <c r="F94" s="730"/>
      <c r="G94" s="743">
        <f>+'Input Schedule'!$D$17</f>
        <v>2.6393242386234281E-2</v>
      </c>
      <c r="H94" s="736"/>
      <c r="I94" s="734">
        <f t="shared" si="2"/>
        <v>-193.04017481291754</v>
      </c>
      <c r="J94" s="741"/>
    </row>
    <row r="95" spans="1:10">
      <c r="A95" s="1068">
        <v>84</v>
      </c>
      <c r="B95" s="720"/>
      <c r="C95" s="636" t="s">
        <v>1710</v>
      </c>
      <c r="D95" s="721"/>
      <c r="E95" s="730">
        <v>-52774</v>
      </c>
      <c r="F95" s="720"/>
      <c r="G95" s="743">
        <f>+'Input Schedule'!$D$17</f>
        <v>2.6393242386234281E-2</v>
      </c>
      <c r="H95" s="727"/>
      <c r="I95" s="734">
        <f t="shared" si="2"/>
        <v>-1392.8769736911279</v>
      </c>
      <c r="J95" s="741"/>
    </row>
    <row r="96" spans="1:10">
      <c r="A96" s="1068">
        <v>85</v>
      </c>
      <c r="B96" s="745"/>
      <c r="C96" s="636" t="s">
        <v>1711</v>
      </c>
      <c r="D96" s="721"/>
      <c r="E96" s="730">
        <v>-5231.9999999999991</v>
      </c>
      <c r="F96" s="745"/>
      <c r="G96" s="743">
        <f>+'Input Schedule'!$D$17</f>
        <v>2.6393242386234281E-2</v>
      </c>
      <c r="H96" s="746"/>
      <c r="I96" s="734">
        <f t="shared" si="2"/>
        <v>-138.08944416477775</v>
      </c>
      <c r="J96" s="747"/>
    </row>
    <row r="97" spans="1:10">
      <c r="A97" s="1068">
        <v>86</v>
      </c>
      <c r="B97" s="745"/>
      <c r="C97" s="636" t="s">
        <v>1712</v>
      </c>
      <c r="D97" s="721"/>
      <c r="E97" s="730">
        <v>-12213.149999999996</v>
      </c>
      <c r="F97" s="745"/>
      <c r="G97" s="743">
        <f>+'Input Schedule'!$D$17</f>
        <v>2.6393242386234281E-2</v>
      </c>
      <c r="H97" s="746"/>
      <c r="I97" s="734">
        <f t="shared" si="2"/>
        <v>-322.34462824943711</v>
      </c>
      <c r="J97" s="747"/>
    </row>
    <row r="98" spans="1:10">
      <c r="A98" s="1068">
        <v>87</v>
      </c>
      <c r="B98" s="745"/>
      <c r="C98" s="636" t="s">
        <v>1713</v>
      </c>
      <c r="D98" s="721"/>
      <c r="E98" s="730">
        <v>-28494</v>
      </c>
      <c r="F98" s="745"/>
      <c r="G98" s="743">
        <f>+'Input Schedule'!$D$17</f>
        <v>2.6393242386234281E-2</v>
      </c>
      <c r="H98" s="746"/>
      <c r="I98" s="734">
        <f t="shared" si="2"/>
        <v>-752.04904855335963</v>
      </c>
      <c r="J98" s="747"/>
    </row>
    <row r="99" spans="1:10">
      <c r="A99" s="1068">
        <v>88</v>
      </c>
      <c r="B99" s="727"/>
      <c r="C99" s="636" t="s">
        <v>1714</v>
      </c>
      <c r="D99" s="727"/>
      <c r="E99" s="730">
        <v>-128147</v>
      </c>
      <c r="F99" s="727"/>
      <c r="G99" s="743">
        <f>+'Input Schedule'!$D$17</f>
        <v>2.6393242386234281E-2</v>
      </c>
      <c r="H99" s="727"/>
      <c r="I99" s="734">
        <f t="shared" si="2"/>
        <v>-3382.2148320687643</v>
      </c>
      <c r="J99" s="724"/>
    </row>
    <row r="100" spans="1:10">
      <c r="A100" s="1068">
        <v>89</v>
      </c>
      <c r="B100" s="727"/>
      <c r="C100" s="636" t="s">
        <v>1715</v>
      </c>
      <c r="D100" s="748"/>
      <c r="E100" s="730">
        <v>-22164</v>
      </c>
      <c r="F100" s="727"/>
      <c r="G100" s="743">
        <f>+'Input Schedule'!$D$17</f>
        <v>2.6393242386234281E-2</v>
      </c>
      <c r="H100" s="727"/>
      <c r="I100" s="734">
        <f t="shared" si="2"/>
        <v>-584.97982424849658</v>
      </c>
      <c r="J100" s="727"/>
    </row>
    <row r="101" spans="1:10">
      <c r="A101" s="1068">
        <v>90</v>
      </c>
      <c r="B101" s="727"/>
      <c r="C101" s="636" t="s">
        <v>1716</v>
      </c>
      <c r="D101" s="743"/>
      <c r="E101" s="730">
        <v>-378</v>
      </c>
      <c r="F101" s="727"/>
      <c r="G101" s="743">
        <f>+'Input Schedule'!$D$17</f>
        <v>2.6393242386234281E-2</v>
      </c>
      <c r="H101" s="727"/>
      <c r="I101" s="734">
        <f t="shared" si="2"/>
        <v>-9.9766456219965587</v>
      </c>
      <c r="J101" s="724"/>
    </row>
    <row r="102" spans="1:10">
      <c r="A102" s="1068">
        <v>91</v>
      </c>
      <c r="B102" s="727"/>
      <c r="C102" s="636" t="s">
        <v>1717</v>
      </c>
      <c r="D102" s="730"/>
      <c r="E102" s="730">
        <v>-13266</v>
      </c>
      <c r="F102" s="730"/>
      <c r="G102" s="743">
        <f>+'Input Schedule'!$D$17</f>
        <v>2.6393242386234281E-2</v>
      </c>
      <c r="H102" s="727"/>
      <c r="I102" s="734">
        <f t="shared" si="2"/>
        <v>-350.13275349578396</v>
      </c>
      <c r="J102" s="724"/>
    </row>
    <row r="103" spans="1:10">
      <c r="A103" s="1068">
        <v>92</v>
      </c>
      <c r="B103" s="727"/>
      <c r="C103" s="636" t="s">
        <v>1718</v>
      </c>
      <c r="D103" s="730"/>
      <c r="E103" s="730">
        <v>-26487.5</v>
      </c>
      <c r="F103" s="730"/>
      <c r="G103" s="743">
        <f>+'Input Schedule'!$D$17</f>
        <v>2.6393242386234281E-2</v>
      </c>
      <c r="H103" s="727"/>
      <c r="I103" s="734">
        <f t="shared" si="2"/>
        <v>-699.09100770538055</v>
      </c>
      <c r="J103" s="724"/>
    </row>
    <row r="104" spans="1:10">
      <c r="A104" s="1068">
        <v>93</v>
      </c>
      <c r="B104" s="727"/>
      <c r="C104" s="636" t="s">
        <v>1719</v>
      </c>
      <c r="D104" s="730"/>
      <c r="E104" s="730">
        <v>-1409</v>
      </c>
      <c r="F104" s="730"/>
      <c r="G104" s="743">
        <f>+'Input Schedule'!$D$17</f>
        <v>2.6393242386234281E-2</v>
      </c>
      <c r="H104" s="727"/>
      <c r="I104" s="734">
        <f t="shared" si="2"/>
        <v>-37.188078522204101</v>
      </c>
      <c r="J104" s="724"/>
    </row>
    <row r="105" spans="1:10">
      <c r="A105" s="1068">
        <v>94</v>
      </c>
      <c r="B105" s="727"/>
      <c r="C105" s="636" t="s">
        <v>1720</v>
      </c>
      <c r="D105" s="749"/>
      <c r="E105" s="730">
        <v>-31180</v>
      </c>
      <c r="F105" s="749"/>
      <c r="G105" s="743">
        <f>+'Input Schedule'!$D$17</f>
        <v>2.6393242386234281E-2</v>
      </c>
      <c r="H105" s="727"/>
      <c r="I105" s="734">
        <f t="shared" si="2"/>
        <v>-822.94129760278486</v>
      </c>
      <c r="J105" s="724"/>
    </row>
    <row r="106" spans="1:10">
      <c r="A106" s="1068">
        <v>95</v>
      </c>
      <c r="B106" s="727"/>
      <c r="C106" s="636" t="s">
        <v>1721</v>
      </c>
      <c r="D106" s="730"/>
      <c r="E106" s="730">
        <v>-59220</v>
      </c>
      <c r="F106" s="730"/>
      <c r="G106" s="743">
        <f>+'Input Schedule'!$D$17</f>
        <v>2.6393242386234281E-2</v>
      </c>
      <c r="H106" s="727"/>
      <c r="I106" s="740">
        <f t="shared" si="2"/>
        <v>-1563.0078141127942</v>
      </c>
      <c r="J106" s="724"/>
    </row>
    <row r="107" spans="1:10">
      <c r="A107" s="1068">
        <v>96</v>
      </c>
      <c r="B107" s="750"/>
      <c r="C107" s="892"/>
      <c r="D107" s="751"/>
      <c r="E107" s="730"/>
      <c r="F107" s="750"/>
      <c r="G107" s="743"/>
      <c r="H107" s="727"/>
      <c r="I107" s="734"/>
      <c r="J107" s="727"/>
    </row>
    <row r="108" spans="1:10">
      <c r="A108" s="1068">
        <v>97</v>
      </c>
      <c r="B108" s="750"/>
      <c r="C108" s="892"/>
      <c r="D108" s="751"/>
      <c r="E108" s="730"/>
      <c r="F108" s="750"/>
      <c r="G108" s="743"/>
      <c r="H108" s="727"/>
      <c r="I108" s="734"/>
      <c r="J108" s="727"/>
    </row>
    <row r="109" spans="1:10">
      <c r="A109" s="1068">
        <v>98</v>
      </c>
      <c r="B109" s="720"/>
      <c r="C109" s="719" t="s">
        <v>1055</v>
      </c>
      <c r="D109" s="727"/>
      <c r="E109" s="720">
        <f>SUM(E69:E107)</f>
        <v>-1076599.3799999999</v>
      </c>
      <c r="F109" s="727"/>
      <c r="G109" s="720"/>
      <c r="H109" s="727"/>
      <c r="I109" s="720">
        <f>SUM(I69:I107)</f>
        <v>-28414.948389209538</v>
      </c>
      <c r="J109" s="720"/>
    </row>
    <row r="110" spans="1:10">
      <c r="A110" s="1068">
        <v>99</v>
      </c>
      <c r="B110" s="720"/>
      <c r="C110" s="719"/>
      <c r="D110" s="727"/>
      <c r="E110" s="720"/>
      <c r="F110" s="727"/>
      <c r="G110" s="720"/>
      <c r="H110" s="727"/>
      <c r="I110" s="720"/>
      <c r="J110" s="720"/>
    </row>
    <row r="111" spans="1:10">
      <c r="A111" s="1068">
        <v>100</v>
      </c>
      <c r="B111" s="720"/>
      <c r="C111" s="720"/>
      <c r="D111" s="727"/>
      <c r="E111" s="720"/>
      <c r="F111" s="727"/>
      <c r="G111" s="720"/>
      <c r="H111" s="727"/>
      <c r="I111" s="720"/>
      <c r="J111" s="720"/>
    </row>
    <row r="112" spans="1:10">
      <c r="A112" s="1068">
        <v>101</v>
      </c>
      <c r="B112" s="720"/>
      <c r="C112" s="720"/>
      <c r="D112" s="727"/>
      <c r="E112" s="720"/>
      <c r="F112" s="727"/>
      <c r="G112" s="720"/>
      <c r="H112" s="727"/>
      <c r="I112" s="720"/>
      <c r="J112" s="720"/>
    </row>
    <row r="113" spans="1:10">
      <c r="A113" s="1068">
        <v>102</v>
      </c>
      <c r="B113" s="720"/>
      <c r="C113" s="720"/>
      <c r="D113" s="727"/>
      <c r="E113" s="720"/>
      <c r="F113" s="727"/>
      <c r="G113" s="720"/>
      <c r="H113" s="727"/>
      <c r="I113" s="720"/>
      <c r="J113" s="720"/>
    </row>
    <row r="114" spans="1:10">
      <c r="A114" s="1068">
        <v>103</v>
      </c>
      <c r="B114" s="719" t="s">
        <v>1056</v>
      </c>
      <c r="C114" s="720"/>
      <c r="D114" s="727"/>
      <c r="E114" s="720"/>
      <c r="F114" s="727"/>
      <c r="G114" s="720"/>
      <c r="H114" s="727"/>
      <c r="I114" s="720"/>
      <c r="J114" s="720"/>
    </row>
    <row r="115" spans="1:10">
      <c r="A115" s="1068">
        <v>104</v>
      </c>
      <c r="C115" s="720" t="s">
        <v>1057</v>
      </c>
      <c r="D115" s="727"/>
      <c r="E115" s="720"/>
      <c r="F115" s="727"/>
      <c r="G115" s="720"/>
      <c r="H115" s="727"/>
      <c r="I115" s="720">
        <f>I32</f>
        <v>-138005.39490600437</v>
      </c>
      <c r="J115" s="720"/>
    </row>
    <row r="116" spans="1:10">
      <c r="A116" s="1068">
        <v>105</v>
      </c>
      <c r="C116" s="720" t="s">
        <v>1058</v>
      </c>
      <c r="D116" s="727"/>
      <c r="E116" s="720"/>
      <c r="F116" s="727"/>
      <c r="G116" s="720"/>
      <c r="H116" s="727"/>
      <c r="I116" s="720">
        <f>I65</f>
        <v>-1210.1013947746408</v>
      </c>
      <c r="J116" s="720"/>
    </row>
    <row r="117" spans="1:10">
      <c r="A117" s="1068">
        <v>106</v>
      </c>
      <c r="C117" s="720" t="s">
        <v>1059</v>
      </c>
      <c r="D117" s="727"/>
      <c r="E117" s="720"/>
      <c r="F117" s="727"/>
      <c r="G117" s="720"/>
      <c r="H117" s="727"/>
      <c r="I117" s="752">
        <f>I109</f>
        <v>-28414.948389209538</v>
      </c>
      <c r="J117" s="720"/>
    </row>
    <row r="118" spans="1:10">
      <c r="A118" s="1068">
        <v>107</v>
      </c>
      <c r="C118" s="719" t="s">
        <v>1060</v>
      </c>
      <c r="D118" s="727"/>
      <c r="E118" s="720"/>
      <c r="F118" s="727"/>
      <c r="G118" s="720"/>
      <c r="H118" s="727"/>
      <c r="I118" s="720">
        <f>SUM(I115:I117)</f>
        <v>-167630.44468998857</v>
      </c>
      <c r="J118" s="720"/>
    </row>
    <row r="119" spans="1:10">
      <c r="C119" s="720"/>
      <c r="D119" s="727"/>
      <c r="E119" s="720"/>
      <c r="F119" s="727"/>
      <c r="G119" s="720"/>
      <c r="H119" s="727"/>
      <c r="I119" s="720"/>
      <c r="J119" s="720"/>
    </row>
    <row r="120" spans="1:10">
      <c r="C120" s="720"/>
      <c r="D120" s="727"/>
      <c r="E120" s="720"/>
      <c r="F120" s="727"/>
      <c r="G120" s="720"/>
      <c r="H120" s="727"/>
      <c r="I120" s="753"/>
      <c r="J120" s="720"/>
    </row>
    <row r="121" spans="1:10">
      <c r="C121" s="720"/>
      <c r="D121" s="727"/>
      <c r="E121" s="720"/>
      <c r="F121" s="727"/>
      <c r="G121" s="720"/>
      <c r="H121" s="727"/>
      <c r="I121" s="754"/>
      <c r="J121" s="720"/>
    </row>
    <row r="122" spans="1:10">
      <c r="C122" s="720"/>
      <c r="D122" s="727"/>
      <c r="E122" s="720"/>
      <c r="F122" s="727"/>
      <c r="G122" s="720"/>
      <c r="H122" s="727"/>
      <c r="I122" s="720"/>
      <c r="J122" s="720"/>
    </row>
  </sheetData>
  <pageMargins left="0.7" right="0.7" top="0.75" bottom="0.75" header="0.3" footer="0.3"/>
  <pageSetup scale="83" orientation="portrait" horizontalDpi="1200" vertic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21"/>
  <sheetViews>
    <sheetView view="pageBreakPreview" zoomScale="85" zoomScaleNormal="100" zoomScaleSheetLayoutView="85" workbookViewId="0"/>
  </sheetViews>
  <sheetFormatPr defaultColWidth="10.875" defaultRowHeight="15"/>
  <cols>
    <col min="1" max="1" width="7.625" style="2" customWidth="1"/>
    <col min="2" max="2" width="56.625" style="2" bestFit="1" customWidth="1"/>
    <col min="3" max="3" width="20.125" style="2" bestFit="1" customWidth="1"/>
    <col min="4" max="4" width="3.875" style="2" customWidth="1"/>
    <col min="5" max="5" width="9.625" style="2" bestFit="1" customWidth="1"/>
    <col min="6" max="6" width="3.875" style="2" customWidth="1"/>
    <col min="7" max="7" width="10.875" style="2" customWidth="1"/>
    <col min="8" max="8" width="3.875" style="2" customWidth="1"/>
    <col min="9" max="9" width="10.875" style="2"/>
    <col min="10" max="10" width="26.625" style="2" customWidth="1"/>
    <col min="11" max="16384" width="10.875" style="2"/>
  </cols>
  <sheetData>
    <row r="1" spans="1:8">
      <c r="A1" s="37" t="str">
        <f>Company_Name</f>
        <v>WATER SERVICE CORPORATION OF KENTUCKY</v>
      </c>
      <c r="E1" s="69" t="s">
        <v>800</v>
      </c>
    </row>
    <row r="2" spans="1:8">
      <c r="A2" s="37" t="str">
        <f>Docket</f>
        <v>Case No. 2015 - 00382</v>
      </c>
      <c r="E2" s="69"/>
    </row>
    <row r="3" spans="1:8">
      <c r="A3" s="37" t="s">
        <v>471</v>
      </c>
    </row>
    <row r="4" spans="1:8">
      <c r="A4" s="37" t="str">
        <f>TestYearEnded</f>
        <v>Test Year Ended 6/30/2015</v>
      </c>
    </row>
    <row r="6" spans="1:8" s="158" customFormat="1" ht="14.25">
      <c r="B6" s="158" t="s">
        <v>235</v>
      </c>
      <c r="C6" s="158" t="s">
        <v>236</v>
      </c>
      <c r="E6" s="158" t="s">
        <v>237</v>
      </c>
    </row>
    <row r="8" spans="1:8">
      <c r="A8" s="1542" t="s">
        <v>1786</v>
      </c>
    </row>
    <row r="9" spans="1:8">
      <c r="A9" s="158">
        <v>1</v>
      </c>
      <c r="B9" s="2" t="s">
        <v>889</v>
      </c>
      <c r="C9" s="198">
        <f>+'Linked TB'!E503</f>
        <v>-159697.67000000077</v>
      </c>
    </row>
    <row r="10" spans="1:8">
      <c r="A10" s="158">
        <v>2</v>
      </c>
      <c r="B10" s="2" t="s">
        <v>630</v>
      </c>
      <c r="C10" s="281">
        <f>SUM('Linked TB'!E490:E501,'Linked TB'!E414)</f>
        <v>828118.69000000041</v>
      </c>
    </row>
    <row r="11" spans="1:8">
      <c r="A11" s="158">
        <v>3</v>
      </c>
    </row>
    <row r="12" spans="1:8" ht="15.75" thickBot="1">
      <c r="A12" s="158">
        <v>4</v>
      </c>
      <c r="B12" s="2" t="s">
        <v>523</v>
      </c>
      <c r="C12" s="283">
        <f>C9/C10</f>
        <v>-0.19284393883200571</v>
      </c>
    </row>
    <row r="13" spans="1:8" ht="15.75" thickTop="1">
      <c r="A13" s="158">
        <v>5</v>
      </c>
    </row>
    <row r="14" spans="1:8">
      <c r="A14" s="158">
        <v>6</v>
      </c>
    </row>
    <row r="15" spans="1:8">
      <c r="A15" s="158">
        <v>7</v>
      </c>
      <c r="B15" s="2" t="s">
        <v>434</v>
      </c>
      <c r="C15" s="716">
        <f>SUM('Wp b - salary'!F81,'Wp b - salary'!J81,'Wp b - salary'!N81,'Wp b - salary'!R81)</f>
        <v>930308.442824231</v>
      </c>
    </row>
    <row r="16" spans="1:8">
      <c r="A16" s="158">
        <v>8</v>
      </c>
      <c r="B16" s="2" t="s">
        <v>523</v>
      </c>
      <c r="C16" s="717">
        <f>C12</f>
        <v>-0.19284393883200571</v>
      </c>
      <c r="G16" s="19"/>
      <c r="H16" s="19"/>
    </row>
    <row r="17" spans="1:8">
      <c r="A17" s="158">
        <v>9</v>
      </c>
      <c r="G17" s="19"/>
      <c r="H17" s="19"/>
    </row>
    <row r="18" spans="1:8" ht="15.75" thickBot="1">
      <c r="A18" s="158">
        <v>10</v>
      </c>
      <c r="B18" s="2" t="s">
        <v>524</v>
      </c>
      <c r="C18" s="282">
        <f>C15*C16</f>
        <v>-179404.34444289448</v>
      </c>
      <c r="E18" s="282">
        <f>C18*'Linked TB'!F700</f>
        <v>-179404.34444289448</v>
      </c>
      <c r="F18" s="5" t="s">
        <v>727</v>
      </c>
      <c r="G18" s="252"/>
      <c r="H18" s="31"/>
    </row>
    <row r="19" spans="1:8" ht="15.75" thickTop="1">
      <c r="G19" s="19"/>
      <c r="H19" s="19"/>
    </row>
    <row r="20" spans="1:8">
      <c r="G20" s="19"/>
      <c r="H20" s="19"/>
    </row>
    <row r="21" spans="1:8">
      <c r="G21" s="19"/>
      <c r="H21" s="19"/>
    </row>
  </sheetData>
  <phoneticPr fontId="28" type="noConversion"/>
  <pageMargins left="0.75" right="0.75" top="1" bottom="1" header="0.5" footer="0.5"/>
  <pageSetup scale="59" orientation="portrait" horizontalDpi="4294967292" verticalDpi="4294967292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L84"/>
  <sheetViews>
    <sheetView view="pageBreakPreview" zoomScale="85" zoomScaleNormal="100" zoomScaleSheetLayoutView="85" workbookViewId="0">
      <pane xSplit="4" ySplit="11" topLeftCell="E12" activePane="bottomRight" state="frozen"/>
      <selection pane="topRight"/>
      <selection pane="bottomLeft"/>
      <selection pane="bottomRight"/>
    </sheetView>
  </sheetViews>
  <sheetFormatPr defaultRowHeight="12.75"/>
  <cols>
    <col min="1" max="1" width="8" style="912" customWidth="1"/>
    <col min="2" max="2" width="40.75" style="912" bestFit="1" customWidth="1"/>
    <col min="3" max="3" width="3.625" style="912" customWidth="1"/>
    <col min="4" max="4" width="4.625" style="912" bestFit="1" customWidth="1"/>
    <col min="5" max="5" width="3.625" style="912" customWidth="1"/>
    <col min="6" max="6" width="15.375" style="731" bestFit="1" customWidth="1"/>
    <col min="7" max="7" width="3.625" style="912" customWidth="1"/>
    <col min="8" max="8" width="9.125" style="912" bestFit="1" customWidth="1"/>
    <col min="9" max="9" width="3.625" style="912" customWidth="1"/>
    <col min="10" max="10" width="9.125" style="912" bestFit="1" customWidth="1"/>
    <col min="11" max="11" width="3.625" style="912" customWidth="1"/>
    <col min="12" max="12" width="9.125" style="912" bestFit="1" customWidth="1"/>
    <col min="13" max="13" width="3.625" style="912" customWidth="1"/>
    <col min="14" max="14" width="9.125" style="912" bestFit="1" customWidth="1"/>
    <col min="15" max="15" width="3.625" style="912" customWidth="1"/>
    <col min="16" max="16" width="9.875" style="912" bestFit="1" customWidth="1"/>
    <col min="17" max="17" width="3.625" style="912" customWidth="1"/>
    <col min="18" max="18" width="9.125" style="912" bestFit="1" customWidth="1"/>
    <col min="19" max="19" width="3.625" style="912" customWidth="1"/>
    <col min="20" max="20" width="9.125" style="912" bestFit="1" customWidth="1"/>
    <col min="21" max="21" width="3.625" style="912" customWidth="1"/>
    <col min="22" max="22" width="9.875" style="912" bestFit="1" customWidth="1"/>
    <col min="23" max="23" width="3.625" style="912" customWidth="1"/>
    <col min="24" max="24" width="9.125" style="912" bestFit="1" customWidth="1"/>
    <col min="25" max="25" width="3.375" style="912" customWidth="1"/>
    <col min="26" max="26" width="12" style="439" bestFit="1" customWidth="1"/>
    <col min="27" max="27" width="2" style="439" customWidth="1"/>
    <col min="28" max="28" width="12" style="439" bestFit="1" customWidth="1"/>
    <col min="29" max="29" width="1.75" style="439" customWidth="1"/>
    <col min="30" max="30" width="10.375" style="439" bestFit="1" customWidth="1"/>
    <col min="31" max="31" width="1.75" style="439" customWidth="1"/>
    <col min="32" max="32" width="13" style="439" bestFit="1" customWidth="1"/>
    <col min="33" max="33" width="1.75" style="439" customWidth="1"/>
    <col min="34" max="34" width="13.625" style="439" bestFit="1" customWidth="1"/>
    <col min="35" max="35" width="2.375" style="439" customWidth="1"/>
    <col min="36" max="36" width="10.75" style="439" bestFit="1" customWidth="1"/>
    <col min="37" max="37" width="1.375" style="439" customWidth="1"/>
    <col min="38" max="38" width="8.625" style="439" bestFit="1" customWidth="1"/>
    <col min="39" max="16384" width="9" style="912"/>
  </cols>
  <sheetData>
    <row r="1" spans="1:38">
      <c r="A1" s="719" t="str">
        <f>Company_Name</f>
        <v>WATER SERVICE CORPORATION OF KENTUCKY</v>
      </c>
      <c r="B1" s="720"/>
      <c r="C1" s="720"/>
      <c r="D1" s="893"/>
      <c r="E1" s="893"/>
      <c r="G1" s="720"/>
      <c r="H1" s="720"/>
      <c r="I1" s="720"/>
      <c r="J1" s="894"/>
      <c r="K1" s="720"/>
      <c r="L1" s="720"/>
      <c r="M1" s="720"/>
      <c r="N1" s="720"/>
      <c r="O1" s="720"/>
      <c r="P1" s="720"/>
      <c r="Q1" s="720"/>
      <c r="R1" s="720"/>
      <c r="S1" s="720"/>
      <c r="T1" s="720"/>
      <c r="U1" s="720"/>
      <c r="V1" s="720"/>
      <c r="W1" s="720"/>
      <c r="X1" s="895" t="s">
        <v>1475</v>
      </c>
      <c r="Y1" s="720"/>
      <c r="Z1" s="913"/>
      <c r="AA1" s="913"/>
      <c r="AB1" s="913"/>
      <c r="AC1" s="913"/>
      <c r="AD1" s="925"/>
      <c r="AE1" s="913"/>
      <c r="AF1" s="913"/>
      <c r="AG1" s="913"/>
      <c r="AH1" s="913"/>
      <c r="AI1" s="891"/>
    </row>
    <row r="2" spans="1:38">
      <c r="A2" s="719" t="str">
        <f>Docket</f>
        <v>Case No. 2015 - 00382</v>
      </c>
      <c r="B2" s="720"/>
      <c r="C2" s="720"/>
      <c r="D2" s="893"/>
      <c r="E2" s="893"/>
      <c r="G2" s="720"/>
      <c r="H2" s="720"/>
      <c r="I2" s="720"/>
      <c r="J2" s="894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895"/>
      <c r="Y2" s="720"/>
      <c r="Z2" s="720"/>
      <c r="AA2" s="720"/>
      <c r="AB2" s="727"/>
      <c r="AC2" s="720"/>
      <c r="AD2" s="720"/>
      <c r="AE2" s="720"/>
      <c r="AF2" s="720"/>
      <c r="AG2" s="912"/>
      <c r="AH2" s="912"/>
      <c r="AI2" s="912"/>
    </row>
    <row r="3" spans="1:38">
      <c r="A3" s="719" t="s">
        <v>1451</v>
      </c>
      <c r="B3" s="720"/>
      <c r="C3" s="720"/>
      <c r="D3" s="893"/>
      <c r="E3" s="893"/>
      <c r="G3" s="720"/>
      <c r="H3" s="720"/>
      <c r="I3" s="720"/>
      <c r="J3" s="894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  <c r="V3" s="720"/>
      <c r="W3" s="720"/>
      <c r="X3" s="720"/>
      <c r="Y3" s="720"/>
      <c r="Z3" s="906"/>
      <c r="AA3" s="906"/>
      <c r="AB3" s="906"/>
      <c r="AC3" s="906"/>
      <c r="AD3" s="908"/>
      <c r="AE3" s="908"/>
      <c r="AF3" s="1064"/>
      <c r="AG3" s="908"/>
      <c r="AH3" s="908"/>
      <c r="AI3" s="891"/>
    </row>
    <row r="4" spans="1:38">
      <c r="A4" s="1088" t="s">
        <v>1737</v>
      </c>
      <c r="B4" s="723"/>
      <c r="C4" s="723"/>
      <c r="D4" s="723"/>
      <c r="E4" s="723"/>
      <c r="F4" s="904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905"/>
      <c r="W4" s="723"/>
      <c r="X4" s="723"/>
      <c r="Y4" s="723"/>
      <c r="Z4" s="1065"/>
      <c r="AA4" s="1065"/>
      <c r="AB4" s="1065"/>
      <c r="AC4" s="1065"/>
      <c r="AD4" s="1066"/>
      <c r="AE4" s="1066"/>
      <c r="AF4" s="1066"/>
      <c r="AG4" s="1066"/>
      <c r="AH4" s="1066"/>
      <c r="AI4" s="1067"/>
      <c r="AJ4" s="1068"/>
      <c r="AK4" s="1068"/>
      <c r="AL4" s="1068"/>
    </row>
    <row r="5" spans="1:38">
      <c r="A5" s="719" t="str">
        <f>TestYearEnded</f>
        <v>Test Year Ended 6/30/2015</v>
      </c>
      <c r="B5" s="720"/>
      <c r="C5" s="897" t="s">
        <v>1061</v>
      </c>
      <c r="D5" s="898"/>
      <c r="E5" s="898"/>
      <c r="F5" s="899"/>
      <c r="G5" s="900"/>
      <c r="H5" s="900"/>
      <c r="I5" s="900"/>
      <c r="J5" s="900"/>
      <c r="K5" s="900"/>
      <c r="L5" s="901"/>
      <c r="M5" s="900"/>
      <c r="N5" s="900"/>
      <c r="O5" s="900"/>
      <c r="P5" s="902"/>
      <c r="Q5" s="903"/>
      <c r="R5" s="903"/>
      <c r="S5" s="903"/>
      <c r="T5" s="903"/>
      <c r="U5" s="903"/>
      <c r="V5" s="903"/>
      <c r="W5" s="727"/>
      <c r="X5" s="720"/>
      <c r="Y5" s="720"/>
      <c r="Z5" s="908"/>
      <c r="AA5" s="908"/>
      <c r="AB5" s="908"/>
      <c r="AC5" s="908"/>
      <c r="AD5" s="909"/>
      <c r="AE5" s="909"/>
      <c r="AF5" s="909"/>
      <c r="AG5" s="909"/>
      <c r="AH5" s="909"/>
      <c r="AI5" s="891"/>
    </row>
    <row r="6" spans="1:38">
      <c r="A6" s="723"/>
      <c r="B6" s="723"/>
      <c r="C6" s="723"/>
      <c r="D6" s="906"/>
      <c r="E6" s="906"/>
      <c r="F6" s="907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08"/>
      <c r="AC6" s="908"/>
      <c r="AD6" s="909"/>
      <c r="AE6" s="909"/>
      <c r="AF6" s="909"/>
      <c r="AG6" s="909"/>
      <c r="AH6" s="909"/>
      <c r="AI6" s="891"/>
    </row>
    <row r="7" spans="1:38" s="1559" customFormat="1">
      <c r="A7" s="1024"/>
      <c r="B7" s="1024" t="s">
        <v>235</v>
      </c>
      <c r="C7" s="1024"/>
      <c r="D7" s="1069" t="s">
        <v>236</v>
      </c>
      <c r="E7" s="1069"/>
      <c r="F7" s="1558" t="s">
        <v>237</v>
      </c>
      <c r="G7" s="1065"/>
      <c r="H7" s="1065" t="s">
        <v>238</v>
      </c>
      <c r="I7" s="1065"/>
      <c r="J7" s="1065" t="s">
        <v>239</v>
      </c>
      <c r="K7" s="1065"/>
      <c r="L7" s="1065" t="s">
        <v>869</v>
      </c>
      <c r="M7" s="1065"/>
      <c r="N7" s="1065" t="s">
        <v>870</v>
      </c>
      <c r="O7" s="1065"/>
      <c r="P7" s="1065" t="s">
        <v>871</v>
      </c>
      <c r="Q7" s="1065"/>
      <c r="R7" s="1065" t="s">
        <v>872</v>
      </c>
      <c r="S7" s="1065"/>
      <c r="T7" s="1065" t="s">
        <v>873</v>
      </c>
      <c r="U7" s="1065"/>
      <c r="V7" s="1065" t="s">
        <v>874</v>
      </c>
      <c r="W7" s="1065"/>
      <c r="X7" s="1065" t="s">
        <v>2304</v>
      </c>
      <c r="Y7" s="1065"/>
      <c r="Z7" s="1065" t="s">
        <v>2305</v>
      </c>
      <c r="AA7" s="1065"/>
      <c r="AB7" s="1065" t="s">
        <v>2306</v>
      </c>
      <c r="AC7" s="1065"/>
      <c r="AD7" s="1066" t="s">
        <v>2307</v>
      </c>
      <c r="AE7" s="1066"/>
      <c r="AF7" s="1066" t="s">
        <v>2308</v>
      </c>
      <c r="AG7" s="1066"/>
      <c r="AH7" s="1066" t="s">
        <v>2309</v>
      </c>
      <c r="AI7" s="1067"/>
      <c r="AJ7" s="1068" t="s">
        <v>2310</v>
      </c>
      <c r="AK7" s="1068"/>
      <c r="AL7" s="1068" t="s">
        <v>69</v>
      </c>
    </row>
    <row r="8" spans="1:38">
      <c r="A8" s="723"/>
      <c r="B8" s="723"/>
      <c r="C8" s="723"/>
      <c r="D8" s="906"/>
      <c r="E8" s="906"/>
      <c r="F8" s="907"/>
      <c r="G8" s="908"/>
      <c r="H8" s="908"/>
      <c r="I8" s="908"/>
      <c r="J8" s="908"/>
      <c r="K8" s="908"/>
      <c r="L8" s="908"/>
      <c r="M8" s="908"/>
      <c r="N8" s="908"/>
      <c r="O8" s="908"/>
      <c r="P8" s="908"/>
      <c r="Q8" s="908"/>
      <c r="R8" s="908"/>
      <c r="S8" s="908"/>
      <c r="T8" s="908"/>
      <c r="U8" s="908"/>
      <c r="V8" s="908"/>
      <c r="W8" s="908"/>
      <c r="X8" s="908"/>
      <c r="Y8" s="908"/>
      <c r="Z8" s="908"/>
      <c r="AA8" s="908"/>
      <c r="AB8" s="908"/>
      <c r="AC8" s="908"/>
      <c r="AD8" s="909"/>
      <c r="AE8" s="909"/>
      <c r="AF8" s="909"/>
      <c r="AG8" s="909"/>
      <c r="AH8" s="909"/>
      <c r="AI8" s="891"/>
    </row>
    <row r="9" spans="1:38">
      <c r="A9" s="720"/>
      <c r="B9" s="727"/>
      <c r="C9" s="727"/>
      <c r="D9" s="910"/>
      <c r="E9" s="910"/>
      <c r="F9" s="907" t="s">
        <v>73</v>
      </c>
      <c r="G9" s="906"/>
      <c r="H9" s="906"/>
      <c r="I9" s="906"/>
      <c r="J9" s="906"/>
      <c r="K9" s="906"/>
      <c r="L9" s="906"/>
      <c r="M9" s="906"/>
      <c r="N9" s="906"/>
      <c r="O9" s="906"/>
      <c r="P9" s="911">
        <v>41274</v>
      </c>
      <c r="Q9" s="906"/>
      <c r="R9" s="906"/>
      <c r="S9" s="906"/>
      <c r="T9" s="906"/>
      <c r="U9" s="906"/>
      <c r="V9" s="906"/>
      <c r="W9" s="906"/>
      <c r="X9" s="906"/>
      <c r="Y9" s="906"/>
      <c r="Z9" s="1069"/>
      <c r="AA9" s="1069"/>
      <c r="AB9" s="1070"/>
      <c r="AC9" s="1069"/>
      <c r="AD9" s="1066"/>
      <c r="AE9" s="1071"/>
      <c r="AF9" s="1072">
        <v>41274</v>
      </c>
      <c r="AG9" s="1066"/>
      <c r="AH9" s="1066" t="s">
        <v>314</v>
      </c>
      <c r="AI9" s="1073"/>
    </row>
    <row r="10" spans="1:38">
      <c r="A10" s="720"/>
      <c r="D10" s="913"/>
      <c r="E10" s="913"/>
      <c r="F10" s="907" t="s">
        <v>68</v>
      </c>
      <c r="G10" s="914"/>
      <c r="H10" s="914" t="s">
        <v>326</v>
      </c>
      <c r="I10" s="914"/>
      <c r="J10" s="914" t="s">
        <v>327</v>
      </c>
      <c r="K10" s="914"/>
      <c r="L10" s="891"/>
      <c r="M10" s="914"/>
      <c r="N10" s="914" t="s">
        <v>314</v>
      </c>
      <c r="O10" s="914"/>
      <c r="P10" s="914" t="s">
        <v>442</v>
      </c>
      <c r="Q10" s="914"/>
      <c r="R10" s="914" t="s">
        <v>747</v>
      </c>
      <c r="S10" s="914"/>
      <c r="T10" s="914" t="s">
        <v>636</v>
      </c>
      <c r="U10" s="914"/>
      <c r="V10" s="911">
        <v>41274</v>
      </c>
      <c r="W10" s="914"/>
      <c r="X10" s="914" t="s">
        <v>314</v>
      </c>
      <c r="Y10" s="906"/>
      <c r="Z10" s="1067" t="s">
        <v>1725</v>
      </c>
      <c r="AA10" s="1069"/>
      <c r="AB10" s="1069" t="s">
        <v>457</v>
      </c>
      <c r="AC10" s="1069"/>
      <c r="AD10" s="1074" t="s">
        <v>413</v>
      </c>
      <c r="AE10" s="1075"/>
      <c r="AF10" s="1075" t="s">
        <v>1726</v>
      </c>
      <c r="AG10" s="1075"/>
      <c r="AH10" s="1075" t="s">
        <v>68</v>
      </c>
      <c r="AI10" s="1073"/>
      <c r="AL10" s="439" t="s">
        <v>59</v>
      </c>
    </row>
    <row r="11" spans="1:38">
      <c r="A11" s="915" t="s">
        <v>1786</v>
      </c>
      <c r="B11" s="915" t="s">
        <v>1062</v>
      </c>
      <c r="D11" s="916" t="s">
        <v>1063</v>
      </c>
      <c r="E11" s="917"/>
      <c r="F11" s="918" t="s">
        <v>406</v>
      </c>
      <c r="G11" s="914" t="s">
        <v>1481</v>
      </c>
      <c r="H11" s="918" t="s">
        <v>1064</v>
      </c>
      <c r="I11" s="914"/>
      <c r="J11" s="918" t="s">
        <v>279</v>
      </c>
      <c r="K11" s="914"/>
      <c r="L11" s="918" t="s">
        <v>137</v>
      </c>
      <c r="M11" s="914"/>
      <c r="N11" s="918" t="s">
        <v>755</v>
      </c>
      <c r="O11" s="914"/>
      <c r="P11" s="918" t="s">
        <v>304</v>
      </c>
      <c r="Q11" s="914" t="s">
        <v>1065</v>
      </c>
      <c r="R11" s="918" t="s">
        <v>631</v>
      </c>
      <c r="S11" s="914"/>
      <c r="T11" s="918" t="s">
        <v>632</v>
      </c>
      <c r="U11" s="914"/>
      <c r="V11" s="918" t="s">
        <v>110</v>
      </c>
      <c r="W11" s="914" t="s">
        <v>1066</v>
      </c>
      <c r="X11" s="918" t="s">
        <v>64</v>
      </c>
      <c r="Y11" s="906"/>
      <c r="Z11" s="1076" t="s">
        <v>1727</v>
      </c>
      <c r="AA11" s="1069"/>
      <c r="AB11" s="1076" t="s">
        <v>656</v>
      </c>
      <c r="AC11" s="1069"/>
      <c r="AD11" s="1077" t="s">
        <v>406</v>
      </c>
      <c r="AE11" s="1075"/>
      <c r="AF11" s="1077" t="s">
        <v>55</v>
      </c>
      <c r="AG11" s="1075"/>
      <c r="AH11" s="1077" t="s">
        <v>406</v>
      </c>
      <c r="AI11" s="1073"/>
      <c r="AJ11" s="439" t="s">
        <v>1728</v>
      </c>
      <c r="AL11" s="439" t="s">
        <v>1729</v>
      </c>
    </row>
    <row r="12" spans="1:38">
      <c r="A12" s="720"/>
      <c r="B12" s="919"/>
      <c r="C12" s="920"/>
      <c r="D12" s="921"/>
      <c r="E12" s="921"/>
      <c r="F12" s="904"/>
      <c r="G12" s="904"/>
      <c r="H12" s="904"/>
      <c r="I12" s="904"/>
      <c r="J12" s="904"/>
      <c r="K12" s="904"/>
      <c r="L12" s="904"/>
      <c r="M12" s="904"/>
      <c r="N12" s="904"/>
      <c r="O12" s="904"/>
      <c r="P12" s="904"/>
      <c r="Q12" s="904"/>
      <c r="R12" s="904"/>
      <c r="S12" s="904"/>
      <c r="T12" s="904"/>
      <c r="U12" s="904"/>
      <c r="V12" s="904"/>
      <c r="W12" s="904"/>
      <c r="X12" s="904"/>
      <c r="Y12" s="727"/>
      <c r="Z12" s="904"/>
      <c r="AA12" s="904"/>
      <c r="AB12" s="904"/>
      <c r="AC12" s="904"/>
      <c r="AD12" s="904"/>
      <c r="AE12" s="730"/>
      <c r="AF12" s="904"/>
      <c r="AG12" s="730"/>
      <c r="AH12" s="904"/>
      <c r="AI12" s="927"/>
    </row>
    <row r="13" spans="1:38" ht="13.5">
      <c r="A13" s="1557">
        <v>1</v>
      </c>
      <c r="B13" s="890" t="s">
        <v>1067</v>
      </c>
      <c r="C13" s="890"/>
      <c r="D13" s="917" t="s">
        <v>1068</v>
      </c>
      <c r="E13" s="917"/>
      <c r="F13" s="924">
        <f t="shared" ref="F13:F52" si="0">AH13</f>
        <v>31466.969999999994</v>
      </c>
      <c r="G13" s="924"/>
      <c r="H13" s="924">
        <f t="shared" ref="H13:H52" si="1">ROUND(F13*0.0765,0)</f>
        <v>2407</v>
      </c>
      <c r="I13" s="924"/>
      <c r="J13" s="924">
        <v>56</v>
      </c>
      <c r="K13" s="924"/>
      <c r="L13" s="924">
        <f>IF(F13&gt;8000,8000*0.0458,F13*0.0458)</f>
        <v>366.4</v>
      </c>
      <c r="M13" s="924" t="s">
        <v>1069</v>
      </c>
      <c r="N13" s="924">
        <f t="shared" ref="N13:N52" si="2">SUM(L13,J13,H13)</f>
        <v>2829.4</v>
      </c>
      <c r="O13" s="924"/>
      <c r="P13" s="924">
        <f>'wp b1'!J$15</f>
        <v>7481.8509443099274</v>
      </c>
      <c r="Q13" s="924"/>
      <c r="R13" s="924">
        <f t="shared" ref="R13:R52" si="3">F13*0.03</f>
        <v>944.00909999999976</v>
      </c>
      <c r="S13" s="924"/>
      <c r="T13" s="924">
        <f t="shared" ref="T13:T52" si="4">F13*0.04</f>
        <v>1258.6787999999997</v>
      </c>
      <c r="U13" s="924"/>
      <c r="V13" s="924">
        <f>'wp b1'!J$23</f>
        <v>453.52290556900732</v>
      </c>
      <c r="W13" s="924"/>
      <c r="X13" s="924">
        <f t="shared" ref="X13:X52" si="5">SUM(P13,R13,T13,V13)</f>
        <v>10138.061749878934</v>
      </c>
      <c r="Y13" s="925"/>
      <c r="Z13" s="926">
        <f>15.03*80</f>
        <v>1202.3999999999999</v>
      </c>
      <c r="AA13" s="926"/>
      <c r="AB13" s="1078">
        <v>2080</v>
      </c>
      <c r="AC13" s="925"/>
      <c r="AD13" s="1078">
        <f t="shared" ref="AD13:AD52" si="6">IF(AB13=86.67,Z13*24,(Z13/80)*AB13)</f>
        <v>31262.399999999994</v>
      </c>
      <c r="AE13" s="730"/>
      <c r="AF13" s="922">
        <v>204.57</v>
      </c>
      <c r="AG13" s="730"/>
      <c r="AH13" s="730">
        <f t="shared" ref="AH13:AH52" si="7">+AD13+AF13</f>
        <v>31466.969999999994</v>
      </c>
      <c r="AI13" s="1079"/>
      <c r="AJ13" s="1080">
        <v>28771.13</v>
      </c>
      <c r="AL13" s="1081">
        <v>98669</v>
      </c>
    </row>
    <row r="14" spans="1:38" ht="13.5">
      <c r="A14" s="1557">
        <v>2</v>
      </c>
      <c r="B14" s="890" t="s">
        <v>1733</v>
      </c>
      <c r="C14" s="890"/>
      <c r="D14" s="917" t="s">
        <v>1078</v>
      </c>
      <c r="E14" s="917"/>
      <c r="F14" s="924">
        <f t="shared" si="0"/>
        <v>25251.200000000001</v>
      </c>
      <c r="G14" s="924"/>
      <c r="H14" s="924">
        <f t="shared" si="1"/>
        <v>1932</v>
      </c>
      <c r="I14" s="924"/>
      <c r="J14" s="924">
        <v>56</v>
      </c>
      <c r="K14" s="924"/>
      <c r="L14" s="924">
        <f>IF(F14&gt;20900,20900*0.042,F14*0.042)</f>
        <v>877.80000000000007</v>
      </c>
      <c r="M14" s="924" t="s">
        <v>1076</v>
      </c>
      <c r="N14" s="924">
        <f t="shared" si="2"/>
        <v>2865.8</v>
      </c>
      <c r="O14" s="924"/>
      <c r="P14" s="924">
        <f>'wp b1'!J$15</f>
        <v>7481.8509443099274</v>
      </c>
      <c r="Q14" s="924"/>
      <c r="R14" s="924">
        <f t="shared" si="3"/>
        <v>757.53599999999994</v>
      </c>
      <c r="S14" s="924"/>
      <c r="T14" s="924">
        <f t="shared" si="4"/>
        <v>1010.048</v>
      </c>
      <c r="U14" s="924"/>
      <c r="V14" s="924">
        <f>'wp b1'!J$23</f>
        <v>453.52290556900732</v>
      </c>
      <c r="W14" s="924"/>
      <c r="X14" s="924">
        <f t="shared" si="5"/>
        <v>9702.9578498789342</v>
      </c>
      <c r="Y14" s="925"/>
      <c r="Z14" s="926">
        <f>12.14*80</f>
        <v>971.2</v>
      </c>
      <c r="AA14" s="926"/>
      <c r="AB14" s="1078">
        <v>2080</v>
      </c>
      <c r="AC14" s="925"/>
      <c r="AD14" s="1078">
        <f t="shared" si="6"/>
        <v>25251.200000000001</v>
      </c>
      <c r="AE14" s="730"/>
      <c r="AF14" s="922">
        <v>0</v>
      </c>
      <c r="AG14" s="730"/>
      <c r="AH14" s="730">
        <f t="shared" si="7"/>
        <v>25251.200000000001</v>
      </c>
      <c r="AI14" s="1079"/>
      <c r="AJ14" s="1080">
        <v>21479.96</v>
      </c>
      <c r="AL14" s="1081">
        <v>99968</v>
      </c>
    </row>
    <row r="15" spans="1:38" ht="13.5">
      <c r="A15" s="1557">
        <v>3</v>
      </c>
      <c r="B15" s="890" t="s">
        <v>1070</v>
      </c>
      <c r="C15" s="890"/>
      <c r="D15" s="917" t="s">
        <v>1068</v>
      </c>
      <c r="E15" s="917"/>
      <c r="F15" s="924">
        <f t="shared" si="0"/>
        <v>35431.64</v>
      </c>
      <c r="G15" s="924"/>
      <c r="H15" s="924">
        <f t="shared" si="1"/>
        <v>2711</v>
      </c>
      <c r="I15" s="924"/>
      <c r="J15" s="924">
        <v>56</v>
      </c>
      <c r="K15" s="924"/>
      <c r="L15" s="924">
        <f>IF(F15&gt;8000,8000*0.0458,F15*0.0458)</f>
        <v>366.4</v>
      </c>
      <c r="M15" s="924" t="s">
        <v>1069</v>
      </c>
      <c r="N15" s="924">
        <f t="shared" si="2"/>
        <v>3133.4</v>
      </c>
      <c r="O15" s="924"/>
      <c r="P15" s="924">
        <f>'wp b1'!J$15</f>
        <v>7481.8509443099274</v>
      </c>
      <c r="Q15" s="924"/>
      <c r="R15" s="924">
        <f t="shared" si="3"/>
        <v>1062.9492</v>
      </c>
      <c r="S15" s="924"/>
      <c r="T15" s="924">
        <f t="shared" si="4"/>
        <v>1417.2655999999999</v>
      </c>
      <c r="U15" s="924"/>
      <c r="V15" s="924">
        <f>'wp b1'!J$23</f>
        <v>453.52290556900732</v>
      </c>
      <c r="W15" s="924"/>
      <c r="X15" s="924">
        <f t="shared" si="5"/>
        <v>10415.588649878935</v>
      </c>
      <c r="Y15" s="925"/>
      <c r="Z15" s="926">
        <f>16.52*80</f>
        <v>1321.6</v>
      </c>
      <c r="AA15" s="926"/>
      <c r="AB15" s="1078">
        <v>2080</v>
      </c>
      <c r="AC15" s="925"/>
      <c r="AD15" s="1078">
        <f t="shared" si="6"/>
        <v>34361.599999999999</v>
      </c>
      <c r="AE15" s="730"/>
      <c r="AF15" s="922">
        <v>1070.04</v>
      </c>
      <c r="AG15" s="730"/>
      <c r="AH15" s="730">
        <f t="shared" si="7"/>
        <v>35431.64</v>
      </c>
      <c r="AI15" s="1079"/>
      <c r="AJ15" s="1080">
        <v>29093.02</v>
      </c>
      <c r="AL15" s="1081">
        <v>766</v>
      </c>
    </row>
    <row r="16" spans="1:38" ht="13.5">
      <c r="A16" s="1557">
        <v>4</v>
      </c>
      <c r="B16" s="890" t="s">
        <v>1738</v>
      </c>
      <c r="C16" s="890"/>
      <c r="D16" s="917" t="s">
        <v>1068</v>
      </c>
      <c r="E16" s="917"/>
      <c r="F16" s="924">
        <f t="shared" si="0"/>
        <v>33211.379999999997</v>
      </c>
      <c r="G16" s="924"/>
      <c r="H16" s="924">
        <f t="shared" si="1"/>
        <v>2541</v>
      </c>
      <c r="I16" s="924"/>
      <c r="J16" s="924">
        <v>56</v>
      </c>
      <c r="K16" s="924"/>
      <c r="L16" s="924">
        <f>IF(F16&gt;8000,8000*0.0458,F16*0.0458)</f>
        <v>366.4</v>
      </c>
      <c r="M16" s="924" t="s">
        <v>1069</v>
      </c>
      <c r="N16" s="924">
        <f t="shared" si="2"/>
        <v>2963.4</v>
      </c>
      <c r="O16" s="924"/>
      <c r="P16" s="924">
        <f>'wp b1'!J$15</f>
        <v>7481.8509443099274</v>
      </c>
      <c r="Q16" s="924"/>
      <c r="R16" s="924">
        <f t="shared" si="3"/>
        <v>996.34139999999991</v>
      </c>
      <c r="S16" s="924"/>
      <c r="T16" s="924">
        <f t="shared" si="4"/>
        <v>1328.4551999999999</v>
      </c>
      <c r="U16" s="924"/>
      <c r="V16" s="924">
        <f>'wp b1'!J$23</f>
        <v>453.52290556900732</v>
      </c>
      <c r="W16" s="924"/>
      <c r="X16" s="924">
        <f t="shared" si="5"/>
        <v>10260.170449878935</v>
      </c>
      <c r="Y16" s="925"/>
      <c r="Z16" s="926">
        <f>15.87*80</f>
        <v>1269.5999999999999</v>
      </c>
      <c r="AA16" s="926"/>
      <c r="AB16" s="1078">
        <v>2080</v>
      </c>
      <c r="AC16" s="925"/>
      <c r="AD16" s="1078">
        <f t="shared" si="6"/>
        <v>33009.599999999999</v>
      </c>
      <c r="AE16" s="730"/>
      <c r="AF16" s="922">
        <v>201.78000000000003</v>
      </c>
      <c r="AG16" s="730"/>
      <c r="AH16" s="730">
        <f t="shared" si="7"/>
        <v>33211.379999999997</v>
      </c>
      <c r="AI16" s="1079"/>
      <c r="AJ16" s="1080">
        <v>27787.22</v>
      </c>
      <c r="AL16" s="1081">
        <v>98986</v>
      </c>
    </row>
    <row r="17" spans="1:38" ht="13.5">
      <c r="A17" s="1557">
        <v>5</v>
      </c>
      <c r="B17" s="890" t="s">
        <v>1071</v>
      </c>
      <c r="C17" s="890"/>
      <c r="D17" s="917" t="s">
        <v>1068</v>
      </c>
      <c r="E17" s="917"/>
      <c r="F17" s="924">
        <f t="shared" si="0"/>
        <v>37698</v>
      </c>
      <c r="G17" s="924"/>
      <c r="H17" s="924">
        <f t="shared" si="1"/>
        <v>2884</v>
      </c>
      <c r="I17" s="924"/>
      <c r="J17" s="924">
        <v>56</v>
      </c>
      <c r="K17" s="924"/>
      <c r="L17" s="924">
        <f>IF(F17&gt;8000,8000*0.0458,F17*0.0458)</f>
        <v>366.4</v>
      </c>
      <c r="M17" s="924" t="s">
        <v>1069</v>
      </c>
      <c r="N17" s="924">
        <f t="shared" si="2"/>
        <v>3306.4</v>
      </c>
      <c r="O17" s="924"/>
      <c r="P17" s="924">
        <f>'wp b1'!J$15</f>
        <v>7481.8509443099274</v>
      </c>
      <c r="Q17" s="924"/>
      <c r="R17" s="924">
        <f t="shared" si="3"/>
        <v>1130.94</v>
      </c>
      <c r="S17" s="924"/>
      <c r="T17" s="924">
        <f t="shared" si="4"/>
        <v>1507.92</v>
      </c>
      <c r="U17" s="924"/>
      <c r="V17" s="924">
        <f>'wp b1'!J$23</f>
        <v>453.52290556900732</v>
      </c>
      <c r="W17" s="924"/>
      <c r="X17" s="924">
        <f t="shared" si="5"/>
        <v>10574.233849878934</v>
      </c>
      <c r="Y17" s="925"/>
      <c r="Z17" s="926">
        <v>1570.75</v>
      </c>
      <c r="AA17" s="926"/>
      <c r="AB17" s="1078">
        <v>86.67</v>
      </c>
      <c r="AC17" s="925"/>
      <c r="AD17" s="1078">
        <f t="shared" si="6"/>
        <v>37698</v>
      </c>
      <c r="AE17" s="730"/>
      <c r="AF17" s="922">
        <v>0</v>
      </c>
      <c r="AG17" s="730"/>
      <c r="AH17" s="730">
        <f t="shared" si="7"/>
        <v>37698</v>
      </c>
      <c r="AI17" s="1079"/>
      <c r="AJ17" s="1080">
        <v>32401.37</v>
      </c>
      <c r="AL17" s="1081">
        <v>98712</v>
      </c>
    </row>
    <row r="18" spans="1:38" ht="13.5">
      <c r="A18" s="1557">
        <v>6</v>
      </c>
      <c r="B18" s="890" t="s">
        <v>1739</v>
      </c>
      <c r="C18" s="890"/>
      <c r="D18" s="917" t="s">
        <v>1068</v>
      </c>
      <c r="E18" s="917"/>
      <c r="F18" s="924">
        <f t="shared" si="0"/>
        <v>56347.19999999999</v>
      </c>
      <c r="G18" s="924"/>
      <c r="H18" s="924">
        <f t="shared" si="1"/>
        <v>4311</v>
      </c>
      <c r="I18" s="924"/>
      <c r="J18" s="924">
        <v>56</v>
      </c>
      <c r="K18" s="924"/>
      <c r="L18" s="924">
        <f>IF(F18&gt;8000,8000*0.0458,F18*0.0458)</f>
        <v>366.4</v>
      </c>
      <c r="M18" s="924" t="s">
        <v>1069</v>
      </c>
      <c r="N18" s="924">
        <f t="shared" si="2"/>
        <v>4733.3999999999996</v>
      </c>
      <c r="O18" s="924"/>
      <c r="P18" s="924">
        <f>'wp b1'!J$15</f>
        <v>7481.8509443099274</v>
      </c>
      <c r="Q18" s="924"/>
      <c r="R18" s="924">
        <f t="shared" si="3"/>
        <v>1690.4159999999997</v>
      </c>
      <c r="S18" s="924"/>
      <c r="T18" s="924">
        <f t="shared" si="4"/>
        <v>2253.8879999999995</v>
      </c>
      <c r="U18" s="924"/>
      <c r="V18" s="924">
        <f>'wp b1'!J$23</f>
        <v>453.52290556900732</v>
      </c>
      <c r="W18" s="924"/>
      <c r="X18" s="924">
        <f t="shared" si="5"/>
        <v>11879.677849878934</v>
      </c>
      <c r="Y18" s="925"/>
      <c r="Z18" s="926">
        <f>27.09*80</f>
        <v>2167.1999999999998</v>
      </c>
      <c r="AA18" s="926"/>
      <c r="AB18" s="1078">
        <v>2080</v>
      </c>
      <c r="AC18" s="927"/>
      <c r="AD18" s="1078">
        <f t="shared" si="6"/>
        <v>56347.19999999999</v>
      </c>
      <c r="AE18" s="927"/>
      <c r="AF18" s="922">
        <v>0</v>
      </c>
      <c r="AG18" s="927"/>
      <c r="AH18" s="730">
        <f t="shared" si="7"/>
        <v>56347.19999999999</v>
      </c>
      <c r="AI18" s="1079"/>
      <c r="AJ18" s="1080">
        <v>49082.04</v>
      </c>
      <c r="AL18" s="1081">
        <v>98885</v>
      </c>
    </row>
    <row r="19" spans="1:38" ht="13.5">
      <c r="A19" s="1557">
        <v>7</v>
      </c>
      <c r="B19" s="890" t="s">
        <v>1667</v>
      </c>
      <c r="C19" s="890"/>
      <c r="D19" s="917" t="s">
        <v>1075</v>
      </c>
      <c r="E19" s="917"/>
      <c r="F19" s="924">
        <f t="shared" si="0"/>
        <v>25335.17</v>
      </c>
      <c r="G19" s="924"/>
      <c r="H19" s="924">
        <f t="shared" si="1"/>
        <v>1938</v>
      </c>
      <c r="I19" s="924"/>
      <c r="J19" s="924">
        <v>56</v>
      </c>
      <c r="K19" s="924"/>
      <c r="L19" s="924">
        <f>IF(F19&gt;26900,26900*0.0385,F19*0.0385)</f>
        <v>975.40404499999988</v>
      </c>
      <c r="M19" s="924" t="s">
        <v>1079</v>
      </c>
      <c r="N19" s="924">
        <f t="shared" si="2"/>
        <v>2969.4040449999998</v>
      </c>
      <c r="O19" s="924"/>
      <c r="P19" s="924">
        <f>'wp b1'!J$15</f>
        <v>7481.8509443099274</v>
      </c>
      <c r="Q19" s="924"/>
      <c r="R19" s="924">
        <f t="shared" si="3"/>
        <v>760.05509999999992</v>
      </c>
      <c r="S19" s="924"/>
      <c r="T19" s="924">
        <f t="shared" si="4"/>
        <v>1013.4068</v>
      </c>
      <c r="U19" s="924"/>
      <c r="V19" s="924">
        <f>'wp b1'!J$23</f>
        <v>453.52290556900732</v>
      </c>
      <c r="W19" s="924"/>
      <c r="X19" s="924">
        <f t="shared" si="5"/>
        <v>9708.8357498789355</v>
      </c>
      <c r="Y19" s="925"/>
      <c r="Z19" s="926">
        <f>12.02*80</f>
        <v>961.59999999999991</v>
      </c>
      <c r="AA19" s="926"/>
      <c r="AB19" s="1078">
        <v>2080</v>
      </c>
      <c r="AC19" s="927"/>
      <c r="AD19" s="1078">
        <f t="shared" si="6"/>
        <v>25001.599999999999</v>
      </c>
      <c r="AE19" s="927"/>
      <c r="AF19" s="922">
        <v>333.57</v>
      </c>
      <c r="AG19" s="927"/>
      <c r="AH19" s="730">
        <f t="shared" si="7"/>
        <v>25335.17</v>
      </c>
      <c r="AI19" s="1079"/>
      <c r="AJ19" s="1080">
        <v>12735.45</v>
      </c>
      <c r="AL19" s="1081">
        <v>99772</v>
      </c>
    </row>
    <row r="20" spans="1:38" ht="13.5">
      <c r="A20" s="1557">
        <v>8</v>
      </c>
      <c r="B20" s="890" t="s">
        <v>1740</v>
      </c>
      <c r="C20" s="890"/>
      <c r="D20" s="917" t="s">
        <v>1078</v>
      </c>
      <c r="E20" s="917"/>
      <c r="F20" s="924">
        <f t="shared" si="0"/>
        <v>26847.98</v>
      </c>
      <c r="G20" s="924"/>
      <c r="H20" s="924">
        <f t="shared" si="1"/>
        <v>2054</v>
      </c>
      <c r="I20" s="924"/>
      <c r="J20" s="924">
        <v>56</v>
      </c>
      <c r="K20" s="924"/>
      <c r="L20" s="924">
        <f>IF(F20&gt;20900,20900*0.042,F20*0.042)</f>
        <v>877.80000000000007</v>
      </c>
      <c r="M20" s="924" t="s">
        <v>1076</v>
      </c>
      <c r="N20" s="924">
        <f t="shared" si="2"/>
        <v>2987.8</v>
      </c>
      <c r="O20" s="924"/>
      <c r="P20" s="924">
        <f>'wp b1'!J$15</f>
        <v>7481.8509443099274</v>
      </c>
      <c r="Q20" s="924"/>
      <c r="R20" s="924">
        <f t="shared" si="3"/>
        <v>805.43939999999998</v>
      </c>
      <c r="S20" s="924"/>
      <c r="T20" s="924">
        <f t="shared" si="4"/>
        <v>1073.9192</v>
      </c>
      <c r="U20" s="924"/>
      <c r="V20" s="924">
        <f>'wp b1'!J$23</f>
        <v>453.52290556900732</v>
      </c>
      <c r="W20" s="924"/>
      <c r="X20" s="924">
        <f t="shared" si="5"/>
        <v>9814.7324498789349</v>
      </c>
      <c r="Y20" s="925"/>
      <c r="Z20" s="926">
        <f>12.89*80</f>
        <v>1031.2</v>
      </c>
      <c r="AA20" s="926"/>
      <c r="AB20" s="1078">
        <v>2080</v>
      </c>
      <c r="AC20" s="927"/>
      <c r="AD20" s="1078">
        <f t="shared" si="6"/>
        <v>26811.200000000001</v>
      </c>
      <c r="AE20" s="927"/>
      <c r="AF20" s="922">
        <v>36.78</v>
      </c>
      <c r="AG20" s="927"/>
      <c r="AH20" s="730">
        <f t="shared" si="7"/>
        <v>26847.98</v>
      </c>
      <c r="AI20" s="1079"/>
      <c r="AJ20" s="1080">
        <v>23069.46</v>
      </c>
      <c r="AL20" s="1082">
        <v>99660</v>
      </c>
    </row>
    <row r="21" spans="1:38" ht="13.5">
      <c r="A21" s="1557">
        <v>9</v>
      </c>
      <c r="B21" s="890" t="s">
        <v>1741</v>
      </c>
      <c r="C21" s="890"/>
      <c r="D21" s="917" t="s">
        <v>1075</v>
      </c>
      <c r="E21" s="917"/>
      <c r="F21" s="924">
        <f t="shared" si="0"/>
        <v>39655.199999999997</v>
      </c>
      <c r="G21" s="924"/>
      <c r="H21" s="924">
        <f t="shared" si="1"/>
        <v>3034</v>
      </c>
      <c r="I21" s="924"/>
      <c r="J21" s="924">
        <v>56</v>
      </c>
      <c r="K21" s="924"/>
      <c r="L21" s="924">
        <f>IF(F21&gt;26900,26900*0.0385,F21*0.0385)</f>
        <v>1035.6500000000001</v>
      </c>
      <c r="M21" s="924" t="s">
        <v>1079</v>
      </c>
      <c r="N21" s="924">
        <f t="shared" si="2"/>
        <v>4125.6499999999996</v>
      </c>
      <c r="O21" s="924"/>
      <c r="P21" s="924">
        <f>'wp b1'!J$15</f>
        <v>7481.8509443099274</v>
      </c>
      <c r="Q21" s="924"/>
      <c r="R21" s="924">
        <f t="shared" si="3"/>
        <v>1189.6559999999999</v>
      </c>
      <c r="S21" s="924"/>
      <c r="T21" s="924">
        <f t="shared" si="4"/>
        <v>1586.2079999999999</v>
      </c>
      <c r="U21" s="924"/>
      <c r="V21" s="924">
        <f>'wp b1'!J$23</f>
        <v>453.52290556900732</v>
      </c>
      <c r="W21" s="924"/>
      <c r="X21" s="924">
        <f t="shared" si="5"/>
        <v>10711.237849878935</v>
      </c>
      <c r="Y21" s="925"/>
      <c r="Z21" s="926">
        <v>1652.3</v>
      </c>
      <c r="AA21" s="926"/>
      <c r="AB21" s="1078">
        <v>86.67</v>
      </c>
      <c r="AC21" s="927"/>
      <c r="AD21" s="1078">
        <f t="shared" si="6"/>
        <v>39655.199999999997</v>
      </c>
      <c r="AE21" s="927"/>
      <c r="AF21" s="922">
        <v>0</v>
      </c>
      <c r="AG21" s="927"/>
      <c r="AH21" s="730">
        <f t="shared" si="7"/>
        <v>39655.199999999997</v>
      </c>
      <c r="AI21" s="1079"/>
      <c r="AJ21" s="1080">
        <v>33636.44</v>
      </c>
      <c r="AL21" s="1083">
        <v>99503</v>
      </c>
    </row>
    <row r="22" spans="1:38" ht="13.5">
      <c r="A22" s="1557">
        <v>10</v>
      </c>
      <c r="B22" s="890" t="s">
        <v>1669</v>
      </c>
      <c r="C22" s="890"/>
      <c r="D22" s="917" t="s">
        <v>1068</v>
      </c>
      <c r="E22" s="917"/>
      <c r="F22" s="924">
        <f t="shared" si="0"/>
        <v>27587.050000000003</v>
      </c>
      <c r="G22" s="927"/>
      <c r="H22" s="924">
        <f t="shared" si="1"/>
        <v>2110</v>
      </c>
      <c r="I22" s="924"/>
      <c r="J22" s="924">
        <v>56</v>
      </c>
      <c r="K22" s="924"/>
      <c r="L22" s="924">
        <f>IF(F22&gt;8000,8000*0.0458,F22*0.0458)</f>
        <v>366.4</v>
      </c>
      <c r="M22" s="924" t="s">
        <v>1069</v>
      </c>
      <c r="N22" s="924">
        <f t="shared" si="2"/>
        <v>2532.4</v>
      </c>
      <c r="O22" s="924"/>
      <c r="P22" s="924">
        <f>'wp b1'!J$15</f>
        <v>7481.8509443099274</v>
      </c>
      <c r="Q22" s="924"/>
      <c r="R22" s="924">
        <f t="shared" si="3"/>
        <v>827.61150000000009</v>
      </c>
      <c r="S22" s="924"/>
      <c r="T22" s="924">
        <f t="shared" si="4"/>
        <v>1103.4820000000002</v>
      </c>
      <c r="U22" s="924"/>
      <c r="V22" s="924">
        <f>'wp b1'!J$23</f>
        <v>453.52290556900732</v>
      </c>
      <c r="W22" s="927"/>
      <c r="X22" s="924">
        <f t="shared" si="5"/>
        <v>9866.4673498789343</v>
      </c>
      <c r="Y22" s="927"/>
      <c r="Z22" s="926">
        <f>12.88*80</f>
        <v>1030.4000000000001</v>
      </c>
      <c r="AA22" s="926"/>
      <c r="AB22" s="1078">
        <v>2080</v>
      </c>
      <c r="AC22" s="927"/>
      <c r="AD22" s="1078">
        <f t="shared" si="6"/>
        <v>26790.400000000001</v>
      </c>
      <c r="AE22" s="927"/>
      <c r="AF22" s="922">
        <v>796.65000000000009</v>
      </c>
      <c r="AG22" s="927"/>
      <c r="AH22" s="730">
        <f t="shared" si="7"/>
        <v>27587.050000000003</v>
      </c>
      <c r="AI22" s="1079"/>
      <c r="AJ22" s="1080">
        <v>24064.18</v>
      </c>
      <c r="AL22" s="1081">
        <v>99704</v>
      </c>
    </row>
    <row r="23" spans="1:38" ht="13.5">
      <c r="A23" s="1557">
        <v>11</v>
      </c>
      <c r="B23" s="890" t="s">
        <v>1742</v>
      </c>
      <c r="C23" s="890"/>
      <c r="D23" s="917" t="s">
        <v>1075</v>
      </c>
      <c r="E23" s="917"/>
      <c r="F23" s="924">
        <f t="shared" si="0"/>
        <v>25996.639999999999</v>
      </c>
      <c r="G23" s="927"/>
      <c r="H23" s="924">
        <f t="shared" si="1"/>
        <v>1989</v>
      </c>
      <c r="I23" s="924"/>
      <c r="J23" s="924">
        <v>56</v>
      </c>
      <c r="K23" s="924"/>
      <c r="L23" s="924">
        <f>IF(F23&gt;26900,26900*0.0385,F23*0.0385)</f>
        <v>1000.87064</v>
      </c>
      <c r="M23" s="924" t="s">
        <v>1079</v>
      </c>
      <c r="N23" s="924">
        <f t="shared" si="2"/>
        <v>3045.8706400000001</v>
      </c>
      <c r="O23" s="924"/>
      <c r="P23" s="924">
        <f>'wp b1'!J$15</f>
        <v>7481.8509443099274</v>
      </c>
      <c r="Q23" s="924"/>
      <c r="R23" s="924">
        <f t="shared" si="3"/>
        <v>779.89919999999995</v>
      </c>
      <c r="S23" s="924"/>
      <c r="T23" s="924">
        <f t="shared" si="4"/>
        <v>1039.8656000000001</v>
      </c>
      <c r="U23" s="924"/>
      <c r="V23" s="924">
        <f>'wp b1'!J$23</f>
        <v>453.52290556900732</v>
      </c>
      <c r="W23" s="927"/>
      <c r="X23" s="924">
        <f t="shared" si="5"/>
        <v>9755.1386498789361</v>
      </c>
      <c r="Y23" s="927"/>
      <c r="Z23" s="926">
        <f>12.26*80</f>
        <v>980.8</v>
      </c>
      <c r="AA23" s="926"/>
      <c r="AB23" s="1078">
        <v>2080</v>
      </c>
      <c r="AC23" s="925"/>
      <c r="AD23" s="1078">
        <f t="shared" si="6"/>
        <v>25500.799999999999</v>
      </c>
      <c r="AE23" s="730"/>
      <c r="AF23" s="922">
        <v>495.84000000000003</v>
      </c>
      <c r="AG23" s="730"/>
      <c r="AH23" s="730">
        <f t="shared" si="7"/>
        <v>25996.639999999999</v>
      </c>
      <c r="AI23" s="1079"/>
      <c r="AJ23" s="1080">
        <v>5433.56</v>
      </c>
      <c r="AL23" s="1081">
        <v>99942</v>
      </c>
    </row>
    <row r="24" spans="1:38" ht="13.5">
      <c r="A24" s="1557">
        <v>12</v>
      </c>
      <c r="B24" s="890" t="s">
        <v>1670</v>
      </c>
      <c r="C24" s="890"/>
      <c r="D24" s="917" t="s">
        <v>1075</v>
      </c>
      <c r="E24" s="917"/>
      <c r="F24" s="924">
        <f t="shared" si="0"/>
        <v>28863.15</v>
      </c>
      <c r="G24" s="927"/>
      <c r="H24" s="924">
        <f t="shared" si="1"/>
        <v>2208</v>
      </c>
      <c r="I24" s="924"/>
      <c r="J24" s="924">
        <v>56</v>
      </c>
      <c r="K24" s="924"/>
      <c r="L24" s="924">
        <f>IF(F24&gt;26900,26900*0.0385,F24*0.0385)</f>
        <v>1035.6500000000001</v>
      </c>
      <c r="M24" s="924" t="s">
        <v>1079</v>
      </c>
      <c r="N24" s="924">
        <f t="shared" si="2"/>
        <v>3299.65</v>
      </c>
      <c r="O24" s="924"/>
      <c r="P24" s="924">
        <f>'wp b1'!J$15</f>
        <v>7481.8509443099274</v>
      </c>
      <c r="Q24" s="924"/>
      <c r="R24" s="924">
        <f t="shared" si="3"/>
        <v>865.89449999999999</v>
      </c>
      <c r="S24" s="924"/>
      <c r="T24" s="924">
        <f t="shared" si="4"/>
        <v>1154.5260000000001</v>
      </c>
      <c r="U24" s="924"/>
      <c r="V24" s="924">
        <f>'wp b1'!J$23</f>
        <v>453.52290556900732</v>
      </c>
      <c r="W24" s="927"/>
      <c r="X24" s="924">
        <f t="shared" si="5"/>
        <v>9955.7943498789336</v>
      </c>
      <c r="Y24" s="927"/>
      <c r="Z24" s="926">
        <f>13.38*80</f>
        <v>1070.4000000000001</v>
      </c>
      <c r="AA24" s="926"/>
      <c r="AB24" s="1078">
        <v>2080</v>
      </c>
      <c r="AC24" s="927"/>
      <c r="AD24" s="1078">
        <f t="shared" si="6"/>
        <v>27830.400000000001</v>
      </c>
      <c r="AE24" s="927"/>
      <c r="AF24" s="922">
        <v>1032.75</v>
      </c>
      <c r="AG24" s="927"/>
      <c r="AH24" s="730">
        <f t="shared" si="7"/>
        <v>28863.15</v>
      </c>
      <c r="AI24" s="1079"/>
      <c r="AJ24" s="1080">
        <v>28655.98</v>
      </c>
      <c r="AL24" s="1081">
        <v>99621</v>
      </c>
    </row>
    <row r="25" spans="1:38" ht="13.5">
      <c r="A25" s="1557">
        <v>13</v>
      </c>
      <c r="B25" s="890" t="s">
        <v>1743</v>
      </c>
      <c r="C25" s="890"/>
      <c r="D25" s="917" t="s">
        <v>1075</v>
      </c>
      <c r="E25" s="917"/>
      <c r="F25" s="924">
        <f t="shared" si="0"/>
        <v>29456.54</v>
      </c>
      <c r="G25" s="927"/>
      <c r="H25" s="924">
        <f t="shared" si="1"/>
        <v>2253</v>
      </c>
      <c r="I25" s="924"/>
      <c r="J25" s="924">
        <v>56</v>
      </c>
      <c r="K25" s="924"/>
      <c r="L25" s="924">
        <f>IF(F25&gt;26900,26900*0.0385,F25*0.0385)</f>
        <v>1035.6500000000001</v>
      </c>
      <c r="M25" s="924" t="s">
        <v>1079</v>
      </c>
      <c r="N25" s="924">
        <f t="shared" si="2"/>
        <v>3344.65</v>
      </c>
      <c r="O25" s="924"/>
      <c r="P25" s="924">
        <f>'wp b1'!J$15</f>
        <v>7481.8509443099274</v>
      </c>
      <c r="Q25" s="924"/>
      <c r="R25" s="924">
        <f t="shared" si="3"/>
        <v>883.69619999999998</v>
      </c>
      <c r="S25" s="924"/>
      <c r="T25" s="924">
        <f t="shared" si="4"/>
        <v>1178.2616</v>
      </c>
      <c r="U25" s="924"/>
      <c r="V25" s="924">
        <f>'wp b1'!J$23</f>
        <v>453.52290556900732</v>
      </c>
      <c r="W25" s="927"/>
      <c r="X25" s="924">
        <f t="shared" si="5"/>
        <v>9997.3316498789336</v>
      </c>
      <c r="Y25" s="927"/>
      <c r="Z25" s="926">
        <f>14*80</f>
        <v>1120</v>
      </c>
      <c r="AA25" s="926"/>
      <c r="AB25" s="1078">
        <v>2080</v>
      </c>
      <c r="AC25" s="927"/>
      <c r="AD25" s="1078">
        <f t="shared" si="6"/>
        <v>29120</v>
      </c>
      <c r="AE25" s="927"/>
      <c r="AF25" s="922">
        <v>336.54</v>
      </c>
      <c r="AG25" s="927"/>
      <c r="AH25" s="730">
        <f t="shared" si="7"/>
        <v>29456.54</v>
      </c>
      <c r="AI25" s="1079"/>
      <c r="AJ25" s="1080">
        <v>24532.43</v>
      </c>
      <c r="AL25" s="1081">
        <v>99558</v>
      </c>
    </row>
    <row r="26" spans="1:38" ht="13.5">
      <c r="A26" s="1557">
        <v>14</v>
      </c>
      <c r="B26" s="890" t="s">
        <v>1734</v>
      </c>
      <c r="C26" s="890"/>
      <c r="D26" s="917" t="s">
        <v>1078</v>
      </c>
      <c r="E26" s="917"/>
      <c r="F26" s="924">
        <f t="shared" si="0"/>
        <v>25376</v>
      </c>
      <c r="G26" s="927"/>
      <c r="H26" s="924">
        <f t="shared" si="1"/>
        <v>1941</v>
      </c>
      <c r="I26" s="927"/>
      <c r="J26" s="924">
        <v>56</v>
      </c>
      <c r="K26" s="927"/>
      <c r="L26" s="924">
        <f>IF(F26&gt;20900,20900*0.042,F26*0.042)</f>
        <v>877.80000000000007</v>
      </c>
      <c r="M26" s="924" t="s">
        <v>1076</v>
      </c>
      <c r="N26" s="924">
        <f t="shared" si="2"/>
        <v>2874.8</v>
      </c>
      <c r="O26" s="927"/>
      <c r="P26" s="924">
        <f>'wp b1'!J$15</f>
        <v>7481.8509443099274</v>
      </c>
      <c r="Q26" s="927"/>
      <c r="R26" s="924">
        <f t="shared" si="3"/>
        <v>761.28</v>
      </c>
      <c r="S26" s="927"/>
      <c r="T26" s="924">
        <f t="shared" si="4"/>
        <v>1015.0400000000001</v>
      </c>
      <c r="U26" s="927"/>
      <c r="V26" s="924">
        <f>'wp b1'!J$23</f>
        <v>453.52290556900732</v>
      </c>
      <c r="W26" s="927"/>
      <c r="X26" s="924">
        <f t="shared" si="5"/>
        <v>9711.693849878935</v>
      </c>
      <c r="Y26" s="927"/>
      <c r="Z26" s="926">
        <f>12.2*80</f>
        <v>976</v>
      </c>
      <c r="AA26" s="926"/>
      <c r="AB26" s="1078">
        <v>2080</v>
      </c>
      <c r="AC26" s="927"/>
      <c r="AD26" s="1078">
        <f t="shared" si="6"/>
        <v>25376</v>
      </c>
      <c r="AE26" s="927"/>
      <c r="AF26" s="922">
        <v>0</v>
      </c>
      <c r="AG26" s="927"/>
      <c r="AH26" s="730">
        <f t="shared" si="7"/>
        <v>25376</v>
      </c>
      <c r="AI26" s="1079"/>
      <c r="AJ26" s="1080">
        <v>0</v>
      </c>
      <c r="AL26" s="1081">
        <v>99967</v>
      </c>
    </row>
    <row r="27" spans="1:38" ht="13.5">
      <c r="A27" s="1557">
        <v>15</v>
      </c>
      <c r="B27" s="890" t="s">
        <v>1671</v>
      </c>
      <c r="C27" s="890"/>
      <c r="D27" s="917" t="s">
        <v>1068</v>
      </c>
      <c r="E27" s="917"/>
      <c r="F27" s="924">
        <f t="shared" si="0"/>
        <v>27188.719999999998</v>
      </c>
      <c r="G27" s="927"/>
      <c r="H27" s="924">
        <f t="shared" si="1"/>
        <v>2080</v>
      </c>
      <c r="I27" s="927"/>
      <c r="J27" s="924">
        <v>56</v>
      </c>
      <c r="K27" s="927"/>
      <c r="L27" s="924">
        <f>IF(F27&gt;8000,8000*0.0458,F27*0.0458)</f>
        <v>366.4</v>
      </c>
      <c r="M27" s="924" t="s">
        <v>1069</v>
      </c>
      <c r="N27" s="924">
        <f t="shared" si="2"/>
        <v>2502.4</v>
      </c>
      <c r="O27" s="927"/>
      <c r="P27" s="924">
        <f>'wp b1'!J$15</f>
        <v>7481.8509443099274</v>
      </c>
      <c r="Q27" s="927"/>
      <c r="R27" s="924">
        <f t="shared" si="3"/>
        <v>815.66159999999991</v>
      </c>
      <c r="S27" s="927"/>
      <c r="T27" s="924">
        <f t="shared" si="4"/>
        <v>1087.5488</v>
      </c>
      <c r="U27" s="927"/>
      <c r="V27" s="924">
        <f>'wp b1'!J$23</f>
        <v>453.52290556900732</v>
      </c>
      <c r="W27" s="927"/>
      <c r="X27" s="924">
        <f t="shared" si="5"/>
        <v>9838.5842498789352</v>
      </c>
      <c r="Y27" s="927"/>
      <c r="Z27" s="926">
        <f>13.01*80</f>
        <v>1040.8</v>
      </c>
      <c r="AA27" s="926"/>
      <c r="AB27" s="1078">
        <v>2080</v>
      </c>
      <c r="AC27" s="925"/>
      <c r="AD27" s="1078">
        <f t="shared" si="6"/>
        <v>27060.799999999999</v>
      </c>
      <c r="AE27" s="730"/>
      <c r="AF27" s="922">
        <v>127.92</v>
      </c>
      <c r="AG27" s="730"/>
      <c r="AH27" s="730">
        <f t="shared" si="7"/>
        <v>27188.719999999998</v>
      </c>
      <c r="AI27" s="1079"/>
      <c r="AJ27" s="1080">
        <v>25813.29</v>
      </c>
      <c r="AL27" s="1081">
        <v>99624</v>
      </c>
    </row>
    <row r="28" spans="1:38" ht="13.5">
      <c r="A28" s="1557">
        <v>16</v>
      </c>
      <c r="B28" s="890" t="s">
        <v>1672</v>
      </c>
      <c r="C28" s="890"/>
      <c r="D28" s="917" t="s">
        <v>1068</v>
      </c>
      <c r="E28" s="917"/>
      <c r="F28" s="924">
        <f t="shared" si="0"/>
        <v>28045.68</v>
      </c>
      <c r="G28" s="927"/>
      <c r="H28" s="924">
        <f t="shared" si="1"/>
        <v>2145</v>
      </c>
      <c r="I28" s="927"/>
      <c r="J28" s="924">
        <v>56</v>
      </c>
      <c r="K28" s="927"/>
      <c r="L28" s="924">
        <f>IF(F28&gt;8000,8000*0.0458,F28*0.0458)</f>
        <v>366.4</v>
      </c>
      <c r="M28" s="924" t="s">
        <v>1069</v>
      </c>
      <c r="N28" s="924">
        <f t="shared" si="2"/>
        <v>2567.4</v>
      </c>
      <c r="O28" s="927"/>
      <c r="P28" s="924">
        <f>'wp b1'!J$15</f>
        <v>7481.8509443099274</v>
      </c>
      <c r="Q28" s="927"/>
      <c r="R28" s="924">
        <f t="shared" si="3"/>
        <v>841.37040000000002</v>
      </c>
      <c r="S28" s="927"/>
      <c r="T28" s="924">
        <f t="shared" si="4"/>
        <v>1121.8271999999999</v>
      </c>
      <c r="U28" s="927"/>
      <c r="V28" s="924">
        <f>'wp b1'!J$23</f>
        <v>453.52290556900732</v>
      </c>
      <c r="W28" s="927"/>
      <c r="X28" s="924">
        <f t="shared" si="5"/>
        <v>9898.5714498789348</v>
      </c>
      <c r="Y28" s="927"/>
      <c r="Z28" s="926">
        <f>13.26*80</f>
        <v>1060.8</v>
      </c>
      <c r="AA28" s="926"/>
      <c r="AB28" s="1078">
        <v>2080</v>
      </c>
      <c r="AC28" s="927"/>
      <c r="AD28" s="1078">
        <f t="shared" si="6"/>
        <v>27580.799999999999</v>
      </c>
      <c r="AE28" s="927"/>
      <c r="AF28" s="922">
        <v>464.88</v>
      </c>
      <c r="AG28" s="927"/>
      <c r="AH28" s="730">
        <f t="shared" si="7"/>
        <v>28045.68</v>
      </c>
      <c r="AI28" s="1079"/>
      <c r="AJ28" s="1080">
        <v>25739.360000000001</v>
      </c>
      <c r="AL28" s="1081">
        <v>99644</v>
      </c>
    </row>
    <row r="29" spans="1:38" ht="13.5">
      <c r="A29" s="1557">
        <v>17</v>
      </c>
      <c r="B29" s="890" t="s">
        <v>1676</v>
      </c>
      <c r="C29" s="890"/>
      <c r="D29" s="917" t="s">
        <v>1075</v>
      </c>
      <c r="E29" s="917"/>
      <c r="F29" s="924">
        <f t="shared" si="0"/>
        <v>25299.17</v>
      </c>
      <c r="G29" s="927"/>
      <c r="H29" s="924">
        <f t="shared" si="1"/>
        <v>1935</v>
      </c>
      <c r="I29" s="927"/>
      <c r="J29" s="924">
        <v>56</v>
      </c>
      <c r="K29" s="927"/>
      <c r="L29" s="924">
        <f>IF(F29&gt;26900,26900*0.0385,F29*0.0385)</f>
        <v>974.01804499999992</v>
      </c>
      <c r="M29" s="924" t="s">
        <v>1079</v>
      </c>
      <c r="N29" s="924">
        <f t="shared" si="2"/>
        <v>2965.0180449999998</v>
      </c>
      <c r="O29" s="927"/>
      <c r="P29" s="924">
        <f>'wp b1'!J$15</f>
        <v>7481.8509443099274</v>
      </c>
      <c r="Q29" s="927"/>
      <c r="R29" s="924">
        <f t="shared" si="3"/>
        <v>758.97509999999988</v>
      </c>
      <c r="S29" s="927"/>
      <c r="T29" s="924">
        <f t="shared" si="4"/>
        <v>1011.9667999999999</v>
      </c>
      <c r="U29" s="927"/>
      <c r="V29" s="924">
        <f>'wp b1'!J$23</f>
        <v>453.52290556900732</v>
      </c>
      <c r="W29" s="927"/>
      <c r="X29" s="924">
        <f t="shared" si="5"/>
        <v>9706.3157498789351</v>
      </c>
      <c r="Y29" s="927"/>
      <c r="Z29" s="926">
        <f>12.02*80</f>
        <v>961.59999999999991</v>
      </c>
      <c r="AA29" s="926"/>
      <c r="AB29" s="1078">
        <v>2080</v>
      </c>
      <c r="AC29" s="927"/>
      <c r="AD29" s="1078">
        <f t="shared" si="6"/>
        <v>25001.599999999999</v>
      </c>
      <c r="AE29" s="927"/>
      <c r="AF29" s="922">
        <v>297.57</v>
      </c>
      <c r="AG29" s="927"/>
      <c r="AH29" s="730">
        <f t="shared" si="7"/>
        <v>25299.17</v>
      </c>
      <c r="AI29" s="1079"/>
      <c r="AJ29" s="1080">
        <v>11836.75</v>
      </c>
      <c r="AL29" s="1081">
        <v>99771</v>
      </c>
    </row>
    <row r="30" spans="1:38" ht="13.5">
      <c r="A30" s="1557">
        <v>18</v>
      </c>
      <c r="B30" s="890" t="s">
        <v>1072</v>
      </c>
      <c r="C30" s="890"/>
      <c r="D30" s="917" t="s">
        <v>1068</v>
      </c>
      <c r="E30" s="917"/>
      <c r="F30" s="924">
        <f t="shared" si="0"/>
        <v>29031.51</v>
      </c>
      <c r="G30" s="927"/>
      <c r="H30" s="924">
        <f t="shared" si="1"/>
        <v>2221</v>
      </c>
      <c r="I30" s="927"/>
      <c r="J30" s="924">
        <v>56</v>
      </c>
      <c r="K30" s="927"/>
      <c r="L30" s="924">
        <f>IF(F30&gt;8000,8000*0.0458,F30*0.0458)</f>
        <v>366.4</v>
      </c>
      <c r="M30" s="924" t="s">
        <v>1069</v>
      </c>
      <c r="N30" s="924">
        <f t="shared" si="2"/>
        <v>2643.4</v>
      </c>
      <c r="O30" s="927"/>
      <c r="P30" s="924">
        <f>'wp b1'!J$15</f>
        <v>7481.8509443099274</v>
      </c>
      <c r="Q30" s="927"/>
      <c r="R30" s="924">
        <f t="shared" si="3"/>
        <v>870.94529999999997</v>
      </c>
      <c r="S30" s="927"/>
      <c r="T30" s="924">
        <f t="shared" si="4"/>
        <v>1161.2603999999999</v>
      </c>
      <c r="U30" s="927"/>
      <c r="V30" s="924">
        <f>'wp b1'!J$23</f>
        <v>453.52290556900732</v>
      </c>
      <c r="W30" s="927"/>
      <c r="X30" s="924">
        <f t="shared" si="5"/>
        <v>9967.5795498789339</v>
      </c>
      <c r="Y30" s="927"/>
      <c r="Z30" s="926">
        <f>13.5*80</f>
        <v>1080</v>
      </c>
      <c r="AA30" s="926"/>
      <c r="AB30" s="1078">
        <v>2080</v>
      </c>
      <c r="AC30" s="927"/>
      <c r="AD30" s="1078">
        <f t="shared" si="6"/>
        <v>28080</v>
      </c>
      <c r="AE30" s="927"/>
      <c r="AF30" s="922">
        <v>951.51</v>
      </c>
      <c r="AG30" s="927"/>
      <c r="AH30" s="730">
        <f t="shared" si="7"/>
        <v>29031.51</v>
      </c>
      <c r="AI30" s="1079"/>
      <c r="AJ30" s="1080">
        <v>20687.34</v>
      </c>
      <c r="AL30" s="1081">
        <v>99543</v>
      </c>
    </row>
    <row r="31" spans="1:38" ht="13.5">
      <c r="A31" s="1557">
        <v>19</v>
      </c>
      <c r="B31" s="890" t="s">
        <v>1744</v>
      </c>
      <c r="C31" s="890"/>
      <c r="D31" s="917" t="s">
        <v>1068</v>
      </c>
      <c r="E31" s="917"/>
      <c r="F31" s="924">
        <f t="shared" si="0"/>
        <v>25828.460000000003</v>
      </c>
      <c r="G31" s="927"/>
      <c r="H31" s="924">
        <f t="shared" si="1"/>
        <v>1976</v>
      </c>
      <c r="I31" s="927"/>
      <c r="J31" s="924">
        <v>56</v>
      </c>
      <c r="K31" s="927"/>
      <c r="L31" s="924">
        <f>IF(F31&gt;8000,8000*0.0458,F31*0.0458)</f>
        <v>366.4</v>
      </c>
      <c r="M31" s="924" t="s">
        <v>1069</v>
      </c>
      <c r="N31" s="924">
        <f t="shared" si="2"/>
        <v>2398.4</v>
      </c>
      <c r="O31" s="927"/>
      <c r="P31" s="924">
        <f>'wp b1'!J$15</f>
        <v>7481.8509443099274</v>
      </c>
      <c r="Q31" s="927"/>
      <c r="R31" s="924">
        <f t="shared" si="3"/>
        <v>774.85380000000009</v>
      </c>
      <c r="S31" s="927"/>
      <c r="T31" s="924">
        <f t="shared" si="4"/>
        <v>1033.1384</v>
      </c>
      <c r="U31" s="927"/>
      <c r="V31" s="924">
        <f>'wp b1'!J$23</f>
        <v>453.52290556900732</v>
      </c>
      <c r="W31" s="927"/>
      <c r="X31" s="924">
        <f t="shared" si="5"/>
        <v>9743.3660498789341</v>
      </c>
      <c r="Y31" s="927"/>
      <c r="Z31" s="926">
        <f>12.32*80</f>
        <v>985.6</v>
      </c>
      <c r="AA31" s="926"/>
      <c r="AB31" s="1078">
        <v>2080</v>
      </c>
      <c r="AC31" s="927"/>
      <c r="AD31" s="1078">
        <f t="shared" si="6"/>
        <v>25625.600000000002</v>
      </c>
      <c r="AE31" s="927"/>
      <c r="AF31" s="922">
        <v>202.86</v>
      </c>
      <c r="AG31" s="927"/>
      <c r="AH31" s="730">
        <f t="shared" si="7"/>
        <v>25828.460000000003</v>
      </c>
      <c r="AI31" s="1079"/>
      <c r="AJ31" s="1080">
        <v>7311.19</v>
      </c>
      <c r="AL31" s="1081">
        <v>99926</v>
      </c>
    </row>
    <row r="32" spans="1:38" ht="13.5">
      <c r="A32" s="1557">
        <v>20</v>
      </c>
      <c r="B32" s="890" t="s">
        <v>1677</v>
      </c>
      <c r="C32" s="890"/>
      <c r="D32" s="917" t="s">
        <v>1068</v>
      </c>
      <c r="E32" s="917"/>
      <c r="F32" s="924">
        <f t="shared" si="0"/>
        <v>27554.070000000003</v>
      </c>
      <c r="G32" s="927"/>
      <c r="H32" s="924">
        <f t="shared" si="1"/>
        <v>2108</v>
      </c>
      <c r="I32" s="927"/>
      <c r="J32" s="924">
        <v>56</v>
      </c>
      <c r="K32" s="927"/>
      <c r="L32" s="924">
        <f>IF(F32&gt;8000,8000*0.0458,F32*0.0458)</f>
        <v>366.4</v>
      </c>
      <c r="M32" s="924" t="s">
        <v>1069</v>
      </c>
      <c r="N32" s="924">
        <f t="shared" si="2"/>
        <v>2530.4</v>
      </c>
      <c r="O32" s="927"/>
      <c r="P32" s="924">
        <f>'wp b1'!J$15</f>
        <v>7481.8509443099274</v>
      </c>
      <c r="Q32" s="927"/>
      <c r="R32" s="924">
        <f t="shared" si="3"/>
        <v>826.62210000000005</v>
      </c>
      <c r="S32" s="927"/>
      <c r="T32" s="924">
        <f t="shared" si="4"/>
        <v>1102.1628000000001</v>
      </c>
      <c r="U32" s="927"/>
      <c r="V32" s="924">
        <f>'wp b1'!J$23</f>
        <v>453.52290556900732</v>
      </c>
      <c r="W32" s="927"/>
      <c r="X32" s="924">
        <f t="shared" si="5"/>
        <v>9864.158749878934</v>
      </c>
      <c r="Y32" s="927"/>
      <c r="Z32" s="926">
        <f>13.08*80</f>
        <v>1046.4000000000001</v>
      </c>
      <c r="AA32" s="926"/>
      <c r="AB32" s="1078">
        <v>2080</v>
      </c>
      <c r="AC32" s="927"/>
      <c r="AD32" s="1078">
        <f t="shared" si="6"/>
        <v>27206.400000000005</v>
      </c>
      <c r="AE32" s="927"/>
      <c r="AF32" s="922">
        <v>347.67</v>
      </c>
      <c r="AG32" s="927"/>
      <c r="AH32" s="730">
        <f t="shared" si="7"/>
        <v>27554.070000000003</v>
      </c>
      <c r="AI32" s="1079"/>
      <c r="AJ32" s="1080">
        <v>24702.9</v>
      </c>
      <c r="AL32" s="1081">
        <v>99650</v>
      </c>
    </row>
    <row r="33" spans="1:38" ht="13.5">
      <c r="A33" s="1557">
        <v>21</v>
      </c>
      <c r="B33" s="890" t="s">
        <v>1073</v>
      </c>
      <c r="C33" s="890"/>
      <c r="D33" s="917" t="s">
        <v>1068</v>
      </c>
      <c r="E33" s="917"/>
      <c r="F33" s="924">
        <f t="shared" si="0"/>
        <v>48299.040000000001</v>
      </c>
      <c r="G33" s="927"/>
      <c r="H33" s="924">
        <f t="shared" si="1"/>
        <v>3695</v>
      </c>
      <c r="I33" s="927"/>
      <c r="J33" s="924">
        <v>56</v>
      </c>
      <c r="K33" s="927"/>
      <c r="L33" s="924">
        <f>IF(F33&gt;8000,8000*0.0458,F33*0.0458)</f>
        <v>366.4</v>
      </c>
      <c r="M33" s="924" t="s">
        <v>1069</v>
      </c>
      <c r="N33" s="924">
        <f t="shared" si="2"/>
        <v>4117.3999999999996</v>
      </c>
      <c r="O33" s="927"/>
      <c r="P33" s="924">
        <f>'wp b1'!J$15</f>
        <v>7481.8509443099274</v>
      </c>
      <c r="Q33" s="927"/>
      <c r="R33" s="924">
        <f t="shared" si="3"/>
        <v>1448.9712</v>
      </c>
      <c r="S33" s="927"/>
      <c r="T33" s="924">
        <f t="shared" si="4"/>
        <v>1931.9616000000001</v>
      </c>
      <c r="U33" s="927"/>
      <c r="V33" s="924">
        <f>'wp b1'!J$23</f>
        <v>453.52290556900732</v>
      </c>
      <c r="W33" s="927"/>
      <c r="X33" s="924">
        <f t="shared" si="5"/>
        <v>11316.306649878936</v>
      </c>
      <c r="Y33" s="927"/>
      <c r="Z33" s="926">
        <v>2012.46</v>
      </c>
      <c r="AA33" s="926"/>
      <c r="AB33" s="1078">
        <v>86.67</v>
      </c>
      <c r="AC33" s="927"/>
      <c r="AD33" s="1078">
        <f t="shared" si="6"/>
        <v>48299.040000000001</v>
      </c>
      <c r="AE33" s="927"/>
      <c r="AF33" s="922">
        <v>0</v>
      </c>
      <c r="AG33" s="927"/>
      <c r="AH33" s="730">
        <f t="shared" si="7"/>
        <v>48299.040000000001</v>
      </c>
      <c r="AI33" s="1079"/>
      <c r="AJ33" s="1080">
        <v>42736.01</v>
      </c>
      <c r="AL33" s="1081">
        <v>98717</v>
      </c>
    </row>
    <row r="34" spans="1:38" ht="13.5">
      <c r="A34" s="1557">
        <v>22</v>
      </c>
      <c r="B34" s="890" t="s">
        <v>1678</v>
      </c>
      <c r="C34" s="890"/>
      <c r="D34" s="917" t="s">
        <v>1068</v>
      </c>
      <c r="E34" s="917"/>
      <c r="F34" s="924">
        <f t="shared" si="0"/>
        <v>26211.65</v>
      </c>
      <c r="G34" s="927"/>
      <c r="H34" s="924">
        <f t="shared" si="1"/>
        <v>2005</v>
      </c>
      <c r="I34" s="927"/>
      <c r="J34" s="924">
        <v>56</v>
      </c>
      <c r="K34" s="927"/>
      <c r="L34" s="924">
        <f>IF(F34&gt;8000,8000*0.0458,F34*0.0458)</f>
        <v>366.4</v>
      </c>
      <c r="M34" s="924" t="s">
        <v>1069</v>
      </c>
      <c r="N34" s="924">
        <f t="shared" si="2"/>
        <v>2427.4</v>
      </c>
      <c r="O34" s="927"/>
      <c r="P34" s="924">
        <f>'wp b1'!J$15</f>
        <v>7481.8509443099274</v>
      </c>
      <c r="Q34" s="927"/>
      <c r="R34" s="924">
        <f t="shared" si="3"/>
        <v>786.34950000000003</v>
      </c>
      <c r="S34" s="927"/>
      <c r="T34" s="924">
        <f t="shared" si="4"/>
        <v>1048.4660000000001</v>
      </c>
      <c r="U34" s="927"/>
      <c r="V34" s="924">
        <f>'wp b1'!J$23</f>
        <v>453.52290556900732</v>
      </c>
      <c r="W34" s="927"/>
      <c r="X34" s="924">
        <f t="shared" si="5"/>
        <v>9770.1893498789341</v>
      </c>
      <c r="Y34" s="927"/>
      <c r="Z34" s="926">
        <f>12.32*80</f>
        <v>985.6</v>
      </c>
      <c r="AA34" s="926"/>
      <c r="AB34" s="1078">
        <v>2080</v>
      </c>
      <c r="AC34" s="927"/>
      <c r="AD34" s="1078">
        <f t="shared" si="6"/>
        <v>25625.600000000002</v>
      </c>
      <c r="AE34" s="927"/>
      <c r="AF34" s="922">
        <v>586.04999999999995</v>
      </c>
      <c r="AG34" s="927"/>
      <c r="AH34" s="730">
        <f t="shared" si="7"/>
        <v>26211.65</v>
      </c>
      <c r="AI34" s="1079"/>
      <c r="AJ34" s="1080">
        <v>16511.830000000002</v>
      </c>
      <c r="AL34" s="1081">
        <v>99760</v>
      </c>
    </row>
    <row r="35" spans="1:38" ht="13.5">
      <c r="A35" s="1557">
        <v>23</v>
      </c>
      <c r="B35" s="890" t="s">
        <v>1080</v>
      </c>
      <c r="C35" s="890"/>
      <c r="D35" s="917" t="s">
        <v>1078</v>
      </c>
      <c r="E35" s="917"/>
      <c r="F35" s="924">
        <f t="shared" si="0"/>
        <v>35926.29</v>
      </c>
      <c r="G35" s="927"/>
      <c r="H35" s="924">
        <f t="shared" si="1"/>
        <v>2748</v>
      </c>
      <c r="I35" s="927"/>
      <c r="J35" s="924">
        <v>56</v>
      </c>
      <c r="K35" s="927"/>
      <c r="L35" s="924">
        <f>IF(F35&gt;20900,20900*0.042,F35*0.042)</f>
        <v>877.80000000000007</v>
      </c>
      <c r="M35" s="924" t="s">
        <v>1076</v>
      </c>
      <c r="N35" s="924">
        <f t="shared" si="2"/>
        <v>3681.8</v>
      </c>
      <c r="O35" s="927"/>
      <c r="P35" s="924">
        <f>'wp b1'!J$15</f>
        <v>7481.8509443099274</v>
      </c>
      <c r="Q35" s="927"/>
      <c r="R35" s="924">
        <f t="shared" si="3"/>
        <v>1077.7887000000001</v>
      </c>
      <c r="S35" s="927"/>
      <c r="T35" s="924">
        <f t="shared" si="4"/>
        <v>1437.0516</v>
      </c>
      <c r="U35" s="927"/>
      <c r="V35" s="924">
        <f>'wp b1'!J$23</f>
        <v>453.52290556900732</v>
      </c>
      <c r="W35" s="927"/>
      <c r="X35" s="924">
        <f t="shared" si="5"/>
        <v>10450.214149878935</v>
      </c>
      <c r="Y35" s="927"/>
      <c r="Z35" s="926">
        <v>1483.75</v>
      </c>
      <c r="AA35" s="926"/>
      <c r="AB35" s="1078">
        <v>86.67</v>
      </c>
      <c r="AC35" s="927"/>
      <c r="AD35" s="1078">
        <f t="shared" si="6"/>
        <v>35610</v>
      </c>
      <c r="AE35" s="927"/>
      <c r="AF35" s="922">
        <v>316.29000000000002</v>
      </c>
      <c r="AG35" s="927"/>
      <c r="AH35" s="730">
        <f t="shared" si="7"/>
        <v>35926.29</v>
      </c>
      <c r="AI35" s="1079"/>
      <c r="AJ35" s="1080">
        <v>31947.58</v>
      </c>
      <c r="AL35" s="1081">
        <v>98953</v>
      </c>
    </row>
    <row r="36" spans="1:38" ht="13.5">
      <c r="A36" s="1557">
        <v>24</v>
      </c>
      <c r="B36" s="890" t="s">
        <v>1745</v>
      </c>
      <c r="C36" s="890"/>
      <c r="D36" s="917" t="s">
        <v>1078</v>
      </c>
      <c r="E36" s="917"/>
      <c r="F36" s="924">
        <f t="shared" si="0"/>
        <v>31101.05</v>
      </c>
      <c r="G36" s="927"/>
      <c r="H36" s="924">
        <f t="shared" si="1"/>
        <v>2379</v>
      </c>
      <c r="I36" s="927"/>
      <c r="J36" s="924">
        <v>56</v>
      </c>
      <c r="K36" s="927"/>
      <c r="L36" s="924">
        <f>IF(F36&gt;20900,20900*0.042,F36*0.042)</f>
        <v>877.80000000000007</v>
      </c>
      <c r="M36" s="924" t="s">
        <v>1076</v>
      </c>
      <c r="N36" s="924">
        <f t="shared" si="2"/>
        <v>3312.8</v>
      </c>
      <c r="O36" s="927"/>
      <c r="P36" s="924">
        <f>'wp b1'!J$15</f>
        <v>7481.8509443099274</v>
      </c>
      <c r="Q36" s="927"/>
      <c r="R36" s="924">
        <f t="shared" si="3"/>
        <v>933.03149999999994</v>
      </c>
      <c r="S36" s="927"/>
      <c r="T36" s="924">
        <f t="shared" si="4"/>
        <v>1244.0419999999999</v>
      </c>
      <c r="U36" s="927"/>
      <c r="V36" s="924">
        <f>'wp b1'!J$23</f>
        <v>453.52290556900732</v>
      </c>
      <c r="W36" s="927"/>
      <c r="X36" s="924">
        <f t="shared" si="5"/>
        <v>10112.447349878934</v>
      </c>
      <c r="Y36" s="927"/>
      <c r="Z36" s="926">
        <f>14.9*80</f>
        <v>1192</v>
      </c>
      <c r="AA36" s="926"/>
      <c r="AB36" s="1078">
        <v>2080</v>
      </c>
      <c r="AC36" s="927"/>
      <c r="AD36" s="1078">
        <f t="shared" si="6"/>
        <v>30992</v>
      </c>
      <c r="AE36" s="927"/>
      <c r="AF36" s="922">
        <v>109.05000000000001</v>
      </c>
      <c r="AG36" s="927"/>
      <c r="AH36" s="730">
        <f t="shared" si="7"/>
        <v>31101.05</v>
      </c>
      <c r="AI36" s="1079"/>
      <c r="AJ36" s="1080">
        <v>26565.48</v>
      </c>
      <c r="AL36" s="1081">
        <v>99290</v>
      </c>
    </row>
    <row r="37" spans="1:38" ht="13.5">
      <c r="A37" s="1557">
        <v>25</v>
      </c>
      <c r="B37" s="890" t="s">
        <v>1736</v>
      </c>
      <c r="C37" s="890"/>
      <c r="D37" s="917" t="s">
        <v>1068</v>
      </c>
      <c r="E37" s="917"/>
      <c r="F37" s="924">
        <f t="shared" si="0"/>
        <v>25480</v>
      </c>
      <c r="G37" s="927"/>
      <c r="H37" s="924">
        <f t="shared" si="1"/>
        <v>1949</v>
      </c>
      <c r="I37" s="927"/>
      <c r="J37" s="924">
        <v>56</v>
      </c>
      <c r="K37" s="927"/>
      <c r="L37" s="924">
        <f>IF(F37&gt;8000,8000*0.0458,F37*0.0458)</f>
        <v>366.4</v>
      </c>
      <c r="M37" s="924" t="s">
        <v>1069</v>
      </c>
      <c r="N37" s="924">
        <f t="shared" si="2"/>
        <v>2371.4</v>
      </c>
      <c r="O37" s="927"/>
      <c r="P37" s="924">
        <f>'wp b1'!J$15</f>
        <v>7481.8509443099274</v>
      </c>
      <c r="Q37" s="927"/>
      <c r="R37" s="924">
        <f t="shared" si="3"/>
        <v>764.4</v>
      </c>
      <c r="S37" s="927"/>
      <c r="T37" s="924">
        <f t="shared" si="4"/>
        <v>1019.2</v>
      </c>
      <c r="U37" s="927"/>
      <c r="V37" s="924">
        <f>'wp b1'!J$23</f>
        <v>453.52290556900732</v>
      </c>
      <c r="W37" s="927"/>
      <c r="X37" s="924">
        <f t="shared" si="5"/>
        <v>9718.9738498789357</v>
      </c>
      <c r="Y37" s="927"/>
      <c r="Z37" s="926">
        <f>12.25*80</f>
        <v>980</v>
      </c>
      <c r="AA37" s="926"/>
      <c r="AB37" s="1078">
        <v>2080</v>
      </c>
      <c r="AC37" s="927"/>
      <c r="AD37" s="1078">
        <f t="shared" si="6"/>
        <v>25480</v>
      </c>
      <c r="AE37" s="927"/>
      <c r="AF37" s="922">
        <v>0</v>
      </c>
      <c r="AG37" s="927"/>
      <c r="AH37" s="730">
        <f t="shared" si="7"/>
        <v>25480</v>
      </c>
      <c r="AI37" s="1079"/>
      <c r="AJ37" s="1080">
        <v>0</v>
      </c>
      <c r="AL37" s="1081">
        <v>99979</v>
      </c>
    </row>
    <row r="38" spans="1:38" ht="13.5">
      <c r="A38" s="1557">
        <v>26</v>
      </c>
      <c r="B38" s="890" t="s">
        <v>1673</v>
      </c>
      <c r="C38" s="890"/>
      <c r="D38" s="917" t="s">
        <v>1068</v>
      </c>
      <c r="E38" s="917"/>
      <c r="F38" s="924">
        <f t="shared" si="0"/>
        <v>100338.72</v>
      </c>
      <c r="G38" s="927"/>
      <c r="H38" s="924">
        <f t="shared" si="1"/>
        <v>7676</v>
      </c>
      <c r="I38" s="927"/>
      <c r="J38" s="924">
        <v>56</v>
      </c>
      <c r="K38" s="927"/>
      <c r="L38" s="924">
        <f>IF(F38&gt;8000,8000*0.0458,F38*0.0458)</f>
        <v>366.4</v>
      </c>
      <c r="M38" s="924" t="s">
        <v>1069</v>
      </c>
      <c r="N38" s="924">
        <f t="shared" si="2"/>
        <v>8098.4</v>
      </c>
      <c r="O38" s="927"/>
      <c r="P38" s="924">
        <f>'wp b1'!J$15</f>
        <v>7481.8509443099274</v>
      </c>
      <c r="Q38" s="927"/>
      <c r="R38" s="924">
        <f t="shared" si="3"/>
        <v>3010.1615999999999</v>
      </c>
      <c r="S38" s="927"/>
      <c r="T38" s="924">
        <f t="shared" si="4"/>
        <v>4013.5488</v>
      </c>
      <c r="U38" s="927"/>
      <c r="V38" s="924">
        <f>'wp b1'!J$23</f>
        <v>453.52290556900732</v>
      </c>
      <c r="W38" s="927"/>
      <c r="X38" s="924">
        <f t="shared" si="5"/>
        <v>14959.084249878935</v>
      </c>
      <c r="Y38" s="927"/>
      <c r="Z38" s="926">
        <v>4180.78</v>
      </c>
      <c r="AA38" s="926"/>
      <c r="AB38" s="1078">
        <v>86.67</v>
      </c>
      <c r="AC38" s="927"/>
      <c r="AD38" s="1078">
        <f t="shared" si="6"/>
        <v>100338.72</v>
      </c>
      <c r="AE38" s="927"/>
      <c r="AF38" s="922">
        <v>0</v>
      </c>
      <c r="AG38" s="927"/>
      <c r="AH38" s="730">
        <f t="shared" si="7"/>
        <v>100338.72</v>
      </c>
      <c r="AI38" s="1079"/>
      <c r="AJ38" s="1080">
        <v>182379.1</v>
      </c>
      <c r="AL38" s="1081">
        <v>99714</v>
      </c>
    </row>
    <row r="39" spans="1:38" ht="13.5">
      <c r="A39" s="1557">
        <v>27</v>
      </c>
      <c r="B39" s="890" t="s">
        <v>1746</v>
      </c>
      <c r="C39" s="890"/>
      <c r="D39" s="917" t="s">
        <v>1068</v>
      </c>
      <c r="E39" s="917"/>
      <c r="F39" s="924">
        <f t="shared" si="0"/>
        <v>58240.08</v>
      </c>
      <c r="G39" s="927"/>
      <c r="H39" s="924">
        <f t="shared" si="1"/>
        <v>4455</v>
      </c>
      <c r="I39" s="927"/>
      <c r="J39" s="924">
        <v>56</v>
      </c>
      <c r="K39" s="927"/>
      <c r="L39" s="924">
        <f>IF(F39&gt;8000,8000*0.0458,F39*0.0458)</f>
        <v>366.4</v>
      </c>
      <c r="M39" s="924" t="s">
        <v>1069</v>
      </c>
      <c r="N39" s="924">
        <f t="shared" si="2"/>
        <v>4877.3999999999996</v>
      </c>
      <c r="O39" s="927"/>
      <c r="P39" s="924">
        <f>'wp b1'!J$15</f>
        <v>7481.8509443099274</v>
      </c>
      <c r="Q39" s="927"/>
      <c r="R39" s="924">
        <f t="shared" si="3"/>
        <v>1747.2023999999999</v>
      </c>
      <c r="S39" s="927"/>
      <c r="T39" s="924">
        <f t="shared" si="4"/>
        <v>2329.6032</v>
      </c>
      <c r="U39" s="927"/>
      <c r="V39" s="924">
        <f>'wp b1'!J$23</f>
        <v>453.52290556900732</v>
      </c>
      <c r="W39" s="927"/>
      <c r="X39" s="924">
        <f t="shared" si="5"/>
        <v>12012.179449878933</v>
      </c>
      <c r="Y39" s="927"/>
      <c r="Z39" s="926">
        <v>2426.67</v>
      </c>
      <c r="AA39" s="926"/>
      <c r="AB39" s="1078">
        <v>86.67</v>
      </c>
      <c r="AC39" s="927"/>
      <c r="AD39" s="1078">
        <f t="shared" si="6"/>
        <v>58240.08</v>
      </c>
      <c r="AE39" s="927"/>
      <c r="AF39" s="922">
        <v>0</v>
      </c>
      <c r="AG39" s="927"/>
      <c r="AH39" s="730">
        <f t="shared" si="7"/>
        <v>58240.08</v>
      </c>
      <c r="AI39" s="1079"/>
      <c r="AJ39" s="1080">
        <v>27659.01</v>
      </c>
      <c r="AL39" s="1081">
        <v>99708</v>
      </c>
    </row>
    <row r="40" spans="1:38" ht="13.5">
      <c r="A40" s="1557">
        <v>28</v>
      </c>
      <c r="B40" s="890" t="s">
        <v>1674</v>
      </c>
      <c r="C40" s="890"/>
      <c r="D40" s="917" t="s">
        <v>1078</v>
      </c>
      <c r="E40" s="917"/>
      <c r="F40" s="924">
        <f t="shared" si="0"/>
        <v>46170.96</v>
      </c>
      <c r="G40" s="927"/>
      <c r="H40" s="924">
        <f t="shared" si="1"/>
        <v>3532</v>
      </c>
      <c r="I40" s="927"/>
      <c r="J40" s="924">
        <v>56</v>
      </c>
      <c r="K40" s="927"/>
      <c r="L40" s="924">
        <f>IF(F40&gt;20900,20900*0.042,F40*0.042)</f>
        <v>877.80000000000007</v>
      </c>
      <c r="M40" s="924" t="s">
        <v>1076</v>
      </c>
      <c r="N40" s="924">
        <f t="shared" si="2"/>
        <v>4465.8</v>
      </c>
      <c r="O40" s="927"/>
      <c r="P40" s="924">
        <f>'wp b1'!J$15</f>
        <v>7481.8509443099274</v>
      </c>
      <c r="Q40" s="927"/>
      <c r="R40" s="924">
        <f t="shared" si="3"/>
        <v>1385.1288</v>
      </c>
      <c r="S40" s="927"/>
      <c r="T40" s="924">
        <f t="shared" si="4"/>
        <v>1846.8384000000001</v>
      </c>
      <c r="U40" s="927"/>
      <c r="V40" s="924">
        <f>'wp b1'!J$23</f>
        <v>453.52290556900732</v>
      </c>
      <c r="W40" s="927"/>
      <c r="X40" s="924">
        <f t="shared" si="5"/>
        <v>11167.341049878934</v>
      </c>
      <c r="Y40" s="927"/>
      <c r="Z40" s="926">
        <v>1923.79</v>
      </c>
      <c r="AA40" s="926"/>
      <c r="AB40" s="1078">
        <v>86.67</v>
      </c>
      <c r="AC40" s="927"/>
      <c r="AD40" s="1078">
        <f t="shared" si="6"/>
        <v>46170.96</v>
      </c>
      <c r="AE40" s="927"/>
      <c r="AF40" s="922">
        <v>0</v>
      </c>
      <c r="AG40" s="927"/>
      <c r="AH40" s="730">
        <f t="shared" si="7"/>
        <v>46170.96</v>
      </c>
      <c r="AI40" s="1079"/>
      <c r="AJ40" s="1080">
        <v>40415.18</v>
      </c>
      <c r="AL40" s="1081">
        <v>98875</v>
      </c>
    </row>
    <row r="41" spans="1:38" ht="13.5">
      <c r="A41" s="1557">
        <v>29</v>
      </c>
      <c r="B41" s="890" t="s">
        <v>1679</v>
      </c>
      <c r="C41" s="890"/>
      <c r="D41" s="917" t="s">
        <v>1078</v>
      </c>
      <c r="E41" s="917"/>
      <c r="F41" s="924">
        <f t="shared" si="0"/>
        <v>26038.880000000001</v>
      </c>
      <c r="G41" s="927"/>
      <c r="H41" s="924">
        <f t="shared" si="1"/>
        <v>1992</v>
      </c>
      <c r="I41" s="927"/>
      <c r="J41" s="924">
        <v>56</v>
      </c>
      <c r="K41" s="927"/>
      <c r="L41" s="924">
        <f>IF(F41&gt;20900,20900*0.042,F41*0.042)</f>
        <v>877.80000000000007</v>
      </c>
      <c r="M41" s="924" t="s">
        <v>1076</v>
      </c>
      <c r="N41" s="924">
        <f t="shared" si="2"/>
        <v>2925.8</v>
      </c>
      <c r="O41" s="927"/>
      <c r="P41" s="924">
        <f>'wp b1'!J$15</f>
        <v>7481.8509443099274</v>
      </c>
      <c r="Q41" s="927"/>
      <c r="R41" s="924">
        <f t="shared" si="3"/>
        <v>781.16639999999995</v>
      </c>
      <c r="S41" s="927"/>
      <c r="T41" s="924">
        <f t="shared" si="4"/>
        <v>1041.5552</v>
      </c>
      <c r="U41" s="927"/>
      <c r="V41" s="924">
        <f>'wp b1'!J$23</f>
        <v>453.52290556900732</v>
      </c>
      <c r="W41" s="927"/>
      <c r="X41" s="924">
        <f t="shared" si="5"/>
        <v>9758.0954498789342</v>
      </c>
      <c r="Y41" s="927"/>
      <c r="Z41" s="926">
        <f>12.38*80</f>
        <v>990.40000000000009</v>
      </c>
      <c r="AA41" s="926"/>
      <c r="AB41" s="1078">
        <v>2080</v>
      </c>
      <c r="AC41" s="927"/>
      <c r="AD41" s="1078">
        <f t="shared" si="6"/>
        <v>25750.400000000001</v>
      </c>
      <c r="AE41" s="927"/>
      <c r="AF41" s="922">
        <v>288.48</v>
      </c>
      <c r="AG41" s="927"/>
      <c r="AH41" s="730">
        <f t="shared" si="7"/>
        <v>26038.880000000001</v>
      </c>
      <c r="AI41" s="1079"/>
      <c r="AJ41" s="1080">
        <v>3417.52</v>
      </c>
      <c r="AL41" s="1081">
        <v>99950</v>
      </c>
    </row>
    <row r="42" spans="1:38" ht="13.5">
      <c r="A42" s="1557">
        <v>30</v>
      </c>
      <c r="B42" s="890" t="s">
        <v>1675</v>
      </c>
      <c r="C42" s="890"/>
      <c r="D42" s="917" t="s">
        <v>1068</v>
      </c>
      <c r="E42" s="917"/>
      <c r="F42" s="924">
        <f t="shared" si="0"/>
        <v>34777.599999999999</v>
      </c>
      <c r="G42" s="927"/>
      <c r="H42" s="924">
        <f t="shared" si="1"/>
        <v>2660</v>
      </c>
      <c r="I42" s="927"/>
      <c r="J42" s="924">
        <v>56</v>
      </c>
      <c r="K42" s="927"/>
      <c r="L42" s="924">
        <f>IF(F42&gt;8000,8000*0.0458,F42*0.0458)</f>
        <v>366.4</v>
      </c>
      <c r="M42" s="924" t="s">
        <v>1069</v>
      </c>
      <c r="N42" s="924">
        <f t="shared" si="2"/>
        <v>3082.4</v>
      </c>
      <c r="O42" s="927"/>
      <c r="P42" s="924">
        <f>'wp b1'!J$15</f>
        <v>7481.8509443099274</v>
      </c>
      <c r="Q42" s="927"/>
      <c r="R42" s="924">
        <f t="shared" si="3"/>
        <v>1043.328</v>
      </c>
      <c r="S42" s="927"/>
      <c r="T42" s="924">
        <f t="shared" si="4"/>
        <v>1391.104</v>
      </c>
      <c r="U42" s="927"/>
      <c r="V42" s="924">
        <f>'wp b1'!J$23</f>
        <v>453.52290556900732</v>
      </c>
      <c r="W42" s="927"/>
      <c r="X42" s="924">
        <f t="shared" si="5"/>
        <v>10369.805849878934</v>
      </c>
      <c r="Y42" s="927"/>
      <c r="Z42" s="926">
        <f>16.72*80</f>
        <v>1337.6</v>
      </c>
      <c r="AA42" s="926"/>
      <c r="AB42" s="1078">
        <v>2080</v>
      </c>
      <c r="AC42" s="927"/>
      <c r="AD42" s="1078">
        <f t="shared" si="6"/>
        <v>34777.599999999999</v>
      </c>
      <c r="AE42" s="927"/>
      <c r="AF42" s="922">
        <v>0</v>
      </c>
      <c r="AG42" s="927"/>
      <c r="AH42" s="730">
        <f t="shared" si="7"/>
        <v>34777.599999999999</v>
      </c>
      <c r="AI42" s="1079"/>
      <c r="AJ42" s="1080">
        <v>30930.62</v>
      </c>
      <c r="AL42" s="1081">
        <v>98989</v>
      </c>
    </row>
    <row r="43" spans="1:38" ht="13.5">
      <c r="A43" s="1557">
        <v>31</v>
      </c>
      <c r="B43" s="890" t="s">
        <v>1081</v>
      </c>
      <c r="C43" s="890"/>
      <c r="D43" s="917" t="s">
        <v>1078</v>
      </c>
      <c r="E43" s="917"/>
      <c r="F43" s="924">
        <f t="shared" si="0"/>
        <v>35292.170000000006</v>
      </c>
      <c r="G43" s="927"/>
      <c r="H43" s="924">
        <f t="shared" si="1"/>
        <v>2700</v>
      </c>
      <c r="I43" s="927"/>
      <c r="J43" s="924">
        <v>56</v>
      </c>
      <c r="K43" s="927"/>
      <c r="L43" s="924">
        <f>IF(F43&gt;20900,20900*0.042,F43*0.042)</f>
        <v>877.80000000000007</v>
      </c>
      <c r="M43" s="924" t="s">
        <v>1076</v>
      </c>
      <c r="N43" s="924">
        <f t="shared" si="2"/>
        <v>3633.8</v>
      </c>
      <c r="O43" s="927"/>
      <c r="P43" s="924">
        <f>'wp b1'!J$15</f>
        <v>7481.8509443099274</v>
      </c>
      <c r="Q43" s="927"/>
      <c r="R43" s="924">
        <f t="shared" si="3"/>
        <v>1058.7651000000001</v>
      </c>
      <c r="S43" s="927"/>
      <c r="T43" s="924">
        <f t="shared" si="4"/>
        <v>1411.6868000000002</v>
      </c>
      <c r="U43" s="927"/>
      <c r="V43" s="924">
        <f>'wp b1'!J$23</f>
        <v>453.52290556900732</v>
      </c>
      <c r="W43" s="927"/>
      <c r="X43" s="924">
        <f t="shared" si="5"/>
        <v>10405.825749878933</v>
      </c>
      <c r="Y43" s="927"/>
      <c r="Z43" s="926">
        <f>16.91*80</f>
        <v>1352.8</v>
      </c>
      <c r="AA43" s="926"/>
      <c r="AB43" s="1078">
        <v>2080</v>
      </c>
      <c r="AC43" s="927"/>
      <c r="AD43" s="1078">
        <f t="shared" si="6"/>
        <v>35172.800000000003</v>
      </c>
      <c r="AE43" s="927"/>
      <c r="AF43" s="922">
        <v>119.37</v>
      </c>
      <c r="AG43" s="927"/>
      <c r="AH43" s="730">
        <f t="shared" si="7"/>
        <v>35292.170000000006</v>
      </c>
      <c r="AI43" s="1079"/>
      <c r="AJ43" s="1080">
        <v>29074.38</v>
      </c>
      <c r="AL43" s="1081">
        <v>99039</v>
      </c>
    </row>
    <row r="44" spans="1:38" ht="13.5">
      <c r="A44" s="1557">
        <v>32</v>
      </c>
      <c r="B44" s="890" t="s">
        <v>1680</v>
      </c>
      <c r="C44" s="890"/>
      <c r="D44" s="917" t="s">
        <v>1068</v>
      </c>
      <c r="E44" s="917"/>
      <c r="F44" s="924">
        <f t="shared" si="0"/>
        <v>26572.899999999998</v>
      </c>
      <c r="G44" s="927"/>
      <c r="H44" s="924">
        <f t="shared" si="1"/>
        <v>2033</v>
      </c>
      <c r="I44" s="927"/>
      <c r="J44" s="924">
        <v>56</v>
      </c>
      <c r="K44" s="927"/>
      <c r="L44" s="924">
        <f>IF(F44&gt;8000,8000*0.0458,F44*0.0458)</f>
        <v>366.4</v>
      </c>
      <c r="M44" s="924" t="s">
        <v>1069</v>
      </c>
      <c r="N44" s="924">
        <f t="shared" si="2"/>
        <v>2455.4</v>
      </c>
      <c r="O44" s="927"/>
      <c r="P44" s="924">
        <f>'wp b1'!J$15</f>
        <v>7481.8509443099274</v>
      </c>
      <c r="Q44" s="927"/>
      <c r="R44" s="924">
        <f t="shared" si="3"/>
        <v>797.1869999999999</v>
      </c>
      <c r="S44" s="927"/>
      <c r="T44" s="924">
        <f t="shared" si="4"/>
        <v>1062.9159999999999</v>
      </c>
      <c r="U44" s="927"/>
      <c r="V44" s="924">
        <f>'wp b1'!J$23</f>
        <v>453.52290556900732</v>
      </c>
      <c r="W44" s="927"/>
      <c r="X44" s="924">
        <f t="shared" si="5"/>
        <v>9795.4768498789326</v>
      </c>
      <c r="Y44" s="927"/>
      <c r="Z44" s="926">
        <f>12.67*80</f>
        <v>1013.6</v>
      </c>
      <c r="AA44" s="926"/>
      <c r="AB44" s="1078">
        <v>2080</v>
      </c>
      <c r="AC44" s="925"/>
      <c r="AD44" s="1078">
        <f t="shared" si="6"/>
        <v>26353.599999999999</v>
      </c>
      <c r="AE44" s="730"/>
      <c r="AF44" s="922">
        <v>219.29999999999998</v>
      </c>
      <c r="AG44" s="730"/>
      <c r="AH44" s="730">
        <f t="shared" si="7"/>
        <v>26572.899999999998</v>
      </c>
      <c r="AI44" s="1079"/>
      <c r="AJ44" s="1080">
        <v>19947.88</v>
      </c>
      <c r="AL44" s="1081">
        <v>99709</v>
      </c>
    </row>
    <row r="45" spans="1:38" ht="13.5">
      <c r="A45" s="1557">
        <v>33</v>
      </c>
      <c r="B45" s="890" t="s">
        <v>1735</v>
      </c>
      <c r="C45" s="890"/>
      <c r="D45" s="917" t="s">
        <v>1068</v>
      </c>
      <c r="E45" s="917"/>
      <c r="F45" s="924">
        <f t="shared" si="0"/>
        <v>25500.799999999999</v>
      </c>
      <c r="G45" s="924"/>
      <c r="H45" s="924">
        <f t="shared" si="1"/>
        <v>1951</v>
      </c>
      <c r="I45" s="924"/>
      <c r="J45" s="924">
        <v>56</v>
      </c>
      <c r="K45" s="924"/>
      <c r="L45" s="924">
        <f>IF(F45&gt;8000,8000*0.0458,F45*0.0458)</f>
        <v>366.4</v>
      </c>
      <c r="M45" s="924" t="s">
        <v>1069</v>
      </c>
      <c r="N45" s="924">
        <f t="shared" si="2"/>
        <v>2373.4</v>
      </c>
      <c r="O45" s="924"/>
      <c r="P45" s="924">
        <f>'wp b1'!J$15</f>
        <v>7481.8509443099274</v>
      </c>
      <c r="Q45" s="924"/>
      <c r="R45" s="924">
        <f t="shared" si="3"/>
        <v>765.024</v>
      </c>
      <c r="S45" s="924"/>
      <c r="T45" s="924">
        <f t="shared" si="4"/>
        <v>1020.032</v>
      </c>
      <c r="U45" s="924"/>
      <c r="V45" s="924">
        <f>'wp b1'!J$23</f>
        <v>453.52290556900732</v>
      </c>
      <c r="W45" s="924"/>
      <c r="X45" s="924">
        <f t="shared" si="5"/>
        <v>9720.429849878934</v>
      </c>
      <c r="Y45" s="925"/>
      <c r="Z45" s="926">
        <f>12.26*80</f>
        <v>980.8</v>
      </c>
      <c r="AA45" s="926"/>
      <c r="AB45" s="1078">
        <v>2080</v>
      </c>
      <c r="AC45" s="927"/>
      <c r="AD45" s="1078">
        <f t="shared" si="6"/>
        <v>25500.799999999999</v>
      </c>
      <c r="AE45" s="927"/>
      <c r="AF45" s="922">
        <v>0</v>
      </c>
      <c r="AG45" s="927"/>
      <c r="AH45" s="730">
        <f t="shared" si="7"/>
        <v>25500.799999999999</v>
      </c>
      <c r="AI45" s="1079"/>
      <c r="AJ45" s="1080">
        <v>0</v>
      </c>
      <c r="AL45" s="1084">
        <v>99965</v>
      </c>
    </row>
    <row r="46" spans="1:38" ht="13.5">
      <c r="A46" s="1557">
        <v>34</v>
      </c>
      <c r="B46" s="890" t="s">
        <v>1077</v>
      </c>
      <c r="C46" s="890"/>
      <c r="D46" s="917" t="s">
        <v>1075</v>
      </c>
      <c r="E46" s="917"/>
      <c r="F46" s="924">
        <f t="shared" si="0"/>
        <v>33586.800000000003</v>
      </c>
      <c r="G46" s="927"/>
      <c r="H46" s="924">
        <f t="shared" si="1"/>
        <v>2569</v>
      </c>
      <c r="I46" s="927"/>
      <c r="J46" s="924">
        <v>56</v>
      </c>
      <c r="K46" s="927"/>
      <c r="L46" s="924">
        <f>IF(F46&gt;26900,26900*0.0385,F46*0.0385)</f>
        <v>1035.6500000000001</v>
      </c>
      <c r="M46" s="924" t="s">
        <v>1079</v>
      </c>
      <c r="N46" s="924">
        <f t="shared" si="2"/>
        <v>3660.65</v>
      </c>
      <c r="O46" s="927"/>
      <c r="P46" s="924">
        <f>'wp b1'!J$15</f>
        <v>7481.8509443099274</v>
      </c>
      <c r="Q46" s="927"/>
      <c r="R46" s="924">
        <f t="shared" si="3"/>
        <v>1007.604</v>
      </c>
      <c r="S46" s="927"/>
      <c r="T46" s="924">
        <f t="shared" si="4"/>
        <v>1343.4720000000002</v>
      </c>
      <c r="U46" s="927"/>
      <c r="V46" s="924">
        <f>'wp b1'!J$23</f>
        <v>453.52290556900732</v>
      </c>
      <c r="W46" s="927"/>
      <c r="X46" s="924">
        <f t="shared" si="5"/>
        <v>10286.449849878934</v>
      </c>
      <c r="Y46" s="927"/>
      <c r="Z46" s="926">
        <v>1399.45</v>
      </c>
      <c r="AA46" s="926"/>
      <c r="AB46" s="1078">
        <v>86.67</v>
      </c>
      <c r="AC46" s="927"/>
      <c r="AD46" s="1078">
        <f t="shared" si="6"/>
        <v>33586.800000000003</v>
      </c>
      <c r="AE46" s="927"/>
      <c r="AF46" s="922">
        <v>0</v>
      </c>
      <c r="AG46" s="927"/>
      <c r="AH46" s="730">
        <f t="shared" si="7"/>
        <v>33586.800000000003</v>
      </c>
      <c r="AI46" s="1079"/>
      <c r="AJ46" s="1080">
        <v>31173.84</v>
      </c>
      <c r="AL46" s="1081">
        <v>99585</v>
      </c>
    </row>
    <row r="47" spans="1:38" ht="13.5">
      <c r="A47" s="1557">
        <v>35</v>
      </c>
      <c r="B47" s="890" t="s">
        <v>1681</v>
      </c>
      <c r="C47" s="890"/>
      <c r="D47" s="917" t="s">
        <v>1068</v>
      </c>
      <c r="E47" s="917"/>
      <c r="F47" s="924">
        <f t="shared" si="0"/>
        <v>26550.210000000003</v>
      </c>
      <c r="G47" s="927"/>
      <c r="H47" s="924">
        <f t="shared" si="1"/>
        <v>2031</v>
      </c>
      <c r="I47" s="927"/>
      <c r="J47" s="924">
        <v>56</v>
      </c>
      <c r="K47" s="927"/>
      <c r="L47" s="924">
        <f>IF(F47&gt;8000,8000*0.0458,F47*0.0458)</f>
        <v>366.4</v>
      </c>
      <c r="M47" s="924" t="s">
        <v>1069</v>
      </c>
      <c r="N47" s="924">
        <f t="shared" si="2"/>
        <v>2453.4</v>
      </c>
      <c r="O47" s="927"/>
      <c r="P47" s="924">
        <f>'wp b1'!J$15</f>
        <v>7481.8509443099274</v>
      </c>
      <c r="Q47" s="927"/>
      <c r="R47" s="924">
        <f t="shared" si="3"/>
        <v>796.50630000000001</v>
      </c>
      <c r="S47" s="927"/>
      <c r="T47" s="924">
        <f t="shared" si="4"/>
        <v>1062.0084000000002</v>
      </c>
      <c r="U47" s="927"/>
      <c r="V47" s="924">
        <f>'wp b1'!J$23</f>
        <v>453.52290556900732</v>
      </c>
      <c r="W47" s="927"/>
      <c r="X47" s="924">
        <f t="shared" si="5"/>
        <v>9793.888549878935</v>
      </c>
      <c r="Y47" s="927"/>
      <c r="Z47" s="926">
        <f>12.57*80</f>
        <v>1005.6</v>
      </c>
      <c r="AA47" s="926"/>
      <c r="AB47" s="1078">
        <v>2080</v>
      </c>
      <c r="AC47" s="927"/>
      <c r="AD47" s="1078">
        <f t="shared" si="6"/>
        <v>26145.600000000002</v>
      </c>
      <c r="AE47" s="927"/>
      <c r="AF47" s="922">
        <v>404.61</v>
      </c>
      <c r="AG47" s="927"/>
      <c r="AH47" s="730">
        <f t="shared" si="7"/>
        <v>26550.210000000003</v>
      </c>
      <c r="AI47" s="1079"/>
      <c r="AJ47" s="1080">
        <v>24685.46</v>
      </c>
      <c r="AL47" s="1081">
        <v>99654</v>
      </c>
    </row>
    <row r="48" spans="1:38" ht="13.5">
      <c r="A48" s="1557">
        <v>36</v>
      </c>
      <c r="B48" s="890" t="s">
        <v>1747</v>
      </c>
      <c r="C48" s="890"/>
      <c r="D48" s="917" t="s">
        <v>1078</v>
      </c>
      <c r="E48" s="917"/>
      <c r="F48" s="924">
        <f t="shared" si="0"/>
        <v>25675.190000000002</v>
      </c>
      <c r="G48" s="927"/>
      <c r="H48" s="924">
        <f t="shared" si="1"/>
        <v>1964</v>
      </c>
      <c r="I48" s="927"/>
      <c r="J48" s="924">
        <v>56</v>
      </c>
      <c r="K48" s="927"/>
      <c r="L48" s="924">
        <f>IF(F48&gt;20900,20900*0.042,F48*0.042)</f>
        <v>877.80000000000007</v>
      </c>
      <c r="M48" s="924" t="s">
        <v>1076</v>
      </c>
      <c r="N48" s="924">
        <f t="shared" si="2"/>
        <v>2897.8</v>
      </c>
      <c r="O48" s="927"/>
      <c r="P48" s="924">
        <f>'wp b1'!J$15</f>
        <v>7481.8509443099274</v>
      </c>
      <c r="Q48" s="927"/>
      <c r="R48" s="924">
        <f t="shared" si="3"/>
        <v>770.25570000000005</v>
      </c>
      <c r="S48" s="927"/>
      <c r="T48" s="924">
        <f t="shared" si="4"/>
        <v>1027.0076000000001</v>
      </c>
      <c r="U48" s="927"/>
      <c r="V48" s="924">
        <f>'wp b1'!J$23</f>
        <v>453.52290556900732</v>
      </c>
      <c r="W48" s="927"/>
      <c r="X48" s="924">
        <f t="shared" si="5"/>
        <v>9732.6371498789358</v>
      </c>
      <c r="Y48" s="927"/>
      <c r="Z48" s="926">
        <f>12.32*80</f>
        <v>985.6</v>
      </c>
      <c r="AA48" s="926"/>
      <c r="AB48" s="1078">
        <v>2080</v>
      </c>
      <c r="AC48" s="925"/>
      <c r="AD48" s="1078">
        <f t="shared" si="6"/>
        <v>25625.600000000002</v>
      </c>
      <c r="AE48" s="730"/>
      <c r="AF48" s="922">
        <v>49.59</v>
      </c>
      <c r="AG48" s="730"/>
      <c r="AH48" s="730">
        <f t="shared" si="7"/>
        <v>25675.190000000002</v>
      </c>
      <c r="AI48" s="1079"/>
      <c r="AJ48" s="1080">
        <v>21794.03</v>
      </c>
      <c r="AL48" s="1081">
        <v>99707</v>
      </c>
    </row>
    <row r="49" spans="1:38" ht="13.5">
      <c r="A49" s="1557">
        <v>37</v>
      </c>
      <c r="B49" s="890" t="s">
        <v>1074</v>
      </c>
      <c r="C49" s="890"/>
      <c r="D49" s="917" t="s">
        <v>1068</v>
      </c>
      <c r="E49" s="917"/>
      <c r="F49" s="924">
        <f t="shared" si="0"/>
        <v>44803.92</v>
      </c>
      <c r="G49" s="927"/>
      <c r="H49" s="924">
        <f t="shared" si="1"/>
        <v>3427</v>
      </c>
      <c r="I49" s="927"/>
      <c r="J49" s="924">
        <v>56</v>
      </c>
      <c r="K49" s="927"/>
      <c r="L49" s="924">
        <f>IF(F49&gt;8000,8000*0.0458,F49*0.0458)</f>
        <v>366.4</v>
      </c>
      <c r="M49" s="924" t="s">
        <v>1069</v>
      </c>
      <c r="N49" s="924">
        <f t="shared" si="2"/>
        <v>3849.4</v>
      </c>
      <c r="O49" s="927"/>
      <c r="P49" s="924">
        <f>'wp b1'!J$15</f>
        <v>7481.8509443099274</v>
      </c>
      <c r="Q49" s="927"/>
      <c r="R49" s="924">
        <f t="shared" si="3"/>
        <v>1344.1175999999998</v>
      </c>
      <c r="S49" s="927"/>
      <c r="T49" s="924">
        <f t="shared" si="4"/>
        <v>1792.1568</v>
      </c>
      <c r="U49" s="927"/>
      <c r="V49" s="924">
        <f>'wp b1'!J$23</f>
        <v>453.52290556900732</v>
      </c>
      <c r="W49" s="927"/>
      <c r="X49" s="924">
        <f t="shared" si="5"/>
        <v>11071.648249878936</v>
      </c>
      <c r="Y49" s="927"/>
      <c r="Z49" s="926">
        <v>1866.83</v>
      </c>
      <c r="AA49" s="926"/>
      <c r="AB49" s="1078">
        <v>86.67</v>
      </c>
      <c r="AC49" s="925"/>
      <c r="AD49" s="1078">
        <f t="shared" si="6"/>
        <v>44803.92</v>
      </c>
      <c r="AE49" s="925"/>
      <c r="AF49" s="922">
        <v>0</v>
      </c>
      <c r="AG49" s="925"/>
      <c r="AH49" s="730">
        <f t="shared" si="7"/>
        <v>44803.92</v>
      </c>
      <c r="AI49" s="1079"/>
      <c r="AJ49" s="1080">
        <v>39379.660000000003</v>
      </c>
      <c r="AL49" s="1081">
        <v>98648</v>
      </c>
    </row>
    <row r="50" spans="1:38" ht="13.5">
      <c r="A50" s="1557">
        <v>38</v>
      </c>
      <c r="B50" s="890" t="s">
        <v>1682</v>
      </c>
      <c r="C50" s="890"/>
      <c r="D50" s="917" t="s">
        <v>1068</v>
      </c>
      <c r="E50" s="917"/>
      <c r="F50" s="924">
        <f t="shared" si="0"/>
        <v>28059.38</v>
      </c>
      <c r="G50" s="927"/>
      <c r="H50" s="924">
        <f t="shared" si="1"/>
        <v>2147</v>
      </c>
      <c r="I50" s="927"/>
      <c r="J50" s="924">
        <v>56</v>
      </c>
      <c r="K50" s="927"/>
      <c r="L50" s="924">
        <f>IF(F50&gt;8000,8000*0.0458,F50*0.0458)</f>
        <v>366.4</v>
      </c>
      <c r="M50" s="924" t="s">
        <v>1069</v>
      </c>
      <c r="N50" s="924">
        <f t="shared" si="2"/>
        <v>2569.4</v>
      </c>
      <c r="O50" s="927"/>
      <c r="P50" s="924">
        <f>'wp b1'!J$15</f>
        <v>7481.8509443099274</v>
      </c>
      <c r="Q50" s="927"/>
      <c r="R50" s="924">
        <f t="shared" si="3"/>
        <v>841.78139999999996</v>
      </c>
      <c r="S50" s="927"/>
      <c r="T50" s="924">
        <f t="shared" si="4"/>
        <v>1122.3752000000002</v>
      </c>
      <c r="U50" s="927"/>
      <c r="V50" s="924">
        <f>'wp b1'!J$23</f>
        <v>453.52290556900732</v>
      </c>
      <c r="W50" s="927"/>
      <c r="X50" s="924">
        <f t="shared" si="5"/>
        <v>9899.5304498789355</v>
      </c>
      <c r="Y50" s="927"/>
      <c r="Z50" s="926">
        <f>13.01*80</f>
        <v>1040.8</v>
      </c>
      <c r="AA50" s="926"/>
      <c r="AB50" s="1078">
        <v>2080</v>
      </c>
      <c r="AC50" s="925"/>
      <c r="AD50" s="1078">
        <f t="shared" si="6"/>
        <v>27060.799999999999</v>
      </c>
      <c r="AE50" s="925"/>
      <c r="AF50" s="922">
        <v>998.58</v>
      </c>
      <c r="AG50" s="925"/>
      <c r="AH50" s="730">
        <f t="shared" si="7"/>
        <v>28059.38</v>
      </c>
      <c r="AI50" s="1079"/>
      <c r="AJ50" s="1080">
        <v>26612.400000000001</v>
      </c>
      <c r="AL50" s="1081">
        <v>99651</v>
      </c>
    </row>
    <row r="51" spans="1:38" ht="13.5">
      <c r="A51" s="1557">
        <v>39</v>
      </c>
      <c r="B51" s="890" t="s">
        <v>1748</v>
      </c>
      <c r="C51" s="890"/>
      <c r="D51" s="917" t="s">
        <v>1068</v>
      </c>
      <c r="E51" s="917"/>
      <c r="F51" s="924">
        <f t="shared" si="0"/>
        <v>25500.799999999999</v>
      </c>
      <c r="G51" s="927"/>
      <c r="H51" s="924">
        <f t="shared" si="1"/>
        <v>1951</v>
      </c>
      <c r="I51" s="927"/>
      <c r="J51" s="924">
        <v>56</v>
      </c>
      <c r="K51" s="927"/>
      <c r="L51" s="924">
        <f>IF(F51&gt;8000,8000*0.0458,F51*0.0458)</f>
        <v>366.4</v>
      </c>
      <c r="M51" s="924" t="s">
        <v>1069</v>
      </c>
      <c r="N51" s="924">
        <f t="shared" si="2"/>
        <v>2373.4</v>
      </c>
      <c r="O51" s="927"/>
      <c r="P51" s="924">
        <f>'wp b1'!J$15</f>
        <v>7481.8509443099274</v>
      </c>
      <c r="Q51" s="927"/>
      <c r="R51" s="924">
        <f t="shared" si="3"/>
        <v>765.024</v>
      </c>
      <c r="S51" s="927"/>
      <c r="T51" s="924">
        <f t="shared" si="4"/>
        <v>1020.032</v>
      </c>
      <c r="U51" s="927"/>
      <c r="V51" s="924">
        <f>'wp b1'!J$23</f>
        <v>453.52290556900732</v>
      </c>
      <c r="W51" s="927"/>
      <c r="X51" s="924">
        <f t="shared" si="5"/>
        <v>9720.429849878934</v>
      </c>
      <c r="Y51" s="927"/>
      <c r="Z51" s="926">
        <f>12.26*80</f>
        <v>980.8</v>
      </c>
      <c r="AA51" s="926"/>
      <c r="AB51" s="1078">
        <v>2080</v>
      </c>
      <c r="AC51" s="927"/>
      <c r="AD51" s="1078">
        <f t="shared" si="6"/>
        <v>25500.799999999999</v>
      </c>
      <c r="AE51" s="927"/>
      <c r="AF51" s="922">
        <v>0</v>
      </c>
      <c r="AG51" s="927"/>
      <c r="AH51" s="730">
        <f t="shared" si="7"/>
        <v>25500.799999999999</v>
      </c>
      <c r="AI51" s="1079"/>
      <c r="AJ51" s="1080">
        <v>18498.62</v>
      </c>
      <c r="AL51" s="1081">
        <v>99700</v>
      </c>
    </row>
    <row r="52" spans="1:38" ht="14.25" thickBot="1">
      <c r="A52" s="1557">
        <v>40</v>
      </c>
      <c r="B52" s="890" t="s">
        <v>1683</v>
      </c>
      <c r="C52" s="890"/>
      <c r="D52" s="917" t="s">
        <v>1078</v>
      </c>
      <c r="E52" s="917"/>
      <c r="F52" s="924">
        <f t="shared" si="0"/>
        <v>25962.29</v>
      </c>
      <c r="G52" s="927"/>
      <c r="H52" s="928">
        <f t="shared" si="1"/>
        <v>1986</v>
      </c>
      <c r="I52" s="927"/>
      <c r="J52" s="928">
        <v>56</v>
      </c>
      <c r="K52" s="927"/>
      <c r="L52" s="928">
        <f>IF(F52&gt;20900,20900*0.042,F52*0.042)</f>
        <v>877.80000000000007</v>
      </c>
      <c r="M52" s="924" t="s">
        <v>1076</v>
      </c>
      <c r="N52" s="928">
        <f t="shared" si="2"/>
        <v>2919.8</v>
      </c>
      <c r="O52" s="927"/>
      <c r="P52" s="928">
        <f>'wp b1'!J$15</f>
        <v>7481.8509443099274</v>
      </c>
      <c r="Q52" s="927"/>
      <c r="R52" s="928">
        <f t="shared" si="3"/>
        <v>778.86869999999999</v>
      </c>
      <c r="S52" s="927"/>
      <c r="T52" s="928">
        <f t="shared" si="4"/>
        <v>1038.4916000000001</v>
      </c>
      <c r="U52" s="927"/>
      <c r="V52" s="928">
        <f>'wp b1'!J$23</f>
        <v>453.52290556900732</v>
      </c>
      <c r="W52" s="927"/>
      <c r="X52" s="928">
        <f t="shared" si="5"/>
        <v>9752.7341498789337</v>
      </c>
      <c r="Y52" s="927"/>
      <c r="Z52" s="926">
        <f>12.38*80</f>
        <v>990.40000000000009</v>
      </c>
      <c r="AA52" s="926"/>
      <c r="AB52" s="1078">
        <v>2080</v>
      </c>
      <c r="AC52" s="927"/>
      <c r="AD52" s="1078">
        <f t="shared" si="6"/>
        <v>25750.400000000001</v>
      </c>
      <c r="AE52" s="927"/>
      <c r="AF52" s="922">
        <v>211.89</v>
      </c>
      <c r="AG52" s="927"/>
      <c r="AH52" s="730">
        <f t="shared" si="7"/>
        <v>25962.29</v>
      </c>
      <c r="AI52" s="1079"/>
      <c r="AJ52" s="1080">
        <v>24858.31</v>
      </c>
      <c r="AL52" s="1081">
        <v>99694</v>
      </c>
    </row>
    <row r="53" spans="1:38" ht="13.5" thickTop="1">
      <c r="A53" s="1557">
        <v>41</v>
      </c>
      <c r="B53" s="912" t="s">
        <v>73</v>
      </c>
      <c r="D53" s="893"/>
      <c r="E53" s="893"/>
      <c r="F53" s="731">
        <f>SUM(F13:F52)</f>
        <v>1341560.4599999997</v>
      </c>
      <c r="H53" s="731">
        <f>SUM(H13:H52)</f>
        <v>102628</v>
      </c>
      <c r="J53" s="731">
        <f>SUM(J13:J52)</f>
        <v>2240</v>
      </c>
      <c r="L53" s="731">
        <f>SUM(L13:L52)</f>
        <v>24298.092730000004</v>
      </c>
      <c r="N53" s="731">
        <f>SUM(N13:N52)</f>
        <v>129166.09272999996</v>
      </c>
      <c r="P53" s="731">
        <f>SUM(P13:P52)</f>
        <v>299274.0377723971</v>
      </c>
      <c r="R53" s="731">
        <f>SUM(R13:R52)</f>
        <v>40246.813799999996</v>
      </c>
      <c r="T53" s="731">
        <f>SUM(T13:T52)</f>
        <v>53662.418399999995</v>
      </c>
      <c r="V53" s="731">
        <f>SUM(V13:V52)</f>
        <v>18140.916222760283</v>
      </c>
      <c r="X53" s="731">
        <f>SUM(X13:X52)</f>
        <v>411324.18619515753</v>
      </c>
      <c r="Z53" s="926"/>
      <c r="AA53" s="926"/>
      <c r="AB53" s="1078"/>
      <c r="AC53" s="927"/>
      <c r="AD53" s="1078"/>
      <c r="AE53" s="927"/>
      <c r="AF53" s="922"/>
      <c r="AG53" s="927"/>
      <c r="AH53" s="730"/>
      <c r="AI53" s="927"/>
    </row>
    <row r="54" spans="1:38">
      <c r="A54" s="1557">
        <v>42</v>
      </c>
      <c r="Z54" s="891"/>
      <c r="AA54" s="891"/>
      <c r="AB54" s="891"/>
      <c r="AC54" s="891"/>
      <c r="AD54" s="891"/>
      <c r="AE54" s="891"/>
      <c r="AF54" s="891"/>
      <c r="AG54" s="891"/>
      <c r="AH54" s="891"/>
      <c r="AI54" s="891"/>
    </row>
    <row r="55" spans="1:38">
      <c r="A55" s="1557">
        <v>43</v>
      </c>
      <c r="B55" s="912" t="s">
        <v>1082</v>
      </c>
      <c r="F55" s="894">
        <f>+'Input Schedule'!D17</f>
        <v>2.6393242386234281E-2</v>
      </c>
      <c r="G55" s="894"/>
      <c r="H55" s="894">
        <f>+F55</f>
        <v>2.6393242386234281E-2</v>
      </c>
      <c r="I55" s="894"/>
      <c r="J55" s="894">
        <f>+F55</f>
        <v>2.6393242386234281E-2</v>
      </c>
      <c r="K55" s="894"/>
      <c r="L55" s="894">
        <f>+F55</f>
        <v>2.6393242386234281E-2</v>
      </c>
      <c r="M55" s="894"/>
      <c r="N55" s="894">
        <f>+F55</f>
        <v>2.6393242386234281E-2</v>
      </c>
      <c r="O55" s="894"/>
      <c r="P55" s="894">
        <f>+F55</f>
        <v>2.6393242386234281E-2</v>
      </c>
      <c r="Q55" s="894"/>
      <c r="R55" s="894">
        <f>+F55</f>
        <v>2.6393242386234281E-2</v>
      </c>
      <c r="S55" s="894"/>
      <c r="T55" s="894">
        <f>+F55</f>
        <v>2.6393242386234281E-2</v>
      </c>
      <c r="U55" s="894"/>
      <c r="V55" s="894">
        <f>+F55</f>
        <v>2.6393242386234281E-2</v>
      </c>
      <c r="W55" s="894"/>
      <c r="X55" s="894">
        <f>+F55</f>
        <v>2.6393242386234281E-2</v>
      </c>
      <c r="Z55" s="1085"/>
      <c r="AA55" s="1085"/>
      <c r="AB55" s="1085"/>
      <c r="AC55" s="891"/>
      <c r="AD55" s="891"/>
      <c r="AE55" s="891"/>
      <c r="AF55" s="891"/>
      <c r="AG55" s="891"/>
      <c r="AH55" s="891"/>
      <c r="AI55" s="891"/>
    </row>
    <row r="56" spans="1:38">
      <c r="A56" s="1557">
        <v>44</v>
      </c>
      <c r="Z56" s="891"/>
      <c r="AA56" s="891"/>
      <c r="AB56" s="891"/>
      <c r="AC56" s="891"/>
      <c r="AD56" s="891"/>
      <c r="AE56" s="891"/>
      <c r="AF56" s="891"/>
      <c r="AG56" s="891"/>
      <c r="AH56" s="891"/>
      <c r="AI56" s="891"/>
    </row>
    <row r="57" spans="1:38" ht="13.5" thickBot="1">
      <c r="A57" s="1557">
        <v>45</v>
      </c>
      <c r="B57" s="912" t="s">
        <v>1346</v>
      </c>
      <c r="F57" s="930">
        <f>F53*F55</f>
        <v>35408.130396567954</v>
      </c>
      <c r="G57" s="731"/>
      <c r="H57" s="930">
        <f t="shared" ref="H57:X57" si="8">H53*H55</f>
        <v>2708.6856796144521</v>
      </c>
      <c r="I57" s="731"/>
      <c r="J57" s="930">
        <f t="shared" si="8"/>
        <v>59.120862945164788</v>
      </c>
      <c r="K57" s="731"/>
      <c r="L57" s="930">
        <f t="shared" si="8"/>
        <v>641.30545094608715</v>
      </c>
      <c r="M57" s="731"/>
      <c r="N57" s="930">
        <f t="shared" si="8"/>
        <v>3409.1119935057027</v>
      </c>
      <c r="O57" s="731"/>
      <c r="P57" s="930">
        <f t="shared" si="8"/>
        <v>7898.8122188339103</v>
      </c>
      <c r="Q57" s="731"/>
      <c r="R57" s="930">
        <f t="shared" si="8"/>
        <v>1062.2439118970387</v>
      </c>
      <c r="S57" s="731"/>
      <c r="T57" s="930">
        <f t="shared" si="8"/>
        <v>1416.3252158627183</v>
      </c>
      <c r="U57" s="731"/>
      <c r="V57" s="930">
        <f t="shared" si="8"/>
        <v>478.79759897568181</v>
      </c>
      <c r="W57" s="731"/>
      <c r="X57" s="930">
        <f t="shared" si="8"/>
        <v>10856.178945569352</v>
      </c>
      <c r="Z57" s="891"/>
      <c r="AA57" s="891"/>
      <c r="AB57" s="891"/>
      <c r="AC57" s="891"/>
      <c r="AD57" s="891"/>
      <c r="AE57" s="891"/>
      <c r="AF57" s="891"/>
      <c r="AG57" s="891"/>
      <c r="AH57" s="891"/>
      <c r="AI57" s="891"/>
    </row>
    <row r="58" spans="1:38" ht="13.5" thickTop="1">
      <c r="A58" s="1557">
        <v>46</v>
      </c>
      <c r="F58" s="730"/>
      <c r="G58" s="731"/>
      <c r="H58" s="730"/>
      <c r="I58" s="731"/>
      <c r="J58" s="730"/>
      <c r="K58" s="731"/>
      <c r="L58" s="730"/>
      <c r="M58" s="731"/>
      <c r="N58" s="730"/>
      <c r="O58" s="731"/>
      <c r="P58" s="730"/>
      <c r="Q58" s="731"/>
      <c r="R58" s="730"/>
      <c r="S58" s="731"/>
      <c r="T58" s="730"/>
      <c r="U58" s="731"/>
      <c r="V58" s="730"/>
      <c r="W58" s="731"/>
      <c r="X58" s="730"/>
      <c r="Z58" s="891"/>
      <c r="AA58" s="891"/>
      <c r="AB58" s="891"/>
      <c r="AC58" s="891"/>
      <c r="AD58" s="891"/>
      <c r="AE58" s="891"/>
      <c r="AF58" s="891"/>
      <c r="AG58" s="891"/>
      <c r="AH58" s="891"/>
      <c r="AI58" s="891"/>
    </row>
    <row r="59" spans="1:38">
      <c r="A59" s="1557">
        <v>47</v>
      </c>
      <c r="B59" s="912" t="s">
        <v>1347</v>
      </c>
      <c r="F59" s="732">
        <f>'wp-q(4) Clinton trans exp'!$E$10</f>
        <v>7.5729683470565662E-2</v>
      </c>
      <c r="G59" s="731"/>
      <c r="H59" s="732">
        <f>'wp-q(4) Clinton trans exp'!$E$10</f>
        <v>7.5729683470565662E-2</v>
      </c>
      <c r="I59" s="731"/>
      <c r="J59" s="732">
        <f>'wp-q(4) Clinton trans exp'!$E$10</f>
        <v>7.5729683470565662E-2</v>
      </c>
      <c r="K59" s="731"/>
      <c r="L59" s="732">
        <f>'wp-q(4) Clinton trans exp'!$E$10</f>
        <v>7.5729683470565662E-2</v>
      </c>
      <c r="M59" s="731"/>
      <c r="N59" s="732">
        <f>'wp-q(4) Clinton trans exp'!$E$10</f>
        <v>7.5729683470565662E-2</v>
      </c>
      <c r="O59" s="731"/>
      <c r="P59" s="732">
        <f>'wp-q(4) Clinton trans exp'!$E$10</f>
        <v>7.5729683470565662E-2</v>
      </c>
      <c r="Q59" s="731"/>
      <c r="R59" s="732">
        <f>'wp-q(4) Clinton trans exp'!$E$10</f>
        <v>7.5729683470565662E-2</v>
      </c>
      <c r="S59" s="731"/>
      <c r="T59" s="732">
        <f>'wp-q(4) Clinton trans exp'!$E$10</f>
        <v>7.5729683470565662E-2</v>
      </c>
      <c r="U59" s="731"/>
      <c r="V59" s="732">
        <f>'wp-q(4) Clinton trans exp'!$E$10</f>
        <v>7.5729683470565662E-2</v>
      </c>
      <c r="W59" s="731"/>
      <c r="X59" s="732">
        <f>'wp-q(4) Clinton trans exp'!$E$10</f>
        <v>7.5729683470565662E-2</v>
      </c>
      <c r="Z59" s="891"/>
      <c r="AA59" s="891"/>
      <c r="AB59" s="891"/>
      <c r="AC59" s="891"/>
      <c r="AD59" s="891"/>
      <c r="AE59" s="891"/>
      <c r="AF59" s="891"/>
      <c r="AG59" s="891"/>
      <c r="AH59" s="891"/>
      <c r="AI59" s="891"/>
    </row>
    <row r="60" spans="1:38">
      <c r="A60" s="1557">
        <v>48</v>
      </c>
      <c r="F60" s="730"/>
      <c r="G60" s="731"/>
      <c r="H60" s="730"/>
      <c r="I60" s="731"/>
      <c r="J60" s="730"/>
      <c r="K60" s="731"/>
      <c r="L60" s="730"/>
      <c r="M60" s="731"/>
      <c r="N60" s="730"/>
      <c r="O60" s="731"/>
      <c r="P60" s="730"/>
      <c r="Q60" s="731"/>
      <c r="R60" s="730"/>
      <c r="S60" s="731"/>
      <c r="T60" s="730"/>
      <c r="U60" s="731"/>
      <c r="V60" s="730"/>
      <c r="W60" s="731"/>
      <c r="X60" s="730"/>
      <c r="Z60" s="891"/>
      <c r="AA60" s="891"/>
      <c r="AB60" s="891"/>
      <c r="AC60" s="891"/>
      <c r="AD60" s="891"/>
      <c r="AE60" s="891"/>
      <c r="AF60" s="891"/>
      <c r="AG60" s="891"/>
      <c r="AH60" s="891"/>
      <c r="AI60" s="891"/>
    </row>
    <row r="61" spans="1:38" ht="13.5" thickBot="1">
      <c r="A61" s="1557">
        <v>49</v>
      </c>
      <c r="B61" s="912" t="s">
        <v>1348</v>
      </c>
      <c r="F61" s="930">
        <f>F59*F57</f>
        <v>2681.4465072166058</v>
      </c>
      <c r="G61" s="731"/>
      <c r="H61" s="930">
        <f>H59*H57</f>
        <v>205.12790913845649</v>
      </c>
      <c r="I61" s="731"/>
      <c r="J61" s="930">
        <f>J59*J57</f>
        <v>4.477204237344024</v>
      </c>
      <c r="K61" s="731"/>
      <c r="L61" s="930">
        <f>L59*L57</f>
        <v>48.565858808095555</v>
      </c>
      <c r="M61" s="731"/>
      <c r="N61" s="930">
        <f>N59*N57</f>
        <v>258.17097218389597</v>
      </c>
      <c r="O61" s="731"/>
      <c r="P61" s="930">
        <f>P59*P57</f>
        <v>598.1745491257285</v>
      </c>
      <c r="Q61" s="731"/>
      <c r="R61" s="930">
        <f>R59*R57</f>
        <v>80.443395216498189</v>
      </c>
      <c r="S61" s="731"/>
      <c r="T61" s="930">
        <f>T59*T57</f>
        <v>107.25786028866425</v>
      </c>
      <c r="U61" s="731"/>
      <c r="V61" s="930">
        <f>V59*V57</f>
        <v>36.259190616895218</v>
      </c>
      <c r="W61" s="731"/>
      <c r="X61" s="930">
        <f>X59*X57</f>
        <v>822.13499524778638</v>
      </c>
      <c r="Z61" s="891"/>
      <c r="AA61" s="891"/>
      <c r="AB61" s="891"/>
      <c r="AC61" s="891"/>
      <c r="AD61" s="891"/>
      <c r="AE61" s="891"/>
      <c r="AF61" s="891"/>
      <c r="AG61" s="891"/>
      <c r="AH61" s="891"/>
      <c r="AI61" s="891"/>
    </row>
    <row r="62" spans="1:38" ht="13.5" thickTop="1">
      <c r="F62" s="730"/>
      <c r="G62" s="731"/>
      <c r="H62" s="730"/>
      <c r="I62" s="731"/>
      <c r="J62" s="730"/>
      <c r="K62" s="731"/>
      <c r="L62" s="730"/>
      <c r="M62" s="731"/>
      <c r="N62" s="730"/>
      <c r="O62" s="731"/>
      <c r="P62" s="730"/>
      <c r="Q62" s="731"/>
      <c r="R62" s="730"/>
      <c r="S62" s="731"/>
      <c r="T62" s="730"/>
      <c r="U62" s="731"/>
      <c r="V62" s="730"/>
      <c r="W62" s="731"/>
      <c r="X62" s="730"/>
      <c r="Z62" s="891"/>
      <c r="AA62" s="891"/>
      <c r="AB62" s="891"/>
      <c r="AC62" s="891"/>
      <c r="AD62" s="891"/>
      <c r="AE62" s="891"/>
      <c r="AF62" s="891"/>
      <c r="AG62" s="891"/>
      <c r="AH62" s="891"/>
      <c r="AI62" s="891"/>
    </row>
    <row r="63" spans="1:38">
      <c r="F63" s="730"/>
      <c r="G63" s="731"/>
      <c r="H63" s="730"/>
      <c r="I63" s="731"/>
      <c r="J63" s="730"/>
      <c r="K63" s="731"/>
      <c r="L63" s="730"/>
      <c r="M63" s="731"/>
      <c r="N63" s="730"/>
      <c r="O63" s="731"/>
      <c r="P63" s="730"/>
      <c r="Q63" s="731"/>
      <c r="R63" s="730"/>
      <c r="S63" s="731"/>
      <c r="T63" s="730"/>
      <c r="U63" s="731"/>
      <c r="V63" s="730"/>
      <c r="W63" s="731"/>
      <c r="X63" s="730"/>
      <c r="Z63" s="891"/>
      <c r="AA63" s="891"/>
      <c r="AB63" s="891"/>
      <c r="AC63" s="891"/>
      <c r="AD63" s="891"/>
      <c r="AE63" s="891"/>
      <c r="AF63" s="891"/>
      <c r="AG63" s="891"/>
      <c r="AH63" s="891"/>
      <c r="AI63" s="891"/>
    </row>
    <row r="64" spans="1:38">
      <c r="Z64" s="891"/>
      <c r="AA64" s="891"/>
      <c r="AB64" s="891"/>
      <c r="AC64" s="891"/>
      <c r="AD64" s="891"/>
      <c r="AE64" s="891"/>
      <c r="AF64" s="891"/>
      <c r="AG64" s="891"/>
      <c r="AH64" s="891"/>
      <c r="AI64" s="891"/>
    </row>
    <row r="65" spans="2:35">
      <c r="B65" s="1386" t="s">
        <v>1069</v>
      </c>
      <c r="C65" s="912" t="s">
        <v>1766</v>
      </c>
      <c r="Z65" s="891"/>
      <c r="AA65" s="891"/>
      <c r="AB65" s="891"/>
      <c r="AC65" s="891"/>
      <c r="AD65" s="891"/>
      <c r="AE65" s="891"/>
      <c r="AF65" s="891"/>
      <c r="AG65" s="891"/>
      <c r="AH65" s="891"/>
      <c r="AI65" s="891"/>
    </row>
    <row r="66" spans="2:35">
      <c r="B66" s="1386" t="s">
        <v>1076</v>
      </c>
      <c r="C66" s="912" t="s">
        <v>1767</v>
      </c>
      <c r="Z66" s="891"/>
      <c r="AA66" s="891"/>
      <c r="AB66" s="891"/>
      <c r="AC66" s="891"/>
      <c r="AD66" s="891"/>
      <c r="AE66" s="891"/>
      <c r="AF66" s="891"/>
      <c r="AG66" s="891"/>
      <c r="AH66" s="891"/>
      <c r="AI66" s="891"/>
    </row>
    <row r="67" spans="2:35">
      <c r="B67" s="1386" t="s">
        <v>1079</v>
      </c>
      <c r="C67" s="912" t="s">
        <v>1768</v>
      </c>
    </row>
    <row r="68" spans="2:35" ht="15">
      <c r="B68" s="1386" t="s">
        <v>1481</v>
      </c>
      <c r="C68" s="68" t="s">
        <v>1730</v>
      </c>
    </row>
    <row r="69" spans="2:35">
      <c r="F69" s="931"/>
      <c r="H69" s="931"/>
      <c r="J69" s="931"/>
      <c r="L69" s="931"/>
      <c r="N69" s="931"/>
      <c r="P69" s="931"/>
      <c r="R69" s="931"/>
      <c r="T69" s="931"/>
      <c r="V69" s="931"/>
      <c r="X69" s="931"/>
    </row>
    <row r="71" spans="2:35">
      <c r="H71" s="731"/>
      <c r="J71" s="731"/>
      <c r="L71" s="731"/>
      <c r="N71" s="731"/>
      <c r="P71" s="731"/>
      <c r="R71" s="731"/>
      <c r="T71" s="731"/>
      <c r="V71" s="731"/>
      <c r="X71" s="731"/>
    </row>
    <row r="77" spans="2:35">
      <c r="G77" s="731"/>
      <c r="H77" s="731"/>
      <c r="I77" s="731"/>
      <c r="J77" s="731"/>
      <c r="K77" s="731"/>
      <c r="L77" s="731"/>
      <c r="M77" s="731"/>
      <c r="N77" s="731"/>
      <c r="O77" s="731"/>
      <c r="P77" s="731"/>
      <c r="Q77" s="731"/>
      <c r="R77" s="731"/>
      <c r="S77" s="731"/>
      <c r="T77" s="731"/>
      <c r="U77" s="731"/>
      <c r="V77" s="731"/>
      <c r="W77" s="731"/>
      <c r="X77" s="731"/>
    </row>
    <row r="79" spans="2:35">
      <c r="B79" s="439"/>
    </row>
    <row r="80" spans="2:35">
      <c r="B80" s="439"/>
    </row>
    <row r="81" spans="2:2">
      <c r="B81" s="439"/>
    </row>
    <row r="82" spans="2:2">
      <c r="B82" s="439"/>
    </row>
    <row r="83" spans="2:2">
      <c r="B83" s="439"/>
    </row>
    <row r="84" spans="2:2">
      <c r="B84" s="439"/>
    </row>
  </sheetData>
  <autoFilter ref="D11:D52"/>
  <sortState ref="B11:AL50">
    <sortCondition ref="B11:B50"/>
  </sortState>
  <pageMargins left="0.7" right="0.7" top="0.75" bottom="0.75" header="0.3" footer="0.3"/>
  <pageSetup scale="59" orientation="landscape" r:id="rId1"/>
  <colBreaks count="1" manualBreakCount="1">
    <brk id="25" max="1048575" man="1"/>
  </colBreak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V15"/>
  <sheetViews>
    <sheetView view="pageBreakPreview" zoomScale="80" zoomScaleNormal="100" zoomScaleSheetLayoutView="80" workbookViewId="0"/>
  </sheetViews>
  <sheetFormatPr defaultRowHeight="15"/>
  <cols>
    <col min="1" max="1" width="8.5" style="1477" customWidth="1"/>
    <col min="2" max="2" width="9" style="1477"/>
    <col min="3" max="3" width="10.125" style="1477" bestFit="1" customWidth="1"/>
    <col min="4" max="4" width="7.625" style="1477" bestFit="1" customWidth="1"/>
    <col min="5" max="5" width="15.125" style="1477" bestFit="1" customWidth="1"/>
    <col min="6" max="6" width="0.875" style="1477" customWidth="1"/>
    <col min="7" max="7" width="9.375" style="1477" bestFit="1" customWidth="1"/>
    <col min="8" max="8" width="0.875" style="1477" customWidth="1"/>
    <col min="9" max="9" width="9.125" style="1477" bestFit="1" customWidth="1"/>
    <col min="10" max="10" width="0.875" style="1477" customWidth="1"/>
    <col min="11" max="11" width="12.625" style="1477" bestFit="1" customWidth="1"/>
    <col min="12" max="12" width="0.875" style="1477" customWidth="1"/>
    <col min="13" max="13" width="9.75" style="1477" bestFit="1" customWidth="1"/>
    <col min="14" max="14" width="0.875" style="1477" customWidth="1"/>
    <col min="15" max="15" width="11" style="1477" bestFit="1" customWidth="1"/>
    <col min="16" max="16" width="0.875" style="1477" customWidth="1"/>
    <col min="17" max="17" width="12.5" style="1477" bestFit="1" customWidth="1"/>
    <col min="18" max="18" width="0.875" style="1477" customWidth="1"/>
    <col min="19" max="19" width="9.75" style="1477" bestFit="1" customWidth="1"/>
    <col min="20" max="20" width="0.875" style="1477" customWidth="1"/>
    <col min="21" max="21" width="9.5" style="1477" bestFit="1" customWidth="1"/>
    <col min="22" max="22" width="3.125" style="1477" bestFit="1" customWidth="1"/>
    <col min="23" max="23" width="10.75" style="1477" bestFit="1" customWidth="1"/>
    <col min="24" max="24" width="0.875" style="1477" customWidth="1"/>
    <col min="25" max="25" width="11" style="1477" bestFit="1" customWidth="1"/>
    <col min="26" max="26" width="0.75" style="1477" customWidth="1"/>
    <col min="27" max="29" width="0.875" style="1477" customWidth="1"/>
    <col min="30" max="30" width="11.5" style="1477" bestFit="1" customWidth="1"/>
    <col min="31" max="16384" width="9" style="1477"/>
  </cols>
  <sheetData>
    <row r="1" spans="1:204">
      <c r="A1" s="1481" t="str">
        <f>Company_Name</f>
        <v>WATER SERVICE CORPORATION OF KENTUCKY</v>
      </c>
      <c r="AD1" s="895" t="s">
        <v>1943</v>
      </c>
    </row>
    <row r="2" spans="1:204">
      <c r="A2" s="1482" t="str">
        <f>Docket</f>
        <v>Case No. 2015 - 00382</v>
      </c>
    </row>
    <row r="3" spans="1:204">
      <c r="A3" s="1483" t="s">
        <v>2299</v>
      </c>
    </row>
    <row r="4" spans="1:204">
      <c r="A4" s="1483" t="str">
        <f>TestYearEnded</f>
        <v>Test Year Ended 6/30/2015</v>
      </c>
    </row>
    <row r="5" spans="1:204">
      <c r="A5" s="1483"/>
    </row>
    <row r="6" spans="1:204" s="1560" customFormat="1" ht="14.25">
      <c r="C6" s="1560" t="s">
        <v>235</v>
      </c>
      <c r="D6" s="1560" t="s">
        <v>236</v>
      </c>
      <c r="E6" s="1560" t="s">
        <v>237</v>
      </c>
      <c r="G6" s="1560" t="s">
        <v>238</v>
      </c>
      <c r="I6" s="1560" t="s">
        <v>239</v>
      </c>
      <c r="K6" s="1560" t="s">
        <v>869</v>
      </c>
      <c r="M6" s="1560" t="s">
        <v>870</v>
      </c>
      <c r="O6" s="1560" t="s">
        <v>871</v>
      </c>
      <c r="Q6" s="1560" t="s">
        <v>872</v>
      </c>
      <c r="S6" s="1560" t="s">
        <v>873</v>
      </c>
      <c r="U6" s="1560" t="s">
        <v>874</v>
      </c>
      <c r="W6" s="1560" t="s">
        <v>2304</v>
      </c>
      <c r="Y6" s="1560" t="s">
        <v>2305</v>
      </c>
      <c r="AD6" s="1560" t="s">
        <v>2306</v>
      </c>
    </row>
    <row r="7" spans="1:204">
      <c r="A7" s="1483"/>
    </row>
    <row r="8" spans="1:204" s="755" customFormat="1" ht="15.75">
      <c r="B8" s="756"/>
      <c r="C8" s="757"/>
      <c r="D8" s="758"/>
      <c r="E8" s="759"/>
      <c r="K8" s="760"/>
      <c r="O8" s="761">
        <v>41380</v>
      </c>
      <c r="P8" s="762"/>
      <c r="Q8" s="762"/>
      <c r="R8" s="763"/>
      <c r="S8" s="762" t="s">
        <v>1769</v>
      </c>
      <c r="T8" s="762"/>
      <c r="U8" s="791">
        <v>41380</v>
      </c>
      <c r="V8" s="762"/>
      <c r="Y8" s="759"/>
      <c r="Z8" s="759"/>
      <c r="AA8" s="762"/>
    </row>
    <row r="9" spans="1:204" s="755" customFormat="1" ht="15.75">
      <c r="A9" s="764"/>
      <c r="B9" s="764"/>
      <c r="C9" s="765"/>
      <c r="D9" s="764"/>
      <c r="E9" s="72" t="s">
        <v>1771</v>
      </c>
      <c r="F9" s="77"/>
      <c r="G9" s="77" t="s">
        <v>326</v>
      </c>
      <c r="H9" s="77"/>
      <c r="I9" s="77" t="s">
        <v>327</v>
      </c>
      <c r="J9" s="77"/>
      <c r="K9" s="77" t="s">
        <v>137</v>
      </c>
      <c r="L9" s="77"/>
      <c r="M9" s="77" t="s">
        <v>314</v>
      </c>
      <c r="N9" s="77"/>
      <c r="O9" s="77" t="s">
        <v>442</v>
      </c>
      <c r="P9" s="77"/>
      <c r="Q9" s="77" t="s">
        <v>1772</v>
      </c>
      <c r="R9" s="77"/>
      <c r="S9" s="77" t="s">
        <v>1770</v>
      </c>
      <c r="T9" s="77"/>
      <c r="U9" s="479"/>
      <c r="V9" s="77"/>
      <c r="W9" s="77" t="s">
        <v>314</v>
      </c>
      <c r="X9" s="77"/>
      <c r="Y9" s="583"/>
      <c r="Z9" s="763"/>
      <c r="AA9" s="766"/>
      <c r="AB9" s="763"/>
      <c r="AC9" s="764"/>
      <c r="AD9" s="763" t="s">
        <v>1083</v>
      </c>
      <c r="AE9" s="764"/>
      <c r="AF9" s="764"/>
      <c r="AG9" s="764"/>
      <c r="AH9" s="764"/>
      <c r="AI9" s="764"/>
      <c r="AJ9" s="764"/>
      <c r="AK9" s="764"/>
      <c r="AL9" s="764"/>
      <c r="AM9" s="764"/>
      <c r="AN9" s="764"/>
      <c r="AO9" s="764"/>
      <c r="AP9" s="764"/>
      <c r="AQ9" s="764"/>
      <c r="AR9" s="764"/>
      <c r="AS9" s="764"/>
      <c r="AT9" s="764"/>
      <c r="AU9" s="764"/>
      <c r="AV9" s="764"/>
      <c r="AW9" s="764"/>
      <c r="AX9" s="764"/>
      <c r="AY9" s="764"/>
      <c r="AZ9" s="764"/>
      <c r="BA9" s="764"/>
      <c r="BB9" s="764"/>
      <c r="BC9" s="764"/>
      <c r="BD9" s="764"/>
      <c r="BE9" s="764"/>
      <c r="BF9" s="764"/>
      <c r="BG9" s="764"/>
      <c r="BH9" s="764"/>
      <c r="BI9" s="764"/>
      <c r="BJ9" s="764"/>
      <c r="BK9" s="764"/>
      <c r="BL9" s="764"/>
      <c r="BM9" s="764"/>
      <c r="BN9" s="764"/>
      <c r="BO9" s="764"/>
      <c r="BP9" s="764"/>
      <c r="BQ9" s="764"/>
      <c r="BR9" s="764"/>
      <c r="BS9" s="764"/>
      <c r="BT9" s="764"/>
      <c r="BU9" s="764"/>
      <c r="BV9" s="764"/>
      <c r="BW9" s="764"/>
      <c r="BX9" s="764"/>
      <c r="BY9" s="764"/>
      <c r="BZ9" s="764"/>
      <c r="CA9" s="764"/>
      <c r="CB9" s="764"/>
      <c r="CC9" s="764"/>
      <c r="CD9" s="764"/>
      <c r="CE9" s="764"/>
      <c r="CF9" s="764"/>
      <c r="CG9" s="764"/>
      <c r="CH9" s="764"/>
      <c r="CI9" s="764"/>
      <c r="CJ9" s="764"/>
      <c r="CK9" s="764"/>
      <c r="CL9" s="764"/>
      <c r="CM9" s="764"/>
      <c r="CN9" s="764"/>
      <c r="CO9" s="764"/>
      <c r="CP9" s="764"/>
      <c r="CQ9" s="764"/>
      <c r="CR9" s="764"/>
      <c r="CS9" s="764"/>
      <c r="CT9" s="764"/>
      <c r="CU9" s="764"/>
      <c r="CV9" s="764"/>
      <c r="CW9" s="764"/>
      <c r="CX9" s="764"/>
      <c r="CY9" s="764"/>
      <c r="CZ9" s="764"/>
      <c r="DA9" s="764"/>
      <c r="DB9" s="764"/>
      <c r="DC9" s="764"/>
      <c r="DD9" s="764"/>
      <c r="DE9" s="764"/>
      <c r="DF9" s="764"/>
      <c r="DG9" s="764"/>
      <c r="DH9" s="764"/>
      <c r="DI9" s="764"/>
      <c r="DJ9" s="764"/>
      <c r="DK9" s="764"/>
      <c r="DL9" s="764"/>
      <c r="DM9" s="764"/>
      <c r="DN9" s="764"/>
      <c r="DO9" s="764"/>
      <c r="DP9" s="764"/>
      <c r="DQ9" s="764"/>
      <c r="DR9" s="764"/>
      <c r="DS9" s="764"/>
      <c r="DT9" s="764"/>
      <c r="DU9" s="764"/>
      <c r="DV9" s="764"/>
      <c r="DW9" s="764"/>
      <c r="DX9" s="764"/>
      <c r="DY9" s="764"/>
      <c r="DZ9" s="764"/>
      <c r="EA9" s="764"/>
      <c r="EB9" s="764"/>
      <c r="EC9" s="764"/>
      <c r="ED9" s="764"/>
      <c r="EE9" s="764"/>
      <c r="EF9" s="764"/>
      <c r="EG9" s="764"/>
      <c r="EH9" s="764"/>
      <c r="EI9" s="764"/>
      <c r="EJ9" s="764"/>
      <c r="EK9" s="764"/>
      <c r="EL9" s="764"/>
      <c r="EM9" s="764"/>
      <c r="EN9" s="764"/>
      <c r="EO9" s="764"/>
      <c r="EP9" s="764"/>
      <c r="EQ9" s="764"/>
      <c r="ER9" s="764"/>
      <c r="ES9" s="764"/>
      <c r="ET9" s="764"/>
      <c r="EU9" s="764"/>
      <c r="EV9" s="764"/>
      <c r="EW9" s="764"/>
      <c r="EX9" s="764"/>
      <c r="EY9" s="764"/>
      <c r="EZ9" s="764"/>
      <c r="FA9" s="764"/>
      <c r="FB9" s="764"/>
      <c r="FC9" s="764"/>
      <c r="FD9" s="764"/>
      <c r="FE9" s="764"/>
      <c r="FF9" s="764"/>
      <c r="FG9" s="764"/>
      <c r="FH9" s="764"/>
      <c r="FI9" s="764"/>
      <c r="FJ9" s="764"/>
      <c r="FK9" s="764"/>
      <c r="FL9" s="764"/>
      <c r="FM9" s="764"/>
      <c r="FN9" s="764"/>
      <c r="FO9" s="764"/>
      <c r="FP9" s="764"/>
      <c r="FQ9" s="764"/>
      <c r="FR9" s="764"/>
      <c r="FS9" s="764"/>
      <c r="FT9" s="764"/>
      <c r="FU9" s="764"/>
      <c r="FV9" s="764"/>
      <c r="FW9" s="764"/>
      <c r="FX9" s="764"/>
      <c r="FY9" s="764"/>
      <c r="FZ9" s="764"/>
      <c r="GA9" s="764"/>
      <c r="GB9" s="764"/>
      <c r="GC9" s="764"/>
      <c r="GD9" s="764"/>
      <c r="GE9" s="764"/>
      <c r="GF9" s="764"/>
      <c r="GG9" s="764"/>
      <c r="GH9" s="764"/>
      <c r="GI9" s="764"/>
      <c r="GJ9" s="764"/>
      <c r="GK9" s="764"/>
      <c r="GL9" s="764"/>
      <c r="GM9" s="764"/>
      <c r="GN9" s="764"/>
      <c r="GO9" s="764"/>
      <c r="GP9" s="764"/>
      <c r="GQ9" s="764"/>
      <c r="GR9" s="764"/>
      <c r="GS9" s="764"/>
      <c r="GT9" s="764"/>
      <c r="GU9" s="764"/>
      <c r="GV9" s="764"/>
    </row>
    <row r="10" spans="1:204" s="755" customFormat="1" ht="15.75">
      <c r="A10" s="78" t="s">
        <v>1786</v>
      </c>
      <c r="B10" s="764"/>
      <c r="C10" s="767"/>
      <c r="D10" s="764"/>
      <c r="E10" s="78" t="s">
        <v>406</v>
      </c>
      <c r="F10" s="77"/>
      <c r="G10" s="80" t="s">
        <v>1064</v>
      </c>
      <c r="H10" s="77"/>
      <c r="I10" s="80" t="s">
        <v>279</v>
      </c>
      <c r="J10" s="77"/>
      <c r="K10" s="80" t="s">
        <v>1773</v>
      </c>
      <c r="L10" s="77"/>
      <c r="M10" s="80" t="s">
        <v>755</v>
      </c>
      <c r="N10" s="77"/>
      <c r="O10" s="80" t="s">
        <v>304</v>
      </c>
      <c r="P10" s="77"/>
      <c r="Q10" s="1478">
        <v>0.03</v>
      </c>
      <c r="R10" s="77"/>
      <c r="S10" s="1478">
        <v>0.04</v>
      </c>
      <c r="T10" s="77"/>
      <c r="U10" s="80" t="s">
        <v>110</v>
      </c>
      <c r="V10" s="77"/>
      <c r="W10" s="80" t="s">
        <v>64</v>
      </c>
      <c r="X10" s="480"/>
      <c r="Y10" s="78" t="s">
        <v>1774</v>
      </c>
      <c r="Z10" s="770"/>
      <c r="AA10" s="763"/>
      <c r="AB10" s="769"/>
      <c r="AC10" s="764"/>
      <c r="AD10" s="768"/>
      <c r="AE10" s="764"/>
      <c r="AF10" s="764"/>
      <c r="AG10" s="764"/>
      <c r="AH10" s="764"/>
      <c r="AI10" s="764"/>
      <c r="AJ10" s="764"/>
      <c r="AK10" s="764"/>
      <c r="AL10" s="764"/>
      <c r="AM10" s="764"/>
      <c r="AN10" s="764"/>
      <c r="AO10" s="764"/>
      <c r="AP10" s="764"/>
      <c r="AQ10" s="764"/>
      <c r="AR10" s="764"/>
      <c r="AS10" s="764"/>
      <c r="AT10" s="764"/>
      <c r="AU10" s="764"/>
      <c r="AV10" s="764"/>
      <c r="AW10" s="764"/>
      <c r="AX10" s="764"/>
      <c r="AY10" s="764"/>
      <c r="AZ10" s="764"/>
      <c r="BA10" s="764"/>
      <c r="BB10" s="764"/>
      <c r="BC10" s="764"/>
      <c r="BD10" s="764"/>
      <c r="BE10" s="764"/>
      <c r="BF10" s="764"/>
      <c r="BG10" s="764"/>
      <c r="BH10" s="764"/>
      <c r="BI10" s="764"/>
      <c r="BJ10" s="764"/>
      <c r="BK10" s="764"/>
      <c r="BL10" s="764"/>
      <c r="BM10" s="764"/>
      <c r="BN10" s="764"/>
      <c r="BO10" s="764"/>
      <c r="BP10" s="764"/>
      <c r="BQ10" s="764"/>
      <c r="BR10" s="764"/>
      <c r="BS10" s="764"/>
      <c r="BT10" s="764"/>
      <c r="BU10" s="764"/>
      <c r="BV10" s="764"/>
      <c r="BW10" s="764"/>
      <c r="BX10" s="764"/>
      <c r="BY10" s="764"/>
      <c r="BZ10" s="764"/>
      <c r="CA10" s="764"/>
      <c r="CB10" s="764"/>
      <c r="CC10" s="764"/>
      <c r="CD10" s="764"/>
      <c r="CE10" s="764"/>
      <c r="CF10" s="764"/>
      <c r="CG10" s="764"/>
      <c r="CH10" s="764"/>
      <c r="CI10" s="764"/>
      <c r="CJ10" s="764"/>
      <c r="CK10" s="764"/>
      <c r="CL10" s="764"/>
      <c r="CM10" s="764"/>
      <c r="CN10" s="764"/>
      <c r="CO10" s="764"/>
      <c r="CP10" s="764"/>
      <c r="CQ10" s="764"/>
      <c r="CR10" s="764"/>
      <c r="CS10" s="764"/>
      <c r="CT10" s="764"/>
      <c r="CU10" s="764"/>
      <c r="CV10" s="764"/>
      <c r="CW10" s="764"/>
      <c r="CX10" s="764"/>
      <c r="CY10" s="764"/>
      <c r="CZ10" s="764"/>
      <c r="DA10" s="764"/>
      <c r="DB10" s="764"/>
      <c r="DC10" s="764"/>
      <c r="DD10" s="764"/>
      <c r="DE10" s="764"/>
      <c r="DF10" s="764"/>
      <c r="DG10" s="764"/>
      <c r="DH10" s="764"/>
      <c r="DI10" s="764"/>
      <c r="DJ10" s="764"/>
      <c r="DK10" s="764"/>
      <c r="DL10" s="764"/>
      <c r="DM10" s="764"/>
      <c r="DN10" s="764"/>
      <c r="DO10" s="764"/>
      <c r="DP10" s="764"/>
      <c r="DQ10" s="764"/>
      <c r="DR10" s="764"/>
      <c r="DS10" s="764"/>
      <c r="DT10" s="764"/>
      <c r="DU10" s="764"/>
      <c r="DV10" s="764"/>
      <c r="DW10" s="764"/>
      <c r="DX10" s="764"/>
      <c r="DY10" s="764"/>
      <c r="DZ10" s="764"/>
      <c r="EA10" s="764"/>
      <c r="EB10" s="764"/>
      <c r="EC10" s="764"/>
      <c r="ED10" s="764"/>
      <c r="EE10" s="764"/>
      <c r="EF10" s="764"/>
      <c r="EG10" s="764"/>
      <c r="EH10" s="764"/>
      <c r="EI10" s="764"/>
      <c r="EJ10" s="764"/>
      <c r="EK10" s="764"/>
      <c r="EL10" s="764"/>
      <c r="EM10" s="764"/>
      <c r="EN10" s="764"/>
      <c r="EO10" s="764"/>
      <c r="EP10" s="764"/>
      <c r="EQ10" s="764"/>
      <c r="ER10" s="764"/>
      <c r="ES10" s="764"/>
      <c r="ET10" s="764"/>
      <c r="EU10" s="764"/>
      <c r="EV10" s="764"/>
      <c r="EW10" s="764"/>
      <c r="EX10" s="764"/>
      <c r="EY10" s="764"/>
      <c r="EZ10" s="764"/>
      <c r="FA10" s="764"/>
      <c r="FB10" s="764"/>
      <c r="FC10" s="764"/>
      <c r="FD10" s="764"/>
      <c r="FE10" s="764"/>
      <c r="FF10" s="764"/>
      <c r="FG10" s="764"/>
      <c r="FH10" s="764"/>
      <c r="FI10" s="764"/>
      <c r="FJ10" s="764"/>
      <c r="FK10" s="764"/>
      <c r="FL10" s="764"/>
      <c r="FM10" s="764"/>
      <c r="FN10" s="764"/>
      <c r="FO10" s="764"/>
      <c r="FP10" s="764"/>
      <c r="FQ10" s="764"/>
      <c r="FR10" s="764"/>
      <c r="FS10" s="764"/>
      <c r="FT10" s="764"/>
      <c r="FU10" s="764"/>
      <c r="FV10" s="764"/>
      <c r="FW10" s="764"/>
      <c r="FX10" s="764"/>
      <c r="FY10" s="764"/>
      <c r="FZ10" s="764"/>
      <c r="GA10" s="764"/>
      <c r="GB10" s="764"/>
      <c r="GC10" s="764"/>
      <c r="GD10" s="764"/>
      <c r="GE10" s="764"/>
      <c r="GF10" s="764"/>
      <c r="GG10" s="764"/>
      <c r="GH10" s="764"/>
      <c r="GI10" s="764"/>
      <c r="GJ10" s="764"/>
      <c r="GK10" s="764"/>
      <c r="GL10" s="764"/>
      <c r="GM10" s="764"/>
      <c r="GN10" s="764"/>
      <c r="GO10" s="764"/>
      <c r="GP10" s="764"/>
      <c r="GQ10" s="764"/>
      <c r="GR10" s="764"/>
      <c r="GS10" s="764"/>
      <c r="GT10" s="764"/>
      <c r="GU10" s="764"/>
      <c r="GV10" s="764"/>
    </row>
    <row r="13" spans="1:204" s="755" customFormat="1" ht="16.5" thickBot="1">
      <c r="A13" s="1560">
        <v>1</v>
      </c>
      <c r="B13" s="756" t="s">
        <v>1084</v>
      </c>
      <c r="E13" s="522">
        <v>4851704.3200000012</v>
      </c>
      <c r="F13" s="504"/>
      <c r="G13" s="504">
        <v>317992.13135999994</v>
      </c>
      <c r="H13" s="504"/>
      <c r="I13" s="504">
        <v>3192</v>
      </c>
      <c r="J13" s="504"/>
      <c r="K13" s="504">
        <v>65809.350000000064</v>
      </c>
      <c r="L13" s="504"/>
      <c r="M13" s="522">
        <v>386993.48136000015</v>
      </c>
      <c r="N13" s="504"/>
      <c r="O13" s="504">
        <v>418992</v>
      </c>
      <c r="P13" s="504"/>
      <c r="Q13" s="504">
        <v>145229.76959999997</v>
      </c>
      <c r="R13" s="504"/>
      <c r="S13" s="504">
        <v>193639.69280000005</v>
      </c>
      <c r="T13" s="504"/>
      <c r="U13" s="504">
        <v>25424</v>
      </c>
      <c r="V13" s="504"/>
      <c r="W13" s="522">
        <v>783285.46239999961</v>
      </c>
      <c r="X13" s="789"/>
      <c r="Y13" s="789">
        <v>4851704.3200000012</v>
      </c>
      <c r="Z13" s="771"/>
      <c r="AA13" s="772"/>
      <c r="AB13" s="771"/>
      <c r="AC13" s="771"/>
      <c r="AD13" s="504">
        <v>4851704.3200000012</v>
      </c>
    </row>
    <row r="14" spans="1:204" ht="15.75" thickTop="1">
      <c r="A14" s="1560"/>
    </row>
    <row r="15" spans="1:204">
      <c r="A15" s="1560">
        <v>2</v>
      </c>
      <c r="C15" s="1477" t="s">
        <v>77</v>
      </c>
      <c r="D15" s="1479">
        <f>+'Input Schedule'!D17</f>
        <v>2.6393242386234281E-2</v>
      </c>
      <c r="E15" s="1480">
        <f>E13*$D$15</f>
        <v>128052.20810410001</v>
      </c>
      <c r="G15" s="1480">
        <f>G13*$D$15</f>
        <v>8392.8433998997298</v>
      </c>
      <c r="I15" s="1480">
        <f>I13*$D$15</f>
        <v>84.247229696859833</v>
      </c>
      <c r="K15" s="1480">
        <f>K13*$D$15</f>
        <v>1736.9221258305288</v>
      </c>
      <c r="M15" s="1480">
        <f>M13*$D$15</f>
        <v>10214.012755427122</v>
      </c>
      <c r="O15" s="1480">
        <f>O13*$D$15</f>
        <v>11058.557413893073</v>
      </c>
      <c r="Q15" s="1480">
        <f>Q13*$D$15</f>
        <v>3833.084510749758</v>
      </c>
      <c r="S15" s="1480">
        <f>S13*$D$15</f>
        <v>5110.7793476663464</v>
      </c>
      <c r="U15" s="1480">
        <f>U13*$D$15</f>
        <v>671.02179442762042</v>
      </c>
      <c r="W15" s="1480">
        <f>W13*$D$15</f>
        <v>20673.443066736789</v>
      </c>
      <c r="Y15" s="1480">
        <f>Y13*$D$15</f>
        <v>128052.20810410001</v>
      </c>
      <c r="AD15" s="1480">
        <f>AD13*$D$15</f>
        <v>128052.20810410001</v>
      </c>
    </row>
  </sheetData>
  <pageMargins left="0.7" right="0.7" top="0.75" bottom="0.75" header="0.3" footer="0.3"/>
  <pageSetup scale="47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99"/>
  <sheetViews>
    <sheetView view="pageBreakPreview" zoomScale="75" zoomScaleNormal="100" zoomScaleSheetLayoutView="75" workbookViewId="0">
      <pane xSplit="4" ySplit="10" topLeftCell="E44" activePane="bottomRight" state="frozen"/>
      <selection pane="topRight"/>
      <selection pane="bottomLeft"/>
      <selection pane="bottomRight"/>
    </sheetView>
  </sheetViews>
  <sheetFormatPr defaultRowHeight="12.75"/>
  <cols>
    <col min="1" max="1" width="9" style="439"/>
    <col min="2" max="2" width="2" style="439" customWidth="1"/>
    <col min="3" max="3" width="2.625" style="439" customWidth="1"/>
    <col min="4" max="4" width="29.25" style="439" customWidth="1"/>
    <col min="5" max="5" width="4.5" style="439" customWidth="1"/>
    <col min="6" max="6" width="10.75" style="439" bestFit="1" customWidth="1"/>
    <col min="7" max="7" width="3.5" style="439" bestFit="1" customWidth="1"/>
    <col min="8" max="8" width="11.125" style="439" bestFit="1" customWidth="1"/>
    <col min="9" max="9" width="1.625" style="439" customWidth="1"/>
    <col min="10" max="10" width="11.625" style="439" bestFit="1" customWidth="1"/>
    <col min="11" max="11" width="2.125" style="439" customWidth="1"/>
    <col min="12" max="12" width="12.25" style="439" customWidth="1"/>
    <col min="13" max="13" width="2.75" style="439" customWidth="1"/>
    <col min="14" max="14" width="8.25" style="439" bestFit="1" customWidth="1"/>
    <col min="15" max="15" width="2" style="439" customWidth="1"/>
    <col min="16" max="16" width="10.375" style="439" bestFit="1" customWidth="1"/>
    <col min="17" max="17" width="2.125" style="439" customWidth="1"/>
    <col min="18" max="18" width="9" style="439"/>
    <col min="19" max="19" width="2.125" style="439" customWidth="1"/>
    <col min="20" max="20" width="11.625" style="439" bestFit="1" customWidth="1"/>
    <col min="21" max="21" width="2.125" style="439" customWidth="1"/>
    <col min="22" max="22" width="10.125" style="439" bestFit="1" customWidth="1"/>
    <col min="23" max="23" width="2.125" style="439" customWidth="1"/>
    <col min="24" max="24" width="9" style="439"/>
    <col min="25" max="25" width="1.875" style="439" customWidth="1"/>
    <col min="26" max="26" width="11.375" style="439" bestFit="1" customWidth="1"/>
    <col min="27" max="27" width="2.25" style="439" customWidth="1"/>
    <col min="28" max="28" width="9" style="439" customWidth="1"/>
    <col min="29" max="29" width="2.25" style="439" customWidth="1"/>
    <col min="30" max="30" width="9" style="439" customWidth="1"/>
    <col min="31" max="31" width="2.25" style="439" customWidth="1"/>
    <col min="32" max="32" width="9.625" style="439" bestFit="1" customWidth="1"/>
    <col min="33" max="33" width="2.875" style="439" customWidth="1"/>
    <col min="34" max="34" width="9" style="439"/>
    <col min="35" max="35" width="2.25" style="439" customWidth="1"/>
    <col min="36" max="36" width="9" style="439"/>
    <col min="37" max="37" width="2.25" style="439" customWidth="1"/>
    <col min="38" max="38" width="9.25" style="439" bestFit="1" customWidth="1"/>
    <col min="39" max="39" width="9" style="439"/>
    <col min="40" max="40" width="20.125" style="439" bestFit="1" customWidth="1"/>
    <col min="41" max="16384" width="9" style="439"/>
  </cols>
  <sheetData>
    <row r="1" spans="1:42" ht="15.75" thickBot="1">
      <c r="A1" s="462" t="str">
        <f>Company_Name</f>
        <v>WATER SERVICE CORPORATION OF KENTUCKY</v>
      </c>
      <c r="C1" s="68"/>
      <c r="D1" s="462"/>
      <c r="E1" s="463"/>
      <c r="F1" s="68"/>
      <c r="G1" s="68"/>
      <c r="H1" s="68"/>
      <c r="I1" s="68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464" t="s">
        <v>799</v>
      </c>
      <c r="Y1" s="68"/>
      <c r="Z1" s="68"/>
      <c r="AA1" s="68"/>
      <c r="AB1" s="462"/>
      <c r="AC1" s="462"/>
      <c r="AD1" s="462"/>
      <c r="AE1" s="462"/>
      <c r="AF1" s="462"/>
      <c r="AG1" s="462"/>
      <c r="AH1" s="462"/>
      <c r="AI1" s="462"/>
      <c r="AJ1" s="464"/>
      <c r="AK1" s="465"/>
      <c r="AL1" s="466"/>
      <c r="AM1" s="467"/>
      <c r="AN1" s="468" t="s">
        <v>137</v>
      </c>
      <c r="AO1" s="469" t="s">
        <v>308</v>
      </c>
      <c r="AP1" s="470"/>
    </row>
    <row r="2" spans="1:42" ht="15.75" thickBot="1">
      <c r="A2" s="462" t="str">
        <f>Docket</f>
        <v>Case No. 2015 - 00382</v>
      </c>
      <c r="C2" s="68"/>
      <c r="D2" s="462"/>
      <c r="E2" s="463"/>
      <c r="F2" s="68"/>
      <c r="G2" s="68"/>
      <c r="H2" s="68"/>
      <c r="I2" s="68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464"/>
      <c r="Y2" s="68"/>
      <c r="Z2" s="68"/>
      <c r="AA2" s="68"/>
      <c r="AB2" s="462"/>
      <c r="AC2" s="462"/>
      <c r="AD2" s="462"/>
      <c r="AE2" s="462"/>
      <c r="AF2" s="462"/>
      <c r="AG2" s="462"/>
      <c r="AH2" s="462"/>
      <c r="AI2" s="462"/>
      <c r="AJ2" s="464"/>
      <c r="AK2" s="465"/>
      <c r="AL2" s="466"/>
      <c r="AM2" s="467"/>
      <c r="AN2" s="468"/>
      <c r="AO2" s="469"/>
      <c r="AP2" s="470"/>
    </row>
    <row r="3" spans="1:42" ht="15.75" thickBot="1">
      <c r="A3" s="67" t="s">
        <v>512</v>
      </c>
      <c r="C3" s="68"/>
      <c r="D3" s="68"/>
      <c r="E3" s="463"/>
      <c r="F3" s="68"/>
      <c r="G3" s="68"/>
      <c r="H3" s="68"/>
      <c r="I3" s="68"/>
      <c r="J3" s="582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472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473" t="s">
        <v>146</v>
      </c>
      <c r="AN3" s="474">
        <v>9300</v>
      </c>
      <c r="AO3" s="475">
        <v>3.3000000000000002E-2</v>
      </c>
      <c r="AP3" s="470"/>
    </row>
    <row r="4" spans="1:42" ht="15">
      <c r="A4" s="67" t="str">
        <f>TestYearEnded</f>
        <v>Test Year Ended 6/30/2015</v>
      </c>
      <c r="C4" s="68"/>
      <c r="D4" s="68"/>
      <c r="E4" s="463"/>
      <c r="F4" s="68"/>
      <c r="G4" s="68"/>
      <c r="H4" s="68"/>
      <c r="I4" s="68"/>
      <c r="J4" s="471"/>
      <c r="K4" s="68"/>
      <c r="L4" s="67" t="s">
        <v>1483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472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476"/>
      <c r="AN4" s="477"/>
      <c r="AO4" s="478"/>
      <c r="AP4" s="470"/>
    </row>
    <row r="5" spans="1:42" ht="15">
      <c r="B5" s="67"/>
      <c r="C5" s="68"/>
      <c r="D5" s="68"/>
      <c r="E5" s="463"/>
      <c r="F5" s="68"/>
      <c r="G5" s="68"/>
      <c r="H5" s="68"/>
      <c r="I5" s="68"/>
      <c r="J5" s="471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472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476"/>
      <c r="AN5" s="477"/>
      <c r="AO5" s="478"/>
      <c r="AP5" s="470"/>
    </row>
    <row r="6" spans="1:42" s="1068" customFormat="1" ht="14.25">
      <c r="B6" s="1548"/>
      <c r="C6" s="1548"/>
      <c r="D6" s="1548" t="s">
        <v>235</v>
      </c>
      <c r="E6" s="1549"/>
      <c r="F6" s="1548" t="s">
        <v>236</v>
      </c>
      <c r="G6" s="1548"/>
      <c r="H6" s="1548" t="s">
        <v>237</v>
      </c>
      <c r="I6" s="1548"/>
      <c r="J6" s="1550" t="s">
        <v>238</v>
      </c>
      <c r="K6" s="1548"/>
      <c r="L6" s="1548" t="s">
        <v>239</v>
      </c>
      <c r="M6" s="1548"/>
      <c r="N6" s="1548" t="s">
        <v>869</v>
      </c>
      <c r="O6" s="1548"/>
      <c r="P6" s="1548" t="s">
        <v>870</v>
      </c>
      <c r="Q6" s="1548"/>
      <c r="R6" s="1548" t="s">
        <v>871</v>
      </c>
      <c r="S6" s="1548"/>
      <c r="T6" s="1548" t="s">
        <v>872</v>
      </c>
      <c r="U6" s="1548"/>
      <c r="V6" s="1548" t="s">
        <v>873</v>
      </c>
      <c r="W6" s="1548"/>
      <c r="X6" s="1548" t="s">
        <v>874</v>
      </c>
      <c r="Y6" s="1548"/>
      <c r="Z6" s="1551" t="s">
        <v>2304</v>
      </c>
      <c r="AA6" s="1548"/>
      <c r="AB6" s="1548" t="s">
        <v>2305</v>
      </c>
      <c r="AC6" s="1548"/>
      <c r="AD6" s="1548" t="s">
        <v>2306</v>
      </c>
      <c r="AE6" s="1548"/>
      <c r="AF6" s="1548" t="s">
        <v>2307</v>
      </c>
      <c r="AG6" s="1548"/>
      <c r="AH6" s="1548" t="s">
        <v>2308</v>
      </c>
      <c r="AI6" s="1548"/>
      <c r="AJ6" s="1548" t="s">
        <v>2309</v>
      </c>
      <c r="AK6" s="1548"/>
      <c r="AL6" s="1548" t="s">
        <v>2310</v>
      </c>
      <c r="AM6" s="476"/>
      <c r="AN6" s="476"/>
      <c r="AO6" s="1552"/>
      <c r="AP6" s="1553"/>
    </row>
    <row r="7" spans="1:42" ht="15">
      <c r="B7" s="68"/>
      <c r="C7" s="68"/>
      <c r="D7" s="68"/>
      <c r="E7" s="463"/>
      <c r="F7" s="68"/>
      <c r="G7" s="68"/>
      <c r="H7" s="68"/>
      <c r="I7" s="68"/>
      <c r="J7" s="471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476"/>
      <c r="AN7" s="477"/>
      <c r="AO7" s="478"/>
      <c r="AP7" s="470"/>
    </row>
    <row r="8" spans="1:42" ht="15">
      <c r="B8" s="68"/>
      <c r="C8" s="67"/>
      <c r="D8" s="68"/>
      <c r="E8" s="463"/>
      <c r="F8" s="72" t="s">
        <v>73</v>
      </c>
      <c r="G8" s="68"/>
      <c r="H8" s="68"/>
      <c r="I8" s="68"/>
      <c r="J8" s="68"/>
      <c r="K8" s="68"/>
      <c r="L8" s="73"/>
      <c r="M8" s="68"/>
      <c r="N8" s="68"/>
      <c r="O8" s="68"/>
      <c r="P8" s="479">
        <v>41274</v>
      </c>
      <c r="Q8" s="85"/>
      <c r="R8" s="85"/>
      <c r="S8" s="480"/>
      <c r="T8" s="77" t="s">
        <v>1769</v>
      </c>
      <c r="U8" s="85"/>
      <c r="V8" s="85"/>
      <c r="W8" s="85"/>
      <c r="X8" s="68"/>
      <c r="Y8" s="68"/>
      <c r="Z8" s="77" t="s">
        <v>325</v>
      </c>
      <c r="AA8" s="77"/>
      <c r="AB8" s="470"/>
      <c r="AC8" s="481"/>
      <c r="AD8" s="481"/>
      <c r="AE8" s="481"/>
      <c r="AF8" s="72"/>
      <c r="AG8" s="72"/>
      <c r="AH8" s="72"/>
      <c r="AI8" s="72"/>
      <c r="AJ8" s="72"/>
      <c r="AK8" s="72"/>
      <c r="AL8" s="480" t="s">
        <v>73</v>
      </c>
      <c r="AM8" s="85"/>
      <c r="AN8" s="85"/>
      <c r="AO8" s="85"/>
      <c r="AP8" s="482"/>
    </row>
    <row r="9" spans="1:42" ht="15">
      <c r="B9" s="77"/>
      <c r="C9" s="77"/>
      <c r="D9" s="77"/>
      <c r="E9" s="77"/>
      <c r="F9" s="72" t="s">
        <v>68</v>
      </c>
      <c r="G9" s="77"/>
      <c r="H9" s="77" t="s">
        <v>326</v>
      </c>
      <c r="I9" s="77"/>
      <c r="J9" s="77" t="s">
        <v>327</v>
      </c>
      <c r="K9" s="77"/>
      <c r="L9" s="77" t="s">
        <v>137</v>
      </c>
      <c r="M9" s="77"/>
      <c r="N9" s="77" t="s">
        <v>314</v>
      </c>
      <c r="O9" s="77"/>
      <c r="P9" s="77" t="s">
        <v>442</v>
      </c>
      <c r="Q9" s="77"/>
      <c r="R9" s="77" t="s">
        <v>636</v>
      </c>
      <c r="S9" s="77"/>
      <c r="T9" s="77" t="s">
        <v>1770</v>
      </c>
      <c r="U9" s="77"/>
      <c r="V9" s="479">
        <v>41274</v>
      </c>
      <c r="W9" s="77"/>
      <c r="X9" s="77" t="s">
        <v>314</v>
      </c>
      <c r="Y9" s="77"/>
      <c r="Z9" s="77" t="s">
        <v>748</v>
      </c>
      <c r="AA9" s="77"/>
      <c r="AB9" s="77" t="s">
        <v>457</v>
      </c>
      <c r="AC9" s="77"/>
      <c r="AD9" s="77" t="s">
        <v>457</v>
      </c>
      <c r="AE9" s="77"/>
      <c r="AF9" s="480" t="s">
        <v>68</v>
      </c>
      <c r="AG9" s="480"/>
      <c r="AH9" s="480" t="s">
        <v>1330</v>
      </c>
      <c r="AI9" s="480"/>
      <c r="AJ9" s="483"/>
      <c r="AK9" s="480"/>
      <c r="AL9" s="480" t="s">
        <v>68</v>
      </c>
      <c r="AM9" s="476"/>
      <c r="AN9" s="477"/>
      <c r="AO9" s="484"/>
      <c r="AP9" s="485"/>
    </row>
    <row r="10" spans="1:42" ht="15">
      <c r="A10" s="933" t="s">
        <v>1786</v>
      </c>
      <c r="B10" s="77"/>
      <c r="C10" s="77"/>
      <c r="D10" s="77"/>
      <c r="E10" s="77"/>
      <c r="F10" s="78" t="s">
        <v>406</v>
      </c>
      <c r="G10" s="77" t="s">
        <v>1069</v>
      </c>
      <c r="H10" s="80" t="str">
        <f>"7.65%"</f>
        <v>7.65%</v>
      </c>
      <c r="I10" s="77"/>
      <c r="J10" s="80" t="s">
        <v>279</v>
      </c>
      <c r="K10" s="77"/>
      <c r="L10" s="80" t="s">
        <v>1765</v>
      </c>
      <c r="M10" s="77"/>
      <c r="N10" s="80" t="s">
        <v>755</v>
      </c>
      <c r="O10" s="77"/>
      <c r="P10" s="80" t="s">
        <v>304</v>
      </c>
      <c r="Q10" s="77"/>
      <c r="R10" s="80" t="s">
        <v>631</v>
      </c>
      <c r="S10" s="77"/>
      <c r="T10" s="80" t="s">
        <v>632</v>
      </c>
      <c r="U10" s="77"/>
      <c r="V10" s="80" t="s">
        <v>110</v>
      </c>
      <c r="W10" s="77"/>
      <c r="X10" s="80" t="s">
        <v>64</v>
      </c>
      <c r="Y10" s="480"/>
      <c r="Z10" s="80"/>
      <c r="AA10" s="80"/>
      <c r="AB10" s="486"/>
      <c r="AC10" s="481"/>
      <c r="AD10" s="78" t="s">
        <v>656</v>
      </c>
      <c r="AE10" s="481"/>
      <c r="AF10" s="78" t="s">
        <v>406</v>
      </c>
      <c r="AG10" s="72"/>
      <c r="AH10" s="72" t="s">
        <v>1331</v>
      </c>
      <c r="AI10" s="481"/>
      <c r="AJ10" s="78" t="s">
        <v>55</v>
      </c>
      <c r="AK10" s="72"/>
      <c r="AL10" s="78" t="s">
        <v>406</v>
      </c>
      <c r="AM10" s="480"/>
      <c r="AN10" s="480"/>
      <c r="AO10" s="480"/>
      <c r="AP10" s="487"/>
    </row>
    <row r="11" spans="1:42" ht="15.75" thickBot="1">
      <c r="A11" s="1504">
        <v>1</v>
      </c>
      <c r="B11" s="68"/>
      <c r="C11" s="86" t="s">
        <v>677</v>
      </c>
      <c r="D11" s="85"/>
      <c r="E11" s="463"/>
      <c r="F11" s="82"/>
      <c r="G11" s="68"/>
      <c r="H11" s="68"/>
      <c r="I11" s="68"/>
      <c r="J11" s="68"/>
      <c r="K11" s="68"/>
      <c r="L11" s="48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489"/>
      <c r="AC11" s="490"/>
      <c r="AD11" s="481"/>
      <c r="AE11" s="490"/>
      <c r="AF11" s="490"/>
      <c r="AG11" s="490"/>
      <c r="AH11" s="490"/>
      <c r="AI11" s="490"/>
      <c r="AJ11" s="82"/>
      <c r="AK11" s="82"/>
      <c r="AL11" s="82"/>
      <c r="AM11" s="68"/>
      <c r="AN11" s="68"/>
      <c r="AO11" s="68"/>
      <c r="AP11" s="482"/>
    </row>
    <row r="12" spans="1:42" ht="15.75" thickBot="1">
      <c r="A12" s="1504">
        <v>2</v>
      </c>
      <c r="B12" s="68"/>
      <c r="C12" s="491"/>
      <c r="D12" s="492" t="s">
        <v>1321</v>
      </c>
      <c r="E12" s="68"/>
      <c r="F12" s="493">
        <f t="shared" ref="F12:F21" si="0">AL12</f>
        <v>50756.05</v>
      </c>
      <c r="G12" s="494"/>
      <c r="H12" s="494">
        <f t="shared" ref="H12:H22" si="1">+ROUND((IF(F12&gt;=113700,113700*0.062,F12*0.062)+(F12*0.0145)),0)</f>
        <v>3883</v>
      </c>
      <c r="I12" s="494"/>
      <c r="J12" s="494">
        <f>ROUND(7000*0.008,0)</f>
        <v>56</v>
      </c>
      <c r="K12" s="494"/>
      <c r="L12" s="493">
        <f>IF(F12&lt;=9300,F12*0.033,9300*0.033)</f>
        <v>306.90000000000003</v>
      </c>
      <c r="M12" s="494"/>
      <c r="N12" s="494">
        <f>SUM(H12:L12)</f>
        <v>4245.8999999999996</v>
      </c>
      <c r="O12" s="494"/>
      <c r="P12" s="494">
        <f>'wp b1'!J15</f>
        <v>7481.8509443099274</v>
      </c>
      <c r="Q12" s="494"/>
      <c r="R12" s="494">
        <f>F12*0.03</f>
        <v>1522.6815000000001</v>
      </c>
      <c r="S12" s="494"/>
      <c r="T12" s="494">
        <f>F12*0.04</f>
        <v>2030.2420000000002</v>
      </c>
      <c r="U12" s="494"/>
      <c r="V12" s="494">
        <f>'wp b1'!J23</f>
        <v>453.52290556900732</v>
      </c>
      <c r="W12" s="494"/>
      <c r="X12" s="494">
        <f>SUM(P12:V12)</f>
        <v>11488.297349878934</v>
      </c>
      <c r="Y12" s="68"/>
      <c r="Z12" s="495">
        <f>GETPIVOTDATA("Percentage",'Operators allocation'!$A$3,"Name","Bolt, Gregory C.")/100</f>
        <v>1</v>
      </c>
      <c r="AA12" s="472"/>
      <c r="AB12" s="496">
        <v>21.1</v>
      </c>
      <c r="AC12" s="82"/>
      <c r="AD12" s="480">
        <v>2080</v>
      </c>
      <c r="AE12" s="68"/>
      <c r="AF12" s="497">
        <f>AB12*AD12</f>
        <v>43888</v>
      </c>
      <c r="AG12" s="493"/>
      <c r="AH12" s="493">
        <v>217</v>
      </c>
      <c r="AI12" s="494"/>
      <c r="AJ12" s="498">
        <f>AH12*AB12*1.5</f>
        <v>6868.0500000000011</v>
      </c>
      <c r="AK12" s="494"/>
      <c r="AL12" s="494">
        <f>AJ12+AF12</f>
        <v>50756.05</v>
      </c>
      <c r="AM12" s="476"/>
      <c r="AN12" s="1545"/>
      <c r="AO12" s="1546"/>
      <c r="AP12" s="499"/>
    </row>
    <row r="13" spans="1:42" ht="15.75" thickBot="1">
      <c r="A13" s="1504">
        <v>3</v>
      </c>
      <c r="B13" s="68"/>
      <c r="C13" s="491"/>
      <c r="D13" s="492" t="s">
        <v>1322</v>
      </c>
      <c r="E13" s="463"/>
      <c r="F13" s="493">
        <f t="shared" si="0"/>
        <v>39906.829999999994</v>
      </c>
      <c r="G13" s="494"/>
      <c r="H13" s="494">
        <f t="shared" si="1"/>
        <v>3053</v>
      </c>
      <c r="I13" s="494"/>
      <c r="J13" s="494">
        <f t="shared" ref="J13:J22" si="2">ROUND(7000*0.008,0)</f>
        <v>56</v>
      </c>
      <c r="K13" s="494"/>
      <c r="L13" s="493">
        <f t="shared" ref="L13:L22" si="3">IF(F13&lt;=9300,F13*0.033,9300*0.033)</f>
        <v>306.90000000000003</v>
      </c>
      <c r="M13" s="494"/>
      <c r="N13" s="494">
        <f>SUM(H13:L13)</f>
        <v>3415.9</v>
      </c>
      <c r="O13" s="494"/>
      <c r="P13" s="494">
        <f t="shared" ref="P13:P22" si="4">+P12</f>
        <v>7481.8509443099274</v>
      </c>
      <c r="Q13" s="494"/>
      <c r="R13" s="494">
        <f t="shared" ref="R13:R21" si="5">F13*0.03</f>
        <v>1197.2048999999997</v>
      </c>
      <c r="S13" s="494"/>
      <c r="T13" s="494">
        <f t="shared" ref="T13:T21" si="6">F13*0.04</f>
        <v>1596.2731999999999</v>
      </c>
      <c r="U13" s="494"/>
      <c r="V13" s="494">
        <f>+V12</f>
        <v>453.52290556900732</v>
      </c>
      <c r="W13" s="494"/>
      <c r="X13" s="494">
        <f>SUM(P13:V13)</f>
        <v>10728.851949878934</v>
      </c>
      <c r="Y13" s="68"/>
      <c r="Z13" s="495">
        <f>GETPIVOTDATA("Percentage",'Operators allocation'!$A$3,"Name","Johnson, Harvey H.")/100</f>
        <v>1</v>
      </c>
      <c r="AA13" s="472"/>
      <c r="AB13" s="496">
        <v>18.739999999999998</v>
      </c>
      <c r="AC13" s="82"/>
      <c r="AD13" s="480">
        <v>2080</v>
      </c>
      <c r="AE13" s="68"/>
      <c r="AF13" s="497">
        <f t="shared" ref="AF13:AF22" si="7">AB13*AD13</f>
        <v>38979.199999999997</v>
      </c>
      <c r="AG13" s="493"/>
      <c r="AH13" s="493">
        <v>33</v>
      </c>
      <c r="AI13" s="494"/>
      <c r="AJ13" s="498">
        <f t="shared" ref="AJ13:AJ22" si="8">AH13*AB13*1.5</f>
        <v>927.62999999999988</v>
      </c>
      <c r="AK13" s="494"/>
      <c r="AL13" s="494">
        <f t="shared" ref="AL13:AL22" si="9">AJ13+AF13</f>
        <v>39906.829999999994</v>
      </c>
      <c r="AM13" s="476"/>
      <c r="AN13" s="1545"/>
      <c r="AO13" s="1546"/>
      <c r="AP13" s="499"/>
    </row>
    <row r="14" spans="1:42" ht="15.75" thickBot="1">
      <c r="A14" s="1504">
        <v>4</v>
      </c>
      <c r="B14" s="68"/>
      <c r="C14" s="491"/>
      <c r="D14" s="492" t="s">
        <v>1665</v>
      </c>
      <c r="E14" s="463"/>
      <c r="F14" s="493">
        <f t="shared" si="0"/>
        <v>32332.0625</v>
      </c>
      <c r="G14" s="494"/>
      <c r="H14" s="494">
        <f t="shared" si="1"/>
        <v>2473</v>
      </c>
      <c r="I14" s="494"/>
      <c r="J14" s="494">
        <f t="shared" si="2"/>
        <v>56</v>
      </c>
      <c r="K14" s="494"/>
      <c r="L14" s="493">
        <f t="shared" si="3"/>
        <v>306.90000000000003</v>
      </c>
      <c r="M14" s="494"/>
      <c r="N14" s="494">
        <f>SUM(H14:L14)</f>
        <v>2835.9</v>
      </c>
      <c r="O14" s="494"/>
      <c r="P14" s="494">
        <f t="shared" si="4"/>
        <v>7481.8509443099274</v>
      </c>
      <c r="Q14" s="494"/>
      <c r="R14" s="494">
        <f>F14*0.03</f>
        <v>969.96187499999996</v>
      </c>
      <c r="S14" s="494"/>
      <c r="T14" s="494">
        <f>F14*0.04</f>
        <v>1293.2825</v>
      </c>
      <c r="U14" s="494"/>
      <c r="V14" s="494">
        <f>+V13</f>
        <v>453.52290556900732</v>
      </c>
      <c r="W14" s="494"/>
      <c r="X14" s="494">
        <f>SUM(P14:V14)</f>
        <v>10198.618224878934</v>
      </c>
      <c r="Y14" s="68"/>
      <c r="Z14" s="495">
        <f>GETPIVOTDATA("Percentage",'Operators allocation'!$A$3,"Name","Johnston, Joseph A")/100</f>
        <v>1</v>
      </c>
      <c r="AA14" s="472"/>
      <c r="AB14" s="496">
        <v>14.33</v>
      </c>
      <c r="AC14" s="82"/>
      <c r="AD14" s="480">
        <v>2080</v>
      </c>
      <c r="AE14" s="68"/>
      <c r="AF14" s="497">
        <f t="shared" si="7"/>
        <v>29806.400000000001</v>
      </c>
      <c r="AG14" s="493"/>
      <c r="AH14" s="493">
        <v>117.5</v>
      </c>
      <c r="AI14" s="494"/>
      <c r="AJ14" s="498">
        <f t="shared" si="8"/>
        <v>2525.6625000000004</v>
      </c>
      <c r="AK14" s="494"/>
      <c r="AL14" s="494">
        <f t="shared" si="9"/>
        <v>32332.0625</v>
      </c>
      <c r="AM14" s="476"/>
      <c r="AN14" s="1545"/>
      <c r="AO14" s="1546"/>
      <c r="AP14" s="499"/>
    </row>
    <row r="15" spans="1:42" ht="15.75" thickBot="1">
      <c r="A15" s="1504">
        <v>5</v>
      </c>
      <c r="B15" s="68"/>
      <c r="C15" s="491"/>
      <c r="D15" s="492" t="s">
        <v>1323</v>
      </c>
      <c r="E15" s="463"/>
      <c r="F15" s="493">
        <f t="shared" si="0"/>
        <v>73654.799999999988</v>
      </c>
      <c r="G15" s="494"/>
      <c r="H15" s="494">
        <f t="shared" si="1"/>
        <v>5635</v>
      </c>
      <c r="I15" s="494"/>
      <c r="J15" s="494">
        <f t="shared" si="2"/>
        <v>56</v>
      </c>
      <c r="K15" s="494"/>
      <c r="L15" s="493">
        <f t="shared" si="3"/>
        <v>306.90000000000003</v>
      </c>
      <c r="M15" s="494"/>
      <c r="N15" s="494">
        <f t="shared" ref="N15:N21" si="10">SUM(H15:L15)</f>
        <v>5997.9</v>
      </c>
      <c r="O15" s="494"/>
      <c r="P15" s="494">
        <f t="shared" si="4"/>
        <v>7481.8509443099274</v>
      </c>
      <c r="Q15" s="494"/>
      <c r="R15" s="494">
        <f t="shared" si="5"/>
        <v>2209.6439999999998</v>
      </c>
      <c r="S15" s="494"/>
      <c r="T15" s="494">
        <f t="shared" si="6"/>
        <v>2946.1919999999996</v>
      </c>
      <c r="U15" s="494"/>
      <c r="V15" s="494">
        <f>+V14</f>
        <v>453.52290556900732</v>
      </c>
      <c r="W15" s="494"/>
      <c r="X15" s="494">
        <f t="shared" ref="X15:X20" si="11">SUM(P15:V15)</f>
        <v>13091.209849878933</v>
      </c>
      <c r="Y15" s="68"/>
      <c r="Z15" s="495">
        <f>GETPIVOTDATA("Percentage",'Operators allocation'!$A$3,"Name","Leonard, James R.")/100</f>
        <v>1</v>
      </c>
      <c r="AA15" s="472"/>
      <c r="AB15" s="496">
        <v>3068.95</v>
      </c>
      <c r="AC15" s="82"/>
      <c r="AD15" s="480">
        <v>24</v>
      </c>
      <c r="AE15" s="68"/>
      <c r="AF15" s="497">
        <f t="shared" si="7"/>
        <v>73654.799999999988</v>
      </c>
      <c r="AG15" s="493"/>
      <c r="AH15" s="493">
        <v>0</v>
      </c>
      <c r="AI15" s="494"/>
      <c r="AJ15" s="498">
        <f t="shared" si="8"/>
        <v>0</v>
      </c>
      <c r="AK15" s="494"/>
      <c r="AL15" s="494">
        <f t="shared" si="9"/>
        <v>73654.799999999988</v>
      </c>
      <c r="AM15" s="476"/>
      <c r="AN15" s="1545"/>
      <c r="AO15" s="1546"/>
      <c r="AP15" s="499"/>
    </row>
    <row r="16" spans="1:42" ht="15.75" thickBot="1">
      <c r="A16" s="1504">
        <v>6</v>
      </c>
      <c r="B16" s="68"/>
      <c r="C16" s="491"/>
      <c r="D16" s="492" t="s">
        <v>1324</v>
      </c>
      <c r="E16" s="68"/>
      <c r="F16" s="493">
        <f t="shared" si="0"/>
        <v>51470.21</v>
      </c>
      <c r="G16" s="494"/>
      <c r="H16" s="494">
        <f t="shared" si="1"/>
        <v>3937</v>
      </c>
      <c r="I16" s="494"/>
      <c r="J16" s="494">
        <f t="shared" si="2"/>
        <v>56</v>
      </c>
      <c r="K16" s="494"/>
      <c r="L16" s="493">
        <f t="shared" si="3"/>
        <v>306.90000000000003</v>
      </c>
      <c r="M16" s="494"/>
      <c r="N16" s="494">
        <f t="shared" si="10"/>
        <v>4299.8999999999996</v>
      </c>
      <c r="O16" s="494"/>
      <c r="P16" s="494">
        <f t="shared" si="4"/>
        <v>7481.8509443099274</v>
      </c>
      <c r="Q16" s="494"/>
      <c r="R16" s="494">
        <f t="shared" si="5"/>
        <v>1544.1062999999999</v>
      </c>
      <c r="S16" s="494"/>
      <c r="T16" s="494">
        <f t="shared" si="6"/>
        <v>2058.8083999999999</v>
      </c>
      <c r="U16" s="494"/>
      <c r="V16" s="494">
        <f t="shared" ref="V16:V22" si="12">+V15</f>
        <v>453.52290556900732</v>
      </c>
      <c r="W16" s="494"/>
      <c r="X16" s="494">
        <f t="shared" si="11"/>
        <v>11538.288549878935</v>
      </c>
      <c r="Y16" s="68"/>
      <c r="Z16" s="495">
        <f>GETPIVOTDATA("Percentage",'Operators allocation'!$A$3,"Name","Mills, Wendell G.")/100</f>
        <v>1</v>
      </c>
      <c r="AA16" s="472"/>
      <c r="AB16" s="500">
        <v>23.54</v>
      </c>
      <c r="AC16" s="490"/>
      <c r="AD16" s="480">
        <v>2080</v>
      </c>
      <c r="AE16" s="68"/>
      <c r="AF16" s="497">
        <f t="shared" si="7"/>
        <v>48963.199999999997</v>
      </c>
      <c r="AG16" s="493"/>
      <c r="AH16" s="493">
        <v>71</v>
      </c>
      <c r="AI16" s="494"/>
      <c r="AJ16" s="498">
        <f t="shared" si="8"/>
        <v>2507.0099999999998</v>
      </c>
      <c r="AK16" s="494"/>
      <c r="AL16" s="494">
        <f t="shared" si="9"/>
        <v>51470.21</v>
      </c>
      <c r="AM16" s="476"/>
      <c r="AN16" s="1545"/>
      <c r="AO16" s="1546"/>
      <c r="AP16" s="499"/>
    </row>
    <row r="17" spans="1:42" ht="15.75" thickBot="1">
      <c r="A17" s="1504">
        <v>7</v>
      </c>
      <c r="B17" s="68"/>
      <c r="C17" s="491"/>
      <c r="D17" s="492" t="s">
        <v>1325</v>
      </c>
      <c r="E17" s="68"/>
      <c r="F17" s="493">
        <f t="shared" si="0"/>
        <v>34134.1</v>
      </c>
      <c r="G17" s="494"/>
      <c r="H17" s="494">
        <f t="shared" si="1"/>
        <v>2611</v>
      </c>
      <c r="I17" s="494"/>
      <c r="J17" s="494">
        <f t="shared" si="2"/>
        <v>56</v>
      </c>
      <c r="K17" s="494"/>
      <c r="L17" s="493">
        <f t="shared" si="3"/>
        <v>306.90000000000003</v>
      </c>
      <c r="M17" s="494"/>
      <c r="N17" s="494">
        <f t="shared" si="10"/>
        <v>2973.9</v>
      </c>
      <c r="O17" s="494"/>
      <c r="P17" s="494">
        <f t="shared" si="4"/>
        <v>7481.8509443099274</v>
      </c>
      <c r="Q17" s="494"/>
      <c r="R17" s="494">
        <f t="shared" si="5"/>
        <v>1024.0229999999999</v>
      </c>
      <c r="S17" s="494"/>
      <c r="T17" s="494">
        <f t="shared" si="6"/>
        <v>1365.364</v>
      </c>
      <c r="U17" s="494"/>
      <c r="V17" s="494">
        <f t="shared" si="12"/>
        <v>453.52290556900732</v>
      </c>
      <c r="W17" s="494"/>
      <c r="X17" s="494">
        <f t="shared" si="11"/>
        <v>10324.760849878934</v>
      </c>
      <c r="Y17" s="68"/>
      <c r="Z17" s="495">
        <f>GETPIVOTDATA("Percentage",'Operators allocation'!$A$3,"Name","Onkst, James H.")/100</f>
        <v>1</v>
      </c>
      <c r="AA17" s="472"/>
      <c r="AB17" s="500">
        <v>15.4</v>
      </c>
      <c r="AC17" s="490"/>
      <c r="AD17" s="480">
        <v>2080</v>
      </c>
      <c r="AE17" s="68"/>
      <c r="AF17" s="497">
        <f t="shared" si="7"/>
        <v>32032</v>
      </c>
      <c r="AG17" s="493"/>
      <c r="AH17" s="493">
        <v>91</v>
      </c>
      <c r="AI17" s="494"/>
      <c r="AJ17" s="498">
        <f t="shared" si="8"/>
        <v>2102.1000000000004</v>
      </c>
      <c r="AK17" s="494"/>
      <c r="AL17" s="494">
        <f t="shared" si="9"/>
        <v>34134.1</v>
      </c>
      <c r="AM17" s="476"/>
      <c r="AN17" s="1545"/>
      <c r="AO17" s="1546"/>
      <c r="AP17" s="499"/>
    </row>
    <row r="18" spans="1:42" ht="15.75" thickBot="1">
      <c r="A18" s="1504">
        <v>8</v>
      </c>
      <c r="B18" s="68"/>
      <c r="C18" s="491"/>
      <c r="D18" s="492" t="s">
        <v>1326</v>
      </c>
      <c r="E18" s="68"/>
      <c r="F18" s="493">
        <f t="shared" si="0"/>
        <v>40127.425000000003</v>
      </c>
      <c r="G18" s="494"/>
      <c r="H18" s="494">
        <f t="shared" si="1"/>
        <v>3070</v>
      </c>
      <c r="I18" s="494"/>
      <c r="J18" s="494">
        <f t="shared" si="2"/>
        <v>56</v>
      </c>
      <c r="K18" s="494"/>
      <c r="L18" s="493">
        <f t="shared" si="3"/>
        <v>306.90000000000003</v>
      </c>
      <c r="M18" s="494"/>
      <c r="N18" s="494">
        <f t="shared" si="10"/>
        <v>3432.9</v>
      </c>
      <c r="O18" s="494"/>
      <c r="P18" s="494">
        <f t="shared" si="4"/>
        <v>7481.8509443099274</v>
      </c>
      <c r="Q18" s="494"/>
      <c r="R18" s="494">
        <f t="shared" si="5"/>
        <v>1203.82275</v>
      </c>
      <c r="S18" s="494"/>
      <c r="T18" s="494">
        <f t="shared" si="6"/>
        <v>1605.0970000000002</v>
      </c>
      <c r="U18" s="494"/>
      <c r="V18" s="494">
        <f t="shared" si="12"/>
        <v>453.52290556900732</v>
      </c>
      <c r="W18" s="494"/>
      <c r="X18" s="494">
        <f t="shared" si="11"/>
        <v>10744.293599878934</v>
      </c>
      <c r="Y18" s="68"/>
      <c r="Z18" s="495">
        <f>GETPIVOTDATA("Percentage",'Operators allocation'!$A$3,"Name","Partin, Michael W.")/100</f>
        <v>1</v>
      </c>
      <c r="AA18" s="472"/>
      <c r="AB18" s="500">
        <v>18.46</v>
      </c>
      <c r="AC18" s="490"/>
      <c r="AD18" s="480">
        <v>2080</v>
      </c>
      <c r="AE18" s="68"/>
      <c r="AF18" s="497">
        <f t="shared" si="7"/>
        <v>38396.800000000003</v>
      </c>
      <c r="AG18" s="493"/>
      <c r="AH18" s="493">
        <v>62.5</v>
      </c>
      <c r="AI18" s="494"/>
      <c r="AJ18" s="498">
        <f t="shared" si="8"/>
        <v>1730.625</v>
      </c>
      <c r="AK18" s="494"/>
      <c r="AL18" s="494">
        <f t="shared" si="9"/>
        <v>40127.425000000003</v>
      </c>
      <c r="AM18" s="476"/>
      <c r="AN18" s="1545"/>
      <c r="AO18" s="1546"/>
      <c r="AP18" s="499"/>
    </row>
    <row r="19" spans="1:42" ht="15.75" thickBot="1">
      <c r="A19" s="1504">
        <v>9</v>
      </c>
      <c r="B19" s="68"/>
      <c r="C19" s="491"/>
      <c r="D19" s="492" t="s">
        <v>1724</v>
      </c>
      <c r="E19" s="68"/>
      <c r="F19" s="493">
        <f t="shared" si="0"/>
        <v>26858.28</v>
      </c>
      <c r="G19" s="494"/>
      <c r="H19" s="494">
        <f t="shared" si="1"/>
        <v>2055</v>
      </c>
      <c r="I19" s="494"/>
      <c r="J19" s="494">
        <f t="shared" si="2"/>
        <v>56</v>
      </c>
      <c r="K19" s="494"/>
      <c r="L19" s="493">
        <f t="shared" si="3"/>
        <v>306.90000000000003</v>
      </c>
      <c r="M19" s="494"/>
      <c r="N19" s="494">
        <f t="shared" si="10"/>
        <v>2417.9</v>
      </c>
      <c r="O19" s="494"/>
      <c r="P19" s="494">
        <f t="shared" si="4"/>
        <v>7481.8509443099274</v>
      </c>
      <c r="Q19" s="494"/>
      <c r="R19" s="494">
        <f t="shared" si="5"/>
        <v>805.74839999999995</v>
      </c>
      <c r="S19" s="494"/>
      <c r="T19" s="494">
        <f t="shared" si="6"/>
        <v>1074.3312000000001</v>
      </c>
      <c r="U19" s="494"/>
      <c r="V19" s="494">
        <f t="shared" si="12"/>
        <v>453.52290556900732</v>
      </c>
      <c r="W19" s="494"/>
      <c r="X19" s="494">
        <f t="shared" si="11"/>
        <v>9815.4534498789344</v>
      </c>
      <c r="Y19" s="68"/>
      <c r="Z19" s="495">
        <f>GETPIVOTDATA("Percentage",'Operators allocation'!$A$3,"Name","Rushing, Ronald")/100</f>
        <v>1</v>
      </c>
      <c r="AA19" s="472"/>
      <c r="AB19" s="500">
        <v>12.36</v>
      </c>
      <c r="AC19" s="490"/>
      <c r="AD19" s="480">
        <v>2080</v>
      </c>
      <c r="AE19" s="68"/>
      <c r="AF19" s="497">
        <f t="shared" si="7"/>
        <v>25708.799999999999</v>
      </c>
      <c r="AG19" s="493"/>
      <c r="AH19" s="493">
        <v>62</v>
      </c>
      <c r="AI19" s="494"/>
      <c r="AJ19" s="498">
        <f t="shared" si="8"/>
        <v>1149.48</v>
      </c>
      <c r="AK19" s="494"/>
      <c r="AL19" s="494">
        <f t="shared" si="9"/>
        <v>26858.28</v>
      </c>
      <c r="AM19" s="476"/>
      <c r="AN19" s="1545"/>
      <c r="AO19" s="1546"/>
      <c r="AP19" s="499"/>
    </row>
    <row r="20" spans="1:42" ht="15.75" thickBot="1">
      <c r="A20" s="1504">
        <v>10</v>
      </c>
      <c r="B20" s="68"/>
      <c r="C20" s="491"/>
      <c r="D20" s="492" t="s">
        <v>1327</v>
      </c>
      <c r="E20" s="68"/>
      <c r="F20" s="493">
        <f t="shared" si="0"/>
        <v>33866.157500000001</v>
      </c>
      <c r="G20" s="494"/>
      <c r="H20" s="494">
        <f t="shared" si="1"/>
        <v>2591</v>
      </c>
      <c r="I20" s="494"/>
      <c r="J20" s="494">
        <f t="shared" si="2"/>
        <v>56</v>
      </c>
      <c r="K20" s="494"/>
      <c r="L20" s="493">
        <f t="shared" si="3"/>
        <v>306.90000000000003</v>
      </c>
      <c r="M20" s="494"/>
      <c r="N20" s="494">
        <f t="shared" si="10"/>
        <v>2953.9</v>
      </c>
      <c r="O20" s="494"/>
      <c r="P20" s="494">
        <f t="shared" si="4"/>
        <v>7481.8509443099274</v>
      </c>
      <c r="Q20" s="494"/>
      <c r="R20" s="494">
        <f t="shared" si="5"/>
        <v>1015.984725</v>
      </c>
      <c r="S20" s="494"/>
      <c r="T20" s="494">
        <f t="shared" si="6"/>
        <v>1354.6463000000001</v>
      </c>
      <c r="U20" s="494"/>
      <c r="V20" s="494">
        <f t="shared" si="12"/>
        <v>453.52290556900732</v>
      </c>
      <c r="W20" s="494"/>
      <c r="X20" s="494">
        <f t="shared" si="11"/>
        <v>10306.004874878934</v>
      </c>
      <c r="Y20" s="68"/>
      <c r="Z20" s="495">
        <f>GETPIVOTDATA("Percentage",'Operators allocation'!$A$3,"Name","Sandefur, Bryan K.")/100</f>
        <v>1</v>
      </c>
      <c r="AA20" s="472"/>
      <c r="AB20" s="500">
        <v>14.99</v>
      </c>
      <c r="AC20" s="490"/>
      <c r="AD20" s="480">
        <v>2080</v>
      </c>
      <c r="AE20" s="68"/>
      <c r="AF20" s="497">
        <f t="shared" si="7"/>
        <v>31179.200000000001</v>
      </c>
      <c r="AG20" s="493"/>
      <c r="AH20" s="493">
        <v>119.5</v>
      </c>
      <c r="AI20" s="494"/>
      <c r="AJ20" s="498">
        <f t="shared" si="8"/>
        <v>2686.9575</v>
      </c>
      <c r="AK20" s="494"/>
      <c r="AL20" s="494">
        <f t="shared" si="9"/>
        <v>33866.157500000001</v>
      </c>
      <c r="AM20" s="476"/>
      <c r="AN20" s="1545"/>
      <c r="AO20" s="1546"/>
      <c r="AP20" s="499"/>
    </row>
    <row r="21" spans="1:42" ht="15.75" thickBot="1">
      <c r="A21" s="1504">
        <v>11</v>
      </c>
      <c r="B21" s="68"/>
      <c r="C21" s="68"/>
      <c r="D21" s="492" t="s">
        <v>1328</v>
      </c>
      <c r="E21" s="463"/>
      <c r="F21" s="493">
        <f t="shared" si="0"/>
        <v>42966.3</v>
      </c>
      <c r="G21" s="494"/>
      <c r="H21" s="494">
        <f t="shared" si="1"/>
        <v>3287</v>
      </c>
      <c r="I21" s="494"/>
      <c r="J21" s="494">
        <f t="shared" si="2"/>
        <v>56</v>
      </c>
      <c r="K21" s="494"/>
      <c r="L21" s="493">
        <f t="shared" si="3"/>
        <v>306.90000000000003</v>
      </c>
      <c r="M21" s="494"/>
      <c r="N21" s="494">
        <f t="shared" si="10"/>
        <v>3649.9</v>
      </c>
      <c r="O21" s="494"/>
      <c r="P21" s="494">
        <f t="shared" si="4"/>
        <v>7481.8509443099274</v>
      </c>
      <c r="Q21" s="494"/>
      <c r="R21" s="494">
        <f t="shared" si="5"/>
        <v>1288.989</v>
      </c>
      <c r="S21" s="494"/>
      <c r="T21" s="494">
        <f t="shared" si="6"/>
        <v>1718.652</v>
      </c>
      <c r="U21" s="494"/>
      <c r="V21" s="494">
        <f t="shared" si="12"/>
        <v>453.52290556900732</v>
      </c>
      <c r="W21" s="494"/>
      <c r="X21" s="494">
        <f>SUM(P21:V21)</f>
        <v>10943.014849878935</v>
      </c>
      <c r="Y21" s="68"/>
      <c r="Z21" s="495">
        <f>GETPIVOTDATA("Percentage",'Operators allocation'!$A$3,"Name","Turner, John R.")/100</f>
        <v>1</v>
      </c>
      <c r="AA21" s="472"/>
      <c r="AB21" s="500">
        <v>17.940000000000001</v>
      </c>
      <c r="AC21" s="490"/>
      <c r="AD21" s="480">
        <v>2080</v>
      </c>
      <c r="AE21" s="490"/>
      <c r="AF21" s="497">
        <f t="shared" si="7"/>
        <v>37315.200000000004</v>
      </c>
      <c r="AG21" s="493"/>
      <c r="AH21" s="493">
        <v>210</v>
      </c>
      <c r="AI21" s="494"/>
      <c r="AJ21" s="498">
        <f t="shared" si="8"/>
        <v>5651.1</v>
      </c>
      <c r="AK21" s="493"/>
      <c r="AL21" s="494">
        <f t="shared" si="9"/>
        <v>42966.3</v>
      </c>
      <c r="AM21" s="476"/>
      <c r="AN21" s="1545"/>
      <c r="AO21" s="1546"/>
      <c r="AP21" s="482"/>
    </row>
    <row r="22" spans="1:42" ht="15.75" thickBot="1">
      <c r="A22" s="1504">
        <v>12</v>
      </c>
      <c r="B22" s="68"/>
      <c r="C22" s="68"/>
      <c r="D22" s="492" t="s">
        <v>1329</v>
      </c>
      <c r="E22" s="463"/>
      <c r="F22" s="493">
        <f t="shared" ref="F22" si="13">AL22*1.03</f>
        <v>38883.308550000002</v>
      </c>
      <c r="G22" s="494"/>
      <c r="H22" s="494">
        <f t="shared" si="1"/>
        <v>2975</v>
      </c>
      <c r="I22" s="494"/>
      <c r="J22" s="494">
        <f t="shared" si="2"/>
        <v>56</v>
      </c>
      <c r="K22" s="494"/>
      <c r="L22" s="493">
        <f t="shared" si="3"/>
        <v>306.90000000000003</v>
      </c>
      <c r="M22" s="494"/>
      <c r="N22" s="494">
        <f>SUM(H22:L22)</f>
        <v>3337.9</v>
      </c>
      <c r="O22" s="494"/>
      <c r="P22" s="494">
        <f t="shared" si="4"/>
        <v>7481.8509443099274</v>
      </c>
      <c r="Q22" s="494"/>
      <c r="R22" s="494">
        <f>F22*0.03</f>
        <v>1166.4992565</v>
      </c>
      <c r="S22" s="494"/>
      <c r="T22" s="494">
        <f>F22*0.04</f>
        <v>1555.3323420000002</v>
      </c>
      <c r="U22" s="494"/>
      <c r="V22" s="494">
        <f t="shared" si="12"/>
        <v>453.52290556900732</v>
      </c>
      <c r="W22" s="494"/>
      <c r="X22" s="494">
        <f>SUM(P22:V22)</f>
        <v>10657.205448378934</v>
      </c>
      <c r="Y22" s="68"/>
      <c r="Z22" s="495">
        <f>GETPIVOTDATA("Percentage",'Operators allocation'!$A$3,"Name","Vaughn, Stephen R.")/100</f>
        <v>1</v>
      </c>
      <c r="AA22" s="472"/>
      <c r="AB22" s="500">
        <v>16.98</v>
      </c>
      <c r="AC22" s="490"/>
      <c r="AD22" s="480">
        <v>2080</v>
      </c>
      <c r="AE22" s="490"/>
      <c r="AF22" s="497">
        <f t="shared" si="7"/>
        <v>35318.400000000001</v>
      </c>
      <c r="AG22" s="493"/>
      <c r="AH22" s="493">
        <v>95.5</v>
      </c>
      <c r="AI22" s="494"/>
      <c r="AJ22" s="498">
        <f t="shared" si="8"/>
        <v>2432.3850000000002</v>
      </c>
      <c r="AK22" s="493"/>
      <c r="AL22" s="494">
        <f t="shared" si="9"/>
        <v>37750.785000000003</v>
      </c>
      <c r="AM22" s="476"/>
      <c r="AN22" s="1545"/>
      <c r="AO22" s="1546"/>
      <c r="AP22" s="482"/>
    </row>
    <row r="23" spans="1:42" ht="15">
      <c r="A23" s="1504">
        <v>13</v>
      </c>
      <c r="B23" s="68"/>
      <c r="C23" s="68"/>
      <c r="D23" s="492"/>
      <c r="E23" s="463"/>
      <c r="F23" s="493"/>
      <c r="G23" s="494"/>
      <c r="H23" s="494"/>
      <c r="I23" s="494"/>
      <c r="J23" s="494"/>
      <c r="K23" s="494"/>
      <c r="L23" s="494"/>
      <c r="M23" s="494"/>
      <c r="N23" s="494"/>
      <c r="O23" s="494"/>
      <c r="P23" s="494"/>
      <c r="Q23" s="494"/>
      <c r="R23" s="494"/>
      <c r="S23" s="494"/>
      <c r="T23" s="494"/>
      <c r="U23" s="494"/>
      <c r="V23" s="494"/>
      <c r="W23" s="494"/>
      <c r="X23" s="494"/>
      <c r="Y23" s="68"/>
      <c r="Z23" s="472"/>
      <c r="AA23" s="472"/>
      <c r="AB23" s="500"/>
      <c r="AC23" s="490"/>
      <c r="AD23" s="481"/>
      <c r="AE23" s="490"/>
      <c r="AF23" s="494"/>
      <c r="AG23" s="494"/>
      <c r="AH23" s="494"/>
      <c r="AI23" s="494"/>
      <c r="AJ23" s="493"/>
      <c r="AK23" s="493"/>
      <c r="AL23" s="493"/>
      <c r="AM23" s="463"/>
      <c r="AN23" s="1547"/>
      <c r="AO23" s="1546"/>
      <c r="AP23" s="482"/>
    </row>
    <row r="24" spans="1:42" ht="15.75" thickBot="1">
      <c r="A24" s="1504">
        <v>14</v>
      </c>
      <c r="B24" s="85"/>
      <c r="C24" s="86" t="s">
        <v>464</v>
      </c>
      <c r="D24" s="85"/>
      <c r="E24" s="85"/>
      <c r="F24" s="493"/>
      <c r="G24" s="493"/>
      <c r="H24" s="493"/>
      <c r="I24" s="493"/>
      <c r="J24" s="493"/>
      <c r="K24" s="493"/>
      <c r="L24" s="494"/>
      <c r="M24" s="493"/>
      <c r="N24" s="493"/>
      <c r="O24" s="493"/>
      <c r="P24" s="493"/>
      <c r="Q24" s="493"/>
      <c r="R24" s="494"/>
      <c r="S24" s="493"/>
      <c r="T24" s="493"/>
      <c r="U24" s="493"/>
      <c r="V24" s="493"/>
      <c r="W24" s="493"/>
      <c r="X24" s="494"/>
      <c r="Y24" s="85"/>
      <c r="Z24" s="472"/>
      <c r="AA24" s="472"/>
      <c r="AB24" s="500"/>
      <c r="AC24" s="82"/>
      <c r="AD24" s="72"/>
      <c r="AE24" s="82"/>
      <c r="AF24" s="493"/>
      <c r="AG24" s="493"/>
      <c r="AH24" s="493"/>
      <c r="AI24" s="493"/>
      <c r="AJ24" s="493"/>
      <c r="AK24" s="493"/>
      <c r="AL24" s="493"/>
      <c r="AM24" s="463"/>
      <c r="AN24" s="1547"/>
      <c r="AO24" s="1546"/>
      <c r="AP24" s="482"/>
    </row>
    <row r="25" spans="1:42" ht="15.75" thickBot="1">
      <c r="A25" s="1504">
        <v>15</v>
      </c>
      <c r="B25" s="85"/>
      <c r="C25" s="86"/>
      <c r="D25" s="492" t="s">
        <v>1315</v>
      </c>
      <c r="E25" s="85"/>
      <c r="F25" s="493">
        <f>AL25</f>
        <v>124819.20000000001</v>
      </c>
      <c r="G25" s="493"/>
      <c r="H25" s="494">
        <f>+ROUND((IF(F25&gt;=113700,113700*0.062,F25*0.062)+(F25*0.0145)),0)</f>
        <v>8859</v>
      </c>
      <c r="I25" s="494"/>
      <c r="J25" s="494">
        <f>ROUND(7000*0.008,0)</f>
        <v>56</v>
      </c>
      <c r="K25" s="494"/>
      <c r="L25" s="493">
        <f>IF(F25&lt;=9300,F25*0.033,9300*0.033)</f>
        <v>306.90000000000003</v>
      </c>
      <c r="M25" s="494"/>
      <c r="N25" s="494">
        <f>SUM(H25:L25)</f>
        <v>9221.9</v>
      </c>
      <c r="O25" s="494"/>
      <c r="P25" s="494">
        <f>+P22</f>
        <v>7481.8509443099274</v>
      </c>
      <c r="Q25" s="494"/>
      <c r="R25" s="494">
        <f>F25*0.03</f>
        <v>3744.576</v>
      </c>
      <c r="S25" s="494"/>
      <c r="T25" s="494">
        <f>F25*0.04</f>
        <v>4992.7680000000009</v>
      </c>
      <c r="U25" s="494"/>
      <c r="V25" s="494">
        <f>+V22</f>
        <v>453.52290556900732</v>
      </c>
      <c r="W25" s="494"/>
      <c r="X25" s="494">
        <f>SUM(P25:V25)</f>
        <v>16672.717849878936</v>
      </c>
      <c r="Y25" s="85"/>
      <c r="Z25" s="495">
        <f>+'Input Schedule'!D16</f>
        <v>0.20766448079556102</v>
      </c>
      <c r="AA25" s="472"/>
      <c r="AB25" s="500">
        <v>5200.8</v>
      </c>
      <c r="AC25" s="82"/>
      <c r="AD25" s="72">
        <v>24</v>
      </c>
      <c r="AE25" s="82"/>
      <c r="AF25" s="497">
        <f>AB25*AD25</f>
        <v>124819.20000000001</v>
      </c>
      <c r="AG25" s="493"/>
      <c r="AH25" s="493"/>
      <c r="AI25" s="493"/>
      <c r="AJ25" s="493"/>
      <c r="AK25" s="493"/>
      <c r="AL25" s="494">
        <f t="shared" ref="AL25:AL29" si="14">AJ25+AF25</f>
        <v>124819.20000000001</v>
      </c>
      <c r="AM25" s="463"/>
      <c r="AN25" s="463"/>
      <c r="AO25" s="85"/>
      <c r="AP25" s="482"/>
    </row>
    <row r="26" spans="1:42" ht="15.75" thickBot="1">
      <c r="A26" s="1504">
        <v>16</v>
      </c>
      <c r="B26" s="68"/>
      <c r="C26" s="491"/>
      <c r="D26" s="492" t="s">
        <v>1316</v>
      </c>
      <c r="E26" s="463"/>
      <c r="F26" s="493">
        <f>AL26</f>
        <v>184997.52</v>
      </c>
      <c r="G26" s="494"/>
      <c r="H26" s="494">
        <f>+ROUND((IF(F26&gt;=113700,113700*0.062,F26*0.062)+(F26*0.0145)),0)</f>
        <v>9732</v>
      </c>
      <c r="I26" s="494"/>
      <c r="J26" s="494">
        <f>ROUND(7000*0.008,0)</f>
        <v>56</v>
      </c>
      <c r="K26" s="494"/>
      <c r="L26" s="493">
        <f>IF(F26&lt;=9300,F26*0.033,9300*0.033)</f>
        <v>306.90000000000003</v>
      </c>
      <c r="M26" s="494"/>
      <c r="N26" s="494">
        <f>SUM(H26:L26)</f>
        <v>10094.9</v>
      </c>
      <c r="O26" s="494"/>
      <c r="P26" s="494">
        <f>P12</f>
        <v>7481.8509443099274</v>
      </c>
      <c r="Q26" s="494"/>
      <c r="R26" s="494">
        <f>F26*0.03</f>
        <v>5549.9255999999996</v>
      </c>
      <c r="S26" s="494"/>
      <c r="T26" s="494">
        <f>F26*0.04</f>
        <v>7399.9007999999994</v>
      </c>
      <c r="U26" s="494"/>
      <c r="V26" s="494">
        <f>V12</f>
        <v>453.52290556900732</v>
      </c>
      <c r="W26" s="494"/>
      <c r="X26" s="494">
        <f>SUM(P26:V26)</f>
        <v>20885.200249878933</v>
      </c>
      <c r="Y26" s="68"/>
      <c r="Z26" s="775">
        <f>+'Input Schedule'!$D$15</f>
        <v>0.13938541487301429</v>
      </c>
      <c r="AA26" s="472"/>
      <c r="AB26" s="496">
        <v>7708.23</v>
      </c>
      <c r="AC26" s="82"/>
      <c r="AD26" s="480">
        <v>24</v>
      </c>
      <c r="AE26" s="68"/>
      <c r="AF26" s="497">
        <f>AB26*AD26</f>
        <v>184997.52</v>
      </c>
      <c r="AG26" s="493"/>
      <c r="AH26" s="493"/>
      <c r="AI26" s="494"/>
      <c r="AJ26" s="498"/>
      <c r="AK26" s="494"/>
      <c r="AL26" s="494">
        <f t="shared" si="14"/>
        <v>184997.52</v>
      </c>
      <c r="AM26" s="476"/>
      <c r="AN26" s="477"/>
      <c r="AO26" s="484"/>
      <c r="AP26" s="499"/>
    </row>
    <row r="27" spans="1:42" ht="15.75" thickBot="1">
      <c r="A27" s="1504">
        <v>17</v>
      </c>
      <c r="B27" s="68"/>
      <c r="C27" s="491"/>
      <c r="D27" s="492" t="s">
        <v>1317</v>
      </c>
      <c r="E27" s="463"/>
      <c r="F27" s="493">
        <f>AL27</f>
        <v>69913.200000000012</v>
      </c>
      <c r="G27" s="494"/>
      <c r="H27" s="494">
        <f>+ROUND((IF(F27&gt;=113700,113700*0.062,F27*0.062)+(F27*0.0145)),0)</f>
        <v>5348</v>
      </c>
      <c r="I27" s="494"/>
      <c r="J27" s="494">
        <f>ROUND(7000*0.008,0)</f>
        <v>56</v>
      </c>
      <c r="K27" s="494"/>
      <c r="L27" s="493">
        <f>IF(F27&lt;=9300,F27*0.033,9300*0.033)</f>
        <v>306.90000000000003</v>
      </c>
      <c r="M27" s="494"/>
      <c r="N27" s="494">
        <f>SUM(H27:L27)</f>
        <v>5710.9</v>
      </c>
      <c r="O27" s="494"/>
      <c r="P27" s="494">
        <f>P13</f>
        <v>7481.8509443099274</v>
      </c>
      <c r="Q27" s="494"/>
      <c r="R27" s="494">
        <f>F27*0.03</f>
        <v>2097.3960000000002</v>
      </c>
      <c r="S27" s="494"/>
      <c r="T27" s="494">
        <f>F27*0.04</f>
        <v>2796.5280000000007</v>
      </c>
      <c r="U27" s="494"/>
      <c r="V27" s="494">
        <f>+V26</f>
        <v>453.52290556900732</v>
      </c>
      <c r="W27" s="494"/>
      <c r="X27" s="494">
        <f>SUM(P27:V27)</f>
        <v>12829.297849878934</v>
      </c>
      <c r="Y27" s="68"/>
      <c r="Z27" s="775">
        <f>+'Input Schedule'!$D$15</f>
        <v>0.13938541487301429</v>
      </c>
      <c r="AA27" s="472"/>
      <c r="AB27" s="496">
        <v>2913.05</v>
      </c>
      <c r="AC27" s="82"/>
      <c r="AD27" s="480">
        <v>24</v>
      </c>
      <c r="AE27" s="68"/>
      <c r="AF27" s="497">
        <f>AB27*AD27</f>
        <v>69913.200000000012</v>
      </c>
      <c r="AG27" s="493"/>
      <c r="AH27" s="493"/>
      <c r="AI27" s="494"/>
      <c r="AJ27" s="498"/>
      <c r="AK27" s="494"/>
      <c r="AL27" s="494">
        <f t="shared" si="14"/>
        <v>69913.200000000012</v>
      </c>
      <c r="AM27" s="476"/>
      <c r="AN27" s="477"/>
      <c r="AO27" s="484"/>
      <c r="AP27" s="491"/>
    </row>
    <row r="28" spans="1:42" ht="15.75" thickBot="1">
      <c r="A28" s="1504">
        <v>18</v>
      </c>
      <c r="B28" s="68"/>
      <c r="C28" s="491"/>
      <c r="D28" s="492" t="s">
        <v>1318</v>
      </c>
      <c r="E28" s="463"/>
      <c r="F28" s="493">
        <f>AL28</f>
        <v>72407.040000000008</v>
      </c>
      <c r="G28" s="494"/>
      <c r="H28" s="494">
        <f>+ROUND((IF(F28&gt;=113700,113700*0.062,F28*0.062)+(F28*0.0145)),0)</f>
        <v>5539</v>
      </c>
      <c r="I28" s="494"/>
      <c r="J28" s="494">
        <f>ROUND(7000*0.008,0)</f>
        <v>56</v>
      </c>
      <c r="K28" s="494"/>
      <c r="L28" s="493">
        <f>IF(F28&lt;=9300,F28*0.033,9300*0.033)</f>
        <v>306.90000000000003</v>
      </c>
      <c r="M28" s="494"/>
      <c r="N28" s="494">
        <f>SUM(H28:L28)</f>
        <v>5901.9</v>
      </c>
      <c r="O28" s="494"/>
      <c r="P28" s="494">
        <f>P15</f>
        <v>7481.8509443099274</v>
      </c>
      <c r="Q28" s="494"/>
      <c r="R28" s="494">
        <f>F28*0.03</f>
        <v>2172.2112000000002</v>
      </c>
      <c r="S28" s="494"/>
      <c r="T28" s="494">
        <f>F28*0.04</f>
        <v>2896.2816000000003</v>
      </c>
      <c r="U28" s="494"/>
      <c r="V28" s="494">
        <f>+V27</f>
        <v>453.52290556900732</v>
      </c>
      <c r="W28" s="494"/>
      <c r="X28" s="494">
        <f>SUM(P28:V28)</f>
        <v>13003.866649878935</v>
      </c>
      <c r="Y28" s="68"/>
      <c r="Z28" s="775">
        <f>+'Input Schedule'!$D$15</f>
        <v>0.13938541487301429</v>
      </c>
      <c r="AA28" s="472"/>
      <c r="AB28" s="496">
        <v>3016.96</v>
      </c>
      <c r="AC28" s="82"/>
      <c r="AD28" s="480">
        <v>24</v>
      </c>
      <c r="AE28" s="68"/>
      <c r="AF28" s="497">
        <f>AB28*AD28</f>
        <v>72407.040000000008</v>
      </c>
      <c r="AG28" s="493"/>
      <c r="AH28" s="493"/>
      <c r="AI28" s="494"/>
      <c r="AJ28" s="498"/>
      <c r="AK28" s="494"/>
      <c r="AL28" s="494">
        <f t="shared" si="14"/>
        <v>72407.040000000008</v>
      </c>
      <c r="AM28" s="476"/>
      <c r="AN28" s="477"/>
      <c r="AO28" s="484"/>
      <c r="AP28" s="491"/>
    </row>
    <row r="29" spans="1:42" ht="15.75" thickBot="1">
      <c r="A29" s="1504">
        <v>19</v>
      </c>
      <c r="B29" s="68"/>
      <c r="C29" s="68"/>
      <c r="D29" s="492" t="s">
        <v>1319</v>
      </c>
      <c r="E29" s="463"/>
      <c r="F29" s="493">
        <f>AL29</f>
        <v>60864.479999999996</v>
      </c>
      <c r="G29" s="494"/>
      <c r="H29" s="494">
        <f>+ROUND((IF(F29&gt;=113700,113700*0.062,F29*0.062)+(F29*0.0145)),0)</f>
        <v>4656</v>
      </c>
      <c r="I29" s="494"/>
      <c r="J29" s="494">
        <f>ROUND(7000*0.008,0)</f>
        <v>56</v>
      </c>
      <c r="K29" s="494"/>
      <c r="L29" s="493">
        <f>IF(F29&lt;=9300,F29*0.033,9300*0.033)</f>
        <v>306.90000000000003</v>
      </c>
      <c r="M29" s="494"/>
      <c r="N29" s="494">
        <f>SUM(H29:L29)</f>
        <v>5018.8999999999996</v>
      </c>
      <c r="O29" s="494"/>
      <c r="P29" s="494">
        <f>P16</f>
        <v>7481.8509443099274</v>
      </c>
      <c r="Q29" s="494"/>
      <c r="R29" s="494">
        <f>F29*0.03</f>
        <v>1825.9343999999999</v>
      </c>
      <c r="S29" s="494"/>
      <c r="T29" s="494">
        <f>F29*0.04</f>
        <v>2434.5791999999997</v>
      </c>
      <c r="U29" s="494"/>
      <c r="V29" s="494">
        <f>V13</f>
        <v>453.52290556900732</v>
      </c>
      <c r="W29" s="494"/>
      <c r="X29" s="494">
        <f>SUM(P29:V29)</f>
        <v>12195.887449878934</v>
      </c>
      <c r="Y29" s="68"/>
      <c r="Z29" s="775">
        <f>+'Input Schedule'!$D$15</f>
        <v>0.13938541487301429</v>
      </c>
      <c r="AA29" s="85"/>
      <c r="AB29" s="1087">
        <v>2536.02</v>
      </c>
      <c r="AC29" s="68"/>
      <c r="AD29" s="480">
        <v>24</v>
      </c>
      <c r="AE29" s="68"/>
      <c r="AF29" s="497">
        <f>AB29*AD29</f>
        <v>60864.479999999996</v>
      </c>
      <c r="AG29" s="493"/>
      <c r="AH29" s="493"/>
      <c r="AI29" s="68"/>
      <c r="AJ29" s="502"/>
      <c r="AK29" s="68"/>
      <c r="AL29" s="501">
        <f t="shared" si="14"/>
        <v>60864.479999999996</v>
      </c>
      <c r="AM29" s="476"/>
      <c r="AN29" s="68"/>
      <c r="AO29" s="68"/>
      <c r="AP29" s="470"/>
    </row>
    <row r="30" spans="1:42" ht="15">
      <c r="A30" s="1504">
        <v>20</v>
      </c>
      <c r="B30" s="68"/>
      <c r="C30" s="68"/>
      <c r="D30" s="68"/>
      <c r="E30" s="68"/>
      <c r="F30" s="493"/>
      <c r="G30" s="494"/>
      <c r="H30" s="503"/>
      <c r="I30" s="494"/>
      <c r="J30" s="503"/>
      <c r="K30" s="494"/>
      <c r="L30" s="503"/>
      <c r="M30" s="494"/>
      <c r="N30" s="503"/>
      <c r="O30" s="494"/>
      <c r="P30" s="503"/>
      <c r="Q30" s="494"/>
      <c r="R30" s="503"/>
      <c r="S30" s="494"/>
      <c r="T30" s="503"/>
      <c r="U30" s="494"/>
      <c r="V30" s="503"/>
      <c r="W30" s="494"/>
      <c r="X30" s="503"/>
      <c r="Y30" s="85"/>
      <c r="Z30" s="85"/>
      <c r="AA30" s="85"/>
      <c r="AB30" s="496"/>
      <c r="AC30" s="82"/>
      <c r="AD30" s="72"/>
      <c r="AE30" s="490"/>
      <c r="AF30" s="494"/>
      <c r="AG30" s="494"/>
      <c r="AH30" s="494"/>
      <c r="AI30" s="494"/>
      <c r="AJ30" s="493"/>
      <c r="AK30" s="493"/>
      <c r="AL30" s="493"/>
      <c r="AM30" s="86"/>
      <c r="AN30" s="85"/>
      <c r="AO30" s="68"/>
      <c r="AP30" s="470"/>
    </row>
    <row r="31" spans="1:42" ht="15.75" thickBot="1">
      <c r="A31" s="1504">
        <v>21</v>
      </c>
      <c r="B31" s="68"/>
      <c r="C31" s="67" t="s">
        <v>91</v>
      </c>
      <c r="D31" s="68"/>
      <c r="E31" s="68"/>
      <c r="F31" s="504">
        <f>SUM(F12:F29)</f>
        <v>977956.96354999999</v>
      </c>
      <c r="G31" s="494"/>
      <c r="H31" s="504">
        <f>SUM(H12:H29)</f>
        <v>69704</v>
      </c>
      <c r="I31" s="494"/>
      <c r="J31" s="504">
        <f>SUM(J12:J29)</f>
        <v>896</v>
      </c>
      <c r="K31" s="494"/>
      <c r="L31" s="504">
        <f>SUM(L12:L29)</f>
        <v>4910.3999999999996</v>
      </c>
      <c r="M31" s="494"/>
      <c r="N31" s="504">
        <f>SUM(N12:N29)</f>
        <v>75510.400000000009</v>
      </c>
      <c r="O31" s="494"/>
      <c r="P31" s="504">
        <f>SUM(P12:P29)</f>
        <v>119709.61510895887</v>
      </c>
      <c r="Q31" s="494"/>
      <c r="R31" s="504">
        <f>SUM(R12:R29)</f>
        <v>29338.708906499996</v>
      </c>
      <c r="S31" s="494"/>
      <c r="T31" s="504">
        <f>SUM(T12:T29)</f>
        <v>39118.278542</v>
      </c>
      <c r="U31" s="494"/>
      <c r="V31" s="504">
        <f>SUM(V12:V29)</f>
        <v>7256.3664891041153</v>
      </c>
      <c r="W31" s="494"/>
      <c r="X31" s="504">
        <f>SUM(X12:X29)</f>
        <v>195422.96904656294</v>
      </c>
      <c r="Y31" s="85"/>
      <c r="Z31" s="85"/>
      <c r="AA31" s="85"/>
      <c r="AB31" s="85"/>
      <c r="AC31" s="82"/>
      <c r="AD31" s="85"/>
      <c r="AE31" s="490"/>
      <c r="AF31" s="504">
        <f>SUM(AF12:AF29)</f>
        <v>948243.44</v>
      </c>
      <c r="AG31" s="493"/>
      <c r="AH31" s="493"/>
      <c r="AI31" s="494"/>
      <c r="AJ31" s="504">
        <f>SUM(AJ12:AJ29)</f>
        <v>28581.000000000007</v>
      </c>
      <c r="AK31" s="493"/>
      <c r="AL31" s="504">
        <f>SUM(AL12:AL29)</f>
        <v>976824.44</v>
      </c>
      <c r="AM31" s="463"/>
      <c r="AN31" s="68"/>
      <c r="AO31" s="68"/>
      <c r="AP31" s="470"/>
    </row>
    <row r="32" spans="1:42" ht="15.75" thickTop="1">
      <c r="A32" s="1504">
        <v>22</v>
      </c>
      <c r="B32" s="68"/>
      <c r="C32" s="67"/>
      <c r="D32" s="68"/>
      <c r="E32" s="463"/>
      <c r="F32" s="505"/>
      <c r="G32" s="494"/>
      <c r="H32" s="493"/>
      <c r="I32" s="494"/>
      <c r="J32" s="493"/>
      <c r="K32" s="494"/>
      <c r="L32" s="493"/>
      <c r="M32" s="494"/>
      <c r="N32" s="493"/>
      <c r="O32" s="494"/>
      <c r="P32" s="493"/>
      <c r="Q32" s="494"/>
      <c r="R32" s="493"/>
      <c r="S32" s="494"/>
      <c r="T32" s="493"/>
      <c r="U32" s="494"/>
      <c r="V32" s="493"/>
      <c r="W32" s="494"/>
      <c r="X32" s="493"/>
      <c r="Y32" s="85"/>
      <c r="Z32" s="85"/>
      <c r="AA32" s="85"/>
      <c r="AB32" s="68"/>
      <c r="AC32" s="68"/>
      <c r="AD32" s="68"/>
      <c r="AE32" s="68"/>
      <c r="AF32" s="494"/>
      <c r="AG32" s="494"/>
      <c r="AH32" s="494"/>
      <c r="AI32" s="494"/>
      <c r="AJ32" s="494"/>
      <c r="AK32" s="494"/>
      <c r="AL32" s="505"/>
      <c r="AM32" s="506"/>
      <c r="AN32" s="506"/>
      <c r="AO32" s="68"/>
      <c r="AP32" s="470"/>
    </row>
    <row r="33" spans="1:42" ht="15">
      <c r="A33" s="1504">
        <v>23</v>
      </c>
      <c r="B33" s="68"/>
      <c r="C33" s="85"/>
      <c r="D33" s="85"/>
      <c r="E33" s="85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  <c r="Y33" s="85"/>
      <c r="Z33" s="85"/>
      <c r="AA33" s="85"/>
      <c r="AB33" s="85"/>
      <c r="AC33" s="85"/>
      <c r="AD33" s="85"/>
      <c r="AE33" s="85"/>
      <c r="AF33" s="493"/>
      <c r="AG33" s="493"/>
      <c r="AH33" s="493"/>
      <c r="AI33" s="493"/>
      <c r="AJ33" s="493"/>
      <c r="AK33" s="493"/>
      <c r="AL33" s="493"/>
      <c r="AM33" s="68"/>
      <c r="AN33" s="68"/>
      <c r="AO33" s="68"/>
      <c r="AP33" s="85"/>
    </row>
    <row r="34" spans="1:42" ht="15">
      <c r="A34" s="1504">
        <v>24</v>
      </c>
      <c r="B34" s="68"/>
      <c r="C34" s="86" t="s">
        <v>424</v>
      </c>
      <c r="D34" s="85"/>
      <c r="E34" s="68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  <c r="Y34" s="85"/>
      <c r="Z34" s="85"/>
      <c r="AA34" s="85"/>
      <c r="AB34" s="85"/>
      <c r="AC34" s="85"/>
      <c r="AD34" s="85"/>
      <c r="AE34" s="85"/>
      <c r="AF34" s="493"/>
      <c r="AG34" s="493"/>
      <c r="AH34" s="493"/>
      <c r="AI34" s="493"/>
      <c r="AJ34" s="493"/>
      <c r="AK34" s="493"/>
      <c r="AL34" s="493"/>
      <c r="AM34" s="68"/>
      <c r="AN34" s="68"/>
      <c r="AO34" s="68"/>
      <c r="AP34" s="470"/>
    </row>
    <row r="35" spans="1:42" ht="15">
      <c r="A35" s="1504">
        <v>25</v>
      </c>
      <c r="B35" s="68"/>
      <c r="C35" s="86"/>
      <c r="D35" s="85"/>
      <c r="E35" s="68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  <c r="Y35" s="85"/>
      <c r="Z35" s="85"/>
      <c r="AA35" s="85"/>
      <c r="AB35" s="85"/>
      <c r="AC35" s="85"/>
      <c r="AD35" s="85"/>
      <c r="AE35" s="85"/>
      <c r="AF35" s="493"/>
      <c r="AG35" s="493"/>
      <c r="AH35" s="493"/>
      <c r="AI35" s="493"/>
      <c r="AJ35" s="493"/>
      <c r="AK35" s="493"/>
      <c r="AL35" s="493"/>
      <c r="AM35" s="68"/>
      <c r="AN35" s="68"/>
      <c r="AO35" s="68"/>
      <c r="AP35" s="470"/>
    </row>
    <row r="36" spans="1:42" ht="15">
      <c r="A36" s="1504">
        <v>26</v>
      </c>
      <c r="B36" s="68"/>
      <c r="C36" s="492" t="s">
        <v>1321</v>
      </c>
      <c r="D36" s="68"/>
      <c r="E36" s="68"/>
      <c r="F36" s="493">
        <f>F12*Z12</f>
        <v>50756.05</v>
      </c>
      <c r="G36" s="493"/>
      <c r="H36" s="493">
        <f>$Z12*H12</f>
        <v>3883</v>
      </c>
      <c r="I36" s="493"/>
      <c r="J36" s="493">
        <f>$Z12*J12</f>
        <v>56</v>
      </c>
      <c r="K36" s="493"/>
      <c r="L36" s="493">
        <f>$Z12*L12</f>
        <v>306.90000000000003</v>
      </c>
      <c r="M36" s="493"/>
      <c r="N36" s="493">
        <f>SUM(H36:L36)</f>
        <v>4245.8999999999996</v>
      </c>
      <c r="O36" s="493"/>
      <c r="P36" s="493">
        <f>$Z12*P12</f>
        <v>7481.8509443099274</v>
      </c>
      <c r="Q36" s="493"/>
      <c r="R36" s="494">
        <f>$Z12*R12</f>
        <v>1522.6815000000001</v>
      </c>
      <c r="S36" s="493"/>
      <c r="T36" s="493">
        <f>$Z12*T12</f>
        <v>2030.2420000000002</v>
      </c>
      <c r="U36" s="493"/>
      <c r="V36" s="493">
        <f>$Z12*V12</f>
        <v>453.52290556900732</v>
      </c>
      <c r="W36" s="493"/>
      <c r="X36" s="494">
        <f>SUM(P36:V36)</f>
        <v>11488.297349878934</v>
      </c>
      <c r="Y36" s="85"/>
      <c r="Z36" s="85"/>
      <c r="AA36" s="85"/>
      <c r="AB36" s="85"/>
      <c r="AC36" s="85"/>
      <c r="AD36" s="85"/>
      <c r="AE36" s="85"/>
      <c r="AF36" s="493"/>
      <c r="AG36" s="493"/>
      <c r="AH36" s="493"/>
      <c r="AI36" s="493"/>
      <c r="AJ36" s="493"/>
      <c r="AK36" s="493"/>
      <c r="AL36" s="493"/>
      <c r="AM36" s="68"/>
      <c r="AN36" s="68"/>
      <c r="AO36" s="68"/>
      <c r="AP36" s="470"/>
    </row>
    <row r="37" spans="1:42" ht="15">
      <c r="A37" s="1504">
        <v>27</v>
      </c>
      <c r="B37" s="68"/>
      <c r="C37" s="492" t="s">
        <v>1322</v>
      </c>
      <c r="D37" s="68"/>
      <c r="E37" s="68"/>
      <c r="F37" s="493">
        <f>F13*Z13</f>
        <v>39906.829999999994</v>
      </c>
      <c r="G37" s="493"/>
      <c r="H37" s="493">
        <f>$Z13*H13</f>
        <v>3053</v>
      </c>
      <c r="I37" s="493"/>
      <c r="J37" s="493">
        <f>$Z13*J13</f>
        <v>56</v>
      </c>
      <c r="K37" s="493"/>
      <c r="L37" s="493">
        <f>$Z13*L13</f>
        <v>306.90000000000003</v>
      </c>
      <c r="M37" s="493"/>
      <c r="N37" s="493">
        <f>SUM(H37:L37)</f>
        <v>3415.9</v>
      </c>
      <c r="O37" s="493"/>
      <c r="P37" s="493">
        <f>$Z13*P13</f>
        <v>7481.8509443099274</v>
      </c>
      <c r="Q37" s="493"/>
      <c r="R37" s="494">
        <f>$Z13*R13</f>
        <v>1197.2048999999997</v>
      </c>
      <c r="S37" s="493"/>
      <c r="T37" s="493">
        <f>$Z13*T13</f>
        <v>1596.2731999999999</v>
      </c>
      <c r="U37" s="493"/>
      <c r="V37" s="493">
        <f>$Z13*V13</f>
        <v>453.52290556900732</v>
      </c>
      <c r="W37" s="493"/>
      <c r="X37" s="494">
        <f>SUM(P37:V37)</f>
        <v>10728.851949878934</v>
      </c>
      <c r="Y37" s="85"/>
      <c r="Z37" s="85"/>
      <c r="AA37" s="85"/>
      <c r="AB37" s="85"/>
      <c r="AC37" s="85"/>
      <c r="AD37" s="85"/>
      <c r="AE37" s="85"/>
      <c r="AF37" s="493"/>
      <c r="AG37" s="493"/>
      <c r="AH37" s="493"/>
      <c r="AI37" s="493"/>
      <c r="AJ37" s="493"/>
      <c r="AK37" s="493"/>
      <c r="AL37" s="493"/>
      <c r="AM37" s="68"/>
      <c r="AN37" s="68"/>
      <c r="AO37" s="68"/>
      <c r="AP37" s="470"/>
    </row>
    <row r="38" spans="1:42" ht="15">
      <c r="A38" s="1504">
        <v>28</v>
      </c>
      <c r="B38" s="68"/>
      <c r="C38" s="492" t="s">
        <v>1665</v>
      </c>
      <c r="D38" s="68"/>
      <c r="E38" s="68"/>
      <c r="F38" s="493">
        <f>F14*Z14</f>
        <v>32332.0625</v>
      </c>
      <c r="G38" s="493"/>
      <c r="H38" s="493">
        <f t="shared" ref="H38:H46" si="15">$Z14*H14</f>
        <v>2473</v>
      </c>
      <c r="I38" s="493"/>
      <c r="J38" s="493">
        <f t="shared" ref="J38:J46" si="16">$Z14*J14</f>
        <v>56</v>
      </c>
      <c r="K38" s="493"/>
      <c r="L38" s="493">
        <f t="shared" ref="L38:L46" si="17">$Z14*L14</f>
        <v>306.90000000000003</v>
      </c>
      <c r="M38" s="493"/>
      <c r="N38" s="493">
        <f t="shared" ref="N38:N46" si="18">SUM(H38:L38)</f>
        <v>2835.9</v>
      </c>
      <c r="O38" s="493"/>
      <c r="P38" s="493">
        <f t="shared" ref="P38:P46" si="19">$Z14*P14</f>
        <v>7481.8509443099274</v>
      </c>
      <c r="Q38" s="493"/>
      <c r="R38" s="494">
        <f t="shared" ref="R38:R46" si="20">$Z14*R14</f>
        <v>969.96187499999996</v>
      </c>
      <c r="S38" s="493"/>
      <c r="T38" s="493">
        <f t="shared" ref="T38:T46" si="21">$Z14*T14</f>
        <v>1293.2825</v>
      </c>
      <c r="U38" s="493"/>
      <c r="V38" s="493">
        <f t="shared" ref="V38:V46" si="22">$Z14*V14</f>
        <v>453.52290556900732</v>
      </c>
      <c r="W38" s="493"/>
      <c r="X38" s="494">
        <f t="shared" ref="X38:X46" si="23">SUM(P38:V38)</f>
        <v>10198.618224878934</v>
      </c>
      <c r="Y38" s="85"/>
      <c r="Z38" s="85"/>
      <c r="AA38" s="85"/>
      <c r="AB38" s="85"/>
      <c r="AC38" s="85"/>
      <c r="AD38" s="85"/>
      <c r="AE38" s="85"/>
      <c r="AF38" s="493"/>
      <c r="AG38" s="493"/>
      <c r="AH38" s="493"/>
      <c r="AI38" s="493"/>
      <c r="AJ38" s="493"/>
      <c r="AK38" s="493"/>
      <c r="AL38" s="493"/>
      <c r="AM38" s="68"/>
      <c r="AN38" s="68"/>
      <c r="AO38" s="68"/>
      <c r="AP38" s="470"/>
    </row>
    <row r="39" spans="1:42" ht="15">
      <c r="A39" s="1504">
        <v>29</v>
      </c>
      <c r="B39" s="68"/>
      <c r="C39" s="492" t="s">
        <v>1323</v>
      </c>
      <c r="D39" s="68"/>
      <c r="E39" s="68"/>
      <c r="F39" s="493">
        <f>F15*Z15</f>
        <v>73654.799999999988</v>
      </c>
      <c r="G39" s="493"/>
      <c r="H39" s="493">
        <f t="shared" si="15"/>
        <v>5635</v>
      </c>
      <c r="I39" s="493"/>
      <c r="J39" s="493">
        <f t="shared" si="16"/>
        <v>56</v>
      </c>
      <c r="K39" s="493"/>
      <c r="L39" s="493">
        <f t="shared" si="17"/>
        <v>306.90000000000003</v>
      </c>
      <c r="M39" s="493"/>
      <c r="N39" s="493">
        <f t="shared" si="18"/>
        <v>5997.9</v>
      </c>
      <c r="O39" s="493"/>
      <c r="P39" s="493">
        <f t="shared" si="19"/>
        <v>7481.8509443099274</v>
      </c>
      <c r="Q39" s="493"/>
      <c r="R39" s="494">
        <f t="shared" si="20"/>
        <v>2209.6439999999998</v>
      </c>
      <c r="S39" s="493"/>
      <c r="T39" s="493">
        <f t="shared" si="21"/>
        <v>2946.1919999999996</v>
      </c>
      <c r="U39" s="493"/>
      <c r="V39" s="493">
        <f t="shared" si="22"/>
        <v>453.52290556900732</v>
      </c>
      <c r="W39" s="493"/>
      <c r="X39" s="494">
        <f t="shared" si="23"/>
        <v>13091.209849878933</v>
      </c>
      <c r="Y39" s="85"/>
      <c r="Z39" s="85"/>
      <c r="AA39" s="85"/>
      <c r="AB39" s="85"/>
      <c r="AC39" s="85"/>
      <c r="AD39" s="85"/>
      <c r="AE39" s="85"/>
      <c r="AF39" s="493"/>
      <c r="AG39" s="493"/>
      <c r="AH39" s="493"/>
      <c r="AI39" s="493"/>
      <c r="AJ39" s="493"/>
      <c r="AK39" s="493"/>
      <c r="AL39" s="493"/>
      <c r="AM39" s="68"/>
      <c r="AN39" s="68"/>
      <c r="AO39" s="68"/>
      <c r="AP39" s="470"/>
    </row>
    <row r="40" spans="1:42" ht="15">
      <c r="A40" s="1504">
        <v>30</v>
      </c>
      <c r="B40" s="68"/>
      <c r="C40" s="492" t="s">
        <v>1324</v>
      </c>
      <c r="D40" s="68"/>
      <c r="E40" s="68"/>
      <c r="F40" s="493">
        <f t="shared" ref="F40:F46" si="24">F16*Z16</f>
        <v>51470.21</v>
      </c>
      <c r="G40" s="493"/>
      <c r="H40" s="493">
        <f t="shared" si="15"/>
        <v>3937</v>
      </c>
      <c r="I40" s="493"/>
      <c r="J40" s="493">
        <f t="shared" si="16"/>
        <v>56</v>
      </c>
      <c r="K40" s="493"/>
      <c r="L40" s="493">
        <f t="shared" si="17"/>
        <v>306.90000000000003</v>
      </c>
      <c r="M40" s="493"/>
      <c r="N40" s="493">
        <f t="shared" si="18"/>
        <v>4299.8999999999996</v>
      </c>
      <c r="O40" s="493"/>
      <c r="P40" s="493">
        <f t="shared" si="19"/>
        <v>7481.8509443099274</v>
      </c>
      <c r="Q40" s="493"/>
      <c r="R40" s="494">
        <f t="shared" si="20"/>
        <v>1544.1062999999999</v>
      </c>
      <c r="S40" s="493"/>
      <c r="T40" s="493">
        <f t="shared" si="21"/>
        <v>2058.8083999999999</v>
      </c>
      <c r="U40" s="493"/>
      <c r="V40" s="493">
        <f t="shared" si="22"/>
        <v>453.52290556900732</v>
      </c>
      <c r="W40" s="493"/>
      <c r="X40" s="494">
        <f t="shared" si="23"/>
        <v>11538.288549878935</v>
      </c>
      <c r="Y40" s="85"/>
      <c r="Z40" s="85"/>
      <c r="AA40" s="85"/>
      <c r="AB40" s="85"/>
      <c r="AC40" s="85"/>
      <c r="AD40" s="85"/>
      <c r="AE40" s="85"/>
      <c r="AF40" s="493"/>
      <c r="AG40" s="493"/>
      <c r="AH40" s="493"/>
      <c r="AI40" s="493"/>
      <c r="AJ40" s="493"/>
      <c r="AK40" s="493"/>
      <c r="AL40" s="493"/>
      <c r="AM40" s="68"/>
      <c r="AN40" s="68"/>
      <c r="AO40" s="68"/>
      <c r="AP40" s="470"/>
    </row>
    <row r="41" spans="1:42" ht="15">
      <c r="A41" s="1504">
        <v>31</v>
      </c>
      <c r="B41" s="68"/>
      <c r="C41" s="492" t="s">
        <v>1325</v>
      </c>
      <c r="D41" s="68"/>
      <c r="E41" s="68"/>
      <c r="F41" s="493">
        <f t="shared" si="24"/>
        <v>34134.1</v>
      </c>
      <c r="G41" s="493"/>
      <c r="H41" s="493">
        <f t="shared" si="15"/>
        <v>2611</v>
      </c>
      <c r="I41" s="493"/>
      <c r="J41" s="493">
        <f t="shared" si="16"/>
        <v>56</v>
      </c>
      <c r="K41" s="493"/>
      <c r="L41" s="493">
        <f t="shared" si="17"/>
        <v>306.90000000000003</v>
      </c>
      <c r="M41" s="493"/>
      <c r="N41" s="493">
        <f t="shared" si="18"/>
        <v>2973.9</v>
      </c>
      <c r="O41" s="493"/>
      <c r="P41" s="493">
        <f t="shared" si="19"/>
        <v>7481.8509443099274</v>
      </c>
      <c r="Q41" s="493"/>
      <c r="R41" s="494">
        <f t="shared" si="20"/>
        <v>1024.0229999999999</v>
      </c>
      <c r="S41" s="493"/>
      <c r="T41" s="493">
        <f t="shared" si="21"/>
        <v>1365.364</v>
      </c>
      <c r="U41" s="493"/>
      <c r="V41" s="493">
        <f t="shared" si="22"/>
        <v>453.52290556900732</v>
      </c>
      <c r="W41" s="493"/>
      <c r="X41" s="494">
        <f t="shared" si="23"/>
        <v>10324.760849878934</v>
      </c>
      <c r="Y41" s="85"/>
      <c r="Z41" s="85"/>
      <c r="AA41" s="85"/>
      <c r="AB41" s="85"/>
      <c r="AC41" s="85"/>
      <c r="AD41" s="85"/>
      <c r="AE41" s="85"/>
      <c r="AF41" s="493"/>
      <c r="AG41" s="493"/>
      <c r="AH41" s="493"/>
      <c r="AI41" s="493"/>
      <c r="AJ41" s="493"/>
      <c r="AK41" s="493"/>
      <c r="AL41" s="493"/>
      <c r="AM41" s="68"/>
      <c r="AN41" s="68"/>
      <c r="AO41" s="68"/>
      <c r="AP41" s="470"/>
    </row>
    <row r="42" spans="1:42" ht="15">
      <c r="A42" s="1504">
        <v>32</v>
      </c>
      <c r="B42" s="68"/>
      <c r="C42" s="492" t="s">
        <v>1326</v>
      </c>
      <c r="D42" s="68"/>
      <c r="E42" s="68"/>
      <c r="F42" s="493">
        <f t="shared" si="24"/>
        <v>40127.425000000003</v>
      </c>
      <c r="G42" s="493"/>
      <c r="H42" s="493">
        <f t="shared" si="15"/>
        <v>3070</v>
      </c>
      <c r="I42" s="493"/>
      <c r="J42" s="493">
        <f t="shared" si="16"/>
        <v>56</v>
      </c>
      <c r="K42" s="493"/>
      <c r="L42" s="493">
        <f t="shared" si="17"/>
        <v>306.90000000000003</v>
      </c>
      <c r="M42" s="493"/>
      <c r="N42" s="493">
        <f t="shared" si="18"/>
        <v>3432.9</v>
      </c>
      <c r="O42" s="493"/>
      <c r="P42" s="493">
        <f t="shared" si="19"/>
        <v>7481.8509443099274</v>
      </c>
      <c r="Q42" s="493"/>
      <c r="R42" s="494">
        <f t="shared" si="20"/>
        <v>1203.82275</v>
      </c>
      <c r="S42" s="493"/>
      <c r="T42" s="493">
        <f t="shared" si="21"/>
        <v>1605.0970000000002</v>
      </c>
      <c r="U42" s="493"/>
      <c r="V42" s="493">
        <f t="shared" si="22"/>
        <v>453.52290556900732</v>
      </c>
      <c r="W42" s="493"/>
      <c r="X42" s="494">
        <f t="shared" si="23"/>
        <v>10744.293599878934</v>
      </c>
      <c r="Y42" s="85"/>
      <c r="Z42" s="85"/>
      <c r="AA42" s="85"/>
      <c r="AB42" s="85"/>
      <c r="AC42" s="85"/>
      <c r="AD42" s="85"/>
      <c r="AE42" s="85"/>
      <c r="AF42" s="493"/>
      <c r="AG42" s="493"/>
      <c r="AH42" s="493"/>
      <c r="AI42" s="493"/>
      <c r="AJ42" s="493"/>
      <c r="AK42" s="493"/>
      <c r="AL42" s="493"/>
      <c r="AM42" s="68"/>
      <c r="AN42" s="68"/>
      <c r="AO42" s="68"/>
      <c r="AP42" s="470"/>
    </row>
    <row r="43" spans="1:42" ht="15">
      <c r="A43" s="1504">
        <v>33</v>
      </c>
      <c r="B43" s="68"/>
      <c r="C43" s="492" t="s">
        <v>1724</v>
      </c>
      <c r="D43" s="68"/>
      <c r="E43" s="68"/>
      <c r="F43" s="493">
        <f t="shared" si="24"/>
        <v>26858.28</v>
      </c>
      <c r="G43" s="493"/>
      <c r="H43" s="493">
        <f t="shared" si="15"/>
        <v>2055</v>
      </c>
      <c r="I43" s="493"/>
      <c r="J43" s="493">
        <f t="shared" si="16"/>
        <v>56</v>
      </c>
      <c r="K43" s="493"/>
      <c r="L43" s="493">
        <f t="shared" si="17"/>
        <v>306.90000000000003</v>
      </c>
      <c r="M43" s="493"/>
      <c r="N43" s="493">
        <f t="shared" si="18"/>
        <v>2417.9</v>
      </c>
      <c r="O43" s="493"/>
      <c r="P43" s="493">
        <f t="shared" si="19"/>
        <v>7481.8509443099274</v>
      </c>
      <c r="Q43" s="493"/>
      <c r="R43" s="494">
        <f t="shared" si="20"/>
        <v>805.74839999999995</v>
      </c>
      <c r="S43" s="493"/>
      <c r="T43" s="493">
        <f t="shared" si="21"/>
        <v>1074.3312000000001</v>
      </c>
      <c r="U43" s="493"/>
      <c r="V43" s="493">
        <f t="shared" si="22"/>
        <v>453.52290556900732</v>
      </c>
      <c r="W43" s="493"/>
      <c r="X43" s="494">
        <f t="shared" si="23"/>
        <v>9815.4534498789344</v>
      </c>
      <c r="Y43" s="85"/>
      <c r="Z43" s="85"/>
      <c r="AA43" s="85"/>
      <c r="AB43" s="85"/>
      <c r="AC43" s="85"/>
      <c r="AD43" s="85"/>
      <c r="AE43" s="85"/>
      <c r="AF43" s="493"/>
      <c r="AG43" s="493"/>
      <c r="AH43" s="493"/>
      <c r="AI43" s="493"/>
      <c r="AJ43" s="493"/>
      <c r="AK43" s="493"/>
      <c r="AL43" s="493"/>
      <c r="AM43" s="68"/>
      <c r="AN43" s="68"/>
      <c r="AO43" s="68"/>
      <c r="AP43" s="470"/>
    </row>
    <row r="44" spans="1:42" ht="15">
      <c r="A44" s="1504">
        <v>34</v>
      </c>
      <c r="B44" s="68"/>
      <c r="C44" s="492" t="s">
        <v>1327</v>
      </c>
      <c r="D44" s="68"/>
      <c r="E44" s="68"/>
      <c r="F44" s="493">
        <f t="shared" si="24"/>
        <v>33866.157500000001</v>
      </c>
      <c r="G44" s="493"/>
      <c r="H44" s="493">
        <f t="shared" si="15"/>
        <v>2591</v>
      </c>
      <c r="I44" s="493"/>
      <c r="J44" s="493">
        <f t="shared" si="16"/>
        <v>56</v>
      </c>
      <c r="K44" s="493"/>
      <c r="L44" s="493">
        <f t="shared" si="17"/>
        <v>306.90000000000003</v>
      </c>
      <c r="M44" s="493"/>
      <c r="N44" s="493">
        <f t="shared" si="18"/>
        <v>2953.9</v>
      </c>
      <c r="O44" s="493"/>
      <c r="P44" s="493">
        <f t="shared" si="19"/>
        <v>7481.8509443099274</v>
      </c>
      <c r="Q44" s="493"/>
      <c r="R44" s="494">
        <f t="shared" si="20"/>
        <v>1015.984725</v>
      </c>
      <c r="S44" s="493"/>
      <c r="T44" s="493">
        <f t="shared" si="21"/>
        <v>1354.6463000000001</v>
      </c>
      <c r="U44" s="493"/>
      <c r="V44" s="493">
        <f t="shared" si="22"/>
        <v>453.52290556900732</v>
      </c>
      <c r="W44" s="493"/>
      <c r="X44" s="494">
        <f t="shared" si="23"/>
        <v>10306.004874878934</v>
      </c>
      <c r="Y44" s="85"/>
      <c r="Z44" s="85"/>
      <c r="AA44" s="85"/>
      <c r="AB44" s="85"/>
      <c r="AC44" s="85"/>
      <c r="AD44" s="85"/>
      <c r="AE44" s="85"/>
      <c r="AF44" s="493"/>
      <c r="AG44" s="493"/>
      <c r="AH44" s="493"/>
      <c r="AI44" s="493"/>
      <c r="AJ44" s="493"/>
      <c r="AK44" s="493"/>
      <c r="AL44" s="493"/>
      <c r="AM44" s="68"/>
      <c r="AN44" s="68"/>
      <c r="AO44" s="68"/>
      <c r="AP44" s="470"/>
    </row>
    <row r="45" spans="1:42" ht="15">
      <c r="A45" s="1504">
        <v>35</v>
      </c>
      <c r="B45" s="68"/>
      <c r="C45" s="492" t="s">
        <v>1328</v>
      </c>
      <c r="D45" s="68"/>
      <c r="E45" s="68"/>
      <c r="F45" s="493">
        <f t="shared" si="24"/>
        <v>42966.3</v>
      </c>
      <c r="G45" s="493"/>
      <c r="H45" s="493">
        <f t="shared" si="15"/>
        <v>3287</v>
      </c>
      <c r="I45" s="493"/>
      <c r="J45" s="493">
        <f t="shared" si="16"/>
        <v>56</v>
      </c>
      <c r="K45" s="493"/>
      <c r="L45" s="493">
        <f t="shared" si="17"/>
        <v>306.90000000000003</v>
      </c>
      <c r="M45" s="493"/>
      <c r="N45" s="493">
        <f t="shared" si="18"/>
        <v>3649.9</v>
      </c>
      <c r="O45" s="493"/>
      <c r="P45" s="493">
        <f t="shared" si="19"/>
        <v>7481.8509443099274</v>
      </c>
      <c r="Q45" s="493"/>
      <c r="R45" s="494">
        <f t="shared" si="20"/>
        <v>1288.989</v>
      </c>
      <c r="S45" s="493"/>
      <c r="T45" s="493">
        <f t="shared" si="21"/>
        <v>1718.652</v>
      </c>
      <c r="U45" s="493"/>
      <c r="V45" s="493">
        <f t="shared" si="22"/>
        <v>453.52290556900732</v>
      </c>
      <c r="W45" s="493"/>
      <c r="X45" s="494">
        <f t="shared" si="23"/>
        <v>10943.014849878935</v>
      </c>
      <c r="Y45" s="85"/>
      <c r="Z45" s="85"/>
      <c r="AA45" s="85"/>
      <c r="AB45" s="85"/>
      <c r="AC45" s="85"/>
      <c r="AD45" s="85"/>
      <c r="AE45" s="85"/>
      <c r="AF45" s="493"/>
      <c r="AG45" s="493"/>
      <c r="AH45" s="493"/>
      <c r="AI45" s="493"/>
      <c r="AJ45" s="493"/>
      <c r="AK45" s="493"/>
      <c r="AL45" s="493"/>
      <c r="AM45" s="68"/>
      <c r="AN45" s="68"/>
      <c r="AO45" s="68"/>
      <c r="AP45" s="470"/>
    </row>
    <row r="46" spans="1:42" ht="15">
      <c r="A46" s="1504">
        <v>36</v>
      </c>
      <c r="B46" s="68"/>
      <c r="C46" s="492" t="s">
        <v>1329</v>
      </c>
      <c r="D46" s="68"/>
      <c r="E46" s="68"/>
      <c r="F46" s="493">
        <f t="shared" si="24"/>
        <v>38883.308550000002</v>
      </c>
      <c r="G46" s="493"/>
      <c r="H46" s="493">
        <f t="shared" si="15"/>
        <v>2975</v>
      </c>
      <c r="I46" s="493"/>
      <c r="J46" s="493">
        <f t="shared" si="16"/>
        <v>56</v>
      </c>
      <c r="K46" s="493"/>
      <c r="L46" s="493">
        <f t="shared" si="17"/>
        <v>306.90000000000003</v>
      </c>
      <c r="M46" s="493"/>
      <c r="N46" s="493">
        <f t="shared" si="18"/>
        <v>3337.9</v>
      </c>
      <c r="O46" s="493"/>
      <c r="P46" s="493">
        <f t="shared" si="19"/>
        <v>7481.8509443099274</v>
      </c>
      <c r="Q46" s="493"/>
      <c r="R46" s="494">
        <f t="shared" si="20"/>
        <v>1166.4992565</v>
      </c>
      <c r="S46" s="493"/>
      <c r="T46" s="493">
        <f t="shared" si="21"/>
        <v>1555.3323420000002</v>
      </c>
      <c r="U46" s="493"/>
      <c r="V46" s="493">
        <f t="shared" si="22"/>
        <v>453.52290556900732</v>
      </c>
      <c r="W46" s="493"/>
      <c r="X46" s="494">
        <f t="shared" si="23"/>
        <v>10657.205448378934</v>
      </c>
      <c r="Y46" s="85"/>
      <c r="Z46" s="85"/>
      <c r="AA46" s="85"/>
      <c r="AB46" s="85"/>
      <c r="AC46" s="85"/>
      <c r="AD46" s="85"/>
      <c r="AE46" s="85"/>
      <c r="AF46" s="493"/>
      <c r="AG46" s="493"/>
      <c r="AH46" s="493"/>
      <c r="AI46" s="493"/>
      <c r="AJ46" s="493"/>
      <c r="AK46" s="493"/>
      <c r="AL46" s="493"/>
      <c r="AM46" s="68"/>
      <c r="AN46" s="68"/>
      <c r="AO46" s="68"/>
      <c r="AP46" s="470"/>
    </row>
    <row r="47" spans="1:42" ht="15">
      <c r="A47" s="1504">
        <v>37</v>
      </c>
      <c r="B47" s="68"/>
      <c r="C47" s="492"/>
      <c r="D47" s="68"/>
      <c r="E47" s="68"/>
      <c r="F47" s="493"/>
      <c r="G47" s="493"/>
      <c r="H47" s="493"/>
      <c r="I47" s="493"/>
      <c r="J47" s="493"/>
      <c r="K47" s="493"/>
      <c r="L47" s="493"/>
      <c r="M47" s="493"/>
      <c r="N47" s="494"/>
      <c r="O47" s="493"/>
      <c r="P47" s="493"/>
      <c r="Q47" s="493"/>
      <c r="R47" s="493"/>
      <c r="S47" s="493"/>
      <c r="T47" s="493"/>
      <c r="U47" s="493"/>
      <c r="V47" s="493"/>
      <c r="W47" s="493"/>
      <c r="X47" s="494"/>
      <c r="Y47" s="85"/>
      <c r="Z47" s="85"/>
      <c r="AA47" s="85"/>
      <c r="AB47" s="85"/>
      <c r="AC47" s="85"/>
      <c r="AD47" s="85"/>
      <c r="AE47" s="85"/>
      <c r="AF47" s="493"/>
      <c r="AG47" s="493"/>
      <c r="AH47" s="493"/>
      <c r="AI47" s="493"/>
      <c r="AJ47" s="493"/>
      <c r="AK47" s="493"/>
      <c r="AL47" s="493"/>
      <c r="AM47" s="68"/>
      <c r="AN47" s="68"/>
      <c r="AO47" s="68"/>
      <c r="AP47" s="470"/>
    </row>
    <row r="48" spans="1:42" ht="15">
      <c r="A48" s="1504">
        <v>38</v>
      </c>
      <c r="B48" s="68"/>
      <c r="C48" s="86" t="s">
        <v>464</v>
      </c>
      <c r="D48" s="68"/>
      <c r="E48" s="68"/>
      <c r="F48" s="494"/>
      <c r="G48" s="493"/>
      <c r="H48" s="493"/>
      <c r="I48" s="493"/>
      <c r="J48" s="493"/>
      <c r="K48" s="493"/>
      <c r="L48" s="493"/>
      <c r="M48" s="493"/>
      <c r="N48" s="494"/>
      <c r="O48" s="493"/>
      <c r="P48" s="493"/>
      <c r="Q48" s="493"/>
      <c r="R48" s="493"/>
      <c r="S48" s="493"/>
      <c r="T48" s="493"/>
      <c r="U48" s="493"/>
      <c r="V48" s="493"/>
      <c r="W48" s="493"/>
      <c r="X48" s="494"/>
      <c r="Y48" s="85"/>
      <c r="Z48" s="85"/>
      <c r="AA48" s="85"/>
      <c r="AB48" s="85"/>
      <c r="AC48" s="85"/>
      <c r="AD48" s="85"/>
      <c r="AE48" s="85"/>
      <c r="AF48" s="493"/>
      <c r="AG48" s="493"/>
      <c r="AH48" s="493"/>
      <c r="AI48" s="493"/>
      <c r="AJ48" s="493"/>
      <c r="AK48" s="493"/>
      <c r="AL48" s="493"/>
      <c r="AM48" s="68"/>
      <c r="AN48" s="68"/>
      <c r="AO48" s="68"/>
      <c r="AP48" s="470"/>
    </row>
    <row r="49" spans="1:42" ht="15">
      <c r="A49" s="1504">
        <v>39</v>
      </c>
      <c r="B49" s="68"/>
      <c r="C49" s="492" t="str">
        <f>D25</f>
        <v>Bruce Haas</v>
      </c>
      <c r="D49" s="68"/>
      <c r="E49" s="68"/>
      <c r="F49" s="493">
        <f>F25*Z25</f>
        <v>25920.514361317291</v>
      </c>
      <c r="G49" s="493"/>
      <c r="H49" s="493">
        <f>$Z25*H25</f>
        <v>1839.6996353678751</v>
      </c>
      <c r="I49" s="493"/>
      <c r="J49" s="493">
        <f>$Z25*J25</f>
        <v>11.629210924551417</v>
      </c>
      <c r="K49" s="493"/>
      <c r="L49" s="493">
        <f>$Z25*L25</f>
        <v>63.732229156157686</v>
      </c>
      <c r="M49" s="493"/>
      <c r="N49" s="493">
        <f>SUM(H49:L49)</f>
        <v>1915.0610754485842</v>
      </c>
      <c r="O49" s="493"/>
      <c r="P49" s="493">
        <f>$Z25*P25</f>
        <v>1553.7146917398991</v>
      </c>
      <c r="Q49" s="493"/>
      <c r="R49" s="493">
        <f>$Z25*R25</f>
        <v>777.61543083951869</v>
      </c>
      <c r="S49" s="493"/>
      <c r="T49" s="493">
        <f>$Z25*T25</f>
        <v>1036.8205744526917</v>
      </c>
      <c r="U49" s="493"/>
      <c r="V49" s="493">
        <f>$Z25*V25</f>
        <v>94.180598713882148</v>
      </c>
      <c r="W49" s="493"/>
      <c r="X49" s="494">
        <f>SUM(P49:V49)</f>
        <v>3462.3312957459916</v>
      </c>
      <c r="Y49" s="85"/>
      <c r="Z49" s="85"/>
      <c r="AA49" s="85"/>
      <c r="AB49" s="85"/>
      <c r="AC49" s="85"/>
      <c r="AD49" s="85"/>
      <c r="AE49" s="85"/>
      <c r="AF49" s="493"/>
      <c r="AG49" s="493"/>
      <c r="AH49" s="493"/>
      <c r="AI49" s="493"/>
      <c r="AJ49" s="493"/>
      <c r="AK49" s="493"/>
      <c r="AL49" s="493"/>
      <c r="AM49" s="68"/>
      <c r="AN49" s="68"/>
      <c r="AO49" s="68"/>
      <c r="AP49" s="470"/>
    </row>
    <row r="50" spans="1:42" ht="15">
      <c r="A50" s="1504">
        <v>40</v>
      </c>
      <c r="B50" s="68"/>
      <c r="C50" s="492" t="str">
        <f>D26</f>
        <v>Carl Daniel</v>
      </c>
      <c r="D50" s="68"/>
      <c r="E50" s="68"/>
      <c r="F50" s="493">
        <f>F26*Z26</f>
        <v>25785.956075678758</v>
      </c>
      <c r="G50" s="493"/>
      <c r="H50" s="493">
        <f>$Z26*H26</f>
        <v>1356.4988575441751</v>
      </c>
      <c r="I50" s="493"/>
      <c r="J50" s="493">
        <f>$Z26*J26</f>
        <v>7.8055832328888002</v>
      </c>
      <c r="K50" s="493"/>
      <c r="L50" s="493">
        <f>$Z26*L26</f>
        <v>42.777383824528087</v>
      </c>
      <c r="M50" s="493"/>
      <c r="N50" s="493">
        <f>SUM(H50:L50)</f>
        <v>1407.0818246015917</v>
      </c>
      <c r="O50" s="493"/>
      <c r="P50" s="493">
        <f>$Z26*P26</f>
        <v>1042.860897890693</v>
      </c>
      <c r="Q50" s="493"/>
      <c r="R50" s="493">
        <f>$Z26*R26</f>
        <v>773.57868227036272</v>
      </c>
      <c r="S50" s="493"/>
      <c r="T50" s="493">
        <f>$Z26*T26</f>
        <v>1031.4382430271503</v>
      </c>
      <c r="U50" s="493"/>
      <c r="V50" s="493">
        <f>$Z26*V26</f>
        <v>63.214478347150965</v>
      </c>
      <c r="W50" s="493"/>
      <c r="X50" s="494">
        <f>SUM(P50:V50)</f>
        <v>2911.0923015353569</v>
      </c>
      <c r="Y50" s="85"/>
      <c r="Z50" s="85"/>
      <c r="AA50" s="85"/>
      <c r="AB50" s="85"/>
      <c r="AC50" s="85"/>
      <c r="AD50" s="85"/>
      <c r="AE50" s="85"/>
      <c r="AF50" s="493"/>
      <c r="AG50" s="493"/>
      <c r="AH50" s="493"/>
      <c r="AI50" s="493"/>
      <c r="AJ50" s="493"/>
      <c r="AK50" s="493"/>
      <c r="AL50" s="493"/>
      <c r="AM50" s="68"/>
      <c r="AN50" s="68"/>
      <c r="AO50" s="68"/>
      <c r="AP50" s="470"/>
    </row>
    <row r="51" spans="1:42" ht="15">
      <c r="A51" s="1504">
        <v>41</v>
      </c>
      <c r="B51" s="68"/>
      <c r="C51" s="492" t="str">
        <f>D27</f>
        <v>Veronica Stannis</v>
      </c>
      <c r="D51" s="68"/>
      <c r="E51" s="68"/>
      <c r="F51" s="493">
        <f>F27*Z27</f>
        <v>9744.8803871000237</v>
      </c>
      <c r="G51" s="493"/>
      <c r="H51" s="493">
        <f>$Z27*H27</f>
        <v>745.43319874088036</v>
      </c>
      <c r="I51" s="493"/>
      <c r="J51" s="493">
        <f>$Z27*J27</f>
        <v>7.8055832328888002</v>
      </c>
      <c r="K51" s="493"/>
      <c r="L51" s="493">
        <f>$Z27*L27</f>
        <v>42.777383824528087</v>
      </c>
      <c r="M51" s="493"/>
      <c r="N51" s="493">
        <f>SUM(H51:L51)</f>
        <v>796.01616579829727</v>
      </c>
      <c r="O51" s="493"/>
      <c r="P51" s="493">
        <f>$Z27*P27</f>
        <v>1042.860897890693</v>
      </c>
      <c r="Q51" s="493"/>
      <c r="R51" s="493">
        <f>$Z27*R27</f>
        <v>292.34641161300067</v>
      </c>
      <c r="S51" s="493"/>
      <c r="T51" s="493">
        <f>$Z27*T27</f>
        <v>389.79521548400101</v>
      </c>
      <c r="U51" s="493"/>
      <c r="V51" s="493">
        <f>$Z27*V27</f>
        <v>63.214478347150965</v>
      </c>
      <c r="W51" s="493"/>
      <c r="X51" s="494">
        <f>SUM(P51:V51)</f>
        <v>1788.2170033348455</v>
      </c>
      <c r="Y51" s="85"/>
      <c r="Z51" s="85"/>
      <c r="AA51" s="85"/>
      <c r="AB51" s="85"/>
      <c r="AC51" s="85"/>
      <c r="AD51" s="85"/>
      <c r="AE51" s="85"/>
      <c r="AF51" s="493"/>
      <c r="AG51" s="493"/>
      <c r="AH51" s="493"/>
      <c r="AI51" s="493"/>
      <c r="AJ51" s="493"/>
      <c r="AK51" s="493"/>
      <c r="AL51" s="493"/>
      <c r="AM51" s="68"/>
      <c r="AN51" s="68"/>
      <c r="AO51" s="68"/>
      <c r="AP51" s="470"/>
    </row>
    <row r="52" spans="1:42" ht="15">
      <c r="A52" s="1504">
        <v>42</v>
      </c>
      <c r="B52" s="68"/>
      <c r="C52" s="492" t="str">
        <f>D28</f>
        <v>Helen Lupton</v>
      </c>
      <c r="D52" s="68"/>
      <c r="E52" s="68"/>
      <c r="F52" s="493">
        <f>F28*Z28</f>
        <v>10092.485310126942</v>
      </c>
      <c r="G52" s="493"/>
      <c r="H52" s="493">
        <f>$Z28*H28</f>
        <v>772.0558129816261</v>
      </c>
      <c r="I52" s="493"/>
      <c r="J52" s="493">
        <f>$Z28*J28</f>
        <v>7.8055832328888002</v>
      </c>
      <c r="K52" s="493"/>
      <c r="L52" s="493">
        <f>$Z28*L28</f>
        <v>42.777383824528087</v>
      </c>
      <c r="M52" s="493"/>
      <c r="N52" s="493">
        <f>SUM(H52:L52)</f>
        <v>822.63878003904301</v>
      </c>
      <c r="O52" s="493"/>
      <c r="P52" s="493">
        <f>$Z28*P28</f>
        <v>1042.860897890693</v>
      </c>
      <c r="Q52" s="493"/>
      <c r="R52" s="493">
        <f>$Z28*R28</f>
        <v>302.77455930380825</v>
      </c>
      <c r="S52" s="493"/>
      <c r="T52" s="493">
        <f>$Z28*T28</f>
        <v>403.69941240507762</v>
      </c>
      <c r="U52" s="493"/>
      <c r="V52" s="493">
        <f>$Z28*V28</f>
        <v>63.214478347150965</v>
      </c>
      <c r="W52" s="493"/>
      <c r="X52" s="494">
        <f>SUM(P52:V52)</f>
        <v>1812.5493479467298</v>
      </c>
      <c r="Y52" s="85"/>
      <c r="Z52" s="85"/>
      <c r="AA52" s="85"/>
      <c r="AB52" s="85"/>
      <c r="AC52" s="85"/>
      <c r="AD52" s="85"/>
      <c r="AE52" s="85"/>
      <c r="AF52" s="493"/>
      <c r="AG52" s="493"/>
      <c r="AH52" s="493"/>
      <c r="AI52" s="493"/>
      <c r="AJ52" s="493"/>
      <c r="AK52" s="493"/>
      <c r="AL52" s="493"/>
      <c r="AM52" s="68"/>
      <c r="AN52" s="68"/>
      <c r="AO52" s="68"/>
      <c r="AP52" s="470"/>
    </row>
    <row r="53" spans="1:42" ht="15">
      <c r="A53" s="1504">
        <v>43</v>
      </c>
      <c r="B53" s="68"/>
      <c r="C53" s="492" t="str">
        <f>D29</f>
        <v>Mary Rollins</v>
      </c>
      <c r="D53" s="68"/>
      <c r="E53" s="68"/>
      <c r="F53" s="501">
        <f>F29*Z29</f>
        <v>8483.6207958302803</v>
      </c>
      <c r="G53" s="501"/>
      <c r="H53" s="501">
        <f>$Z29*H29</f>
        <v>648.97849164875447</v>
      </c>
      <c r="I53" s="501"/>
      <c r="J53" s="501">
        <f>$Z29*J29</f>
        <v>7.8055832328888002</v>
      </c>
      <c r="K53" s="501"/>
      <c r="L53" s="501">
        <f>$Z29*L29</f>
        <v>42.777383824528087</v>
      </c>
      <c r="M53" s="501"/>
      <c r="N53" s="501">
        <f>SUM(H53:L53)</f>
        <v>699.56145870617138</v>
      </c>
      <c r="O53" s="501"/>
      <c r="P53" s="501">
        <f>$Z29*P29</f>
        <v>1042.860897890693</v>
      </c>
      <c r="Q53" s="501"/>
      <c r="R53" s="501">
        <f>$Z29*R29</f>
        <v>254.50862387490841</v>
      </c>
      <c r="S53" s="501"/>
      <c r="T53" s="501">
        <f>$Z29*T29</f>
        <v>339.34483183321117</v>
      </c>
      <c r="U53" s="501"/>
      <c r="V53" s="501">
        <f>$Z29*V29</f>
        <v>63.214478347150965</v>
      </c>
      <c r="W53" s="501"/>
      <c r="X53" s="501">
        <f>SUM(P53:V53)</f>
        <v>1699.9288319459636</v>
      </c>
      <c r="Y53" s="85"/>
      <c r="Z53" s="85"/>
      <c r="AA53" s="85"/>
      <c r="AB53" s="85"/>
      <c r="AC53" s="85"/>
      <c r="AD53" s="85"/>
      <c r="AE53" s="85"/>
      <c r="AF53" s="493"/>
      <c r="AG53" s="493"/>
      <c r="AH53" s="493"/>
      <c r="AI53" s="493"/>
      <c r="AJ53" s="493"/>
      <c r="AK53" s="493"/>
      <c r="AL53" s="493"/>
      <c r="AM53" s="68"/>
      <c r="AN53" s="68"/>
      <c r="AO53" s="68"/>
      <c r="AP53" s="470"/>
    </row>
    <row r="54" spans="1:42" ht="15">
      <c r="A54" s="1504">
        <v>44</v>
      </c>
      <c r="B54" s="68"/>
      <c r="C54" s="67" t="s">
        <v>65</v>
      </c>
      <c r="D54" s="68"/>
      <c r="E54" s="68"/>
      <c r="F54" s="493">
        <f>SUM(F36:F53)</f>
        <v>544982.98048005311</v>
      </c>
      <c r="G54" s="493"/>
      <c r="H54" s="493">
        <f t="shared" ref="H54:X54" si="25">SUM(H36:H53)</f>
        <v>40932.665996283315</v>
      </c>
      <c r="I54" s="493">
        <f t="shared" si="25"/>
        <v>0</v>
      </c>
      <c r="J54" s="493">
        <f t="shared" si="25"/>
        <v>658.85154385610667</v>
      </c>
      <c r="K54" s="493">
        <f t="shared" si="25"/>
        <v>0</v>
      </c>
      <c r="L54" s="493">
        <f t="shared" si="25"/>
        <v>3610.7417644542702</v>
      </c>
      <c r="M54" s="493"/>
      <c r="N54" s="493">
        <f t="shared" si="25"/>
        <v>45202.259304593696</v>
      </c>
      <c r="O54" s="493">
        <f t="shared" si="25"/>
        <v>0</v>
      </c>
      <c r="P54" s="493">
        <f t="shared" si="25"/>
        <v>88025.518670711899</v>
      </c>
      <c r="Q54" s="493">
        <f t="shared" si="25"/>
        <v>0</v>
      </c>
      <c r="R54" s="493">
        <f t="shared" si="25"/>
        <v>16349.489414401596</v>
      </c>
      <c r="S54" s="493">
        <f t="shared" si="25"/>
        <v>0</v>
      </c>
      <c r="T54" s="493">
        <f t="shared" si="25"/>
        <v>21799.319219202134</v>
      </c>
      <c r="U54" s="493">
        <f t="shared" si="25"/>
        <v>0</v>
      </c>
      <c r="V54" s="493">
        <f t="shared" si="25"/>
        <v>5335.7904733615678</v>
      </c>
      <c r="W54" s="493">
        <f t="shared" si="25"/>
        <v>0</v>
      </c>
      <c r="X54" s="493">
        <f t="shared" si="25"/>
        <v>131510.11777767717</v>
      </c>
      <c r="Y54" s="85"/>
      <c r="Z54" s="85"/>
      <c r="AA54" s="85"/>
      <c r="AB54" s="85"/>
      <c r="AC54" s="85"/>
      <c r="AD54" s="85"/>
      <c r="AE54" s="85"/>
      <c r="AF54" s="493"/>
      <c r="AG54" s="493"/>
      <c r="AH54" s="493"/>
      <c r="AI54" s="493"/>
      <c r="AJ54" s="493"/>
      <c r="AK54" s="493"/>
      <c r="AL54" s="493"/>
      <c r="AM54" s="68"/>
      <c r="AN54" s="68"/>
      <c r="AO54" s="68"/>
      <c r="AP54" s="470"/>
    </row>
    <row r="55" spans="1:42" ht="15">
      <c r="A55" s="1504">
        <v>45</v>
      </c>
      <c r="B55" s="68"/>
      <c r="C55" s="85"/>
      <c r="D55" s="85"/>
      <c r="E55" s="68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85"/>
      <c r="Z55" s="85"/>
      <c r="AA55" s="85"/>
      <c r="AB55" s="85"/>
      <c r="AC55" s="85"/>
      <c r="AD55" s="85"/>
      <c r="AE55" s="85"/>
      <c r="AF55" s="493"/>
      <c r="AG55" s="493"/>
      <c r="AH55" s="493"/>
      <c r="AI55" s="493"/>
      <c r="AJ55" s="493"/>
      <c r="AK55" s="493"/>
      <c r="AL55" s="493"/>
      <c r="AM55" s="68"/>
      <c r="AN55" s="68"/>
      <c r="AO55" s="68"/>
      <c r="AP55" s="470"/>
    </row>
    <row r="56" spans="1:42" ht="15" hidden="1">
      <c r="A56" s="1504">
        <v>46</v>
      </c>
      <c r="B56" s="507"/>
      <c r="C56" s="507"/>
      <c r="D56" s="508"/>
      <c r="E56" s="507"/>
      <c r="F56" s="509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S56" s="510"/>
      <c r="T56" s="510"/>
      <c r="U56" s="510"/>
      <c r="V56" s="510"/>
      <c r="W56" s="510"/>
      <c r="X56" s="510"/>
      <c r="Y56" s="507"/>
      <c r="Z56" s="88"/>
      <c r="AA56" s="88"/>
      <c r="AB56" s="88"/>
      <c r="AC56" s="88"/>
      <c r="AD56" s="88"/>
      <c r="AE56" s="88"/>
      <c r="AF56" s="511"/>
      <c r="AG56" s="511"/>
      <c r="AH56" s="511"/>
      <c r="AI56" s="510"/>
      <c r="AJ56" s="510"/>
      <c r="AK56" s="510"/>
      <c r="AL56" s="510"/>
      <c r="AM56" s="507"/>
      <c r="AN56" s="507"/>
      <c r="AO56" s="507"/>
      <c r="AP56" s="507"/>
    </row>
    <row r="57" spans="1:42" ht="15" hidden="1">
      <c r="A57" s="1504">
        <v>47</v>
      </c>
      <c r="B57" s="68"/>
      <c r="C57" s="67"/>
      <c r="D57" s="512"/>
      <c r="E57" s="85"/>
      <c r="F57" s="493"/>
      <c r="G57" s="494"/>
      <c r="H57" s="493"/>
      <c r="I57" s="494"/>
      <c r="J57" s="493"/>
      <c r="K57" s="494"/>
      <c r="L57" s="493"/>
      <c r="M57" s="494"/>
      <c r="N57" s="493"/>
      <c r="O57" s="494"/>
      <c r="P57" s="493"/>
      <c r="Q57" s="494"/>
      <c r="R57" s="493"/>
      <c r="S57" s="494"/>
      <c r="T57" s="493"/>
      <c r="U57" s="494"/>
      <c r="V57" s="493"/>
      <c r="W57" s="493"/>
      <c r="X57" s="493"/>
      <c r="Y57" s="68"/>
      <c r="Z57" s="85"/>
      <c r="AA57" s="85"/>
      <c r="AB57" s="85"/>
      <c r="AC57" s="85"/>
      <c r="AD57" s="85"/>
      <c r="AE57" s="85"/>
      <c r="AF57" s="493"/>
      <c r="AG57" s="493"/>
      <c r="AH57" s="493"/>
      <c r="AI57" s="493"/>
      <c r="AJ57" s="493"/>
      <c r="AK57" s="493"/>
      <c r="AL57" s="493"/>
      <c r="AM57" s="85"/>
      <c r="AN57" s="85"/>
      <c r="AO57" s="85"/>
      <c r="AP57" s="470"/>
    </row>
    <row r="58" spans="1:42" ht="15" hidden="1">
      <c r="A58" s="1504">
        <v>48</v>
      </c>
      <c r="B58" s="68"/>
      <c r="C58" s="67"/>
      <c r="D58" s="85"/>
      <c r="E58" s="85"/>
      <c r="F58" s="493"/>
      <c r="G58" s="494"/>
      <c r="H58" s="493"/>
      <c r="I58" s="494"/>
      <c r="J58" s="493"/>
      <c r="K58" s="494"/>
      <c r="L58" s="493"/>
      <c r="M58" s="494"/>
      <c r="N58" s="493"/>
      <c r="O58" s="494"/>
      <c r="P58" s="493"/>
      <c r="Q58" s="494"/>
      <c r="R58" s="493"/>
      <c r="S58" s="494"/>
      <c r="T58" s="493"/>
      <c r="U58" s="494"/>
      <c r="V58" s="493"/>
      <c r="W58" s="493"/>
      <c r="X58" s="493"/>
      <c r="Y58" s="68"/>
      <c r="Z58" s="85"/>
      <c r="AA58" s="85"/>
      <c r="AB58" s="85"/>
      <c r="AC58" s="85"/>
      <c r="AD58" s="85"/>
      <c r="AE58" s="85"/>
      <c r="AF58" s="493"/>
      <c r="AG58" s="493"/>
      <c r="AH58" s="493"/>
      <c r="AI58" s="493"/>
      <c r="AJ58" s="493"/>
      <c r="AK58" s="493"/>
      <c r="AL58" s="493"/>
      <c r="AM58" s="85"/>
      <c r="AN58" s="85"/>
      <c r="AO58" s="85"/>
      <c r="AP58" s="470"/>
    </row>
    <row r="59" spans="1:42" ht="15" hidden="1">
      <c r="A59" s="1504">
        <v>49</v>
      </c>
      <c r="B59" s="68"/>
      <c r="C59" s="67"/>
      <c r="D59" s="85"/>
      <c r="E59" s="85"/>
      <c r="F59" s="493"/>
      <c r="G59" s="494"/>
      <c r="H59" s="493"/>
      <c r="I59" s="494"/>
      <c r="J59" s="493"/>
      <c r="K59" s="494"/>
      <c r="L59" s="493"/>
      <c r="M59" s="494"/>
      <c r="N59" s="493"/>
      <c r="O59" s="494"/>
      <c r="P59" s="493"/>
      <c r="Q59" s="494"/>
      <c r="R59" s="493"/>
      <c r="S59" s="494"/>
      <c r="T59" s="493"/>
      <c r="U59" s="494"/>
      <c r="V59" s="493"/>
      <c r="W59" s="493"/>
      <c r="X59" s="493"/>
      <c r="Y59" s="68"/>
      <c r="Z59" s="85"/>
      <c r="AA59" s="85"/>
      <c r="AB59" s="85"/>
      <c r="AC59" s="85"/>
      <c r="AD59" s="85"/>
      <c r="AE59" s="85"/>
      <c r="AF59" s="493"/>
      <c r="AG59" s="493"/>
      <c r="AH59" s="493"/>
      <c r="AI59" s="493"/>
      <c r="AJ59" s="493"/>
      <c r="AK59" s="493"/>
      <c r="AL59" s="493"/>
      <c r="AM59" s="85"/>
      <c r="AN59" s="85"/>
      <c r="AO59" s="85"/>
      <c r="AP59" s="470"/>
    </row>
    <row r="60" spans="1:42" ht="15" hidden="1">
      <c r="A60" s="1504">
        <v>50</v>
      </c>
      <c r="B60" s="68"/>
      <c r="C60" s="67"/>
      <c r="D60" s="68"/>
      <c r="E60" s="68"/>
      <c r="F60" s="493"/>
      <c r="G60" s="494"/>
      <c r="H60" s="493"/>
      <c r="I60" s="494"/>
      <c r="J60" s="493"/>
      <c r="K60" s="494"/>
      <c r="L60" s="493"/>
      <c r="M60" s="494"/>
      <c r="N60" s="493"/>
      <c r="O60" s="494"/>
      <c r="P60" s="493"/>
      <c r="Q60" s="494"/>
      <c r="R60" s="493"/>
      <c r="S60" s="494"/>
      <c r="T60" s="493"/>
      <c r="U60" s="494"/>
      <c r="V60" s="493"/>
      <c r="W60" s="493"/>
      <c r="X60" s="493"/>
      <c r="Y60" s="68"/>
      <c r="Z60" s="85"/>
      <c r="AA60" s="85"/>
      <c r="AB60" s="85"/>
      <c r="AC60" s="85"/>
      <c r="AD60" s="85"/>
      <c r="AE60" s="85"/>
      <c r="AF60" s="493"/>
      <c r="AG60" s="493"/>
      <c r="AH60" s="493"/>
      <c r="AI60" s="493"/>
      <c r="AJ60" s="493"/>
      <c r="AK60" s="493"/>
      <c r="AL60" s="493"/>
      <c r="AM60" s="85"/>
      <c r="AN60" s="85"/>
      <c r="AO60" s="85"/>
      <c r="AP60" s="470"/>
    </row>
    <row r="61" spans="1:42" ht="15" hidden="1">
      <c r="A61" s="1504">
        <v>51</v>
      </c>
      <c r="B61" s="68"/>
      <c r="C61" s="68"/>
      <c r="D61" s="68"/>
      <c r="E61" s="68"/>
      <c r="F61" s="493"/>
      <c r="G61" s="493"/>
      <c r="H61" s="494"/>
      <c r="I61" s="494"/>
      <c r="J61" s="494"/>
      <c r="K61" s="494"/>
      <c r="L61" s="493"/>
      <c r="M61" s="494"/>
      <c r="N61" s="494"/>
      <c r="O61" s="494"/>
      <c r="P61" s="494"/>
      <c r="Q61" s="494"/>
      <c r="R61" s="494"/>
      <c r="S61" s="494"/>
      <c r="T61" s="494"/>
      <c r="U61" s="494"/>
      <c r="V61" s="494"/>
      <c r="W61" s="494"/>
      <c r="X61" s="494"/>
      <c r="Y61" s="68"/>
      <c r="Z61" s="513"/>
      <c r="AA61" s="85"/>
      <c r="AB61" s="85"/>
      <c r="AC61" s="85"/>
      <c r="AD61" s="85"/>
      <c r="AE61" s="85"/>
      <c r="AF61" s="493"/>
      <c r="AG61" s="493"/>
      <c r="AH61" s="493"/>
      <c r="AI61" s="493"/>
      <c r="AJ61" s="493"/>
      <c r="AK61" s="493"/>
      <c r="AL61" s="494"/>
      <c r="AM61" s="85"/>
      <c r="AN61" s="85"/>
      <c r="AO61" s="85"/>
      <c r="AP61" s="470"/>
    </row>
    <row r="62" spans="1:42" ht="15" hidden="1">
      <c r="A62" s="1504">
        <v>52</v>
      </c>
      <c r="B62" s="85"/>
      <c r="C62" s="85"/>
      <c r="D62" s="85"/>
      <c r="E62" s="85"/>
      <c r="F62" s="493"/>
      <c r="G62" s="493"/>
      <c r="H62" s="494"/>
      <c r="I62" s="494"/>
      <c r="J62" s="494"/>
      <c r="K62" s="494"/>
      <c r="L62" s="493"/>
      <c r="M62" s="494"/>
      <c r="N62" s="494"/>
      <c r="O62" s="494"/>
      <c r="P62" s="494"/>
      <c r="Q62" s="494"/>
      <c r="R62" s="494"/>
      <c r="S62" s="494"/>
      <c r="T62" s="494"/>
      <c r="U62" s="494"/>
      <c r="V62" s="494"/>
      <c r="W62" s="494"/>
      <c r="X62" s="494"/>
      <c r="Y62" s="85"/>
      <c r="Z62" s="495"/>
      <c r="AA62" s="472"/>
      <c r="AB62" s="496"/>
      <c r="AC62" s="82"/>
      <c r="AD62" s="480"/>
      <c r="AE62" s="68"/>
      <c r="AF62" s="493"/>
      <c r="AG62" s="493"/>
      <c r="AH62" s="493"/>
      <c r="AI62" s="494"/>
      <c r="AJ62" s="493"/>
      <c r="AK62" s="494"/>
      <c r="AL62" s="494"/>
      <c r="AM62" s="85"/>
      <c r="AN62" s="85"/>
      <c r="AO62" s="85"/>
      <c r="AP62" s="482"/>
    </row>
    <row r="63" spans="1:42" ht="15" hidden="1">
      <c r="A63" s="1504">
        <v>53</v>
      </c>
      <c r="B63" s="85"/>
      <c r="C63" s="85"/>
      <c r="D63" s="85"/>
      <c r="E63" s="85"/>
      <c r="F63" s="493"/>
      <c r="G63" s="493"/>
      <c r="H63" s="494"/>
      <c r="I63" s="494"/>
      <c r="J63" s="494"/>
      <c r="K63" s="494"/>
      <c r="L63" s="493"/>
      <c r="M63" s="494"/>
      <c r="N63" s="494"/>
      <c r="O63" s="494"/>
      <c r="P63" s="494"/>
      <c r="Q63" s="494"/>
      <c r="R63" s="494"/>
      <c r="S63" s="494"/>
      <c r="T63" s="494"/>
      <c r="U63" s="494"/>
      <c r="V63" s="494"/>
      <c r="W63" s="494"/>
      <c r="X63" s="494"/>
      <c r="Y63" s="85"/>
      <c r="Z63" s="495"/>
      <c r="AA63" s="472"/>
      <c r="AB63" s="496"/>
      <c r="AC63" s="82"/>
      <c r="AD63" s="480"/>
      <c r="AE63" s="68"/>
      <c r="AF63" s="493"/>
      <c r="AG63" s="493"/>
      <c r="AH63" s="493"/>
      <c r="AI63" s="494"/>
      <c r="AJ63" s="493"/>
      <c r="AK63" s="494"/>
      <c r="AL63" s="494"/>
      <c r="AM63" s="85"/>
      <c r="AN63" s="85"/>
      <c r="AO63" s="85"/>
      <c r="AP63" s="482"/>
    </row>
    <row r="64" spans="1:42" ht="15" hidden="1">
      <c r="A64" s="1504">
        <v>54</v>
      </c>
      <c r="B64" s="85"/>
      <c r="C64" s="85"/>
      <c r="D64" s="85"/>
      <c r="E64" s="85"/>
      <c r="F64" s="493"/>
      <c r="G64" s="493"/>
      <c r="H64" s="494"/>
      <c r="I64" s="494"/>
      <c r="J64" s="494"/>
      <c r="K64" s="494"/>
      <c r="L64" s="493"/>
      <c r="M64" s="494"/>
      <c r="N64" s="494"/>
      <c r="O64" s="494"/>
      <c r="P64" s="494"/>
      <c r="Q64" s="494"/>
      <c r="R64" s="494"/>
      <c r="S64" s="494"/>
      <c r="T64" s="494"/>
      <c r="U64" s="494"/>
      <c r="V64" s="494"/>
      <c r="W64" s="494"/>
      <c r="X64" s="494"/>
      <c r="Y64" s="85"/>
      <c r="Z64" s="495"/>
      <c r="AA64" s="472"/>
      <c r="AB64" s="496"/>
      <c r="AC64" s="82"/>
      <c r="AD64" s="480"/>
      <c r="AE64" s="68"/>
      <c r="AF64" s="493"/>
      <c r="AG64" s="493"/>
      <c r="AH64" s="493"/>
      <c r="AI64" s="493"/>
      <c r="AJ64" s="493"/>
      <c r="AK64" s="493"/>
      <c r="AL64" s="493"/>
      <c r="AM64" s="85"/>
      <c r="AN64" s="85"/>
      <c r="AO64" s="85"/>
      <c r="AP64" s="482"/>
    </row>
    <row r="65" spans="1:42" ht="15" hidden="1">
      <c r="A65" s="1504">
        <v>55</v>
      </c>
      <c r="B65" s="85"/>
      <c r="C65" s="463"/>
      <c r="D65" s="85"/>
      <c r="E65" s="85"/>
      <c r="F65" s="493"/>
      <c r="G65" s="493"/>
      <c r="H65" s="494"/>
      <c r="I65" s="494"/>
      <c r="J65" s="494"/>
      <c r="K65" s="494"/>
      <c r="L65" s="493"/>
      <c r="M65" s="494"/>
      <c r="N65" s="494"/>
      <c r="O65" s="494"/>
      <c r="P65" s="494"/>
      <c r="Q65" s="494"/>
      <c r="R65" s="494"/>
      <c r="S65" s="494"/>
      <c r="T65" s="494"/>
      <c r="U65" s="494"/>
      <c r="V65" s="494"/>
      <c r="W65" s="494"/>
      <c r="X65" s="494"/>
      <c r="Y65" s="85"/>
      <c r="Z65" s="495"/>
      <c r="AA65" s="472"/>
      <c r="AB65" s="496"/>
      <c r="AC65" s="82"/>
      <c r="AD65" s="480"/>
      <c r="AE65" s="68"/>
      <c r="AF65" s="493"/>
      <c r="AG65" s="493"/>
      <c r="AH65" s="493"/>
      <c r="AI65" s="494"/>
      <c r="AJ65" s="493"/>
      <c r="AK65" s="494"/>
      <c r="AL65" s="493"/>
      <c r="AM65" s="85"/>
      <c r="AN65" s="85"/>
      <c r="AO65" s="85"/>
      <c r="AP65" s="482"/>
    </row>
    <row r="66" spans="1:42" ht="15" hidden="1">
      <c r="A66" s="1504">
        <v>56</v>
      </c>
      <c r="B66" s="85"/>
      <c r="C66" s="463"/>
      <c r="D66" s="85"/>
      <c r="E66" s="85"/>
      <c r="F66" s="493"/>
      <c r="G66" s="493"/>
      <c r="H66" s="494"/>
      <c r="I66" s="494"/>
      <c r="J66" s="494"/>
      <c r="K66" s="494"/>
      <c r="L66" s="493"/>
      <c r="M66" s="494"/>
      <c r="N66" s="494"/>
      <c r="O66" s="494"/>
      <c r="P66" s="494"/>
      <c r="Q66" s="494"/>
      <c r="R66" s="494"/>
      <c r="S66" s="494"/>
      <c r="T66" s="494"/>
      <c r="U66" s="494"/>
      <c r="V66" s="494"/>
      <c r="W66" s="494"/>
      <c r="X66" s="494"/>
      <c r="Y66" s="85"/>
      <c r="Z66" s="495"/>
      <c r="AA66" s="472"/>
      <c r="AB66" s="496"/>
      <c r="AC66" s="82"/>
      <c r="AD66" s="480"/>
      <c r="AE66" s="85"/>
      <c r="AF66" s="493"/>
      <c r="AG66" s="493"/>
      <c r="AH66" s="493"/>
      <c r="AI66" s="493"/>
      <c r="AJ66" s="493"/>
      <c r="AK66" s="493"/>
      <c r="AL66" s="493"/>
      <c r="AM66" s="85"/>
      <c r="AN66" s="85"/>
      <c r="AO66" s="85"/>
      <c r="AP66" s="482"/>
    </row>
    <row r="67" spans="1:42" ht="15" hidden="1">
      <c r="A67" s="1504">
        <v>57</v>
      </c>
      <c r="B67" s="85"/>
      <c r="C67" s="514"/>
      <c r="D67" s="85"/>
      <c r="E67" s="85"/>
      <c r="F67" s="493"/>
      <c r="G67" s="493"/>
      <c r="H67" s="494"/>
      <c r="I67" s="494"/>
      <c r="J67" s="494"/>
      <c r="K67" s="494"/>
      <c r="L67" s="493"/>
      <c r="M67" s="494"/>
      <c r="N67" s="494"/>
      <c r="O67" s="494"/>
      <c r="P67" s="494"/>
      <c r="Q67" s="494"/>
      <c r="R67" s="494"/>
      <c r="S67" s="494"/>
      <c r="T67" s="494"/>
      <c r="U67" s="494"/>
      <c r="V67" s="494"/>
      <c r="W67" s="494"/>
      <c r="X67" s="494"/>
      <c r="Y67" s="85"/>
      <c r="Z67" s="495"/>
      <c r="AA67" s="472"/>
      <c r="AB67" s="496"/>
      <c r="AC67" s="82"/>
      <c r="AD67" s="480"/>
      <c r="AE67" s="85"/>
      <c r="AF67" s="493"/>
      <c r="AG67" s="493"/>
      <c r="AH67" s="493"/>
      <c r="AI67" s="493"/>
      <c r="AJ67" s="493"/>
      <c r="AK67" s="493"/>
      <c r="AL67" s="493"/>
      <c r="AM67" s="85"/>
      <c r="AN67" s="85"/>
      <c r="AO67" s="85"/>
      <c r="AP67" s="482"/>
    </row>
    <row r="68" spans="1:42" ht="15" hidden="1">
      <c r="A68" s="1504">
        <v>58</v>
      </c>
      <c r="B68" s="85"/>
      <c r="C68" s="514"/>
      <c r="D68" s="85"/>
      <c r="E68" s="85"/>
      <c r="F68" s="493"/>
      <c r="G68" s="493"/>
      <c r="H68" s="494"/>
      <c r="I68" s="494"/>
      <c r="J68" s="494"/>
      <c r="K68" s="494"/>
      <c r="L68" s="493"/>
      <c r="M68" s="494"/>
      <c r="N68" s="494"/>
      <c r="O68" s="494"/>
      <c r="P68" s="494"/>
      <c r="Q68" s="494"/>
      <c r="R68" s="494"/>
      <c r="S68" s="494"/>
      <c r="T68" s="494"/>
      <c r="U68" s="494"/>
      <c r="V68" s="494"/>
      <c r="W68" s="494"/>
      <c r="X68" s="494"/>
      <c r="Y68" s="85"/>
      <c r="Z68" s="495"/>
      <c r="AA68" s="472"/>
      <c r="AB68" s="496"/>
      <c r="AC68" s="82"/>
      <c r="AD68" s="480"/>
      <c r="AE68" s="85"/>
      <c r="AF68" s="501"/>
      <c r="AG68" s="493"/>
      <c r="AH68" s="493"/>
      <c r="AI68" s="493"/>
      <c r="AJ68" s="501"/>
      <c r="AK68" s="493"/>
      <c r="AL68" s="501"/>
      <c r="AM68" s="85"/>
      <c r="AN68" s="85"/>
      <c r="AO68" s="85"/>
      <c r="AP68" s="482"/>
    </row>
    <row r="69" spans="1:42" ht="15" hidden="1">
      <c r="A69" s="1504">
        <v>59</v>
      </c>
      <c r="B69" s="68"/>
      <c r="C69" s="67"/>
      <c r="D69" s="68"/>
      <c r="E69" s="68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  <c r="Q69" s="515"/>
      <c r="R69" s="515"/>
      <c r="S69" s="515"/>
      <c r="T69" s="515"/>
      <c r="U69" s="515"/>
      <c r="V69" s="515"/>
      <c r="W69" s="515"/>
      <c r="X69" s="515"/>
      <c r="Y69" s="68"/>
      <c r="Z69" s="85"/>
      <c r="AA69" s="85"/>
      <c r="AB69" s="85"/>
      <c r="AC69" s="85"/>
      <c r="AD69" s="85"/>
      <c r="AE69" s="85"/>
      <c r="AF69" s="493"/>
      <c r="AG69" s="493"/>
      <c r="AH69" s="493"/>
      <c r="AI69" s="493"/>
      <c r="AJ69" s="493"/>
      <c r="AK69" s="493"/>
      <c r="AL69" s="493"/>
      <c r="AM69" s="85"/>
      <c r="AN69" s="85"/>
      <c r="AO69" s="85"/>
      <c r="AP69" s="470"/>
    </row>
    <row r="70" spans="1:42" ht="15" hidden="1">
      <c r="A70" s="1504">
        <v>60</v>
      </c>
      <c r="B70" s="68"/>
      <c r="C70" s="67"/>
      <c r="D70" s="68"/>
      <c r="E70" s="68"/>
      <c r="F70" s="515"/>
      <c r="G70" s="494"/>
      <c r="H70" s="515"/>
      <c r="I70" s="494"/>
      <c r="J70" s="515"/>
      <c r="K70" s="494"/>
      <c r="L70" s="515"/>
      <c r="M70" s="494"/>
      <c r="N70" s="515"/>
      <c r="O70" s="494"/>
      <c r="P70" s="515"/>
      <c r="Q70" s="494"/>
      <c r="R70" s="515"/>
      <c r="S70" s="494"/>
      <c r="T70" s="515"/>
      <c r="U70" s="494"/>
      <c r="V70" s="515"/>
      <c r="W70" s="493"/>
      <c r="X70" s="515"/>
      <c r="Y70" s="68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470"/>
    </row>
    <row r="71" spans="1:42" ht="15" hidden="1">
      <c r="A71" s="1504">
        <v>61</v>
      </c>
      <c r="B71" s="68"/>
      <c r="C71" s="67"/>
      <c r="D71" s="68"/>
      <c r="E71" s="68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  <c r="Q71" s="515"/>
      <c r="R71" s="515"/>
      <c r="S71" s="515"/>
      <c r="T71" s="515"/>
      <c r="U71" s="515"/>
      <c r="V71" s="515"/>
      <c r="W71" s="515"/>
      <c r="X71" s="515"/>
      <c r="Y71" s="68"/>
      <c r="Z71" s="472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470"/>
    </row>
    <row r="72" spans="1:42" ht="15">
      <c r="A72" s="1504">
        <v>62</v>
      </c>
      <c r="B72" s="68"/>
      <c r="C72" s="68" t="s">
        <v>1069</v>
      </c>
      <c r="D72" s="68" t="s">
        <v>1730</v>
      </c>
      <c r="E72" s="68"/>
      <c r="F72" s="68"/>
      <c r="G72" s="68"/>
      <c r="H72" s="85"/>
      <c r="I72" s="68"/>
      <c r="J72" s="85"/>
      <c r="K72" s="68"/>
      <c r="L72" s="85"/>
      <c r="M72" s="68"/>
      <c r="N72" s="85"/>
      <c r="O72" s="68"/>
      <c r="P72" s="85"/>
      <c r="Q72" s="68"/>
      <c r="R72" s="85"/>
      <c r="S72" s="68"/>
      <c r="T72" s="85"/>
      <c r="U72" s="68"/>
      <c r="V72" s="85"/>
      <c r="W72" s="68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470"/>
    </row>
    <row r="73" spans="1:42" ht="15">
      <c r="A73" s="1504">
        <v>63</v>
      </c>
      <c r="B73" s="516"/>
      <c r="C73" s="516"/>
      <c r="D73" s="508"/>
      <c r="E73" s="516"/>
      <c r="F73" s="517"/>
      <c r="G73" s="516"/>
      <c r="H73" s="88"/>
      <c r="I73" s="516"/>
      <c r="J73" s="88"/>
      <c r="K73" s="516"/>
      <c r="L73" s="88"/>
      <c r="M73" s="516"/>
      <c r="N73" s="516"/>
      <c r="O73" s="516"/>
      <c r="P73" s="88"/>
      <c r="Q73" s="516"/>
      <c r="R73" s="88"/>
      <c r="S73" s="516"/>
      <c r="T73" s="88"/>
      <c r="U73" s="516"/>
      <c r="V73" s="88"/>
      <c r="W73" s="516"/>
      <c r="X73" s="516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518"/>
    </row>
    <row r="74" spans="1:42" ht="15">
      <c r="A74" s="1504">
        <v>64</v>
      </c>
      <c r="B74" s="68"/>
      <c r="C74" s="68"/>
      <c r="D74" s="519"/>
      <c r="E74" s="68"/>
      <c r="F74" s="68"/>
      <c r="G74" s="68"/>
      <c r="H74" s="85"/>
      <c r="I74" s="68"/>
      <c r="J74" s="85"/>
      <c r="K74" s="68"/>
      <c r="L74" s="85"/>
      <c r="M74" s="68"/>
      <c r="N74" s="68"/>
      <c r="O74" s="68"/>
      <c r="P74" s="85"/>
      <c r="Q74" s="68"/>
      <c r="R74" s="85"/>
      <c r="S74" s="68"/>
      <c r="T74" s="85"/>
      <c r="U74" s="68"/>
      <c r="V74" s="85"/>
      <c r="W74" s="68"/>
      <c r="X74" s="68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470"/>
    </row>
    <row r="75" spans="1:42" ht="15">
      <c r="A75" s="1504">
        <v>65</v>
      </c>
      <c r="B75" s="68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464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</row>
    <row r="76" spans="1:42" ht="15">
      <c r="A76" s="1504">
        <v>66</v>
      </c>
      <c r="B76" s="68"/>
      <c r="C76" s="85"/>
      <c r="D76" s="85"/>
      <c r="F76" s="89" t="s">
        <v>657</v>
      </c>
      <c r="H76" s="85"/>
      <c r="J76" s="85"/>
      <c r="K76" s="90" t="s">
        <v>640</v>
      </c>
      <c r="L76" s="85"/>
      <c r="N76" s="85"/>
      <c r="O76" s="90" t="s">
        <v>508</v>
      </c>
      <c r="P76" s="85"/>
      <c r="R76" s="85"/>
      <c r="S76" s="90" t="s">
        <v>64</v>
      </c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</row>
    <row r="77" spans="1:42" ht="15">
      <c r="A77" s="1504">
        <v>67</v>
      </c>
      <c r="B77" s="68"/>
      <c r="C77" s="68"/>
      <c r="D77" s="68"/>
      <c r="F77" s="520">
        <f>J77</f>
        <v>1</v>
      </c>
      <c r="H77" s="520">
        <f>L77</f>
        <v>0</v>
      </c>
      <c r="J77" s="520">
        <f>N77</f>
        <v>1</v>
      </c>
      <c r="K77" s="521"/>
      <c r="L77" s="520">
        <f>P77</f>
        <v>0</v>
      </c>
      <c r="N77" s="520">
        <f>R77</f>
        <v>1</v>
      </c>
      <c r="O77" s="521"/>
      <c r="P77" s="520">
        <f>T77</f>
        <v>0</v>
      </c>
      <c r="R77" s="520">
        <f>T95</f>
        <v>1</v>
      </c>
      <c r="S77" s="521"/>
      <c r="T77" s="520">
        <f>T96</f>
        <v>0</v>
      </c>
      <c r="U77" s="68"/>
      <c r="V77" s="68"/>
      <c r="W77" s="68"/>
      <c r="X77" s="68"/>
      <c r="Y77" s="68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470"/>
    </row>
    <row r="78" spans="1:42" ht="15">
      <c r="A78" s="1504">
        <v>68</v>
      </c>
      <c r="B78" s="68"/>
      <c r="C78" s="68" t="s">
        <v>752</v>
      </c>
      <c r="D78" s="68"/>
      <c r="F78" s="494">
        <f>F54*F77</f>
        <v>544982.98048005311</v>
      </c>
      <c r="H78" s="494">
        <f>F54-F78</f>
        <v>0</v>
      </c>
      <c r="J78" s="494"/>
      <c r="K78" s="494"/>
      <c r="L78" s="494"/>
      <c r="N78" s="494">
        <f>N54*N77</f>
        <v>45202.259304593696</v>
      </c>
      <c r="O78" s="494"/>
      <c r="P78" s="494">
        <f>N54-N78</f>
        <v>0</v>
      </c>
      <c r="R78" s="494">
        <f>X54*R77</f>
        <v>131510.11777767717</v>
      </c>
      <c r="S78" s="494"/>
      <c r="T78" s="494">
        <f>X54-R78</f>
        <v>0</v>
      </c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470"/>
    </row>
    <row r="79" spans="1:42" ht="15">
      <c r="A79" s="1504">
        <v>69</v>
      </c>
      <c r="B79" s="68"/>
      <c r="C79" s="68" t="s">
        <v>1341</v>
      </c>
      <c r="D79" s="68"/>
      <c r="F79" s="494"/>
      <c r="H79" s="494"/>
      <c r="J79" s="494">
        <f>+'wp b3 - CSR'!F57</f>
        <v>35408.130396567954</v>
      </c>
      <c r="K79" s="494"/>
      <c r="L79" s="494">
        <v>0</v>
      </c>
      <c r="N79" s="494">
        <f>+'wp b3 - CSR'!N57</f>
        <v>3409.1119935057027</v>
      </c>
      <c r="O79" s="494"/>
      <c r="P79" s="494">
        <v>0</v>
      </c>
      <c r="R79" s="494">
        <f>+'wp b3 - CSR'!X57</f>
        <v>10856.178945569352</v>
      </c>
      <c r="S79" s="494"/>
      <c r="T79" s="494">
        <v>0</v>
      </c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470"/>
    </row>
    <row r="80" spans="1:42" ht="15">
      <c r="A80" s="1504">
        <v>70</v>
      </c>
      <c r="B80" s="68"/>
      <c r="C80" s="68" t="s">
        <v>1087</v>
      </c>
      <c r="D80" s="68"/>
      <c r="F80" s="493"/>
      <c r="H80" s="493"/>
      <c r="J80" s="494">
        <f>+'Wp b4 - WSC'!E15</f>
        <v>128052.20810410001</v>
      </c>
      <c r="K80" s="494"/>
      <c r="L80" s="494">
        <v>0</v>
      </c>
      <c r="N80" s="494">
        <f>+'Wp b4 - WSC'!M15</f>
        <v>10214.012755427122</v>
      </c>
      <c r="O80" s="494"/>
      <c r="P80" s="494">
        <v>0</v>
      </c>
      <c r="R80" s="494">
        <f>+'Wp b4 - WSC'!W15</f>
        <v>20673.443066736789</v>
      </c>
      <c r="S80" s="494"/>
      <c r="T80" s="494">
        <v>0</v>
      </c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470"/>
    </row>
    <row r="81" spans="1:42" ht="15">
      <c r="A81" s="1504">
        <v>71</v>
      </c>
      <c r="B81" s="68"/>
      <c r="C81" s="68"/>
      <c r="D81" s="68" t="s">
        <v>314</v>
      </c>
      <c r="F81" s="503">
        <f>SUM(F78:F80)</f>
        <v>544982.98048005311</v>
      </c>
      <c r="H81" s="503">
        <f>SUM(H78:H80)</f>
        <v>0</v>
      </c>
      <c r="J81" s="503">
        <f>SUM(J78:J80)</f>
        <v>163460.33850066795</v>
      </c>
      <c r="K81" s="493"/>
      <c r="L81" s="503">
        <f>SUM(L78:L80)</f>
        <v>0</v>
      </c>
      <c r="N81" s="503">
        <f>SUM(N78:N80)</f>
        <v>58825.384053526519</v>
      </c>
      <c r="O81" s="494"/>
      <c r="P81" s="503">
        <f>SUM(P78:P80)</f>
        <v>0</v>
      </c>
      <c r="R81" s="503">
        <f>SUM(R78:R80)</f>
        <v>163039.73978998332</v>
      </c>
      <c r="S81" s="494"/>
      <c r="T81" s="503">
        <f>SUM(T78:T80)</f>
        <v>0</v>
      </c>
      <c r="U81" s="68"/>
      <c r="V81" s="503">
        <f>SUM(F81:T81)</f>
        <v>930308.442824231</v>
      </c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470"/>
    </row>
    <row r="82" spans="1:42" ht="15">
      <c r="A82" s="1504">
        <v>72</v>
      </c>
      <c r="B82" s="68"/>
      <c r="C82" s="68"/>
      <c r="D82" s="68"/>
      <c r="F82" s="494"/>
      <c r="H82" s="494"/>
      <c r="J82" s="493"/>
      <c r="K82" s="493"/>
      <c r="L82" s="493"/>
      <c r="N82" s="493"/>
      <c r="O82" s="494"/>
      <c r="P82" s="493"/>
      <c r="R82" s="493"/>
      <c r="S82" s="494"/>
      <c r="T82" s="493"/>
      <c r="U82" s="68"/>
      <c r="V82" s="493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470"/>
    </row>
    <row r="83" spans="1:42" ht="15">
      <c r="A83" s="1504">
        <v>73</v>
      </c>
      <c r="B83" s="68"/>
      <c r="C83" s="68" t="s">
        <v>112</v>
      </c>
      <c r="D83" s="68"/>
      <c r="F83" s="501">
        <f>+'Linked TB'!E495+'Linked TB'!E500</f>
        <v>510822.42000000051</v>
      </c>
      <c r="H83" s="501">
        <v>0</v>
      </c>
      <c r="J83" s="494">
        <f>+'Linked TB'!E490+'Linked TB'!E492+'Linked TB'!E493+'Linked TB'!E494+'Linked TB'!E496+'Linked TB'!E497+'Linked TB'!E498+'Linked TB'!E499+'Linked TB'!E501</f>
        <v>154486.43999999997</v>
      </c>
      <c r="K83" s="494"/>
      <c r="L83" s="494">
        <v>0</v>
      </c>
      <c r="N83" s="494">
        <f>+'Linked TB'!E634</f>
        <v>56029.219999999994</v>
      </c>
      <c r="O83" s="494"/>
      <c r="P83" s="494">
        <v>0</v>
      </c>
      <c r="R83" s="494">
        <f>+'Linked TB'!E414</f>
        <v>158341.77999999997</v>
      </c>
      <c r="S83" s="494"/>
      <c r="T83" s="494">
        <v>0</v>
      </c>
      <c r="U83" s="68"/>
      <c r="V83" s="494">
        <f>SUM(F83:T83)</f>
        <v>879679.86000000034</v>
      </c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470"/>
    </row>
    <row r="84" spans="1:42" ht="15">
      <c r="A84" s="1504">
        <v>74</v>
      </c>
      <c r="B84" s="68"/>
      <c r="C84" s="68"/>
      <c r="D84" s="68"/>
      <c r="F84" s="494"/>
      <c r="H84" s="494"/>
      <c r="J84" s="503"/>
      <c r="K84" s="493"/>
      <c r="L84" s="503"/>
      <c r="N84" s="503"/>
      <c r="O84" s="494"/>
      <c r="P84" s="503"/>
      <c r="R84" s="503"/>
      <c r="S84" s="494"/>
      <c r="T84" s="503"/>
      <c r="U84" s="68"/>
      <c r="V84" s="503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470"/>
    </row>
    <row r="85" spans="1:42" ht="15" thickBot="1">
      <c r="A85" s="1504">
        <v>75</v>
      </c>
      <c r="B85" s="67"/>
      <c r="C85" s="67" t="s">
        <v>102</v>
      </c>
      <c r="D85" s="67"/>
      <c r="F85" s="522">
        <f>F81-F83</f>
        <v>34160.560480052605</v>
      </c>
      <c r="H85" s="522">
        <f>H81-H83</f>
        <v>0</v>
      </c>
      <c r="J85" s="522">
        <f>J81-J83</f>
        <v>8973.8985006679723</v>
      </c>
      <c r="K85" s="524"/>
      <c r="L85" s="522">
        <f>L81-L83</f>
        <v>0</v>
      </c>
      <c r="N85" s="522">
        <f>N81-N83</f>
        <v>2796.1640535265251</v>
      </c>
      <c r="O85" s="523"/>
      <c r="P85" s="522">
        <f>P81-P83</f>
        <v>0</v>
      </c>
      <c r="R85" s="522">
        <f>R81-R83</f>
        <v>4697.9597899833461</v>
      </c>
      <c r="S85" s="523"/>
      <c r="T85" s="522">
        <f>T81-T83</f>
        <v>0</v>
      </c>
      <c r="U85" s="67"/>
      <c r="V85" s="522">
        <f>SUM(F85:T85)</f>
        <v>50628.582824230449</v>
      </c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525"/>
    </row>
    <row r="86" spans="1:42" ht="15.75" thickTop="1">
      <c r="A86" s="1504">
        <v>76</v>
      </c>
      <c r="B86" s="68"/>
      <c r="C86" s="68"/>
      <c r="D86" s="68"/>
      <c r="F86" s="526" t="s">
        <v>727</v>
      </c>
      <c r="H86" s="77" t="s">
        <v>69</v>
      </c>
      <c r="J86" s="480" t="s">
        <v>727</v>
      </c>
      <c r="K86" s="480"/>
      <c r="L86" s="480" t="s">
        <v>69</v>
      </c>
      <c r="N86" s="480" t="s">
        <v>727</v>
      </c>
      <c r="O86" s="480"/>
      <c r="P86" s="480" t="s">
        <v>69</v>
      </c>
      <c r="R86" s="480" t="s">
        <v>727</v>
      </c>
      <c r="S86" s="480"/>
      <c r="T86" s="480" t="s">
        <v>69</v>
      </c>
      <c r="U86" s="68"/>
      <c r="V86" s="68"/>
      <c r="W86" s="85"/>
      <c r="X86" s="85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470"/>
    </row>
    <row r="87" spans="1:42" ht="15">
      <c r="B87" s="68"/>
      <c r="C87" s="68"/>
      <c r="D87" s="68"/>
      <c r="E87" s="463"/>
      <c r="F87" s="68"/>
      <c r="G87" s="68"/>
      <c r="H87" s="85"/>
      <c r="I87" s="85"/>
      <c r="J87" s="85"/>
      <c r="K87" s="68"/>
      <c r="L87" s="85"/>
      <c r="M87" s="68"/>
      <c r="N87" s="85"/>
      <c r="O87" s="68"/>
      <c r="P87" s="85"/>
      <c r="Q87" s="67"/>
      <c r="R87" s="85"/>
      <c r="S87" s="68"/>
      <c r="T87" s="85"/>
      <c r="U87" s="68"/>
      <c r="V87" s="68"/>
      <c r="W87" s="68"/>
      <c r="X87" s="68"/>
      <c r="Y87" s="68"/>
      <c r="Z87" s="85"/>
      <c r="AA87" s="85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470"/>
    </row>
    <row r="88" spans="1:42" ht="15">
      <c r="B88" s="68"/>
      <c r="C88" s="68"/>
      <c r="D88" s="68"/>
      <c r="E88" s="463"/>
      <c r="F88" s="68"/>
      <c r="G88" s="68"/>
      <c r="H88" s="85"/>
      <c r="I88" s="85"/>
      <c r="J88" s="85"/>
      <c r="K88" s="68"/>
      <c r="L88" s="527"/>
      <c r="M88" s="68"/>
      <c r="N88" s="85"/>
      <c r="O88" s="68"/>
      <c r="P88" s="85"/>
      <c r="Q88" s="68"/>
      <c r="R88" s="85"/>
      <c r="S88" s="68"/>
      <c r="T88" s="85"/>
      <c r="U88" s="68"/>
      <c r="V88" s="68"/>
      <c r="W88" s="68"/>
      <c r="X88" s="85"/>
      <c r="Y88" s="68"/>
      <c r="Z88" s="85"/>
      <c r="AA88" s="85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470"/>
    </row>
    <row r="89" spans="1:42" ht="15">
      <c r="B89" s="68"/>
      <c r="C89" s="68"/>
      <c r="D89" s="68"/>
      <c r="E89" s="463"/>
      <c r="F89" s="68"/>
      <c r="G89" s="68"/>
      <c r="H89" s="85"/>
      <c r="I89" s="85"/>
      <c r="J89" s="528"/>
      <c r="K89" s="68"/>
      <c r="L89" s="85"/>
      <c r="M89" s="68"/>
      <c r="N89" s="85"/>
      <c r="O89" s="68"/>
      <c r="P89" s="85"/>
      <c r="Q89" s="68"/>
      <c r="R89" s="85"/>
      <c r="S89" s="68"/>
      <c r="T89" s="85"/>
      <c r="U89" s="68"/>
      <c r="V89" s="68"/>
      <c r="W89" s="68"/>
      <c r="X89" s="85"/>
      <c r="Y89" s="68"/>
      <c r="Z89" s="85"/>
      <c r="AA89" s="85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470"/>
    </row>
    <row r="90" spans="1:42" ht="15">
      <c r="B90" s="68"/>
      <c r="C90" s="68"/>
      <c r="D90" s="68"/>
      <c r="E90" s="463"/>
      <c r="F90" s="68"/>
      <c r="G90" s="68"/>
      <c r="H90" s="85"/>
      <c r="I90" s="85"/>
      <c r="J90" s="85"/>
      <c r="K90" s="68"/>
      <c r="L90" s="85"/>
      <c r="M90" s="68"/>
      <c r="N90" s="85"/>
      <c r="O90" s="68"/>
      <c r="P90" s="85"/>
      <c r="Q90" s="68"/>
      <c r="R90" s="85"/>
      <c r="S90" s="68"/>
      <c r="T90" s="85"/>
      <c r="U90" s="68"/>
      <c r="V90" s="68"/>
      <c r="W90" s="68"/>
      <c r="X90" s="85"/>
      <c r="Y90" s="68"/>
      <c r="Z90" s="85"/>
      <c r="AA90" s="85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470"/>
    </row>
    <row r="91" spans="1:42" ht="15">
      <c r="B91" s="68"/>
      <c r="C91" s="68"/>
      <c r="D91" s="68"/>
      <c r="E91" s="463"/>
      <c r="F91" s="68"/>
      <c r="G91" s="68"/>
      <c r="H91" s="85"/>
      <c r="I91" s="85"/>
      <c r="J91" s="85"/>
      <c r="K91" s="68"/>
      <c r="L91" s="528"/>
      <c r="M91" s="68"/>
      <c r="N91" s="85"/>
      <c r="O91" s="68"/>
      <c r="P91" s="85"/>
      <c r="Q91" s="68"/>
      <c r="R91" s="85"/>
      <c r="S91" s="68"/>
      <c r="T91" s="85"/>
      <c r="U91" s="68"/>
      <c r="V91" s="68"/>
      <c r="W91" s="68"/>
      <c r="X91" s="85"/>
      <c r="Y91" s="68"/>
      <c r="Z91" s="85"/>
      <c r="AA91" s="85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470"/>
    </row>
    <row r="92" spans="1:42" ht="15">
      <c r="B92" s="68"/>
      <c r="C92" s="68"/>
      <c r="D92" s="68"/>
      <c r="E92" s="463"/>
      <c r="F92" s="68"/>
      <c r="G92" s="68"/>
      <c r="H92" s="85"/>
      <c r="I92" s="85"/>
      <c r="J92" s="85"/>
      <c r="K92" s="68"/>
      <c r="L92" s="85"/>
      <c r="M92" s="68"/>
      <c r="N92" s="85"/>
      <c r="O92" s="68"/>
      <c r="P92" s="85"/>
      <c r="Q92" s="68"/>
      <c r="R92" s="85"/>
      <c r="S92" s="68"/>
      <c r="T92" s="85"/>
      <c r="U92" s="68"/>
      <c r="V92" s="68"/>
      <c r="W92" s="68"/>
      <c r="X92" s="85"/>
      <c r="Y92" s="68"/>
      <c r="Z92" s="85"/>
      <c r="AA92" s="85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470"/>
    </row>
    <row r="95" spans="1:42" ht="15">
      <c r="P95" s="529" t="s">
        <v>86</v>
      </c>
      <c r="Q95" s="530" t="s">
        <v>727</v>
      </c>
      <c r="R95" s="443">
        <v>7385.1</v>
      </c>
      <c r="S95" s="443"/>
      <c r="T95" s="531">
        <f>R95/R99</f>
        <v>1</v>
      </c>
    </row>
    <row r="96" spans="1:42" ht="15">
      <c r="P96" s="532"/>
      <c r="Q96" s="86" t="s">
        <v>69</v>
      </c>
      <c r="R96" s="533">
        <v>0</v>
      </c>
      <c r="S96" s="85"/>
      <c r="T96" s="534">
        <f>1-T95</f>
        <v>0</v>
      </c>
    </row>
    <row r="97" spans="16:20" ht="15">
      <c r="P97" s="532"/>
      <c r="Q97" s="86"/>
      <c r="R97" s="85"/>
      <c r="S97" s="85"/>
      <c r="T97" s="534"/>
    </row>
    <row r="98" spans="16:20" ht="15">
      <c r="P98" s="532"/>
      <c r="Q98" s="86"/>
      <c r="R98" s="85"/>
      <c r="S98" s="85"/>
      <c r="T98" s="534"/>
    </row>
    <row r="99" spans="16:20" ht="15">
      <c r="P99" s="535"/>
      <c r="Q99" s="536"/>
      <c r="R99" s="536">
        <f>R96+R95</f>
        <v>7385.1</v>
      </c>
      <c r="S99" s="536"/>
      <c r="T99" s="537"/>
    </row>
  </sheetData>
  <phoneticPr fontId="44" type="noConversion"/>
  <pageMargins left="0.7" right="0.7" top="0.75" bottom="0.75" header="0.3" footer="0.3"/>
  <pageSetup scale="60" orientation="landscape" r:id="rId1"/>
  <rowBreaks count="1" manualBreakCount="1">
    <brk id="74" max="2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F0"/>
    <pageSetUpPr fitToPage="1"/>
  </sheetPr>
  <dimension ref="A1:S116"/>
  <sheetViews>
    <sheetView view="pageBreakPreview" topLeftCell="A40" zoomScale="85" zoomScaleNormal="100" zoomScaleSheetLayoutView="85" workbookViewId="0"/>
  </sheetViews>
  <sheetFormatPr defaultRowHeight="12.75"/>
  <cols>
    <col min="1" max="1" width="6.375" style="1247" customWidth="1"/>
    <col min="2" max="2" width="9" style="1247"/>
    <col min="3" max="3" width="21.375" style="1247" customWidth="1"/>
    <col min="4" max="4" width="3.375" style="1247" bestFit="1" customWidth="1"/>
    <col min="5" max="5" width="12" style="1247" customWidth="1"/>
    <col min="6" max="6" width="3.375" style="1247" bestFit="1" customWidth="1"/>
    <col min="7" max="7" width="9" style="1247"/>
    <col min="8" max="8" width="2.625" style="1247" bestFit="1" customWidth="1"/>
    <col min="9" max="9" width="11.75" style="1247" customWidth="1"/>
    <col min="10" max="10" width="3.375" style="1247" bestFit="1" customWidth="1"/>
    <col min="11" max="11" width="9" style="1247"/>
    <col min="12" max="12" width="2.625" style="1247" bestFit="1" customWidth="1"/>
    <col min="13" max="13" width="12" style="1247" bestFit="1" customWidth="1"/>
    <col min="14" max="14" width="2.625" style="1247" bestFit="1" customWidth="1"/>
    <col min="15" max="15" width="9" style="1247"/>
    <col min="16" max="16" width="2.625" style="1247" bestFit="1" customWidth="1"/>
    <col min="17" max="16384" width="9" style="1247"/>
  </cols>
  <sheetData>
    <row r="1" spans="1:16" ht="13.5">
      <c r="A1" s="1342" t="s">
        <v>280</v>
      </c>
      <c r="O1" s="1335" t="s">
        <v>1883</v>
      </c>
    </row>
    <row r="2" spans="1:16">
      <c r="A2" s="1248" t="s">
        <v>1826</v>
      </c>
    </row>
    <row r="3" spans="1:16">
      <c r="A3" s="2140" t="s">
        <v>1662</v>
      </c>
      <c r="B3" s="2141"/>
      <c r="C3" s="2142"/>
    </row>
    <row r="5" spans="1:16" s="1248" customFormat="1" ht="23.25" customHeight="1">
      <c r="A5" s="1249"/>
      <c r="C5" s="1250"/>
      <c r="D5" s="1250"/>
      <c r="F5" s="1249"/>
      <c r="H5" s="1251"/>
      <c r="J5" s="1252"/>
      <c r="K5" s="1251"/>
      <c r="L5" s="1251"/>
      <c r="M5" s="1252"/>
      <c r="N5" s="1252"/>
    </row>
    <row r="6" spans="1:16" s="1248" customFormat="1" ht="12" customHeight="1">
      <c r="A6" s="1249"/>
      <c r="B6" s="1249"/>
      <c r="C6" s="1249"/>
      <c r="D6" s="1249"/>
      <c r="F6" s="1249"/>
      <c r="G6" s="1253"/>
      <c r="H6" s="1253"/>
      <c r="I6" s="1253"/>
      <c r="J6" s="1254"/>
      <c r="K6" s="1168"/>
      <c r="L6" s="1249"/>
      <c r="O6" s="1255"/>
    </row>
    <row r="7" spans="1:16" s="1248" customFormat="1" ht="25.5">
      <c r="A7" s="1256" t="s">
        <v>1827</v>
      </c>
      <c r="B7" s="1257" t="s">
        <v>294</v>
      </c>
      <c r="C7" s="1257" t="s">
        <v>1828</v>
      </c>
      <c r="D7" s="1258" t="s">
        <v>1069</v>
      </c>
      <c r="E7" s="1259" t="s">
        <v>1787</v>
      </c>
      <c r="F7" s="1260" t="s">
        <v>1076</v>
      </c>
      <c r="G7" s="1261" t="s">
        <v>1829</v>
      </c>
      <c r="H7" s="1260" t="s">
        <v>1076</v>
      </c>
      <c r="I7" s="1261" t="s">
        <v>1882</v>
      </c>
      <c r="J7" s="1262" t="s">
        <v>1079</v>
      </c>
      <c r="K7" s="1261" t="s">
        <v>1830</v>
      </c>
      <c r="L7" s="1262" t="s">
        <v>1065</v>
      </c>
      <c r="M7" s="1256" t="s">
        <v>1831</v>
      </c>
      <c r="N7" s="1262" t="s">
        <v>1066</v>
      </c>
      <c r="O7" s="1259" t="s">
        <v>1832</v>
      </c>
      <c r="P7" s="1262" t="s">
        <v>1481</v>
      </c>
    </row>
    <row r="8" spans="1:16" s="1248" customFormat="1">
      <c r="A8" s="1263"/>
      <c r="B8" s="1264"/>
      <c r="C8" s="1264"/>
      <c r="D8" s="1265"/>
      <c r="E8" s="1176" t="s">
        <v>736</v>
      </c>
      <c r="F8" s="1266"/>
      <c r="G8" s="1267" t="s">
        <v>699</v>
      </c>
      <c r="H8" s="1254"/>
      <c r="I8" s="1267" t="s">
        <v>700</v>
      </c>
      <c r="J8" s="1254"/>
      <c r="K8" s="1252" t="s">
        <v>701</v>
      </c>
      <c r="L8" s="1266"/>
      <c r="M8" s="1252" t="s">
        <v>702</v>
      </c>
      <c r="O8" s="1268" t="s">
        <v>703</v>
      </c>
    </row>
    <row r="9" spans="1:16" s="1248" customFormat="1">
      <c r="A9" s="1263"/>
      <c r="B9" s="1269" t="s">
        <v>1833</v>
      </c>
      <c r="C9" s="1264"/>
      <c r="D9" s="1258"/>
      <c r="E9" s="1176"/>
      <c r="F9" s="1266"/>
      <c r="G9" s="1267"/>
      <c r="H9" s="1254"/>
      <c r="I9" s="1254"/>
      <c r="J9" s="1254"/>
      <c r="K9" s="1252"/>
      <c r="L9" s="1266"/>
      <c r="O9" s="1268"/>
    </row>
    <row r="10" spans="1:16" s="1248" customFormat="1">
      <c r="A10" s="1270">
        <v>1</v>
      </c>
      <c r="B10" s="1271">
        <v>1137</v>
      </c>
      <c r="C10" s="1272" t="str">
        <f>+'Wp b - salary'!D12</f>
        <v>Bolt, Gregory C.</v>
      </c>
      <c r="D10" s="1258"/>
      <c r="E10" s="1176">
        <v>31130.77</v>
      </c>
      <c r="F10" s="1266"/>
      <c r="G10" s="1273">
        <v>2011</v>
      </c>
      <c r="H10" s="1266"/>
      <c r="I10" s="1274">
        <f>IF(G10=2012,1,2013-G10)</f>
        <v>2</v>
      </c>
      <c r="J10" s="1266"/>
      <c r="K10" s="1275">
        <v>0.25</v>
      </c>
      <c r="L10" s="1266"/>
      <c r="M10" s="1276">
        <f>-IF(I10&lt;4,E10*I10*K10,E10)</f>
        <v>-15565.385</v>
      </c>
      <c r="O10" s="1277">
        <f>IF(I10&lt;4,E10*K10,0)</f>
        <v>7782.6925000000001</v>
      </c>
    </row>
    <row r="11" spans="1:16" s="1248" customFormat="1">
      <c r="A11" s="1270">
        <f>+A10+1</f>
        <v>2</v>
      </c>
      <c r="B11" s="1271">
        <v>9942</v>
      </c>
      <c r="C11" s="1272" t="str">
        <f>+'Wp b - salary'!D13</f>
        <v>Johnson, Harvey H.</v>
      </c>
      <c r="D11" s="1258"/>
      <c r="E11" s="1176">
        <v>21470</v>
      </c>
      <c r="F11" s="1266"/>
      <c r="G11" s="1273">
        <v>1999</v>
      </c>
      <c r="H11" s="1266"/>
      <c r="I11" s="1274">
        <f>IF(G11=2012,1,2013-G11)</f>
        <v>14</v>
      </c>
      <c r="J11" s="1266"/>
      <c r="K11" s="1275">
        <f>$K$10</f>
        <v>0.25</v>
      </c>
      <c r="L11" s="1266"/>
      <c r="M11" s="1276">
        <f t="shared" ref="M11:M21" si="0">-IF(I11&lt;4,E11*I11*K11,E11)</f>
        <v>-21470</v>
      </c>
      <c r="O11" s="1277">
        <f t="shared" ref="O11:O25" si="1">IF(I11&lt;4,E11*K11,0)</f>
        <v>0</v>
      </c>
    </row>
    <row r="12" spans="1:16" s="1248" customFormat="1">
      <c r="A12" s="1270">
        <f t="shared" ref="A12:A20" si="2">+A11+1</f>
        <v>3</v>
      </c>
      <c r="B12" s="1271">
        <v>804</v>
      </c>
      <c r="C12" s="1272" t="str">
        <f>+'Wp b - salary'!D14</f>
        <v>Johnston, Joseph A</v>
      </c>
      <c r="D12" s="1258"/>
      <c r="E12" s="1176">
        <v>18507.07</v>
      </c>
      <c r="F12" s="1266"/>
      <c r="G12" s="1273">
        <v>2008</v>
      </c>
      <c r="H12" s="1266"/>
      <c r="I12" s="1274">
        <f t="shared" ref="I12:I25" si="3">IF(G12=2012,1,2013-G12)</f>
        <v>5</v>
      </c>
      <c r="J12" s="1266"/>
      <c r="K12" s="1275">
        <f t="shared" ref="K12:K25" si="4">$K$10</f>
        <v>0.25</v>
      </c>
      <c r="L12" s="1266"/>
      <c r="M12" s="1276">
        <f t="shared" si="0"/>
        <v>-18507.07</v>
      </c>
      <c r="O12" s="1277">
        <f t="shared" si="1"/>
        <v>0</v>
      </c>
    </row>
    <row r="13" spans="1:16" s="1248" customFormat="1">
      <c r="A13" s="1270">
        <f t="shared" si="2"/>
        <v>4</v>
      </c>
      <c r="B13" s="1271">
        <v>1129</v>
      </c>
      <c r="C13" s="1272" t="str">
        <f>+'Wp b - salary'!D15</f>
        <v>Leonard, James R.</v>
      </c>
      <c r="D13" s="1258"/>
      <c r="E13" s="1176">
        <f>30387.38+2001.7</f>
        <v>32389.08</v>
      </c>
      <c r="F13" s="1266"/>
      <c r="G13" s="1273">
        <v>2011</v>
      </c>
      <c r="H13" s="1266"/>
      <c r="I13" s="1274">
        <f t="shared" si="3"/>
        <v>2</v>
      </c>
      <c r="J13" s="1266"/>
      <c r="K13" s="1275">
        <f t="shared" si="4"/>
        <v>0.25</v>
      </c>
      <c r="L13" s="1266"/>
      <c r="M13" s="1276">
        <f t="shared" si="0"/>
        <v>-16194.54</v>
      </c>
      <c r="O13" s="1277">
        <f t="shared" si="1"/>
        <v>8097.27</v>
      </c>
    </row>
    <row r="14" spans="1:16" s="1248" customFormat="1">
      <c r="A14" s="1270">
        <f t="shared" si="2"/>
        <v>5</v>
      </c>
      <c r="B14" s="1271">
        <v>873</v>
      </c>
      <c r="C14" s="1272" t="str">
        <f>+'Wp b - salary'!D16</f>
        <v>Mills, Wendell G.</v>
      </c>
      <c r="D14" s="1258"/>
      <c r="E14" s="1176">
        <v>23307.03</v>
      </c>
      <c r="F14" s="1266"/>
      <c r="G14" s="1273">
        <v>2008</v>
      </c>
      <c r="H14" s="1266"/>
      <c r="I14" s="1274">
        <f t="shared" si="3"/>
        <v>5</v>
      </c>
      <c r="J14" s="1266"/>
      <c r="K14" s="1275">
        <f t="shared" si="4"/>
        <v>0.25</v>
      </c>
      <c r="L14" s="1266"/>
      <c r="M14" s="1276">
        <f t="shared" si="0"/>
        <v>-23307.03</v>
      </c>
      <c r="O14" s="1277">
        <f t="shared" si="1"/>
        <v>0</v>
      </c>
    </row>
    <row r="15" spans="1:16" s="1248" customFormat="1">
      <c r="A15" s="1270">
        <f t="shared" si="2"/>
        <v>6</v>
      </c>
      <c r="B15" s="1271">
        <v>875</v>
      </c>
      <c r="C15" s="1272" t="str">
        <f>+'Wp b - salary'!D17</f>
        <v>Onkst, James H.</v>
      </c>
      <c r="D15" s="1258"/>
      <c r="E15" s="1176">
        <v>18903</v>
      </c>
      <c r="F15" s="1266"/>
      <c r="G15" s="1273">
        <v>2008</v>
      </c>
      <c r="H15" s="1266"/>
      <c r="I15" s="1274">
        <f t="shared" si="3"/>
        <v>5</v>
      </c>
      <c r="J15" s="1266"/>
      <c r="K15" s="1275">
        <f t="shared" si="4"/>
        <v>0.25</v>
      </c>
      <c r="L15" s="1266"/>
      <c r="M15" s="1276">
        <f t="shared" si="0"/>
        <v>-18903</v>
      </c>
      <c r="O15" s="1277">
        <f t="shared" si="1"/>
        <v>0</v>
      </c>
    </row>
    <row r="16" spans="1:16" s="1248" customFormat="1">
      <c r="A16" s="1270">
        <f t="shared" si="2"/>
        <v>7</v>
      </c>
      <c r="B16" s="1271">
        <v>332</v>
      </c>
      <c r="C16" s="1272" t="str">
        <f>+'Wp b - salary'!D18</f>
        <v>Partin, Michael W.</v>
      </c>
      <c r="D16" s="1258"/>
      <c r="E16" s="1176">
        <v>18358.86</v>
      </c>
      <c r="F16" s="1266"/>
      <c r="G16" s="1273">
        <v>2003</v>
      </c>
      <c r="H16" s="1266"/>
      <c r="I16" s="1274">
        <f t="shared" si="3"/>
        <v>10</v>
      </c>
      <c r="J16" s="1266"/>
      <c r="K16" s="1275">
        <f t="shared" si="4"/>
        <v>0.25</v>
      </c>
      <c r="L16" s="1266"/>
      <c r="M16" s="1276">
        <f t="shared" si="0"/>
        <v>-18358.86</v>
      </c>
      <c r="O16" s="1277">
        <f t="shared" si="1"/>
        <v>0</v>
      </c>
    </row>
    <row r="17" spans="1:19" s="1248" customFormat="1">
      <c r="A17" s="1270">
        <f t="shared" si="2"/>
        <v>8</v>
      </c>
      <c r="B17" s="1271">
        <v>69</v>
      </c>
      <c r="C17" s="1272" t="str">
        <f>+'Wp b - salary'!D19</f>
        <v>Rushing, Ronald</v>
      </c>
      <c r="D17" s="1258"/>
      <c r="E17" s="1176">
        <v>20885</v>
      </c>
      <c r="F17" s="1266"/>
      <c r="G17" s="1273">
        <v>2000</v>
      </c>
      <c r="H17" s="1266"/>
      <c r="I17" s="1274">
        <f t="shared" si="3"/>
        <v>13</v>
      </c>
      <c r="J17" s="1266"/>
      <c r="K17" s="1275">
        <f t="shared" si="4"/>
        <v>0.25</v>
      </c>
      <c r="L17" s="1266"/>
      <c r="M17" s="1276">
        <f t="shared" si="0"/>
        <v>-20885</v>
      </c>
      <c r="O17" s="1277">
        <f t="shared" si="1"/>
        <v>0</v>
      </c>
    </row>
    <row r="18" spans="1:19" s="1248" customFormat="1">
      <c r="A18" s="1270">
        <f t="shared" si="2"/>
        <v>9</v>
      </c>
      <c r="B18" s="1271">
        <v>70</v>
      </c>
      <c r="C18" s="1272" t="str">
        <f>+'Wp b - salary'!D20</f>
        <v>Sandefur, Bryan K.</v>
      </c>
      <c r="D18" s="1258"/>
      <c r="E18" s="1176">
        <v>18770</v>
      </c>
      <c r="F18" s="1266"/>
      <c r="G18" s="1273">
        <v>2000</v>
      </c>
      <c r="H18" s="1266"/>
      <c r="I18" s="1274">
        <f t="shared" si="3"/>
        <v>13</v>
      </c>
      <c r="J18" s="1266"/>
      <c r="K18" s="1275">
        <f t="shared" si="4"/>
        <v>0.25</v>
      </c>
      <c r="L18" s="1266"/>
      <c r="M18" s="1276">
        <f t="shared" si="0"/>
        <v>-18770</v>
      </c>
      <c r="O18" s="1277">
        <f t="shared" si="1"/>
        <v>0</v>
      </c>
    </row>
    <row r="19" spans="1:19" s="1248" customFormat="1">
      <c r="A19" s="1270">
        <f t="shared" si="2"/>
        <v>10</v>
      </c>
      <c r="B19" s="1271">
        <v>817</v>
      </c>
      <c r="C19" s="1272" t="str">
        <f>+'Wp b - salary'!D21</f>
        <v>Turner, John R.</v>
      </c>
      <c r="D19" s="1258"/>
      <c r="E19" s="1176">
        <v>26994.18</v>
      </c>
      <c r="F19" s="1266"/>
      <c r="G19" s="1273">
        <v>2008</v>
      </c>
      <c r="H19" s="1266"/>
      <c r="I19" s="1274">
        <f t="shared" si="3"/>
        <v>5</v>
      </c>
      <c r="J19" s="1266"/>
      <c r="K19" s="1275">
        <f t="shared" si="4"/>
        <v>0.25</v>
      </c>
      <c r="L19" s="1266"/>
      <c r="M19" s="1276">
        <f t="shared" si="0"/>
        <v>-26994.18</v>
      </c>
      <c r="O19" s="1277">
        <f t="shared" si="1"/>
        <v>0</v>
      </c>
    </row>
    <row r="20" spans="1:19" s="1248" customFormat="1">
      <c r="A20" s="1270">
        <f t="shared" si="2"/>
        <v>11</v>
      </c>
      <c r="B20" s="1271">
        <v>616</v>
      </c>
      <c r="C20" s="1272" t="str">
        <f>+'Wp b - salary'!D22</f>
        <v>Vaughn, Stephen R.</v>
      </c>
      <c r="D20" s="1258"/>
      <c r="E20" s="1176">
        <v>23222.83</v>
      </c>
      <c r="F20" s="1266"/>
      <c r="G20" s="1273">
        <v>2006</v>
      </c>
      <c r="H20" s="1266"/>
      <c r="I20" s="1274">
        <f t="shared" si="3"/>
        <v>7</v>
      </c>
      <c r="J20" s="1266"/>
      <c r="K20" s="1275">
        <f t="shared" si="4"/>
        <v>0.25</v>
      </c>
      <c r="L20" s="1266"/>
      <c r="M20" s="1276">
        <f t="shared" si="0"/>
        <v>-23222.83</v>
      </c>
      <c r="O20" s="1277">
        <f t="shared" si="1"/>
        <v>0</v>
      </c>
    </row>
    <row r="21" spans="1:19" s="1248" customFormat="1">
      <c r="A21" s="1270">
        <f>+A20+1</f>
        <v>12</v>
      </c>
      <c r="B21" s="1271">
        <v>701</v>
      </c>
      <c r="C21" s="1272" t="str">
        <f>+'Wp b - salary'!D25</f>
        <v>Bruce Haas</v>
      </c>
      <c r="D21" s="1258"/>
      <c r="E21" s="1176">
        <v>39156.49</v>
      </c>
      <c r="F21" s="1266"/>
      <c r="G21" s="1273">
        <v>2006</v>
      </c>
      <c r="H21" s="1266"/>
      <c r="I21" s="1274">
        <f t="shared" si="3"/>
        <v>7</v>
      </c>
      <c r="J21" s="1266"/>
      <c r="K21" s="1275">
        <f t="shared" si="4"/>
        <v>0.25</v>
      </c>
      <c r="L21" s="1266"/>
      <c r="M21" s="1276">
        <f t="shared" si="0"/>
        <v>-39156.49</v>
      </c>
      <c r="O21" s="1277">
        <f t="shared" si="1"/>
        <v>0</v>
      </c>
    </row>
    <row r="22" spans="1:19" s="1248" customFormat="1">
      <c r="A22" s="1270">
        <f t="shared" ref="A22:A25" si="5">+A21+1</f>
        <v>13</v>
      </c>
      <c r="B22" s="1340">
        <v>818</v>
      </c>
      <c r="C22" s="1272" t="str">
        <f>+'Wp b - salary'!D26</f>
        <v>Carl Daniel</v>
      </c>
      <c r="D22" s="1258"/>
      <c r="E22" s="1176">
        <v>29220</v>
      </c>
      <c r="F22" s="1336"/>
      <c r="G22" s="1337">
        <v>2007</v>
      </c>
      <c r="H22" s="1336"/>
      <c r="I22" s="1274">
        <f t="shared" si="3"/>
        <v>6</v>
      </c>
      <c r="J22" s="1336"/>
      <c r="K22" s="1275">
        <f t="shared" si="4"/>
        <v>0.25</v>
      </c>
      <c r="L22" s="1336"/>
      <c r="M22" s="1338">
        <f t="shared" ref="M22" si="6">-IF(I22&lt;4,E22*I22*K22,E22)</f>
        <v>-29220</v>
      </c>
      <c r="N22" s="1339"/>
      <c r="O22" s="1277">
        <f t="shared" si="1"/>
        <v>0</v>
      </c>
    </row>
    <row r="23" spans="1:19" s="1248" customFormat="1">
      <c r="A23" s="1270">
        <f t="shared" si="5"/>
        <v>14</v>
      </c>
      <c r="B23" s="1340" t="s">
        <v>1881</v>
      </c>
      <c r="C23" s="1272" t="str">
        <f>+'Wp b - salary'!D27</f>
        <v>Veronica Stannis</v>
      </c>
      <c r="D23" s="1258"/>
      <c r="E23" s="1176">
        <v>0</v>
      </c>
      <c r="F23" s="1266"/>
      <c r="G23" s="1273"/>
      <c r="H23" s="1266"/>
      <c r="I23" s="1274"/>
      <c r="J23" s="1266"/>
      <c r="K23" s="1275">
        <f t="shared" si="4"/>
        <v>0.25</v>
      </c>
      <c r="L23" s="1266"/>
      <c r="M23" s="1276">
        <v>0</v>
      </c>
      <c r="O23" s="1277">
        <f t="shared" si="1"/>
        <v>0</v>
      </c>
    </row>
    <row r="24" spans="1:19" s="1248" customFormat="1">
      <c r="A24" s="1270">
        <f t="shared" si="5"/>
        <v>15</v>
      </c>
      <c r="B24" s="1340" t="s">
        <v>1881</v>
      </c>
      <c r="C24" s="1272" t="str">
        <f>+'Wp b - salary'!D28</f>
        <v>Helen Lupton</v>
      </c>
      <c r="D24" s="1258"/>
      <c r="E24" s="1176">
        <v>0</v>
      </c>
      <c r="F24" s="1266"/>
      <c r="G24" s="1273"/>
      <c r="H24" s="1266"/>
      <c r="I24" s="1274"/>
      <c r="J24" s="1266"/>
      <c r="K24" s="1275">
        <f t="shared" si="4"/>
        <v>0.25</v>
      </c>
      <c r="L24" s="1266"/>
      <c r="M24" s="1276">
        <v>0</v>
      </c>
      <c r="O24" s="1277">
        <f t="shared" si="1"/>
        <v>0</v>
      </c>
    </row>
    <row r="25" spans="1:19" s="1248" customFormat="1">
      <c r="A25" s="1270">
        <f t="shared" si="5"/>
        <v>16</v>
      </c>
      <c r="B25" s="1340">
        <v>640</v>
      </c>
      <c r="C25" s="1272" t="str">
        <f>+'Wp b - salary'!D29</f>
        <v>Mary Rollins</v>
      </c>
      <c r="D25" s="1258"/>
      <c r="E25" s="1176">
        <v>25586</v>
      </c>
      <c r="F25" s="1336"/>
      <c r="G25" s="1337">
        <v>2005</v>
      </c>
      <c r="H25" s="1336"/>
      <c r="I25" s="1274">
        <f t="shared" si="3"/>
        <v>8</v>
      </c>
      <c r="J25" s="1336"/>
      <c r="K25" s="1275">
        <f t="shared" si="4"/>
        <v>0.25</v>
      </c>
      <c r="L25" s="1336"/>
      <c r="M25" s="1338">
        <f t="shared" ref="M25" si="7">-IF(I25&lt;4,E25*I25*K25,E25)</f>
        <v>-25586</v>
      </c>
      <c r="N25" s="1339"/>
      <c r="O25" s="1277">
        <f t="shared" si="1"/>
        <v>0</v>
      </c>
    </row>
    <row r="26" spans="1:19" s="1248" customFormat="1">
      <c r="A26" s="1270"/>
      <c r="B26" s="1271"/>
      <c r="C26" s="1272"/>
      <c r="D26" s="1258"/>
      <c r="E26" s="1176"/>
      <c r="F26" s="1266"/>
      <c r="G26" s="1273"/>
      <c r="H26" s="1266"/>
      <c r="I26" s="1274"/>
      <c r="J26" s="1266"/>
      <c r="K26" s="1275"/>
      <c r="L26" s="1266"/>
      <c r="M26" s="1276"/>
      <c r="O26" s="1277"/>
    </row>
    <row r="27" spans="1:19" s="1248" customFormat="1" ht="13.5" thickBot="1">
      <c r="A27" s="1270"/>
      <c r="B27" s="1271"/>
      <c r="D27" s="1249"/>
      <c r="E27" s="1278">
        <f>SUM(E10:E26)</f>
        <v>347900.31</v>
      </c>
      <c r="G27" s="1168"/>
      <c r="K27" s="1168"/>
      <c r="L27" s="1168"/>
      <c r="M27" s="1278">
        <f>SUM(M10:M26)</f>
        <v>-316140.38500000001</v>
      </c>
      <c r="O27" s="1278">
        <f>SUM(O10:O26)</f>
        <v>15879.962500000001</v>
      </c>
    </row>
    <row r="28" spans="1:19" s="1248" customFormat="1" ht="13.5" thickTop="1">
      <c r="A28" s="1270"/>
      <c r="B28" s="1271"/>
      <c r="D28" s="1249"/>
      <c r="E28" s="1276"/>
      <c r="G28" s="1168"/>
      <c r="K28" s="1168"/>
      <c r="L28" s="1168"/>
      <c r="M28" s="1276"/>
      <c r="O28" s="1276"/>
    </row>
    <row r="29" spans="1:19" s="1248" customFormat="1">
      <c r="A29" s="1270"/>
      <c r="B29" s="1271"/>
      <c r="D29" s="1249"/>
      <c r="G29" s="1168"/>
      <c r="K29" s="1168"/>
      <c r="L29" s="1168"/>
    </row>
    <row r="30" spans="1:19" s="1248" customFormat="1" ht="25.5">
      <c r="A30" s="1279"/>
      <c r="B30" s="1271"/>
      <c r="C30" s="1265"/>
      <c r="D30" s="1249"/>
      <c r="E30" s="1280" t="s">
        <v>1885</v>
      </c>
      <c r="F30" s="1262" t="s">
        <v>1834</v>
      </c>
      <c r="G30" s="1259" t="s">
        <v>1787</v>
      </c>
      <c r="H30" s="1260" t="s">
        <v>1076</v>
      </c>
      <c r="I30" s="1259" t="s">
        <v>1835</v>
      </c>
      <c r="J30" s="1262" t="s">
        <v>1836</v>
      </c>
      <c r="K30" s="1256" t="s">
        <v>1831</v>
      </c>
      <c r="M30" s="1261" t="s">
        <v>1837</v>
      </c>
      <c r="N30" s="1262" t="s">
        <v>1838</v>
      </c>
    </row>
    <row r="31" spans="1:19" s="1248" customFormat="1">
      <c r="A31" s="1270">
        <f>+A25+1</f>
        <v>17</v>
      </c>
      <c r="B31" s="1271">
        <f t="shared" ref="B31:B41" si="8">+B10</f>
        <v>1137</v>
      </c>
      <c r="C31" s="1281" t="str">
        <f t="shared" ref="C31:C42" si="9">C10</f>
        <v>Bolt, Gregory C.</v>
      </c>
      <c r="D31" s="1282"/>
      <c r="E31" s="1283">
        <f>+'Wp b - salary'!Z12</f>
        <v>1</v>
      </c>
      <c r="F31" s="1262"/>
      <c r="G31" s="1168">
        <f>E10</f>
        <v>31130.77</v>
      </c>
      <c r="H31" s="1260"/>
      <c r="I31" s="1276">
        <f>G31*E31</f>
        <v>31130.77</v>
      </c>
      <c r="J31" s="1262"/>
      <c r="K31" s="1276">
        <f>M10</f>
        <v>-15565.385</v>
      </c>
      <c r="M31" s="1168">
        <f>K31*E31</f>
        <v>-15565.385</v>
      </c>
      <c r="Q31" s="1284"/>
      <c r="R31" s="1247"/>
      <c r="S31" s="1285"/>
    </row>
    <row r="32" spans="1:19" s="1248" customFormat="1">
      <c r="A32" s="1270">
        <f>+A31+1</f>
        <v>18</v>
      </c>
      <c r="B32" s="1271">
        <f t="shared" si="8"/>
        <v>9942</v>
      </c>
      <c r="C32" s="1281" t="str">
        <f t="shared" si="9"/>
        <v>Johnson, Harvey H.</v>
      </c>
      <c r="D32" s="1282"/>
      <c r="E32" s="1283">
        <f>+'Wp b - salary'!Z13</f>
        <v>1</v>
      </c>
      <c r="F32" s="1262"/>
      <c r="G32" s="1168">
        <f>E11</f>
        <v>21470</v>
      </c>
      <c r="H32" s="1260"/>
      <c r="I32" s="1276">
        <f>G32*E32</f>
        <v>21470</v>
      </c>
      <c r="J32" s="1262"/>
      <c r="K32" s="1276">
        <f>M11</f>
        <v>-21470</v>
      </c>
      <c r="M32" s="1168">
        <f>K32*E32</f>
        <v>-21470</v>
      </c>
      <c r="Q32" s="1286"/>
      <c r="R32" s="1287"/>
      <c r="S32" s="1285"/>
    </row>
    <row r="33" spans="1:19" s="1248" customFormat="1">
      <c r="A33" s="1270">
        <f t="shared" ref="A33:A46" si="10">+A32+1</f>
        <v>19</v>
      </c>
      <c r="B33" s="1271">
        <f t="shared" si="8"/>
        <v>804</v>
      </c>
      <c r="C33" s="1281" t="str">
        <f t="shared" si="9"/>
        <v>Johnston, Joseph A</v>
      </c>
      <c r="D33" s="1282"/>
      <c r="E33" s="1283">
        <f>+'Wp b - salary'!Z14</f>
        <v>1</v>
      </c>
      <c r="F33" s="1262"/>
      <c r="G33" s="1168">
        <f t="shared" ref="G33:G46" si="11">E12</f>
        <v>18507.07</v>
      </c>
      <c r="H33" s="1260"/>
      <c r="I33" s="1276">
        <f t="shared" ref="I33:I46" si="12">G33*E33</f>
        <v>18507.07</v>
      </c>
      <c r="J33" s="1262"/>
      <c r="K33" s="1276">
        <f t="shared" ref="K33:K46" si="13">M12</f>
        <v>-18507.07</v>
      </c>
      <c r="M33" s="1168">
        <f t="shared" ref="M33:M46" si="14">K33*E33</f>
        <v>-18507.07</v>
      </c>
      <c r="Q33" s="1284"/>
      <c r="R33" s="1247"/>
      <c r="S33" s="1285"/>
    </row>
    <row r="34" spans="1:19" s="1248" customFormat="1">
      <c r="A34" s="1270">
        <f t="shared" si="10"/>
        <v>20</v>
      </c>
      <c r="B34" s="1271">
        <f t="shared" si="8"/>
        <v>1129</v>
      </c>
      <c r="C34" s="1281" t="str">
        <f t="shared" si="9"/>
        <v>Leonard, James R.</v>
      </c>
      <c r="D34" s="1282"/>
      <c r="E34" s="1283">
        <f>+'Wp b - salary'!Z15</f>
        <v>1</v>
      </c>
      <c r="F34" s="1262"/>
      <c r="G34" s="1168">
        <f t="shared" si="11"/>
        <v>32389.08</v>
      </c>
      <c r="H34" s="1260"/>
      <c r="I34" s="1276">
        <f t="shared" si="12"/>
        <v>32389.08</v>
      </c>
      <c r="J34" s="1262"/>
      <c r="K34" s="1276">
        <f t="shared" si="13"/>
        <v>-16194.54</v>
      </c>
      <c r="M34" s="1168">
        <f t="shared" si="14"/>
        <v>-16194.54</v>
      </c>
      <c r="Q34" s="1286"/>
      <c r="R34" s="1287"/>
      <c r="S34" s="1285"/>
    </row>
    <row r="35" spans="1:19" s="1248" customFormat="1">
      <c r="A35" s="1270">
        <f t="shared" si="10"/>
        <v>21</v>
      </c>
      <c r="B35" s="1271">
        <f t="shared" si="8"/>
        <v>873</v>
      </c>
      <c r="C35" s="1281" t="str">
        <f t="shared" si="9"/>
        <v>Mills, Wendell G.</v>
      </c>
      <c r="D35" s="1288"/>
      <c r="E35" s="1283">
        <f>+'Wp b - salary'!Z16</f>
        <v>1</v>
      </c>
      <c r="F35" s="1262"/>
      <c r="G35" s="1168">
        <f t="shared" si="11"/>
        <v>23307.03</v>
      </c>
      <c r="H35" s="1260"/>
      <c r="I35" s="1276">
        <f t="shared" si="12"/>
        <v>23307.03</v>
      </c>
      <c r="J35" s="1262"/>
      <c r="K35" s="1276">
        <f t="shared" si="13"/>
        <v>-23307.03</v>
      </c>
      <c r="M35" s="1168">
        <f t="shared" si="14"/>
        <v>-23307.03</v>
      </c>
      <c r="Q35" s="1286"/>
      <c r="R35" s="1289"/>
      <c r="S35" s="1285"/>
    </row>
    <row r="36" spans="1:19" s="1248" customFormat="1">
      <c r="A36" s="1270">
        <f t="shared" si="10"/>
        <v>22</v>
      </c>
      <c r="B36" s="1271">
        <f t="shared" si="8"/>
        <v>875</v>
      </c>
      <c r="C36" s="1281" t="str">
        <f t="shared" si="9"/>
        <v>Onkst, James H.</v>
      </c>
      <c r="D36" s="1258"/>
      <c r="E36" s="1283">
        <f>+'Wp b - salary'!Z17</f>
        <v>1</v>
      </c>
      <c r="F36" s="1262"/>
      <c r="G36" s="1168">
        <f t="shared" si="11"/>
        <v>18903</v>
      </c>
      <c r="H36" s="1260"/>
      <c r="I36" s="1276">
        <f t="shared" si="12"/>
        <v>18903</v>
      </c>
      <c r="J36" s="1262"/>
      <c r="K36" s="1276">
        <f t="shared" si="13"/>
        <v>-18903</v>
      </c>
      <c r="M36" s="1168">
        <f t="shared" si="14"/>
        <v>-18903</v>
      </c>
      <c r="Q36" s="1286"/>
      <c r="R36" s="1272"/>
      <c r="S36" s="1285"/>
    </row>
    <row r="37" spans="1:19" s="1248" customFormat="1">
      <c r="A37" s="1270">
        <f t="shared" si="10"/>
        <v>23</v>
      </c>
      <c r="B37" s="1271">
        <f t="shared" si="8"/>
        <v>332</v>
      </c>
      <c r="C37" s="1281" t="str">
        <f t="shared" si="9"/>
        <v>Partin, Michael W.</v>
      </c>
      <c r="D37" s="1258"/>
      <c r="E37" s="1283">
        <f>+'Wp b - salary'!Z18</f>
        <v>1</v>
      </c>
      <c r="F37" s="1262"/>
      <c r="G37" s="1168">
        <f t="shared" si="11"/>
        <v>18358.86</v>
      </c>
      <c r="H37" s="1260"/>
      <c r="I37" s="1276">
        <f t="shared" si="12"/>
        <v>18358.86</v>
      </c>
      <c r="J37" s="1262"/>
      <c r="K37" s="1276">
        <f t="shared" si="13"/>
        <v>-18358.86</v>
      </c>
      <c r="M37" s="1168">
        <f t="shared" si="14"/>
        <v>-18358.86</v>
      </c>
      <c r="Q37" s="1286"/>
      <c r="R37" s="1272"/>
      <c r="S37" s="1285"/>
    </row>
    <row r="38" spans="1:19" s="1248" customFormat="1">
      <c r="A38" s="1270">
        <f t="shared" si="10"/>
        <v>24</v>
      </c>
      <c r="B38" s="1271">
        <f t="shared" si="8"/>
        <v>69</v>
      </c>
      <c r="C38" s="1281" t="str">
        <f t="shared" si="9"/>
        <v>Rushing, Ronald</v>
      </c>
      <c r="D38" s="1258"/>
      <c r="E38" s="1283">
        <f>+'Wp b - salary'!Z19</f>
        <v>1</v>
      </c>
      <c r="F38" s="1262"/>
      <c r="G38" s="1168">
        <f t="shared" si="11"/>
        <v>20885</v>
      </c>
      <c r="H38" s="1260"/>
      <c r="I38" s="1276">
        <f t="shared" si="12"/>
        <v>20885</v>
      </c>
      <c r="J38" s="1262"/>
      <c r="K38" s="1276">
        <f t="shared" si="13"/>
        <v>-20885</v>
      </c>
      <c r="M38" s="1168">
        <f t="shared" si="14"/>
        <v>-20885</v>
      </c>
      <c r="Q38" s="1286"/>
      <c r="R38" s="1272"/>
      <c r="S38" s="1285"/>
    </row>
    <row r="39" spans="1:19" s="1248" customFormat="1">
      <c r="A39" s="1270">
        <f t="shared" si="10"/>
        <v>25</v>
      </c>
      <c r="B39" s="1271">
        <f t="shared" si="8"/>
        <v>70</v>
      </c>
      <c r="C39" s="1281" t="str">
        <f t="shared" si="9"/>
        <v>Sandefur, Bryan K.</v>
      </c>
      <c r="D39" s="1258"/>
      <c r="E39" s="1283">
        <f>+'Wp b - salary'!Z20</f>
        <v>1</v>
      </c>
      <c r="F39" s="1262"/>
      <c r="G39" s="1168">
        <f t="shared" si="11"/>
        <v>18770</v>
      </c>
      <c r="H39" s="1260"/>
      <c r="I39" s="1276">
        <f t="shared" si="12"/>
        <v>18770</v>
      </c>
      <c r="J39" s="1262"/>
      <c r="K39" s="1276">
        <f t="shared" si="13"/>
        <v>-18770</v>
      </c>
      <c r="M39" s="1168">
        <f t="shared" si="14"/>
        <v>-18770</v>
      </c>
      <c r="Q39" s="1286"/>
      <c r="R39" s="1272"/>
      <c r="S39" s="1285"/>
    </row>
    <row r="40" spans="1:19" s="1248" customFormat="1">
      <c r="A40" s="1270">
        <f t="shared" si="10"/>
        <v>26</v>
      </c>
      <c r="B40" s="1271">
        <f t="shared" si="8"/>
        <v>817</v>
      </c>
      <c r="C40" s="1281" t="str">
        <f t="shared" si="9"/>
        <v>Turner, John R.</v>
      </c>
      <c r="D40" s="1258"/>
      <c r="E40" s="1283">
        <f>+'Wp b - salary'!Z21</f>
        <v>1</v>
      </c>
      <c r="F40" s="1262"/>
      <c r="G40" s="1168">
        <f t="shared" si="11"/>
        <v>26994.18</v>
      </c>
      <c r="H40" s="1260"/>
      <c r="I40" s="1276">
        <f t="shared" si="12"/>
        <v>26994.18</v>
      </c>
      <c r="J40" s="1262"/>
      <c r="K40" s="1276">
        <f t="shared" si="13"/>
        <v>-26994.18</v>
      </c>
      <c r="M40" s="1168">
        <f t="shared" si="14"/>
        <v>-26994.18</v>
      </c>
      <c r="Q40" s="1286"/>
      <c r="R40" s="1272"/>
      <c r="S40" s="1285"/>
    </row>
    <row r="41" spans="1:19" s="1248" customFormat="1">
      <c r="A41" s="1270">
        <f t="shared" si="10"/>
        <v>27</v>
      </c>
      <c r="B41" s="1271">
        <f t="shared" si="8"/>
        <v>616</v>
      </c>
      <c r="C41" s="1281" t="str">
        <f t="shared" si="9"/>
        <v>Vaughn, Stephen R.</v>
      </c>
      <c r="D41" s="1258"/>
      <c r="E41" s="1283">
        <f>+'Wp b - salary'!Z22</f>
        <v>1</v>
      </c>
      <c r="F41" s="1262"/>
      <c r="G41" s="1168">
        <f t="shared" si="11"/>
        <v>23222.83</v>
      </c>
      <c r="H41" s="1260"/>
      <c r="I41" s="1276">
        <f t="shared" si="12"/>
        <v>23222.83</v>
      </c>
      <c r="J41" s="1262"/>
      <c r="K41" s="1276">
        <f t="shared" si="13"/>
        <v>-23222.83</v>
      </c>
      <c r="M41" s="1168">
        <f t="shared" si="14"/>
        <v>-23222.83</v>
      </c>
      <c r="Q41" s="1286"/>
      <c r="R41" s="1272"/>
      <c r="S41" s="1285"/>
    </row>
    <row r="42" spans="1:19" s="1248" customFormat="1">
      <c r="A42" s="1270">
        <f t="shared" si="10"/>
        <v>28</v>
      </c>
      <c r="B42" s="1271">
        <f t="shared" ref="B42:B46" si="15">+B21</f>
        <v>701</v>
      </c>
      <c r="C42" s="1281" t="str">
        <f t="shared" si="9"/>
        <v>Bruce Haas</v>
      </c>
      <c r="D42" s="1258"/>
      <c r="E42" s="1283">
        <f>+'Wp b - salary'!Z25</f>
        <v>0.20766448079556102</v>
      </c>
      <c r="F42" s="1262"/>
      <c r="G42" s="1168">
        <f t="shared" si="11"/>
        <v>39156.49</v>
      </c>
      <c r="H42" s="1260"/>
      <c r="I42" s="1276">
        <f t="shared" si="12"/>
        <v>8131.412165626577</v>
      </c>
      <c r="J42" s="1262"/>
      <c r="K42" s="1276">
        <f t="shared" si="13"/>
        <v>-39156.49</v>
      </c>
      <c r="M42" s="1168">
        <f t="shared" si="14"/>
        <v>-8131.412165626577</v>
      </c>
      <c r="Q42" s="1286"/>
      <c r="R42" s="1272"/>
      <c r="S42" s="1285"/>
    </row>
    <row r="43" spans="1:19" s="1248" customFormat="1">
      <c r="A43" s="1270">
        <f t="shared" si="10"/>
        <v>29</v>
      </c>
      <c r="B43" s="1271">
        <f t="shared" si="15"/>
        <v>818</v>
      </c>
      <c r="C43" s="1281" t="str">
        <f t="shared" ref="C43:C46" si="16">C22</f>
        <v>Carl Daniel</v>
      </c>
      <c r="D43" s="1258"/>
      <c r="E43" s="1283">
        <f>+'Wp b - salary'!Z26</f>
        <v>0.13938541487301429</v>
      </c>
      <c r="F43" s="1262"/>
      <c r="G43" s="1168">
        <f t="shared" si="11"/>
        <v>29220</v>
      </c>
      <c r="H43" s="1260"/>
      <c r="I43" s="1276">
        <f t="shared" si="12"/>
        <v>4072.8418225894775</v>
      </c>
      <c r="J43" s="1262"/>
      <c r="K43" s="1276">
        <f t="shared" si="13"/>
        <v>-29220</v>
      </c>
      <c r="M43" s="1168">
        <f t="shared" si="14"/>
        <v>-4072.8418225894775</v>
      </c>
      <c r="Q43" s="1286"/>
      <c r="R43" s="1272"/>
      <c r="S43" s="1285"/>
    </row>
    <row r="44" spans="1:19" s="1248" customFormat="1">
      <c r="A44" s="1270">
        <f t="shared" si="10"/>
        <v>30</v>
      </c>
      <c r="B44" s="1271" t="str">
        <f t="shared" si="15"/>
        <v>N/A</v>
      </c>
      <c r="C44" s="1281" t="str">
        <f t="shared" si="16"/>
        <v>Veronica Stannis</v>
      </c>
      <c r="D44" s="1258"/>
      <c r="E44" s="1283">
        <f>+'Wp b - salary'!Z27</f>
        <v>0.13938541487301429</v>
      </c>
      <c r="F44" s="1262"/>
      <c r="G44" s="1168">
        <f t="shared" si="11"/>
        <v>0</v>
      </c>
      <c r="H44" s="1260"/>
      <c r="I44" s="1276">
        <f t="shared" si="12"/>
        <v>0</v>
      </c>
      <c r="J44" s="1262"/>
      <c r="K44" s="1276">
        <f t="shared" si="13"/>
        <v>0</v>
      </c>
      <c r="M44" s="1168">
        <f t="shared" si="14"/>
        <v>0</v>
      </c>
      <c r="Q44" s="1286"/>
      <c r="R44" s="1272"/>
      <c r="S44" s="1285"/>
    </row>
    <row r="45" spans="1:19" s="1248" customFormat="1">
      <c r="A45" s="1270">
        <f t="shared" si="10"/>
        <v>31</v>
      </c>
      <c r="B45" s="1271" t="str">
        <f t="shared" si="15"/>
        <v>N/A</v>
      </c>
      <c r="C45" s="1281" t="str">
        <f t="shared" si="16"/>
        <v>Helen Lupton</v>
      </c>
      <c r="D45" s="1258"/>
      <c r="E45" s="1283">
        <f>+'Wp b - salary'!Z28</f>
        <v>0.13938541487301429</v>
      </c>
      <c r="F45" s="1262"/>
      <c r="G45" s="1168">
        <f t="shared" si="11"/>
        <v>0</v>
      </c>
      <c r="H45" s="1260"/>
      <c r="I45" s="1276">
        <f t="shared" si="12"/>
        <v>0</v>
      </c>
      <c r="J45" s="1262"/>
      <c r="K45" s="1276">
        <f t="shared" si="13"/>
        <v>0</v>
      </c>
      <c r="M45" s="1168">
        <f t="shared" si="14"/>
        <v>0</v>
      </c>
      <c r="Q45" s="1286"/>
      <c r="R45" s="1272"/>
      <c r="S45" s="1285"/>
    </row>
    <row r="46" spans="1:19" s="1248" customFormat="1">
      <c r="A46" s="1270">
        <f t="shared" si="10"/>
        <v>32</v>
      </c>
      <c r="B46" s="1271">
        <f t="shared" si="15"/>
        <v>640</v>
      </c>
      <c r="C46" s="1281" t="str">
        <f t="shared" si="16"/>
        <v>Mary Rollins</v>
      </c>
      <c r="D46" s="1258"/>
      <c r="E46" s="1283">
        <f>+'Wp b - salary'!Z29</f>
        <v>0.13938541487301429</v>
      </c>
      <c r="F46" s="1262"/>
      <c r="G46" s="1168">
        <f t="shared" si="11"/>
        <v>25586</v>
      </c>
      <c r="H46" s="1260"/>
      <c r="I46" s="1276">
        <f t="shared" si="12"/>
        <v>3566.3152249409436</v>
      </c>
      <c r="J46" s="1262"/>
      <c r="K46" s="1276">
        <f t="shared" si="13"/>
        <v>-25586</v>
      </c>
      <c r="M46" s="1168">
        <f t="shared" si="14"/>
        <v>-3566.3152249409436</v>
      </c>
      <c r="Q46" s="1286"/>
      <c r="R46" s="1272"/>
      <c r="S46" s="1285"/>
    </row>
    <row r="47" spans="1:19" s="1248" customFormat="1">
      <c r="A47" s="1270"/>
      <c r="B47" s="1290"/>
      <c r="C47" s="1281"/>
      <c r="D47" s="1258"/>
      <c r="E47" s="1283"/>
      <c r="F47" s="1262"/>
      <c r="G47" s="1168"/>
      <c r="H47" s="1260"/>
      <c r="I47" s="1276"/>
      <c r="J47" s="1262"/>
      <c r="K47" s="1276"/>
      <c r="M47" s="1168"/>
      <c r="Q47" s="1286"/>
      <c r="R47" s="1272"/>
      <c r="S47" s="1285"/>
    </row>
    <row r="48" spans="1:19" s="1248" customFormat="1" ht="13.5" thickBot="1">
      <c r="A48" s="1270">
        <f>+A46+1</f>
        <v>33</v>
      </c>
      <c r="B48" s="1291" t="s">
        <v>1839</v>
      </c>
      <c r="D48" s="1249"/>
      <c r="G48" s="1168"/>
      <c r="I48" s="1278">
        <f>SUM(I31:I42)</f>
        <v>262069.23216562657</v>
      </c>
      <c r="K48" s="1168"/>
      <c r="L48" s="1168"/>
      <c r="M48" s="1278">
        <f>SUM(M31:M42)</f>
        <v>-230309.30716562658</v>
      </c>
    </row>
    <row r="49" spans="1:13" s="1248" customFormat="1" ht="13.5" thickTop="1">
      <c r="A49" s="1279"/>
      <c r="B49" s="1252"/>
      <c r="D49" s="1249"/>
      <c r="G49" s="1168"/>
      <c r="I49" s="1276"/>
      <c r="K49" s="1168"/>
      <c r="L49" s="1168"/>
      <c r="M49" s="1276"/>
    </row>
    <row r="50" spans="1:13" s="1248" customFormat="1">
      <c r="A50" s="1270">
        <f>+A48+1</f>
        <v>34</v>
      </c>
      <c r="B50" s="1291" t="s">
        <v>1842</v>
      </c>
      <c r="D50" s="1251" t="s">
        <v>1841</v>
      </c>
      <c r="G50" s="1168"/>
      <c r="I50" s="1276">
        <f>I$48*1</f>
        <v>262069.23216562657</v>
      </c>
      <c r="K50" s="1168"/>
      <c r="L50" s="1168"/>
      <c r="M50" s="1276">
        <f>M$48*1</f>
        <v>-230309.30716562658</v>
      </c>
    </row>
    <row r="51" spans="1:13" s="1248" customFormat="1">
      <c r="A51" s="1270">
        <f>+A50+1</f>
        <v>35</v>
      </c>
      <c r="B51" s="1291" t="s">
        <v>1840</v>
      </c>
      <c r="D51" s="1251" t="s">
        <v>1843</v>
      </c>
      <c r="G51" s="1168"/>
      <c r="I51" s="1276">
        <f>I$48*0</f>
        <v>0</v>
      </c>
      <c r="K51" s="1168"/>
      <c r="L51" s="1168"/>
      <c r="M51" s="1276">
        <f>M$48*0</f>
        <v>0</v>
      </c>
    </row>
    <row r="52" spans="1:13" s="1248" customFormat="1">
      <c r="A52" s="1279"/>
      <c r="B52" s="1252"/>
      <c r="D52" s="1249"/>
      <c r="G52" s="1168"/>
      <c r="K52" s="1168"/>
      <c r="L52" s="1168"/>
    </row>
    <row r="53" spans="1:13" s="1248" customFormat="1" ht="38.25">
      <c r="A53" s="1279"/>
      <c r="B53" s="1292" t="s">
        <v>1844</v>
      </c>
      <c r="C53" s="1265"/>
      <c r="D53" s="1249"/>
      <c r="E53" s="1280" t="str">
        <f t="shared" ref="E53:E58" si="17">+E30</f>
        <v>% Used in WSC of Kentucky</v>
      </c>
      <c r="F53" s="1262" t="s">
        <v>1834</v>
      </c>
      <c r="G53" s="1259" t="s">
        <v>1832</v>
      </c>
      <c r="I53" s="1261" t="s">
        <v>1845</v>
      </c>
      <c r="J53" s="1262" t="s">
        <v>1846</v>
      </c>
      <c r="K53" s="1168"/>
      <c r="L53" s="1168"/>
    </row>
    <row r="54" spans="1:13" s="1248" customFormat="1">
      <c r="A54" s="1270">
        <f>+A51+1</f>
        <v>36</v>
      </c>
      <c r="B54" s="1290">
        <f t="shared" ref="B54:C64" si="18">B31</f>
        <v>1137</v>
      </c>
      <c r="C54" s="1293" t="str">
        <f t="shared" si="18"/>
        <v>Bolt, Gregory C.</v>
      </c>
      <c r="D54" s="1249"/>
      <c r="E54" s="1283">
        <f t="shared" si="17"/>
        <v>1</v>
      </c>
      <c r="G54" s="1168">
        <f>O10</f>
        <v>7782.6925000000001</v>
      </c>
      <c r="I54" s="1168">
        <f>E54*G54</f>
        <v>7782.6925000000001</v>
      </c>
      <c r="K54" s="1168"/>
      <c r="L54" s="1168"/>
    </row>
    <row r="55" spans="1:13" s="1248" customFormat="1">
      <c r="A55" s="1270">
        <f>+A54+1</f>
        <v>37</v>
      </c>
      <c r="B55" s="1290">
        <f t="shared" si="18"/>
        <v>9942</v>
      </c>
      <c r="C55" s="1293" t="str">
        <f t="shared" si="18"/>
        <v>Johnson, Harvey H.</v>
      </c>
      <c r="D55" s="1249"/>
      <c r="E55" s="1283">
        <f t="shared" si="17"/>
        <v>1</v>
      </c>
      <c r="G55" s="1168">
        <f>O11</f>
        <v>0</v>
      </c>
      <c r="I55" s="1168">
        <f>E55*G55</f>
        <v>0</v>
      </c>
      <c r="K55" s="1168"/>
      <c r="L55" s="1168"/>
    </row>
    <row r="56" spans="1:13" s="1248" customFormat="1">
      <c r="A56" s="1270">
        <f t="shared" ref="A56:A69" si="19">+A55+1</f>
        <v>38</v>
      </c>
      <c r="B56" s="1290">
        <f t="shared" si="18"/>
        <v>804</v>
      </c>
      <c r="C56" s="1293" t="str">
        <f t="shared" si="18"/>
        <v>Johnston, Joseph A</v>
      </c>
      <c r="D56" s="1249"/>
      <c r="E56" s="1283">
        <f t="shared" si="17"/>
        <v>1</v>
      </c>
      <c r="G56" s="1168">
        <f t="shared" ref="G56:G69" si="20">O12</f>
        <v>0</v>
      </c>
      <c r="I56" s="1168">
        <f t="shared" ref="I56:I69" si="21">E56*G56</f>
        <v>0</v>
      </c>
      <c r="K56" s="1168"/>
      <c r="L56" s="1168"/>
    </row>
    <row r="57" spans="1:13" s="1248" customFormat="1">
      <c r="A57" s="1270">
        <f t="shared" si="19"/>
        <v>39</v>
      </c>
      <c r="B57" s="1290">
        <f t="shared" si="18"/>
        <v>1129</v>
      </c>
      <c r="C57" s="1293" t="str">
        <f t="shared" si="18"/>
        <v>Leonard, James R.</v>
      </c>
      <c r="D57" s="1249"/>
      <c r="E57" s="1283">
        <f t="shared" si="17"/>
        <v>1</v>
      </c>
      <c r="G57" s="1168">
        <f t="shared" si="20"/>
        <v>8097.27</v>
      </c>
      <c r="I57" s="1168">
        <f t="shared" si="21"/>
        <v>8097.27</v>
      </c>
      <c r="K57" s="1168"/>
      <c r="L57" s="1168"/>
    </row>
    <row r="58" spans="1:13" s="1248" customFormat="1">
      <c r="A58" s="1270">
        <f t="shared" si="19"/>
        <v>40</v>
      </c>
      <c r="B58" s="1290">
        <f t="shared" si="18"/>
        <v>873</v>
      </c>
      <c r="C58" s="1293" t="str">
        <f t="shared" si="18"/>
        <v>Mills, Wendell G.</v>
      </c>
      <c r="D58" s="1249"/>
      <c r="E58" s="1283">
        <f t="shared" si="17"/>
        <v>1</v>
      </c>
      <c r="G58" s="1168">
        <f t="shared" si="20"/>
        <v>0</v>
      </c>
      <c r="I58" s="1168">
        <f t="shared" si="21"/>
        <v>0</v>
      </c>
      <c r="K58" s="1168"/>
      <c r="L58" s="1168"/>
    </row>
    <row r="59" spans="1:13" s="1248" customFormat="1">
      <c r="A59" s="1270">
        <f t="shared" si="19"/>
        <v>41</v>
      </c>
      <c r="B59" s="1290">
        <f t="shared" si="18"/>
        <v>875</v>
      </c>
      <c r="C59" s="1293" t="str">
        <f t="shared" si="18"/>
        <v>Onkst, James H.</v>
      </c>
      <c r="D59" s="1249"/>
      <c r="E59" s="1283">
        <f t="shared" ref="E59:E69" si="22">+E36</f>
        <v>1</v>
      </c>
      <c r="G59" s="1168">
        <f t="shared" si="20"/>
        <v>0</v>
      </c>
      <c r="I59" s="1168">
        <f t="shared" si="21"/>
        <v>0</v>
      </c>
      <c r="K59" s="1168"/>
      <c r="L59" s="1168"/>
    </row>
    <row r="60" spans="1:13" s="1248" customFormat="1">
      <c r="A60" s="1270">
        <f t="shared" si="19"/>
        <v>42</v>
      </c>
      <c r="B60" s="1290">
        <f t="shared" si="18"/>
        <v>332</v>
      </c>
      <c r="C60" s="1293" t="str">
        <f t="shared" si="18"/>
        <v>Partin, Michael W.</v>
      </c>
      <c r="D60" s="1249"/>
      <c r="E60" s="1283">
        <f t="shared" si="22"/>
        <v>1</v>
      </c>
      <c r="G60" s="1168">
        <f t="shared" si="20"/>
        <v>0</v>
      </c>
      <c r="I60" s="1168">
        <f t="shared" si="21"/>
        <v>0</v>
      </c>
      <c r="K60" s="1168"/>
      <c r="L60" s="1168"/>
    </row>
    <row r="61" spans="1:13" s="1248" customFormat="1">
      <c r="A61" s="1270">
        <f t="shared" si="19"/>
        <v>43</v>
      </c>
      <c r="B61" s="1290">
        <f t="shared" si="18"/>
        <v>69</v>
      </c>
      <c r="C61" s="1293" t="str">
        <f t="shared" si="18"/>
        <v>Rushing, Ronald</v>
      </c>
      <c r="D61" s="1249"/>
      <c r="E61" s="1283">
        <f t="shared" si="22"/>
        <v>1</v>
      </c>
      <c r="G61" s="1168">
        <f t="shared" si="20"/>
        <v>0</v>
      </c>
      <c r="I61" s="1168">
        <f t="shared" si="21"/>
        <v>0</v>
      </c>
      <c r="K61" s="1168"/>
      <c r="L61" s="1168"/>
    </row>
    <row r="62" spans="1:13" s="1248" customFormat="1">
      <c r="A62" s="1270">
        <f t="shared" si="19"/>
        <v>44</v>
      </c>
      <c r="B62" s="1290">
        <f t="shared" si="18"/>
        <v>70</v>
      </c>
      <c r="C62" s="1293" t="str">
        <f t="shared" si="18"/>
        <v>Sandefur, Bryan K.</v>
      </c>
      <c r="D62" s="1249"/>
      <c r="E62" s="1283">
        <f t="shared" si="22"/>
        <v>1</v>
      </c>
      <c r="G62" s="1168">
        <f t="shared" si="20"/>
        <v>0</v>
      </c>
      <c r="I62" s="1168">
        <f t="shared" si="21"/>
        <v>0</v>
      </c>
      <c r="K62" s="1168"/>
      <c r="L62" s="1168"/>
    </row>
    <row r="63" spans="1:13" s="1248" customFormat="1">
      <c r="A63" s="1270">
        <f t="shared" si="19"/>
        <v>45</v>
      </c>
      <c r="B63" s="1290">
        <f t="shared" si="18"/>
        <v>817</v>
      </c>
      <c r="C63" s="1293" t="str">
        <f t="shared" si="18"/>
        <v>Turner, John R.</v>
      </c>
      <c r="D63" s="1249"/>
      <c r="E63" s="1283">
        <f t="shared" si="22"/>
        <v>1</v>
      </c>
      <c r="G63" s="1168">
        <f t="shared" si="20"/>
        <v>0</v>
      </c>
      <c r="I63" s="1168">
        <f t="shared" si="21"/>
        <v>0</v>
      </c>
      <c r="K63" s="1168"/>
      <c r="L63" s="1168"/>
    </row>
    <row r="64" spans="1:13" s="1248" customFormat="1">
      <c r="A64" s="1270">
        <f t="shared" si="19"/>
        <v>46</v>
      </c>
      <c r="B64" s="1290">
        <f t="shared" si="18"/>
        <v>616</v>
      </c>
      <c r="C64" s="1293" t="str">
        <f t="shared" si="18"/>
        <v>Vaughn, Stephen R.</v>
      </c>
      <c r="D64" s="1249"/>
      <c r="E64" s="1283">
        <f t="shared" si="22"/>
        <v>1</v>
      </c>
      <c r="G64" s="1168">
        <f t="shared" si="20"/>
        <v>0</v>
      </c>
      <c r="I64" s="1168">
        <f t="shared" si="21"/>
        <v>0</v>
      </c>
      <c r="K64" s="1168"/>
      <c r="L64" s="1168"/>
    </row>
    <row r="65" spans="1:12" s="1248" customFormat="1">
      <c r="A65" s="1270">
        <f t="shared" si="19"/>
        <v>47</v>
      </c>
      <c r="B65" s="1290">
        <f>B42</f>
        <v>701</v>
      </c>
      <c r="C65" s="1293" t="str">
        <f>C42</f>
        <v>Bruce Haas</v>
      </c>
      <c r="D65" s="1249"/>
      <c r="E65" s="1283">
        <f t="shared" si="22"/>
        <v>0.20766448079556102</v>
      </c>
      <c r="G65" s="1168">
        <f t="shared" si="20"/>
        <v>0</v>
      </c>
      <c r="I65" s="1168">
        <f t="shared" si="21"/>
        <v>0</v>
      </c>
      <c r="K65" s="1168"/>
      <c r="L65" s="1168"/>
    </row>
    <row r="66" spans="1:12" s="1248" customFormat="1">
      <c r="A66" s="1270">
        <f t="shared" si="19"/>
        <v>48</v>
      </c>
      <c r="B66" s="1290">
        <f t="shared" ref="B66:C66" si="23">B43</f>
        <v>818</v>
      </c>
      <c r="C66" s="1293" t="str">
        <f t="shared" si="23"/>
        <v>Carl Daniel</v>
      </c>
      <c r="D66" s="1249"/>
      <c r="E66" s="1283">
        <f t="shared" si="22"/>
        <v>0.13938541487301429</v>
      </c>
      <c r="G66" s="1168">
        <f t="shared" si="20"/>
        <v>0</v>
      </c>
      <c r="I66" s="1168">
        <f t="shared" si="21"/>
        <v>0</v>
      </c>
      <c r="K66" s="1168"/>
      <c r="L66" s="1168"/>
    </row>
    <row r="67" spans="1:12" s="1248" customFormat="1">
      <c r="A67" s="1270">
        <f t="shared" si="19"/>
        <v>49</v>
      </c>
      <c r="B67" s="1290" t="str">
        <f t="shared" ref="B67:C67" si="24">B44</f>
        <v>N/A</v>
      </c>
      <c r="C67" s="1293" t="str">
        <f t="shared" si="24"/>
        <v>Veronica Stannis</v>
      </c>
      <c r="D67" s="1249"/>
      <c r="E67" s="1283">
        <f t="shared" si="22"/>
        <v>0.13938541487301429</v>
      </c>
      <c r="G67" s="1168">
        <f t="shared" si="20"/>
        <v>0</v>
      </c>
      <c r="I67" s="1168">
        <f t="shared" si="21"/>
        <v>0</v>
      </c>
      <c r="K67" s="1168"/>
      <c r="L67" s="1168"/>
    </row>
    <row r="68" spans="1:12" s="1248" customFormat="1">
      <c r="A68" s="1270">
        <f t="shared" si="19"/>
        <v>50</v>
      </c>
      <c r="B68" s="1290" t="str">
        <f t="shared" ref="B68:C68" si="25">B45</f>
        <v>N/A</v>
      </c>
      <c r="C68" s="1293" t="str">
        <f t="shared" si="25"/>
        <v>Helen Lupton</v>
      </c>
      <c r="D68" s="1249"/>
      <c r="E68" s="1283">
        <f t="shared" si="22"/>
        <v>0.13938541487301429</v>
      </c>
      <c r="G68" s="1168">
        <f t="shared" si="20"/>
        <v>0</v>
      </c>
      <c r="I68" s="1168">
        <f t="shared" si="21"/>
        <v>0</v>
      </c>
      <c r="K68" s="1168"/>
      <c r="L68" s="1168"/>
    </row>
    <row r="69" spans="1:12" s="1248" customFormat="1">
      <c r="A69" s="1270">
        <f t="shared" si="19"/>
        <v>51</v>
      </c>
      <c r="B69" s="1290">
        <f t="shared" ref="B69:C69" si="26">B46</f>
        <v>640</v>
      </c>
      <c r="C69" s="1293" t="str">
        <f t="shared" si="26"/>
        <v>Mary Rollins</v>
      </c>
      <c r="D69" s="1249"/>
      <c r="E69" s="1283">
        <f t="shared" si="22"/>
        <v>0.13938541487301429</v>
      </c>
      <c r="G69" s="1168">
        <f t="shared" si="20"/>
        <v>0</v>
      </c>
      <c r="I69" s="1168">
        <f t="shared" si="21"/>
        <v>0</v>
      </c>
      <c r="K69" s="1168"/>
      <c r="L69" s="1168"/>
    </row>
    <row r="70" spans="1:12" s="1248" customFormat="1">
      <c r="A70" s="1270"/>
      <c r="B70" s="1290"/>
      <c r="C70" s="1293"/>
      <c r="D70" s="1249"/>
      <c r="E70" s="1283"/>
      <c r="G70" s="1168"/>
      <c r="I70" s="1294"/>
      <c r="K70" s="1168"/>
      <c r="L70" s="1168"/>
    </row>
    <row r="71" spans="1:12" s="1248" customFormat="1" ht="13.5" thickBot="1">
      <c r="A71" s="1270">
        <f>+A69+1</f>
        <v>52</v>
      </c>
      <c r="B71" s="1248" t="s">
        <v>1847</v>
      </c>
      <c r="D71" s="1249"/>
      <c r="E71" s="1295"/>
      <c r="F71" s="1249"/>
      <c r="G71" s="1296"/>
      <c r="I71" s="1278">
        <f>SUM(I54:I65)</f>
        <v>15879.962500000001</v>
      </c>
      <c r="K71" s="1168"/>
      <c r="L71" s="1168"/>
    </row>
    <row r="72" spans="1:12" s="1248" customFormat="1" ht="13.5" thickTop="1">
      <c r="A72" s="1252"/>
      <c r="D72" s="1249"/>
      <c r="E72" s="1295"/>
      <c r="F72" s="1249"/>
      <c r="G72" s="1296"/>
      <c r="K72" s="1168"/>
      <c r="L72" s="1168"/>
    </row>
    <row r="73" spans="1:12" s="1248" customFormat="1">
      <c r="A73" s="1270">
        <f>+A71+1</f>
        <v>53</v>
      </c>
      <c r="B73" s="1291" t="s">
        <v>1842</v>
      </c>
      <c r="D73" s="1251" t="s">
        <v>1841</v>
      </c>
      <c r="E73" s="1295"/>
      <c r="F73" s="1249"/>
      <c r="G73" s="1296"/>
      <c r="I73" s="1276">
        <f>I71*1</f>
        <v>15879.962500000001</v>
      </c>
      <c r="K73" s="1168"/>
      <c r="L73" s="1168"/>
    </row>
    <row r="74" spans="1:12" s="1248" customFormat="1">
      <c r="A74" s="1270">
        <f>+A73+1</f>
        <v>54</v>
      </c>
      <c r="B74" s="1291" t="s">
        <v>1840</v>
      </c>
      <c r="D74" s="1251" t="s">
        <v>1843</v>
      </c>
      <c r="E74" s="1295"/>
      <c r="F74" s="1249"/>
      <c r="G74" s="1296"/>
      <c r="I74" s="1276">
        <f>I71*0</f>
        <v>0</v>
      </c>
      <c r="K74" s="1168"/>
      <c r="L74" s="1168"/>
    </row>
    <row r="75" spans="1:12" s="1248" customFormat="1">
      <c r="D75" s="1249"/>
      <c r="E75" s="1249"/>
      <c r="F75" s="1249"/>
      <c r="G75" s="1297"/>
      <c r="K75" s="1168"/>
      <c r="L75" s="1168"/>
    </row>
    <row r="76" spans="1:12" s="1248" customFormat="1">
      <c r="B76" s="1298" t="s">
        <v>1069</v>
      </c>
      <c r="C76" s="1248" t="s">
        <v>1888</v>
      </c>
      <c r="D76" s="1249"/>
      <c r="G76" s="1168"/>
      <c r="K76" s="1168"/>
      <c r="L76" s="1168"/>
    </row>
    <row r="77" spans="1:12" s="1248" customFormat="1">
      <c r="B77" s="1299" t="s">
        <v>1076</v>
      </c>
      <c r="C77" s="1248" t="s">
        <v>1848</v>
      </c>
      <c r="D77" s="1249"/>
      <c r="G77" s="1168"/>
      <c r="K77" s="1168"/>
      <c r="L77" s="1168"/>
    </row>
    <row r="78" spans="1:12" s="1248" customFormat="1">
      <c r="B78" s="1262" t="s">
        <v>1079</v>
      </c>
      <c r="C78" s="1248" t="s">
        <v>1849</v>
      </c>
      <c r="D78" s="1249"/>
      <c r="G78" s="1168"/>
      <c r="K78" s="1168"/>
      <c r="L78" s="1168"/>
    </row>
    <row r="79" spans="1:12" s="1248" customFormat="1">
      <c r="B79" s="1262" t="s">
        <v>1065</v>
      </c>
      <c r="C79" s="1248" t="s">
        <v>1850</v>
      </c>
      <c r="D79" s="1249"/>
      <c r="G79" s="1168"/>
      <c r="K79" s="1168"/>
      <c r="L79" s="1168"/>
    </row>
    <row r="80" spans="1:12" s="1248" customFormat="1">
      <c r="B80" s="1262" t="s">
        <v>1066</v>
      </c>
      <c r="C80" s="1248" t="s">
        <v>1851</v>
      </c>
      <c r="D80" s="1249"/>
      <c r="G80" s="1168"/>
      <c r="K80" s="1168"/>
      <c r="L80" s="1168"/>
    </row>
    <row r="81" spans="2:19" s="1248" customFormat="1">
      <c r="B81" s="1262" t="s">
        <v>1481</v>
      </c>
      <c r="C81" s="1248" t="s">
        <v>1852</v>
      </c>
      <c r="D81" s="1249"/>
      <c r="G81" s="1168"/>
      <c r="K81" s="1168"/>
      <c r="L81" s="1168"/>
    </row>
    <row r="82" spans="2:19" s="1248" customFormat="1">
      <c r="B82" s="1262" t="s">
        <v>1834</v>
      </c>
      <c r="C82" s="1248" t="s">
        <v>1853</v>
      </c>
      <c r="D82" s="1249"/>
      <c r="G82" s="1168"/>
      <c r="K82" s="1168"/>
      <c r="L82" s="1168"/>
    </row>
    <row r="83" spans="2:19" s="1248" customFormat="1">
      <c r="B83" s="1262" t="s">
        <v>1836</v>
      </c>
      <c r="C83" s="1249" t="s">
        <v>1854</v>
      </c>
      <c r="D83" s="1249"/>
      <c r="G83" s="1168"/>
      <c r="K83" s="1168"/>
      <c r="L83" s="1168"/>
    </row>
    <row r="84" spans="2:19" s="1248" customFormat="1">
      <c r="B84" s="1262" t="s">
        <v>1838</v>
      </c>
      <c r="C84" s="1249" t="s">
        <v>1852</v>
      </c>
      <c r="D84" s="1300"/>
      <c r="G84" s="1168"/>
      <c r="K84" s="1168"/>
      <c r="L84" s="1168"/>
    </row>
    <row r="85" spans="2:19" s="1248" customFormat="1">
      <c r="B85" s="1262" t="s">
        <v>1846</v>
      </c>
      <c r="C85" s="1249" t="s">
        <v>1854</v>
      </c>
      <c r="D85" s="1300"/>
      <c r="E85" s="1301"/>
      <c r="G85" s="1168"/>
      <c r="K85" s="1168"/>
      <c r="L85" s="1168"/>
      <c r="Q85" s="1247"/>
      <c r="R85" s="1247"/>
      <c r="S85" s="1247"/>
    </row>
    <row r="86" spans="2:19">
      <c r="B86" s="1302" t="s">
        <v>1841</v>
      </c>
      <c r="C86" s="1247" t="str">
        <f>"Water allocation based on customer ratio of "&amp;TEXT(1,"##.#0%")</f>
        <v>Water allocation based on customer ratio of 100.0%</v>
      </c>
    </row>
    <row r="87" spans="2:19">
      <c r="B87" s="1302" t="s">
        <v>1843</v>
      </c>
      <c r="C87" s="1247" t="str">
        <f>"Sewer allocation based on customer ratio of "&amp;TEXT(0,"##.#0%")</f>
        <v>Sewer allocation based on customer ratio of .0%</v>
      </c>
    </row>
    <row r="88" spans="2:19">
      <c r="B88" s="1302"/>
      <c r="C88" s="1335"/>
    </row>
    <row r="103" spans="1:1">
      <c r="A103" s="1248"/>
    </row>
    <row r="104" spans="1:1">
      <c r="A104" s="1248"/>
    </row>
    <row r="105" spans="1:1">
      <c r="A105" s="1248"/>
    </row>
    <row r="106" spans="1:1">
      <c r="A106" s="1248"/>
    </row>
    <row r="107" spans="1:1">
      <c r="A107" s="1248"/>
    </row>
    <row r="108" spans="1:1">
      <c r="A108" s="1248"/>
    </row>
    <row r="109" spans="1:1">
      <c r="A109" s="1248"/>
    </row>
    <row r="110" spans="1:1">
      <c r="A110" s="1248"/>
    </row>
    <row r="111" spans="1:1">
      <c r="A111" s="1248"/>
    </row>
    <row r="112" spans="1:1">
      <c r="A112" s="1248"/>
    </row>
    <row r="113" spans="1:1">
      <c r="A113" s="1248"/>
    </row>
    <row r="114" spans="1:1">
      <c r="A114" s="1248"/>
    </row>
    <row r="115" spans="1:1">
      <c r="A115" s="1248"/>
    </row>
    <row r="116" spans="1:1">
      <c r="A116" s="1248"/>
    </row>
  </sheetData>
  <mergeCells count="1">
    <mergeCell ref="A3:C3"/>
  </mergeCells>
  <pageMargins left="1.5" right="0.7" top="0.75" bottom="0.75" header="0.3" footer="0.3"/>
  <pageSetup scale="53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00B0F0"/>
    <pageSetUpPr fitToPage="1"/>
  </sheetPr>
  <dimension ref="A1:J66"/>
  <sheetViews>
    <sheetView view="pageBreakPreview" topLeftCell="A13" zoomScaleNormal="100" zoomScaleSheetLayoutView="100" workbookViewId="0"/>
  </sheetViews>
  <sheetFormatPr defaultRowHeight="12.75"/>
  <cols>
    <col min="1" max="1" width="3.5" style="1247" customWidth="1"/>
    <col min="2" max="2" width="8.5" style="1303" customWidth="1"/>
    <col min="3" max="3" width="27.875" style="1247" bestFit="1" customWidth="1"/>
    <col min="4" max="4" width="2.625" style="1247" bestFit="1" customWidth="1"/>
    <col min="5" max="5" width="12.25" style="1247" customWidth="1"/>
    <col min="6" max="6" width="3.625" style="1247" customWidth="1"/>
    <col min="7" max="7" width="12" style="1247" customWidth="1"/>
    <col min="8" max="8" width="2.625" style="1247" bestFit="1" customWidth="1"/>
    <col min="9" max="9" width="11.375" style="1247" customWidth="1"/>
    <col min="10" max="10" width="2.625" style="1247" bestFit="1" customWidth="1"/>
    <col min="11" max="16384" width="9" style="1247"/>
  </cols>
  <sheetData>
    <row r="1" spans="1:10" ht="13.5">
      <c r="A1" s="1341" t="str">
        <f>'wp-p2 Allocation of Vehicles'!A1</f>
        <v>WATER SERVICE CORPORATION OF KENTUCKY</v>
      </c>
      <c r="I1" s="1302" t="s">
        <v>1884</v>
      </c>
    </row>
    <row r="2" spans="1:10">
      <c r="A2" s="1266" t="s">
        <v>1855</v>
      </c>
    </row>
    <row r="3" spans="1:10">
      <c r="A3" s="1598" t="str">
        <f>TestYearEnded</f>
        <v>Test Year Ended 6/30/2015</v>
      </c>
      <c r="B3" s="1598"/>
      <c r="C3" s="1598"/>
    </row>
    <row r="5" spans="1:10" ht="12.75" customHeight="1">
      <c r="A5" s="1266"/>
      <c r="B5" s="1264"/>
      <c r="C5" s="1266"/>
      <c r="D5" s="1260"/>
      <c r="F5" s="1304"/>
      <c r="H5" s="1305"/>
      <c r="J5" s="1266"/>
    </row>
    <row r="6" spans="1:10" ht="12.75" customHeight="1">
      <c r="A6" s="1266"/>
      <c r="C6" s="1260"/>
      <c r="D6" s="1260"/>
      <c r="E6" s="1253"/>
      <c r="F6" s="1304"/>
      <c r="G6" s="1254"/>
      <c r="H6" s="1306"/>
      <c r="I6" s="1254"/>
      <c r="J6" s="1266"/>
    </row>
    <row r="7" spans="1:10" ht="51">
      <c r="A7" s="1307" t="s">
        <v>1827</v>
      </c>
      <c r="B7" s="1280" t="s">
        <v>160</v>
      </c>
      <c r="C7" s="1257" t="s">
        <v>679</v>
      </c>
      <c r="D7" s="1265"/>
      <c r="E7" s="1308" t="s">
        <v>2379</v>
      </c>
      <c r="F7" s="1251" t="s">
        <v>1069</v>
      </c>
      <c r="G7" s="1309" t="s">
        <v>1886</v>
      </c>
      <c r="H7" s="1251" t="s">
        <v>1076</v>
      </c>
      <c r="I7" s="1280" t="s">
        <v>2380</v>
      </c>
      <c r="J7" s="1252" t="s">
        <v>1079</v>
      </c>
    </row>
    <row r="8" spans="1:10">
      <c r="A8" s="1310"/>
      <c r="B8" s="1265"/>
      <c r="C8" s="1265"/>
      <c r="D8" s="1265"/>
      <c r="E8" s="1311" t="s">
        <v>736</v>
      </c>
      <c r="F8" s="1251"/>
      <c r="G8" s="1311" t="s">
        <v>699</v>
      </c>
      <c r="H8" s="1251"/>
      <c r="I8" s="1311" t="s">
        <v>700</v>
      </c>
      <c r="J8" s="1252"/>
    </row>
    <row r="9" spans="1:10">
      <c r="A9" s="1312"/>
      <c r="B9" s="1264"/>
      <c r="C9" s="1266" t="s">
        <v>1856</v>
      </c>
      <c r="D9" s="1260"/>
      <c r="E9" s="1313"/>
      <c r="F9" s="1304"/>
      <c r="G9" s="1314"/>
      <c r="H9" s="1305"/>
      <c r="I9" s="1266"/>
      <c r="J9" s="1266"/>
    </row>
    <row r="10" spans="1:10">
      <c r="A10" s="1310">
        <v>1</v>
      </c>
      <c r="B10" s="1315">
        <v>6215</v>
      </c>
      <c r="C10" s="1266" t="s">
        <v>1857</v>
      </c>
      <c r="D10" s="1260"/>
      <c r="E10" s="1314">
        <f>'Linked TB'!E516</f>
        <v>24772.33</v>
      </c>
      <c r="F10" s="1304"/>
      <c r="G10" s="1599">
        <v>15</v>
      </c>
      <c r="H10" s="1305"/>
      <c r="I10" s="1316">
        <f>E10/G10</f>
        <v>1651.4886666666669</v>
      </c>
      <c r="J10" s="1266"/>
    </row>
    <row r="11" spans="1:10">
      <c r="A11" s="1310">
        <v>2</v>
      </c>
      <c r="B11" s="1315">
        <v>6220</v>
      </c>
      <c r="C11" s="1266" t="s">
        <v>1858</v>
      </c>
      <c r="D11" s="1260"/>
      <c r="E11" s="1314">
        <f>'Linked TB'!E517</f>
        <v>11426.15</v>
      </c>
      <c r="F11" s="1304"/>
      <c r="G11" s="1599">
        <v>15</v>
      </c>
      <c r="H11" s="1305"/>
      <c r="I11" s="1316">
        <f>E11/G11</f>
        <v>761.74333333333334</v>
      </c>
      <c r="J11" s="1266"/>
    </row>
    <row r="12" spans="1:10">
      <c r="A12" s="1310">
        <v>3</v>
      </c>
      <c r="B12" s="1315">
        <v>6225</v>
      </c>
      <c r="C12" s="1266" t="s">
        <v>1859</v>
      </c>
      <c r="D12" s="1260"/>
      <c r="E12" s="1314">
        <f>'Linked TB'!E518</f>
        <v>709.77</v>
      </c>
      <c r="F12" s="1304"/>
      <c r="G12" s="1599">
        <v>15</v>
      </c>
      <c r="H12" s="1305"/>
      <c r="I12" s="1316">
        <f>E12/G12</f>
        <v>47.317999999999998</v>
      </c>
      <c r="J12" s="1266"/>
    </row>
    <row r="13" spans="1:10">
      <c r="A13" s="1310">
        <v>4</v>
      </c>
      <c r="B13" s="1315">
        <v>6230</v>
      </c>
      <c r="C13" s="1266" t="s">
        <v>1860</v>
      </c>
      <c r="D13" s="1260"/>
      <c r="E13" s="1314">
        <f>'Linked TB'!E519</f>
        <v>2135.2199999999998</v>
      </c>
      <c r="F13" s="1304"/>
      <c r="G13" s="1599">
        <v>15</v>
      </c>
      <c r="H13" s="1305"/>
      <c r="I13" s="1317">
        <f>E13/G13</f>
        <v>142.34799999999998</v>
      </c>
      <c r="J13" s="1266"/>
    </row>
    <row r="14" spans="1:10">
      <c r="A14" s="1310">
        <v>5</v>
      </c>
      <c r="B14" s="1264"/>
      <c r="C14" s="1266" t="s">
        <v>1856</v>
      </c>
      <c r="D14" s="1260"/>
      <c r="E14" s="1314">
        <f>SUM(E10:E13)</f>
        <v>39043.47</v>
      </c>
      <c r="F14" s="1304"/>
      <c r="G14" s="1599">
        <v>15</v>
      </c>
      <c r="H14" s="1305"/>
      <c r="I14" s="1316">
        <f>E14/G14</f>
        <v>2602.8980000000001</v>
      </c>
      <c r="J14" s="1266"/>
    </row>
    <row r="15" spans="1:10">
      <c r="A15" s="1310"/>
      <c r="B15" s="1264"/>
      <c r="C15" s="1266"/>
      <c r="D15" s="1260"/>
      <c r="E15" s="1313"/>
      <c r="F15" s="1304"/>
      <c r="G15" s="1314"/>
      <c r="H15" s="1305"/>
      <c r="I15" s="1266"/>
      <c r="J15" s="1266"/>
    </row>
    <row r="16" spans="1:10">
      <c r="B16" s="1247"/>
      <c r="C16" s="1318"/>
      <c r="D16" s="1260"/>
      <c r="E16" s="1313"/>
      <c r="F16" s="1304"/>
      <c r="G16" s="1314"/>
      <c r="H16" s="1305"/>
      <c r="I16" s="679"/>
      <c r="J16" s="1266"/>
    </row>
    <row r="17" spans="1:10">
      <c r="A17" s="1319"/>
      <c r="B17" s="1247"/>
      <c r="C17" s="1318"/>
      <c r="D17" s="1260"/>
      <c r="E17" s="1313"/>
      <c r="F17" s="1304"/>
      <c r="G17" s="1314"/>
      <c r="H17" s="1305"/>
      <c r="I17" s="679"/>
      <c r="J17" s="1266"/>
    </row>
    <row r="18" spans="1:10">
      <c r="A18" s="1310">
        <v>6</v>
      </c>
      <c r="B18" s="1264"/>
      <c r="C18" s="1266" t="s">
        <v>2383</v>
      </c>
      <c r="D18" s="1260"/>
      <c r="E18" s="1313"/>
      <c r="F18" s="1304"/>
      <c r="G18" s="1314"/>
      <c r="H18" s="1305"/>
      <c r="I18" s="1168">
        <f>+I14</f>
        <v>2602.8980000000001</v>
      </c>
      <c r="J18" s="1266"/>
    </row>
    <row r="19" spans="1:10">
      <c r="A19" s="1310"/>
      <c r="B19" s="1264"/>
      <c r="C19" s="1266"/>
      <c r="D19" s="1260"/>
      <c r="E19" s="1313"/>
      <c r="F19" s="1304"/>
      <c r="G19" s="1314"/>
      <c r="H19" s="1305"/>
      <c r="I19" s="1266"/>
      <c r="J19" s="1266"/>
    </row>
    <row r="20" spans="1:10" ht="12.75" customHeight="1">
      <c r="A20" s="1310"/>
      <c r="B20" s="1265"/>
      <c r="C20" s="1260"/>
      <c r="D20" s="1260"/>
      <c r="F20" s="1320"/>
      <c r="H20" s="1321"/>
      <c r="J20" s="1266"/>
    </row>
    <row r="21" spans="1:10" ht="48" customHeight="1">
      <c r="A21" s="1310"/>
      <c r="B21" s="1257" t="s">
        <v>432</v>
      </c>
      <c r="C21" s="1257" t="s">
        <v>1828</v>
      </c>
      <c r="D21" s="1252" t="s">
        <v>1076</v>
      </c>
      <c r="E21" s="1280" t="str">
        <f>+'wp-p2 Allocation of Vehicles'!E30</f>
        <v>% Used in WSC of Kentucky</v>
      </c>
      <c r="F21" s="1265" t="s">
        <v>1065</v>
      </c>
      <c r="G21" s="1280" t="str">
        <f>I7</f>
        <v>TYE 06/30/2015 Expense per Vehicle</v>
      </c>
      <c r="H21" s="1311"/>
      <c r="I21" s="1280" t="s">
        <v>1887</v>
      </c>
      <c r="J21" s="1266" t="s">
        <v>1066</v>
      </c>
    </row>
    <row r="22" spans="1:10">
      <c r="A22" s="1310">
        <f>+A18+1</f>
        <v>7</v>
      </c>
      <c r="B22" s="1322">
        <f>+'wp-p2 Allocation of Vehicles'!B10</f>
        <v>1137</v>
      </c>
      <c r="C22" s="1292" t="str">
        <f>+'wp-p2 Allocation of Vehicles'!C10</f>
        <v>Bolt, Gregory C.</v>
      </c>
      <c r="D22" s="1260"/>
      <c r="E22" s="1323">
        <f>+'wp-p2 Allocation of Vehicles'!E31</f>
        <v>1</v>
      </c>
      <c r="F22" s="1265"/>
      <c r="G22" s="1305">
        <f t="shared" ref="G22:G32" si="0">I$18</f>
        <v>2602.8980000000001</v>
      </c>
      <c r="H22" s="1311"/>
      <c r="I22" s="1324">
        <f>E22*G22</f>
        <v>2602.8980000000001</v>
      </c>
      <c r="J22" s="1266"/>
    </row>
    <row r="23" spans="1:10">
      <c r="A23" s="1310">
        <f>+A22+1</f>
        <v>8</v>
      </c>
      <c r="B23" s="1322">
        <f>+'wp-p2 Allocation of Vehicles'!B11</f>
        <v>9942</v>
      </c>
      <c r="C23" s="1292" t="str">
        <f>+'wp-p2 Allocation of Vehicles'!C11</f>
        <v>Johnson, Harvey H.</v>
      </c>
      <c r="D23" s="1260"/>
      <c r="E23" s="1323">
        <f>+'wp-p2 Allocation of Vehicles'!E32</f>
        <v>1</v>
      </c>
      <c r="F23" s="1265"/>
      <c r="G23" s="1305">
        <f t="shared" si="0"/>
        <v>2602.8980000000001</v>
      </c>
      <c r="H23" s="1311"/>
      <c r="I23" s="1324">
        <f>E23*G23</f>
        <v>2602.8980000000001</v>
      </c>
      <c r="J23" s="1266"/>
    </row>
    <row r="24" spans="1:10">
      <c r="A24" s="1310">
        <f>+A23+1</f>
        <v>9</v>
      </c>
      <c r="B24" s="1322">
        <f>+'wp-p2 Allocation of Vehicles'!B12</f>
        <v>804</v>
      </c>
      <c r="C24" s="1292" t="str">
        <f>+'wp-p2 Allocation of Vehicles'!C12</f>
        <v>Johnston, Joseph A</v>
      </c>
      <c r="D24" s="1260"/>
      <c r="E24" s="1323">
        <f>+'wp-p2 Allocation of Vehicles'!E33</f>
        <v>1</v>
      </c>
      <c r="F24" s="1265"/>
      <c r="G24" s="1305">
        <f t="shared" si="0"/>
        <v>2602.8980000000001</v>
      </c>
      <c r="H24" s="1311"/>
      <c r="I24" s="1324">
        <f>E24*G24</f>
        <v>2602.8980000000001</v>
      </c>
      <c r="J24" s="1266"/>
    </row>
    <row r="25" spans="1:10">
      <c r="A25" s="1310">
        <f t="shared" ref="A25:A37" si="1">+A24+1</f>
        <v>10</v>
      </c>
      <c r="B25" s="1322">
        <f>+'wp-p2 Allocation of Vehicles'!B13</f>
        <v>1129</v>
      </c>
      <c r="C25" s="1292" t="str">
        <f>+'wp-p2 Allocation of Vehicles'!C13</f>
        <v>Leonard, James R.</v>
      </c>
      <c r="D25" s="1260"/>
      <c r="E25" s="1323">
        <f>+'wp-p2 Allocation of Vehicles'!E34</f>
        <v>1</v>
      </c>
      <c r="F25" s="1265"/>
      <c r="G25" s="1305">
        <f t="shared" si="0"/>
        <v>2602.8980000000001</v>
      </c>
      <c r="H25" s="1311"/>
      <c r="I25" s="1324">
        <f>E25*G25</f>
        <v>2602.8980000000001</v>
      </c>
      <c r="J25" s="1266"/>
    </row>
    <row r="26" spans="1:10">
      <c r="A26" s="1310">
        <f t="shared" si="1"/>
        <v>11</v>
      </c>
      <c r="B26" s="1322">
        <f>+'wp-p2 Allocation of Vehicles'!B14</f>
        <v>873</v>
      </c>
      <c r="C26" s="1292" t="str">
        <f>+'wp-p2 Allocation of Vehicles'!C14</f>
        <v>Mills, Wendell G.</v>
      </c>
      <c r="D26" s="1260"/>
      <c r="E26" s="1323">
        <f>+'wp-p2 Allocation of Vehicles'!E35</f>
        <v>1</v>
      </c>
      <c r="F26" s="1265"/>
      <c r="G26" s="1305">
        <f t="shared" si="0"/>
        <v>2602.8980000000001</v>
      </c>
      <c r="H26" s="1311"/>
      <c r="I26" s="1324">
        <f>E26*G26</f>
        <v>2602.8980000000001</v>
      </c>
      <c r="J26" s="1266"/>
    </row>
    <row r="27" spans="1:10">
      <c r="A27" s="1310">
        <f t="shared" si="1"/>
        <v>12</v>
      </c>
      <c r="B27" s="1322">
        <f>+'wp-p2 Allocation of Vehicles'!B15</f>
        <v>875</v>
      </c>
      <c r="C27" s="1292" t="str">
        <f>+'wp-p2 Allocation of Vehicles'!C15</f>
        <v>Onkst, James H.</v>
      </c>
      <c r="D27" s="1260"/>
      <c r="E27" s="1323">
        <f>+'wp-p2 Allocation of Vehicles'!E36</f>
        <v>1</v>
      </c>
      <c r="F27" s="1265"/>
      <c r="G27" s="1305">
        <f t="shared" si="0"/>
        <v>2602.8980000000001</v>
      </c>
      <c r="H27" s="1311"/>
      <c r="I27" s="1324">
        <f t="shared" ref="I27:I32" si="2">E27*G27</f>
        <v>2602.8980000000001</v>
      </c>
      <c r="J27" s="1266"/>
    </row>
    <row r="28" spans="1:10">
      <c r="A28" s="1310">
        <f t="shared" si="1"/>
        <v>13</v>
      </c>
      <c r="B28" s="1322">
        <f>+'wp-p2 Allocation of Vehicles'!B16</f>
        <v>332</v>
      </c>
      <c r="C28" s="1292" t="str">
        <f>+'wp-p2 Allocation of Vehicles'!C16</f>
        <v>Partin, Michael W.</v>
      </c>
      <c r="D28" s="1260"/>
      <c r="E28" s="1323">
        <f>+'wp-p2 Allocation of Vehicles'!E37</f>
        <v>1</v>
      </c>
      <c r="F28" s="1265"/>
      <c r="G28" s="1305">
        <f t="shared" si="0"/>
        <v>2602.8980000000001</v>
      </c>
      <c r="H28" s="1311"/>
      <c r="I28" s="1324">
        <f t="shared" si="2"/>
        <v>2602.8980000000001</v>
      </c>
      <c r="J28" s="1266"/>
    </row>
    <row r="29" spans="1:10">
      <c r="A29" s="1310">
        <f t="shared" si="1"/>
        <v>14</v>
      </c>
      <c r="B29" s="1322">
        <f>+'wp-p2 Allocation of Vehicles'!B17</f>
        <v>69</v>
      </c>
      <c r="C29" s="1292" t="str">
        <f>+'wp-p2 Allocation of Vehicles'!C17</f>
        <v>Rushing, Ronald</v>
      </c>
      <c r="D29" s="1260"/>
      <c r="E29" s="1323">
        <f>+'wp-p2 Allocation of Vehicles'!E38</f>
        <v>1</v>
      </c>
      <c r="F29" s="1265"/>
      <c r="G29" s="1305">
        <f t="shared" si="0"/>
        <v>2602.8980000000001</v>
      </c>
      <c r="H29" s="1311"/>
      <c r="I29" s="1324">
        <f t="shared" si="2"/>
        <v>2602.8980000000001</v>
      </c>
      <c r="J29" s="1266"/>
    </row>
    <row r="30" spans="1:10">
      <c r="A30" s="1310">
        <f t="shared" si="1"/>
        <v>15</v>
      </c>
      <c r="B30" s="1322">
        <f>+'wp-p2 Allocation of Vehicles'!B18</f>
        <v>70</v>
      </c>
      <c r="C30" s="1292" t="str">
        <f>+'wp-p2 Allocation of Vehicles'!C18</f>
        <v>Sandefur, Bryan K.</v>
      </c>
      <c r="D30" s="1260"/>
      <c r="E30" s="1323">
        <f>+'wp-p2 Allocation of Vehicles'!E39</f>
        <v>1</v>
      </c>
      <c r="F30" s="1265"/>
      <c r="G30" s="1305">
        <f t="shared" si="0"/>
        <v>2602.8980000000001</v>
      </c>
      <c r="H30" s="1311"/>
      <c r="I30" s="1324">
        <f t="shared" si="2"/>
        <v>2602.8980000000001</v>
      </c>
      <c r="J30" s="1266"/>
    </row>
    <row r="31" spans="1:10">
      <c r="A31" s="1310">
        <f t="shared" si="1"/>
        <v>16</v>
      </c>
      <c r="B31" s="1322">
        <f>+'wp-p2 Allocation of Vehicles'!B19</f>
        <v>817</v>
      </c>
      <c r="C31" s="1292" t="str">
        <f>+'wp-p2 Allocation of Vehicles'!C19</f>
        <v>Turner, John R.</v>
      </c>
      <c r="D31" s="1260"/>
      <c r="E31" s="1323">
        <f>+'wp-p2 Allocation of Vehicles'!E40</f>
        <v>1</v>
      </c>
      <c r="F31" s="1265"/>
      <c r="G31" s="1305">
        <f t="shared" si="0"/>
        <v>2602.8980000000001</v>
      </c>
      <c r="H31" s="1311"/>
      <c r="I31" s="1324">
        <f t="shared" si="2"/>
        <v>2602.8980000000001</v>
      </c>
      <c r="J31" s="1266"/>
    </row>
    <row r="32" spans="1:10">
      <c r="A32" s="1310">
        <f t="shared" si="1"/>
        <v>17</v>
      </c>
      <c r="B32" s="1322">
        <f>+'wp-p2 Allocation of Vehicles'!B20</f>
        <v>616</v>
      </c>
      <c r="C32" s="1292" t="str">
        <f>+'wp-p2 Allocation of Vehicles'!C20</f>
        <v>Vaughn, Stephen R.</v>
      </c>
      <c r="D32" s="1260"/>
      <c r="E32" s="1323">
        <f>+'wp-p2 Allocation of Vehicles'!E41</f>
        <v>1</v>
      </c>
      <c r="F32" s="1265"/>
      <c r="G32" s="1305">
        <f t="shared" si="0"/>
        <v>2602.8980000000001</v>
      </c>
      <c r="H32" s="1311"/>
      <c r="I32" s="1324">
        <f t="shared" si="2"/>
        <v>2602.8980000000001</v>
      </c>
      <c r="J32" s="1266"/>
    </row>
    <row r="33" spans="1:10">
      <c r="A33" s="1310">
        <f t="shared" si="1"/>
        <v>18</v>
      </c>
      <c r="B33" s="1322">
        <f>+'wp-p2 Allocation of Vehicles'!B21</f>
        <v>701</v>
      </c>
      <c r="C33" s="1292" t="str">
        <f>+'wp-p2 Allocation of Vehicles'!C21</f>
        <v>Bruce Haas</v>
      </c>
      <c r="D33" s="1260"/>
      <c r="E33" s="1323">
        <f>+'wp-p2 Allocation of Vehicles'!E42</f>
        <v>0.20766448079556102</v>
      </c>
      <c r="F33" s="1265"/>
      <c r="G33" s="1305">
        <f t="shared" ref="G33:G37" si="3">I$18</f>
        <v>2602.8980000000001</v>
      </c>
      <c r="H33" s="1311"/>
      <c r="I33" s="1324">
        <f t="shared" ref="I33:I37" si="4">E33*G33</f>
        <v>540.52946173380417</v>
      </c>
      <c r="J33" s="1266"/>
    </row>
    <row r="34" spans="1:10" s="1335" customFormat="1">
      <c r="A34" s="1310">
        <f t="shared" si="1"/>
        <v>19</v>
      </c>
      <c r="B34" s="1322">
        <f>+'wp-p2 Allocation of Vehicles'!B22</f>
        <v>818</v>
      </c>
      <c r="C34" s="1292" t="str">
        <f>+'wp-p2 Allocation of Vehicles'!C22</f>
        <v>Carl Daniel</v>
      </c>
      <c r="D34" s="1260"/>
      <c r="E34" s="1323">
        <f>+'wp-p2 Allocation of Vehicles'!E43</f>
        <v>0.13938541487301429</v>
      </c>
      <c r="F34" s="1265"/>
      <c r="G34" s="1305">
        <f t="shared" si="3"/>
        <v>2602.8980000000001</v>
      </c>
      <c r="H34" s="1311"/>
      <c r="I34" s="1324">
        <f t="shared" si="4"/>
        <v>362.80601760213915</v>
      </c>
      <c r="J34" s="1266"/>
    </row>
    <row r="35" spans="1:10" s="1335" customFormat="1">
      <c r="A35" s="1310">
        <f t="shared" si="1"/>
        <v>20</v>
      </c>
      <c r="B35" s="1322" t="str">
        <f>+'wp-p2 Allocation of Vehicles'!B23</f>
        <v>N/A</v>
      </c>
      <c r="C35" s="1292" t="str">
        <f>+'wp-p2 Allocation of Vehicles'!C23</f>
        <v>Veronica Stannis</v>
      </c>
      <c r="D35" s="1260"/>
      <c r="E35" s="1323">
        <f>+'wp-p2 Allocation of Vehicles'!E44</f>
        <v>0.13938541487301429</v>
      </c>
      <c r="F35" s="1265"/>
      <c r="G35" s="1305">
        <f t="shared" si="3"/>
        <v>2602.8980000000001</v>
      </c>
      <c r="H35" s="1311"/>
      <c r="I35" s="1324">
        <f t="shared" si="4"/>
        <v>362.80601760213915</v>
      </c>
      <c r="J35" s="1266"/>
    </row>
    <row r="36" spans="1:10" s="1335" customFormat="1">
      <c r="A36" s="1310">
        <f t="shared" si="1"/>
        <v>21</v>
      </c>
      <c r="B36" s="1322" t="str">
        <f>+'wp-p2 Allocation of Vehicles'!B24</f>
        <v>N/A</v>
      </c>
      <c r="C36" s="1292" t="str">
        <f>+'wp-p2 Allocation of Vehicles'!C24</f>
        <v>Helen Lupton</v>
      </c>
      <c r="D36" s="1260"/>
      <c r="E36" s="1323">
        <f>+'wp-p2 Allocation of Vehicles'!E45</f>
        <v>0.13938541487301429</v>
      </c>
      <c r="F36" s="1265"/>
      <c r="G36" s="1305">
        <f t="shared" si="3"/>
        <v>2602.8980000000001</v>
      </c>
      <c r="H36" s="1311"/>
      <c r="I36" s="1324">
        <f t="shared" si="4"/>
        <v>362.80601760213915</v>
      </c>
      <c r="J36" s="1266"/>
    </row>
    <row r="37" spans="1:10" s="1335" customFormat="1">
      <c r="A37" s="1310">
        <f t="shared" si="1"/>
        <v>22</v>
      </c>
      <c r="B37" s="1322">
        <f>+'wp-p2 Allocation of Vehicles'!B25</f>
        <v>640</v>
      </c>
      <c r="C37" s="1292" t="str">
        <f>+'wp-p2 Allocation of Vehicles'!C25</f>
        <v>Mary Rollins</v>
      </c>
      <c r="D37" s="1260"/>
      <c r="E37" s="1323">
        <f>+'wp-p2 Allocation of Vehicles'!E46</f>
        <v>0.13938541487301429</v>
      </c>
      <c r="F37" s="1265"/>
      <c r="G37" s="1305">
        <f t="shared" si="3"/>
        <v>2602.8980000000001</v>
      </c>
      <c r="H37" s="1311"/>
      <c r="I37" s="1324">
        <f t="shared" si="4"/>
        <v>362.80601760213915</v>
      </c>
      <c r="J37" s="1266"/>
    </row>
    <row r="38" spans="1:10">
      <c r="A38" s="1310"/>
      <c r="B38" s="1322"/>
      <c r="C38" s="1292"/>
      <c r="D38" s="1260"/>
      <c r="E38" s="1323"/>
      <c r="F38" s="1265"/>
      <c r="G38" s="1305"/>
      <c r="H38" s="1311"/>
      <c r="I38" s="1324"/>
      <c r="J38" s="1266"/>
    </row>
    <row r="39" spans="1:10" ht="13.5" thickBot="1">
      <c r="A39" s="1312"/>
      <c r="B39" s="1286"/>
      <c r="C39" s="1289"/>
      <c r="D39" s="1260"/>
      <c r="E39" s="1313"/>
      <c r="F39" s="1314" t="s">
        <v>1861</v>
      </c>
      <c r="G39" s="1314"/>
      <c r="H39" s="1305"/>
      <c r="I39" s="1325">
        <f>SUM(I22:I33)</f>
        <v>29172.407461733812</v>
      </c>
      <c r="J39" s="1266"/>
    </row>
    <row r="40" spans="1:10" ht="13.5" thickTop="1">
      <c r="A40" s="1312"/>
      <c r="B40" s="1286"/>
      <c r="C40" s="1266"/>
      <c r="D40" s="1260"/>
      <c r="E40" s="1313"/>
      <c r="F40" s="1304"/>
      <c r="G40" s="1266"/>
      <c r="H40" s="1305"/>
      <c r="I40" s="1305"/>
      <c r="J40" s="1266"/>
    </row>
    <row r="41" spans="1:10">
      <c r="A41" s="1312">
        <f>+A37+1</f>
        <v>23</v>
      </c>
      <c r="B41" s="1291" t="s">
        <v>1862</v>
      </c>
      <c r="C41" s="1266"/>
      <c r="D41" s="1260" t="s">
        <v>1481</v>
      </c>
      <c r="E41" s="1313"/>
      <c r="F41" s="1304"/>
      <c r="G41" s="1314"/>
      <c r="H41" s="1305"/>
      <c r="I41" s="1168">
        <f>I39*1</f>
        <v>29172.407461733812</v>
      </c>
      <c r="J41" s="1266"/>
    </row>
    <row r="42" spans="1:10">
      <c r="A42" s="1312">
        <f>+A41+1</f>
        <v>24</v>
      </c>
      <c r="B42" s="1291" t="s">
        <v>1863</v>
      </c>
      <c r="C42" s="1266"/>
      <c r="D42" s="1260" t="s">
        <v>1834</v>
      </c>
      <c r="E42" s="1313"/>
      <c r="F42" s="1304"/>
      <c r="G42" s="1314"/>
      <c r="H42" s="1305"/>
      <c r="I42" s="1168">
        <f>I39*0</f>
        <v>0</v>
      </c>
      <c r="J42" s="1266"/>
    </row>
    <row r="43" spans="1:10">
      <c r="A43" s="1266"/>
      <c r="B43" s="1264"/>
      <c r="C43" s="1266"/>
      <c r="D43" s="1260"/>
      <c r="E43" s="1313"/>
      <c r="F43" s="1304"/>
      <c r="G43" s="1314"/>
      <c r="H43" s="1305"/>
      <c r="I43" s="1266"/>
      <c r="J43" s="1266"/>
    </row>
    <row r="44" spans="1:10">
      <c r="A44" s="1266"/>
      <c r="B44" s="1252" t="s">
        <v>1069</v>
      </c>
      <c r="C44" s="1248" t="s">
        <v>2381</v>
      </c>
      <c r="D44" s="1260"/>
      <c r="E44" s="1313"/>
      <c r="F44" s="1304"/>
      <c r="G44" s="1314"/>
      <c r="H44" s="1305"/>
      <c r="I44" s="1266"/>
      <c r="J44" s="1266"/>
    </row>
    <row r="45" spans="1:10">
      <c r="A45" s="1266"/>
      <c r="B45" s="1252" t="s">
        <v>1076</v>
      </c>
      <c r="C45" s="1248" t="s">
        <v>2382</v>
      </c>
      <c r="D45" s="1260"/>
      <c r="E45" s="1313"/>
      <c r="F45" s="1304"/>
      <c r="G45" s="1314"/>
      <c r="H45" s="1305"/>
      <c r="I45" s="1266"/>
      <c r="J45" s="1266"/>
    </row>
    <row r="46" spans="1:10">
      <c r="A46" s="1266"/>
      <c r="B46" s="1252" t="s">
        <v>1079</v>
      </c>
      <c r="C46" s="1248" t="s">
        <v>1864</v>
      </c>
      <c r="D46" s="1260"/>
      <c r="E46" s="1313"/>
      <c r="F46" s="1304"/>
      <c r="G46" s="1314"/>
      <c r="H46" s="1305"/>
      <c r="I46" s="1266"/>
      <c r="J46" s="1266"/>
    </row>
    <row r="47" spans="1:10">
      <c r="A47" s="1266"/>
      <c r="B47" s="1252" t="s">
        <v>1065</v>
      </c>
      <c r="C47" s="1248" t="s">
        <v>1853</v>
      </c>
      <c r="D47" s="1260"/>
      <c r="E47" s="1313"/>
      <c r="F47" s="1304"/>
      <c r="G47" s="1314"/>
      <c r="H47" s="1305"/>
      <c r="I47" s="1266"/>
      <c r="J47" s="1266"/>
    </row>
    <row r="48" spans="1:10">
      <c r="A48" s="1266"/>
      <c r="B48" s="1264" t="s">
        <v>1066</v>
      </c>
      <c r="C48" s="1249" t="s">
        <v>1854</v>
      </c>
      <c r="D48" s="1260"/>
      <c r="E48" s="1313"/>
      <c r="F48" s="1304"/>
      <c r="G48" s="1314"/>
      <c r="H48" s="1305"/>
      <c r="I48" s="1266"/>
      <c r="J48" s="1266"/>
    </row>
    <row r="49" spans="1:10">
      <c r="A49" s="1266"/>
      <c r="B49" s="1264" t="s">
        <v>1481</v>
      </c>
      <c r="C49" s="1248" t="str">
        <f>"Water allocation based on customer ratio of "&amp;TEXT(1,"##.#0%")</f>
        <v>Water allocation based on customer ratio of 100.0%</v>
      </c>
      <c r="D49" s="1260"/>
      <c r="E49" s="1313"/>
      <c r="F49" s="1304"/>
      <c r="G49" s="1314"/>
      <c r="H49" s="1305"/>
      <c r="I49" s="1266"/>
      <c r="J49" s="1266"/>
    </row>
    <row r="50" spans="1:10">
      <c r="B50" s="1303" t="s">
        <v>1834</v>
      </c>
      <c r="C50" s="1248" t="str">
        <f>"Sewer allocation based on customer ratio of "&amp;TEXT(0,"##.#0%")</f>
        <v>Sewer allocation based on customer ratio of .0%</v>
      </c>
    </row>
    <row r="56" spans="1:10">
      <c r="B56" s="1247"/>
      <c r="C56" s="1326"/>
      <c r="F56" s="1327"/>
    </row>
    <row r="57" spans="1:10">
      <c r="B57" s="1247"/>
      <c r="C57" s="1326"/>
      <c r="F57" s="1327"/>
    </row>
    <row r="58" spans="1:10">
      <c r="B58" s="1247"/>
      <c r="C58" s="1286"/>
      <c r="E58" s="1328"/>
      <c r="F58" s="1327"/>
    </row>
    <row r="59" spans="1:10">
      <c r="B59" s="1247"/>
      <c r="C59" s="1326"/>
      <c r="F59" s="1327"/>
    </row>
    <row r="60" spans="1:10">
      <c r="B60" s="1247"/>
      <c r="C60" s="1286"/>
      <c r="F60" s="1327"/>
    </row>
    <row r="61" spans="1:10">
      <c r="B61" s="1247"/>
      <c r="C61" s="1284"/>
      <c r="F61" s="1327"/>
    </row>
    <row r="62" spans="1:10">
      <c r="B62" s="1247"/>
      <c r="C62" s="1286"/>
      <c r="F62" s="1327"/>
    </row>
    <row r="63" spans="1:10">
      <c r="B63" s="1247"/>
      <c r="C63" s="1286"/>
      <c r="E63" s="1159"/>
      <c r="F63" s="1327"/>
    </row>
    <row r="64" spans="1:10">
      <c r="B64" s="1247"/>
      <c r="C64" s="1326"/>
      <c r="F64" s="1327"/>
    </row>
    <row r="65" spans="2:6">
      <c r="B65" s="1247"/>
      <c r="C65" s="1286"/>
      <c r="E65" s="1328"/>
      <c r="F65" s="1327"/>
    </row>
    <row r="66" spans="2:6">
      <c r="B66" s="1247"/>
      <c r="E66" s="1159"/>
    </row>
  </sheetData>
  <pageMargins left="1.5" right="0.7" top="0.75" bottom="0.75" header="0.3" footer="0.3"/>
  <pageSetup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tabColor theme="5" tint="0.79998168889431442"/>
    <pageSetUpPr fitToPage="1"/>
  </sheetPr>
  <dimension ref="A1:Q123"/>
  <sheetViews>
    <sheetView view="pageBreakPreview" zoomScale="80" zoomScaleNormal="70" zoomScaleSheetLayoutView="80" workbookViewId="0">
      <selection activeCell="E18" sqref="E18"/>
    </sheetView>
  </sheetViews>
  <sheetFormatPr defaultColWidth="11.625" defaultRowHeight="13.5"/>
  <cols>
    <col min="1" max="1" width="5.875" style="1760" customWidth="1"/>
    <col min="2" max="2" width="39.5" style="1760" bestFit="1" customWidth="1"/>
    <col min="3" max="3" width="2.625" style="1760" customWidth="1"/>
    <col min="4" max="4" width="13.125" style="1760" bestFit="1" customWidth="1"/>
    <col min="5" max="5" width="12.125" style="1760" bestFit="1" customWidth="1"/>
    <col min="6" max="6" width="14.125" style="1760" bestFit="1" customWidth="1"/>
    <col min="7" max="8" width="12.125" style="1760" bestFit="1" customWidth="1"/>
    <col min="9" max="9" width="8" style="1760" bestFit="1" customWidth="1"/>
    <col min="10" max="10" width="12.5" style="1760" bestFit="1" customWidth="1"/>
    <col min="11" max="16384" width="11.625" style="1760"/>
  </cols>
  <sheetData>
    <row r="1" spans="1:11" ht="15">
      <c r="A1" s="1827" t="str">
        <f>Company_Name</f>
        <v>WATER SERVICE CORPORATION OF KENTUCKY</v>
      </c>
      <c r="C1" s="1763"/>
      <c r="D1" s="1763"/>
      <c r="E1" s="1781"/>
      <c r="F1" s="1763"/>
      <c r="G1" s="1761"/>
      <c r="I1" s="1764" t="s">
        <v>3676</v>
      </c>
    </row>
    <row r="2" spans="1:11" ht="15">
      <c r="A2" s="1827" t="str">
        <f>Docket</f>
        <v>Case No. 2015 - 00382</v>
      </c>
      <c r="C2" s="1763"/>
      <c r="D2" s="1763"/>
      <c r="E2" s="1781"/>
      <c r="F2" s="1763"/>
      <c r="G2" s="1761"/>
      <c r="I2" s="1764"/>
    </row>
    <row r="3" spans="1:11" ht="15">
      <c r="A3" s="1759" t="s">
        <v>3612</v>
      </c>
      <c r="C3" s="1763"/>
      <c r="D3" s="1763"/>
      <c r="E3" s="1781"/>
      <c r="F3" s="1763"/>
      <c r="G3" s="1761"/>
    </row>
    <row r="4" spans="1:11" ht="15">
      <c r="A4" s="1767" t="s">
        <v>3677</v>
      </c>
      <c r="C4" s="1763"/>
      <c r="D4" s="1763"/>
      <c r="E4" s="1781"/>
      <c r="F4" s="1763"/>
      <c r="G4" s="1761"/>
    </row>
    <row r="5" spans="1:11" ht="15">
      <c r="A5" s="2115" t="str">
        <f>TestYearEnded</f>
        <v>Test Year Ended 6/30/2015</v>
      </c>
      <c r="B5" s="2115"/>
      <c r="C5" s="1768"/>
      <c r="D5" s="1768"/>
      <c r="E5" s="1828"/>
      <c r="F5" s="1763"/>
      <c r="G5" s="1761"/>
    </row>
    <row r="6" spans="1:11" ht="15">
      <c r="B6" s="1770"/>
      <c r="C6" s="1770"/>
      <c r="D6" s="1770"/>
      <c r="E6" s="1828"/>
      <c r="F6" s="1763"/>
      <c r="G6" s="1761"/>
    </row>
    <row r="7" spans="1:11" s="1791" customFormat="1" ht="15">
      <c r="B7" s="1771" t="s">
        <v>235</v>
      </c>
      <c r="C7" s="1771"/>
      <c r="D7" s="1771" t="s">
        <v>236</v>
      </c>
      <c r="E7" s="1831" t="s">
        <v>237</v>
      </c>
      <c r="F7" s="1791" t="s">
        <v>238</v>
      </c>
      <c r="G7" s="1791" t="s">
        <v>239</v>
      </c>
      <c r="H7" s="1791" t="s">
        <v>869</v>
      </c>
      <c r="I7" s="1791" t="s">
        <v>870</v>
      </c>
    </row>
    <row r="8" spans="1:11">
      <c r="B8" s="1851"/>
      <c r="D8" s="1773"/>
      <c r="E8" s="1773"/>
      <c r="F8" s="1773"/>
      <c r="G8" s="1773"/>
      <c r="H8" s="1773"/>
      <c r="I8" s="1773"/>
    </row>
    <row r="9" spans="1:11">
      <c r="A9" s="1852"/>
      <c r="B9" s="1853"/>
      <c r="C9" s="1854"/>
      <c r="D9" s="1855" t="s">
        <v>3678</v>
      </c>
      <c r="E9" s="1856" t="s">
        <v>3679</v>
      </c>
      <c r="F9" s="1857"/>
      <c r="G9" s="1857"/>
      <c r="H9" s="1858"/>
      <c r="I9" s="1776"/>
    </row>
    <row r="10" spans="1:11">
      <c r="A10" s="1859" t="s">
        <v>3617</v>
      </c>
      <c r="B10" s="1860" t="s">
        <v>3680</v>
      </c>
      <c r="C10" s="1784"/>
      <c r="D10" s="1859" t="s">
        <v>3681</v>
      </c>
      <c r="E10" s="1788" t="s">
        <v>3682</v>
      </c>
      <c r="F10" s="1788" t="s">
        <v>3683</v>
      </c>
      <c r="G10" s="1788" t="s">
        <v>1990</v>
      </c>
      <c r="H10" s="1788" t="s">
        <v>3684</v>
      </c>
      <c r="I10" s="1861" t="s">
        <v>3685</v>
      </c>
    </row>
    <row r="11" spans="1:11">
      <c r="D11" s="1836"/>
      <c r="E11" s="1776"/>
      <c r="F11" s="1776"/>
      <c r="G11" s="1776"/>
      <c r="H11" s="1776"/>
      <c r="I11" s="1776"/>
    </row>
    <row r="12" spans="1:11" ht="15">
      <c r="A12" s="1791">
        <v>1</v>
      </c>
      <c r="B12" s="1862" t="s">
        <v>3686</v>
      </c>
      <c r="D12" s="2090">
        <f>'wp - t-7 WSCKY Summary'!C4</f>
        <v>164394.1</v>
      </c>
      <c r="E12" s="2091">
        <f>D12*'wp - t-2 COSS'!$D$35*$E$34</f>
        <v>98636.46</v>
      </c>
      <c r="F12" s="2092"/>
      <c r="G12" s="2091"/>
      <c r="H12" s="2091">
        <f>D12*'wp - t-2 COSS'!$D$35*$E$33</f>
        <v>65757.64</v>
      </c>
      <c r="I12" s="1864" t="s">
        <v>3687</v>
      </c>
      <c r="J12" s="1807">
        <f>SUM(E12:H12)</f>
        <v>164394.1</v>
      </c>
      <c r="K12" s="1760">
        <f>J12-D12</f>
        <v>0</v>
      </c>
    </row>
    <row r="13" spans="1:11" ht="15">
      <c r="A13" s="1791">
        <v>2</v>
      </c>
      <c r="B13" s="1862" t="s">
        <v>3688</v>
      </c>
      <c r="D13" s="2090">
        <f>'wp - t-7 WSCKY Summary'!C5</f>
        <v>616878.41942461079</v>
      </c>
      <c r="E13" s="2091">
        <f>D13*'wp - t-2 COSS'!$D$30*$E$34</f>
        <v>370127.05165476649</v>
      </c>
      <c r="F13" s="2091"/>
      <c r="G13" s="2092"/>
      <c r="H13" s="2091">
        <f>D13*'wp - t-2 COSS'!$D$30*$E$33</f>
        <v>246751.36776984434</v>
      </c>
      <c r="I13" s="1864" t="s">
        <v>3687</v>
      </c>
      <c r="J13" s="1807">
        <f t="shared" ref="J13:J24" si="0">SUM(E13:H13)</f>
        <v>616878.41942461079</v>
      </c>
      <c r="K13" s="1760">
        <f t="shared" ref="K13:K25" si="1">J13-D13</f>
        <v>0</v>
      </c>
    </row>
    <row r="14" spans="1:11" ht="15">
      <c r="A14" s="1791">
        <v>3</v>
      </c>
      <c r="B14" s="1862" t="s">
        <v>3689</v>
      </c>
      <c r="D14" s="2090">
        <f>'wp - t-7 WSCKY Summary'!C6</f>
        <v>9378.9489484922633</v>
      </c>
      <c r="E14" s="2091">
        <f>D14*'wp - t-2 COSS'!$I$30*$E$34</f>
        <v>5627.3693690953578</v>
      </c>
      <c r="F14" s="2091"/>
      <c r="G14" s="2091"/>
      <c r="H14" s="2091">
        <f>D14*'wp - t-2 COSS'!$I$30*$E$33</f>
        <v>3751.5795793969055</v>
      </c>
      <c r="I14" s="1864" t="s">
        <v>3687</v>
      </c>
      <c r="J14" s="1807">
        <f t="shared" si="0"/>
        <v>9378.9489484922633</v>
      </c>
      <c r="K14" s="1760">
        <f t="shared" si="1"/>
        <v>0</v>
      </c>
    </row>
    <row r="15" spans="1:11" ht="15">
      <c r="A15" s="1791">
        <v>4</v>
      </c>
      <c r="B15" s="1862" t="s">
        <v>3690</v>
      </c>
      <c r="D15" s="2090">
        <f>'wp - t-7 WSCKY Summary'!C7</f>
        <v>2219399.2876600986</v>
      </c>
      <c r="E15" s="2091">
        <f>D15*'wp - t-2 COSS'!$I$35*$E$34</f>
        <v>1331639.5725960592</v>
      </c>
      <c r="F15" s="2091"/>
      <c r="G15" s="2091"/>
      <c r="H15" s="2091">
        <f>D15*'wp - t-2 COSS'!$I$35*$E$33</f>
        <v>887759.71506403945</v>
      </c>
      <c r="I15" s="1864" t="s">
        <v>3687</v>
      </c>
      <c r="J15" s="1807">
        <f t="shared" si="0"/>
        <v>2219399.2876600986</v>
      </c>
      <c r="K15" s="1760">
        <f t="shared" si="1"/>
        <v>0</v>
      </c>
    </row>
    <row r="16" spans="1:11" ht="15">
      <c r="A16" s="1791">
        <v>5</v>
      </c>
      <c r="B16" s="1862" t="s">
        <v>3691</v>
      </c>
      <c r="D16" s="2093"/>
      <c r="E16" s="2091"/>
      <c r="F16" s="2092"/>
      <c r="G16" s="2091"/>
      <c r="H16" s="2091"/>
      <c r="I16" s="1865"/>
      <c r="J16" s="1807">
        <f t="shared" si="0"/>
        <v>0</v>
      </c>
      <c r="K16" s="1760">
        <f t="shared" si="1"/>
        <v>0</v>
      </c>
    </row>
    <row r="17" spans="1:11" ht="15">
      <c r="A17" s="1791">
        <v>6</v>
      </c>
      <c r="B17" s="1862" t="s">
        <v>3692</v>
      </c>
      <c r="D17" s="2090">
        <f>'wp - t-7 WSCKY Summary'!C9</f>
        <v>3447565.9718906931</v>
      </c>
      <c r="E17" s="2091">
        <f>D17*'wp - t-2 COSS'!$D$35*$E$34</f>
        <v>2068539.5831344158</v>
      </c>
      <c r="F17" s="2091"/>
      <c r="G17" s="2092"/>
      <c r="H17" s="2091">
        <f>D17*'wp - t-2 COSS'!$D$35*$E$33</f>
        <v>1379026.3887562773</v>
      </c>
      <c r="I17" s="1864" t="s">
        <v>3687</v>
      </c>
      <c r="J17" s="1807">
        <f t="shared" si="0"/>
        <v>3447565.9718906931</v>
      </c>
      <c r="K17" s="1760">
        <f t="shared" si="1"/>
        <v>0</v>
      </c>
    </row>
    <row r="18" spans="1:11" ht="15">
      <c r="A18" s="1791">
        <v>7</v>
      </c>
      <c r="B18" s="1862" t="s">
        <v>3693</v>
      </c>
      <c r="D18" s="2090">
        <f>'wp - t-7 WSCKY Summary'!C10</f>
        <v>1361332.7883855221</v>
      </c>
      <c r="E18" s="2091"/>
      <c r="F18" s="2091"/>
      <c r="G18" s="2091">
        <f>D18</f>
        <v>1361332.7883855221</v>
      </c>
      <c r="H18" s="2091"/>
      <c r="I18" s="1864" t="s">
        <v>3694</v>
      </c>
      <c r="J18" s="1807">
        <f t="shared" si="0"/>
        <v>1361332.7883855221</v>
      </c>
      <c r="K18" s="1760">
        <f t="shared" si="1"/>
        <v>0</v>
      </c>
    </row>
    <row r="19" spans="1:11" ht="15">
      <c r="A19" s="1791">
        <v>8</v>
      </c>
      <c r="B19" s="1862" t="s">
        <v>3695</v>
      </c>
      <c r="D19" s="2090">
        <f>'wp - t-7 WSCKY Summary'!C11</f>
        <v>896165.17633483314</v>
      </c>
      <c r="E19" s="2091"/>
      <c r="F19" s="2091"/>
      <c r="G19" s="2091"/>
      <c r="H19" s="2091">
        <f>D19-F19</f>
        <v>896165.17633483314</v>
      </c>
      <c r="I19" s="1864" t="s">
        <v>3696</v>
      </c>
      <c r="J19" s="1807">
        <f t="shared" si="0"/>
        <v>896165.17633483314</v>
      </c>
      <c r="K19" s="1760">
        <f t="shared" si="1"/>
        <v>0</v>
      </c>
    </row>
    <row r="20" spans="1:11" ht="15">
      <c r="A20" s="1791">
        <v>9</v>
      </c>
      <c r="B20" s="1862" t="s">
        <v>3697</v>
      </c>
      <c r="D20" s="2090">
        <f>'wp - t-7 WSCKY Summary'!C12</f>
        <v>413501.39448979008</v>
      </c>
      <c r="E20" s="2091">
        <f>D20*'wp - t-2 COSS'!$D$35*$E$34</f>
        <v>248100.83669387404</v>
      </c>
      <c r="F20" s="2091"/>
      <c r="G20" s="2091"/>
      <c r="H20" s="2091">
        <f>D20*'wp - t-2 COSS'!$D$35*$E$33</f>
        <v>165400.55779591604</v>
      </c>
      <c r="I20" s="1864" t="s">
        <v>3687</v>
      </c>
      <c r="J20" s="1807">
        <f t="shared" si="0"/>
        <v>413501.39448979008</v>
      </c>
      <c r="K20" s="1760">
        <f t="shared" si="1"/>
        <v>0</v>
      </c>
    </row>
    <row r="21" spans="1:11" ht="15">
      <c r="A21" s="1791">
        <v>10</v>
      </c>
      <c r="B21" s="1862" t="s">
        <v>3698</v>
      </c>
      <c r="D21" s="2090">
        <f>'wp - t-7 WSCKY Summary'!C13</f>
        <v>546392.7810570281</v>
      </c>
      <c r="E21" s="2091">
        <f>D21*'wp - t-2 COSS'!$I$40*$E$34</f>
        <v>327835.66863421683</v>
      </c>
      <c r="F21" s="2091"/>
      <c r="G21" s="2091"/>
      <c r="H21" s="2091">
        <f>D21*'wp - t-2 COSS'!$I$40*$E$33</f>
        <v>218557.11242281125</v>
      </c>
      <c r="I21" s="1864" t="s">
        <v>3687</v>
      </c>
      <c r="J21" s="1807">
        <f t="shared" si="0"/>
        <v>546392.7810570281</v>
      </c>
      <c r="K21" s="1760">
        <f t="shared" si="1"/>
        <v>0</v>
      </c>
    </row>
    <row r="22" spans="1:11" ht="15">
      <c r="A22" s="1791">
        <v>11</v>
      </c>
      <c r="B22" s="1862" t="s">
        <v>3699</v>
      </c>
      <c r="D22" s="2090">
        <v>0</v>
      </c>
      <c r="E22" s="2091">
        <f>$D$22*E31</f>
        <v>0</v>
      </c>
      <c r="F22" s="2091"/>
      <c r="G22" s="2091">
        <f t="shared" ref="G22:H22" si="2">$D$22*G31</f>
        <v>0</v>
      </c>
      <c r="H22" s="2091">
        <f t="shared" si="2"/>
        <v>0</v>
      </c>
      <c r="I22" s="1864" t="s">
        <v>3700</v>
      </c>
      <c r="J22" s="1807"/>
    </row>
    <row r="23" spans="1:11" ht="15">
      <c r="A23" s="1791">
        <v>12</v>
      </c>
      <c r="B23" s="1862" t="s">
        <v>3701</v>
      </c>
      <c r="C23" s="1817"/>
      <c r="D23" s="2090">
        <f>'wp - t-7 WSCKY Summary'!C14</f>
        <v>1763591.0409528574</v>
      </c>
      <c r="E23" s="2091">
        <f>E31*$D$23</f>
        <v>811252.32774966455</v>
      </c>
      <c r="F23" s="2091"/>
      <c r="G23" s="2091">
        <f>G31*$D$23</f>
        <v>248148.02157395458</v>
      </c>
      <c r="H23" s="2091">
        <f>H31*$D$23</f>
        <v>704190.69162923854</v>
      </c>
      <c r="I23" s="1864" t="s">
        <v>3700</v>
      </c>
      <c r="J23" s="1807">
        <f t="shared" si="0"/>
        <v>1763591.0409528576</v>
      </c>
      <c r="K23" s="1760">
        <f t="shared" si="1"/>
        <v>0</v>
      </c>
    </row>
    <row r="24" spans="1:11" ht="15.75" thickBot="1">
      <c r="A24" s="1791">
        <v>13</v>
      </c>
      <c r="B24" s="1862" t="s">
        <v>3702</v>
      </c>
      <c r="C24" s="1817"/>
      <c r="D24" s="2094">
        <f>-SUM(D12:D23,-D25)</f>
        <v>0</v>
      </c>
      <c r="E24" s="2091">
        <f>$D24*SUM(E12:E23)/SUM($D12:$D23)</f>
        <v>0</v>
      </c>
      <c r="F24" s="2091"/>
      <c r="G24" s="2091">
        <f>$D24*SUM(G12:G23)/SUM($D12:$D23)</f>
        <v>0</v>
      </c>
      <c r="H24" s="2091">
        <f>$D24*SUM(H12:H23)/SUM($D12:$D23)</f>
        <v>0</v>
      </c>
      <c r="I24" s="1865"/>
      <c r="J24" s="1807">
        <f t="shared" si="0"/>
        <v>0</v>
      </c>
      <c r="K24" s="1760">
        <f t="shared" si="1"/>
        <v>0</v>
      </c>
    </row>
    <row r="25" spans="1:11" ht="15.75" thickBot="1">
      <c r="A25" s="1791">
        <v>14</v>
      </c>
      <c r="B25" s="1862" t="s">
        <v>3703</v>
      </c>
      <c r="C25" s="1817"/>
      <c r="D25" s="2095">
        <f>SUM(D12:D23)</f>
        <v>11438599.909143925</v>
      </c>
      <c r="E25" s="2083">
        <f>SUM(E12:E24)</f>
        <v>5261758.8698320929</v>
      </c>
      <c r="F25" s="2083"/>
      <c r="G25" s="2083">
        <f>SUM(G12:G24)</f>
        <v>1609480.8099594766</v>
      </c>
      <c r="H25" s="2083">
        <f>SUM(H12:H24)</f>
        <v>4567360.2293523578</v>
      </c>
      <c r="I25" s="1865"/>
      <c r="J25" s="1866">
        <f>SUM(E25:H25)</f>
        <v>11438599.909143928</v>
      </c>
      <c r="K25" s="1760">
        <f t="shared" si="1"/>
        <v>0</v>
      </c>
    </row>
    <row r="26" spans="1:11" ht="15">
      <c r="A26" s="1791">
        <v>15</v>
      </c>
      <c r="B26" s="1763"/>
      <c r="C26" s="1804"/>
      <c r="D26" s="2096"/>
      <c r="E26" s="2092"/>
      <c r="F26" s="2092"/>
      <c r="G26" s="2091"/>
      <c r="H26" s="2092"/>
      <c r="I26" s="1865"/>
    </row>
    <row r="27" spans="1:11" ht="15">
      <c r="A27" s="1791">
        <v>16</v>
      </c>
      <c r="B27" s="1763"/>
      <c r="C27" s="1868"/>
      <c r="D27" s="2082">
        <f>SUM(E27:H27)</f>
        <v>1.0000000000000002</v>
      </c>
      <c r="E27" s="2083">
        <f>E25/$D25</f>
        <v>0.46000025454390492</v>
      </c>
      <c r="F27" s="2083">
        <f>F25/$D25</f>
        <v>0</v>
      </c>
      <c r="G27" s="2083">
        <f>G25/$D25</f>
        <v>0.14070610238521156</v>
      </c>
      <c r="H27" s="2083">
        <f>H25/$D25</f>
        <v>0.39929364307088377</v>
      </c>
      <c r="I27" s="1869" t="s">
        <v>3704</v>
      </c>
    </row>
    <row r="28" spans="1:11" ht="15">
      <c r="A28" s="1791">
        <v>17</v>
      </c>
      <c r="B28" s="1763"/>
    </row>
    <row r="29" spans="1:11" ht="15">
      <c r="A29" s="1791">
        <v>18</v>
      </c>
      <c r="B29" s="1763" t="s">
        <v>3705</v>
      </c>
    </row>
    <row r="30" spans="1:11" ht="15">
      <c r="A30" s="1791">
        <v>19</v>
      </c>
      <c r="B30" s="1763" t="s">
        <v>3706</v>
      </c>
      <c r="D30" s="1849">
        <f>SUM(D12:D21)</f>
        <v>9675008.8681910671</v>
      </c>
      <c r="E30" s="1849">
        <f>SUM(E12:E21)</f>
        <v>4450506.542082428</v>
      </c>
      <c r="F30" s="1849">
        <f>SUM(F12:F21)</f>
        <v>0</v>
      </c>
      <c r="G30" s="1849">
        <f>SUM(G12:G21)</f>
        <v>1361332.7883855221</v>
      </c>
      <c r="H30" s="1849">
        <f>SUM(H12:H21)</f>
        <v>3863169.5377231189</v>
      </c>
    </row>
    <row r="31" spans="1:11" ht="15">
      <c r="A31" s="1791">
        <v>20</v>
      </c>
      <c r="B31" s="1763" t="s">
        <v>3707</v>
      </c>
      <c r="D31" s="1843">
        <f>SUM(E31:H31)</f>
        <v>1.0000000000000002</v>
      </c>
      <c r="E31" s="1843">
        <f>E30/D30</f>
        <v>0.46000025454390486</v>
      </c>
      <c r="F31" s="1843">
        <f>F30/D30</f>
        <v>0</v>
      </c>
      <c r="G31" s="1843">
        <f>G30/D30</f>
        <v>0.14070610238521156</v>
      </c>
      <c r="H31" s="1843">
        <f>H30/D30</f>
        <v>0.39929364307088377</v>
      </c>
      <c r="I31" s="1870" t="s">
        <v>3700</v>
      </c>
    </row>
    <row r="32" spans="1:11" ht="15.75" thickBot="1">
      <c r="A32" s="1791">
        <v>21</v>
      </c>
      <c r="B32" s="1763"/>
    </row>
    <row r="33" spans="1:17" ht="15">
      <c r="A33" s="1791">
        <v>22</v>
      </c>
      <c r="B33" s="1763"/>
      <c r="C33" s="1871" t="s">
        <v>400</v>
      </c>
      <c r="D33" s="1872" t="s">
        <v>3708</v>
      </c>
      <c r="E33" s="1873">
        <v>0.4</v>
      </c>
      <c r="Q33" s="1809"/>
    </row>
    <row r="34" spans="1:17" ht="15">
      <c r="A34" s="1791">
        <v>23</v>
      </c>
      <c r="B34" s="1763"/>
      <c r="C34" s="1874"/>
      <c r="D34" s="1875" t="s">
        <v>3709</v>
      </c>
      <c r="E34" s="1876">
        <v>0.6</v>
      </c>
    </row>
    <row r="35" spans="1:17" ht="15.75" thickBot="1">
      <c r="A35" s="1791">
        <v>24</v>
      </c>
      <c r="B35" s="1763"/>
      <c r="C35" s="1877"/>
      <c r="D35" s="1878"/>
      <c r="E35" s="1879">
        <f>SUM(E33:E34)</f>
        <v>1</v>
      </c>
    </row>
    <row r="36" spans="1:17">
      <c r="B36" s="1763"/>
    </row>
    <row r="37" spans="1:17">
      <c r="B37" s="1763"/>
    </row>
    <row r="38" spans="1:17">
      <c r="B38" s="1763"/>
    </row>
    <row r="39" spans="1:17">
      <c r="B39" s="1763"/>
    </row>
    <row r="40" spans="1:17">
      <c r="B40" s="1763"/>
    </row>
    <row r="41" spans="1:17">
      <c r="B41" s="1763"/>
    </row>
    <row r="42" spans="1:17">
      <c r="B42" s="1763"/>
    </row>
    <row r="43" spans="1:17">
      <c r="B43" s="1763"/>
    </row>
    <row r="44" spans="1:17">
      <c r="B44" s="1763"/>
    </row>
    <row r="45" spans="1:17">
      <c r="B45" s="1763"/>
    </row>
    <row r="46" spans="1:17">
      <c r="B46" s="1763"/>
    </row>
    <row r="47" spans="1:17">
      <c r="B47" s="1763"/>
    </row>
    <row r="48" spans="1:17">
      <c r="B48" s="1763"/>
    </row>
    <row r="49" spans="2:13">
      <c r="B49" s="1763"/>
    </row>
    <row r="50" spans="2:13">
      <c r="B50" s="1763"/>
    </row>
    <row r="51" spans="2:13">
      <c r="B51" s="1763"/>
    </row>
    <row r="52" spans="2:13">
      <c r="B52" s="1763"/>
    </row>
    <row r="53" spans="2:13">
      <c r="B53" s="1763"/>
    </row>
    <row r="54" spans="2:13">
      <c r="B54" s="1763"/>
    </row>
    <row r="55" spans="2:13">
      <c r="B55" s="1763"/>
      <c r="J55" s="1817"/>
      <c r="K55" s="1817"/>
      <c r="L55" s="1817"/>
      <c r="M55" s="1817"/>
    </row>
    <row r="56" spans="2:13">
      <c r="B56" s="1763"/>
    </row>
    <row r="57" spans="2:13">
      <c r="B57" s="1763"/>
    </row>
    <row r="58" spans="2:13">
      <c r="B58" s="1763"/>
    </row>
    <row r="59" spans="2:13">
      <c r="B59" s="1763"/>
    </row>
    <row r="60" spans="2:13">
      <c r="B60" s="1763"/>
    </row>
    <row r="61" spans="2:13">
      <c r="B61" s="1763"/>
      <c r="I61" s="1817"/>
      <c r="J61" s="1817"/>
      <c r="K61" s="1817"/>
      <c r="L61" s="1817"/>
      <c r="M61" s="1817"/>
    </row>
    <row r="62" spans="2:13">
      <c r="B62" s="1763"/>
      <c r="I62" s="1817"/>
      <c r="J62" s="1817"/>
      <c r="K62" s="1817"/>
      <c r="L62" s="1817"/>
      <c r="M62" s="1817"/>
    </row>
    <row r="63" spans="2:13">
      <c r="B63" s="1763"/>
      <c r="I63" s="1817"/>
      <c r="J63" s="1817"/>
      <c r="K63" s="1817"/>
      <c r="L63" s="1817"/>
      <c r="M63" s="1817"/>
    </row>
    <row r="64" spans="2:13">
      <c r="B64" s="1763"/>
      <c r="I64" s="1817"/>
      <c r="J64" s="1817"/>
      <c r="K64" s="1817"/>
      <c r="L64" s="1817"/>
      <c r="M64" s="1817"/>
    </row>
    <row r="65" spans="2:13">
      <c r="B65" s="1763"/>
      <c r="K65" s="1817"/>
      <c r="L65" s="1817"/>
      <c r="M65" s="1817"/>
    </row>
    <row r="66" spans="2:13">
      <c r="B66" s="1763"/>
      <c r="J66" s="1817"/>
      <c r="K66" s="1817"/>
      <c r="L66" s="1817"/>
      <c r="M66" s="1817"/>
    </row>
    <row r="67" spans="2:13">
      <c r="B67" s="1763"/>
      <c r="J67" s="1817"/>
      <c r="K67" s="1817"/>
      <c r="L67" s="1817"/>
      <c r="M67" s="1817"/>
    </row>
    <row r="68" spans="2:13">
      <c r="J68" s="1817"/>
      <c r="K68" s="1817"/>
      <c r="L68" s="1817"/>
      <c r="M68" s="1817"/>
    </row>
    <row r="69" spans="2:13">
      <c r="J69" s="1817"/>
      <c r="K69" s="1817"/>
      <c r="L69" s="1817"/>
      <c r="M69" s="1817"/>
    </row>
    <row r="70" spans="2:13">
      <c r="J70" s="1817"/>
      <c r="K70" s="1817"/>
      <c r="L70" s="1817"/>
      <c r="M70" s="1817"/>
    </row>
    <row r="71" spans="2:13">
      <c r="J71" s="1817"/>
      <c r="K71" s="1817"/>
      <c r="L71" s="1817"/>
      <c r="M71" s="1817"/>
    </row>
    <row r="72" spans="2:13">
      <c r="J72" s="1817"/>
      <c r="K72" s="1817"/>
      <c r="L72" s="1817"/>
      <c r="M72" s="1817"/>
    </row>
    <row r="73" spans="2:13">
      <c r="J73" s="1817"/>
      <c r="K73" s="1817"/>
      <c r="L73" s="1817"/>
      <c r="M73" s="1817"/>
    </row>
    <row r="74" spans="2:13">
      <c r="J74" s="1817"/>
      <c r="K74" s="1817"/>
      <c r="L74" s="1817"/>
      <c r="M74" s="1817"/>
    </row>
    <row r="75" spans="2:13">
      <c r="J75" s="1817"/>
      <c r="K75" s="1817"/>
      <c r="L75" s="1817"/>
      <c r="M75" s="1817"/>
    </row>
    <row r="76" spans="2:13">
      <c r="J76" s="1817"/>
      <c r="L76" s="1817"/>
      <c r="M76" s="1817"/>
    </row>
    <row r="77" spans="2:13">
      <c r="J77" s="1817"/>
      <c r="L77" s="1817"/>
      <c r="M77" s="1817"/>
    </row>
    <row r="78" spans="2:13">
      <c r="J78" s="1817"/>
    </row>
    <row r="110" spans="5:6">
      <c r="E110" s="1803"/>
      <c r="F110" s="1804"/>
    </row>
    <row r="111" spans="5:6">
      <c r="E111" s="1803"/>
      <c r="F111" s="1804"/>
    </row>
    <row r="112" spans="5:6">
      <c r="E112" s="1803"/>
      <c r="F112" s="1804"/>
    </row>
    <row r="113" spans="5:8">
      <c r="E113" s="1803"/>
      <c r="F113" s="1804"/>
    </row>
    <row r="115" spans="5:8">
      <c r="E115" s="1803"/>
      <c r="G115" s="1804"/>
    </row>
    <row r="116" spans="5:8">
      <c r="E116" s="1803"/>
      <c r="H116" s="1804"/>
    </row>
    <row r="117" spans="5:8">
      <c r="E117" s="1803"/>
      <c r="F117" s="1804"/>
      <c r="G117" s="1804"/>
      <c r="H117" s="1804"/>
    </row>
    <row r="118" spans="5:8">
      <c r="E118" s="1803"/>
      <c r="F118" s="1804"/>
    </row>
    <row r="119" spans="5:8">
      <c r="E119" s="1803"/>
      <c r="F119" s="1804"/>
      <c r="G119" s="1804"/>
      <c r="H119" s="1804"/>
    </row>
    <row r="120" spans="5:8">
      <c r="E120" s="1804"/>
      <c r="F120" s="1804"/>
      <c r="G120" s="1804"/>
      <c r="H120" s="1804"/>
    </row>
    <row r="121" spans="5:8">
      <c r="E121" s="1803"/>
      <c r="F121" s="1804"/>
      <c r="G121" s="1804"/>
      <c r="H121" s="1804"/>
    </row>
    <row r="123" spans="5:8">
      <c r="E123" s="1880"/>
      <c r="F123" s="1880"/>
      <c r="G123" s="1880"/>
      <c r="H123" s="1880"/>
    </row>
  </sheetData>
  <mergeCells count="1">
    <mergeCell ref="A5:B5"/>
  </mergeCells>
  <printOptions horizontalCentered="1"/>
  <pageMargins left="0.5" right="0.5" top="0.5" bottom="0.5" header="0.25" footer="0.25"/>
  <pageSetup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N75"/>
  <sheetViews>
    <sheetView view="pageBreakPreview" topLeftCell="A43" zoomScaleNormal="100" zoomScaleSheetLayoutView="100" workbookViewId="0"/>
  </sheetViews>
  <sheetFormatPr defaultRowHeight="12.75"/>
  <cols>
    <col min="1" max="1" width="3.375" style="1164" customWidth="1"/>
    <col min="2" max="2" width="32.875" style="1159" bestFit="1" customWidth="1"/>
    <col min="3" max="3" width="10.625" style="1159" customWidth="1"/>
    <col min="4" max="4" width="5" style="1158" customWidth="1"/>
    <col min="5" max="5" width="7" style="1159" bestFit="1" customWidth="1"/>
    <col min="6" max="6" width="3.625" style="1158" customWidth="1"/>
    <col min="7" max="7" width="10.625" style="1158" customWidth="1"/>
    <col min="8" max="8" width="3.625" style="1158" customWidth="1"/>
    <col min="9" max="9" width="10.625" style="1159" customWidth="1"/>
    <col min="10" max="10" width="3.625" style="1158" customWidth="1"/>
    <col min="11" max="16384" width="9" style="1159"/>
  </cols>
  <sheetData>
    <row r="1" spans="1:14" ht="13.5">
      <c r="A1" s="2143" t="str">
        <f>+'wp-p4-alloc of WSC computers'!A1:B1</f>
        <v>WATER SERVICE CORPORATION OF KENTUCKY</v>
      </c>
      <c r="B1" s="2143"/>
      <c r="C1" s="1157"/>
      <c r="E1" s="1157"/>
      <c r="I1" s="1160" t="s">
        <v>1871</v>
      </c>
    </row>
    <row r="2" spans="1:14">
      <c r="A2" s="2144" t="s">
        <v>1784</v>
      </c>
      <c r="B2" s="2144"/>
    </row>
    <row r="3" spans="1:14">
      <c r="A3" s="2144" t="s">
        <v>1785</v>
      </c>
      <c r="B3" s="2144"/>
    </row>
    <row r="4" spans="1:14">
      <c r="A4" s="2145" t="str">
        <f>+'wp-p4-alloc of WSC computers'!A4:C4</f>
        <v>Test Year Ended December 31, 2012</v>
      </c>
      <c r="B4" s="2145"/>
      <c r="C4" s="2146"/>
    </row>
    <row r="5" spans="1:14">
      <c r="A5" s="1161"/>
    </row>
    <row r="6" spans="1:14">
      <c r="A6" s="1161"/>
    </row>
    <row r="7" spans="1:14" s="1162" customFormat="1" ht="57.75" customHeight="1">
      <c r="A7" s="1162" t="s">
        <v>1786</v>
      </c>
      <c r="B7" s="1162" t="s">
        <v>1455</v>
      </c>
      <c r="C7" s="1162" t="s">
        <v>1787</v>
      </c>
      <c r="D7" s="1158"/>
      <c r="E7" s="1162" t="s">
        <v>1788</v>
      </c>
      <c r="F7" s="1158"/>
      <c r="G7" s="1163" t="s">
        <v>1789</v>
      </c>
      <c r="H7" s="1158" t="s">
        <v>1079</v>
      </c>
      <c r="I7" s="1162" t="s">
        <v>1790</v>
      </c>
      <c r="J7" s="1158"/>
    </row>
    <row r="8" spans="1:14">
      <c r="C8" s="1161" t="s">
        <v>1791</v>
      </c>
      <c r="E8" s="1161" t="s">
        <v>1792</v>
      </c>
      <c r="G8" s="1161" t="s">
        <v>1793</v>
      </c>
      <c r="I8" s="1161" t="s">
        <v>1456</v>
      </c>
    </row>
    <row r="10" spans="1:14" ht="15">
      <c r="A10" s="1166"/>
      <c r="B10" s="1165" t="s">
        <v>1798</v>
      </c>
      <c r="C10" s="1168"/>
      <c r="E10" s="1161"/>
      <c r="I10" s="1168"/>
    </row>
    <row r="11" spans="1:14">
      <c r="A11" s="1166">
        <v>1</v>
      </c>
      <c r="B11" s="1159" t="s">
        <v>1865</v>
      </c>
      <c r="C11" s="1168">
        <v>3671.16</v>
      </c>
      <c r="E11" s="1161"/>
      <c r="G11" s="1176">
        <v>0</v>
      </c>
      <c r="I11" s="1168">
        <f>-C11</f>
        <v>-3671.16</v>
      </c>
      <c r="K11" s="1169"/>
      <c r="L11" s="1169"/>
      <c r="M11" s="1169"/>
      <c r="N11" s="1170"/>
    </row>
    <row r="12" spans="1:14">
      <c r="A12" s="1166">
        <f>+A11+1</f>
        <v>2</v>
      </c>
      <c r="B12" s="1167">
        <v>2003</v>
      </c>
      <c r="C12" s="1168">
        <v>3592.2</v>
      </c>
      <c r="E12" s="1177">
        <v>10</v>
      </c>
      <c r="G12" s="1176">
        <v>0</v>
      </c>
      <c r="I12" s="1168">
        <f>-IF(C12/$D$73*E12&gt;=C12,C12,C12/$D$73*E12)</f>
        <v>-3592.2</v>
      </c>
      <c r="K12" s="1169"/>
      <c r="L12" s="1169"/>
      <c r="M12" s="1169"/>
      <c r="N12" s="1170"/>
    </row>
    <row r="13" spans="1:14">
      <c r="A13" s="1166">
        <f t="shared" ref="A13:A21" si="0">+A12+1</f>
        <v>3</v>
      </c>
      <c r="B13" s="1167">
        <v>2004</v>
      </c>
      <c r="C13" s="1168">
        <v>2282.0400000000004</v>
      </c>
      <c r="E13" s="1177">
        <v>9</v>
      </c>
      <c r="G13" s="1176">
        <v>0</v>
      </c>
      <c r="I13" s="1168">
        <f t="shared" ref="I13:I21" si="1">-IF(C13/$D$73*E13&gt;=C13,C13,C13/$D$73*E13)</f>
        <v>-2282.0400000000004</v>
      </c>
      <c r="K13" s="1169"/>
      <c r="L13" s="1169"/>
      <c r="M13" s="1169"/>
      <c r="N13" s="1170"/>
    </row>
    <row r="14" spans="1:14">
      <c r="A14" s="1166">
        <f t="shared" si="0"/>
        <v>4</v>
      </c>
      <c r="B14" s="1167">
        <v>2005</v>
      </c>
      <c r="C14" s="1168">
        <v>4032.1000000000004</v>
      </c>
      <c r="E14" s="1177">
        <v>8</v>
      </c>
      <c r="G14" s="1176">
        <v>0</v>
      </c>
      <c r="I14" s="1168">
        <f t="shared" si="1"/>
        <v>-4032.1000000000004</v>
      </c>
      <c r="K14" s="1169"/>
      <c r="L14" s="1169"/>
      <c r="M14" s="1169"/>
      <c r="N14" s="1169"/>
    </row>
    <row r="15" spans="1:14">
      <c r="A15" s="1166">
        <f t="shared" si="0"/>
        <v>5</v>
      </c>
      <c r="B15" s="1167">
        <v>2006</v>
      </c>
      <c r="C15" s="1168">
        <v>1729.5400000000004</v>
      </c>
      <c r="E15" s="1177">
        <v>7</v>
      </c>
      <c r="G15" s="1176">
        <v>0</v>
      </c>
      <c r="I15" s="1168">
        <f t="shared" si="1"/>
        <v>-1729.5400000000004</v>
      </c>
      <c r="K15" s="1169"/>
      <c r="L15" s="1169"/>
      <c r="M15" s="1169"/>
      <c r="N15" s="1170"/>
    </row>
    <row r="16" spans="1:14">
      <c r="A16" s="1166">
        <f t="shared" si="0"/>
        <v>6</v>
      </c>
      <c r="B16" s="1167">
        <v>2007</v>
      </c>
      <c r="C16" s="1168">
        <v>27120.61</v>
      </c>
      <c r="E16" s="1177">
        <v>6</v>
      </c>
      <c r="G16" s="1176">
        <v>0</v>
      </c>
      <c r="I16" s="1168">
        <f t="shared" si="1"/>
        <v>-27120.61</v>
      </c>
      <c r="K16" s="1169"/>
      <c r="L16" s="1169"/>
      <c r="M16" s="1169"/>
      <c r="N16" s="1170"/>
    </row>
    <row r="17" spans="1:14">
      <c r="A17" s="1166">
        <f t="shared" si="0"/>
        <v>7</v>
      </c>
      <c r="B17" s="1167">
        <v>2008</v>
      </c>
      <c r="C17" s="1168">
        <v>151.47</v>
      </c>
      <c r="E17" s="1177">
        <v>5</v>
      </c>
      <c r="G17" s="1176">
        <v>0</v>
      </c>
      <c r="I17" s="1168">
        <f t="shared" si="1"/>
        <v>-151.47</v>
      </c>
      <c r="K17" s="1169"/>
      <c r="L17" s="1169"/>
      <c r="M17" s="1169"/>
      <c r="N17" s="1170"/>
    </row>
    <row r="18" spans="1:14">
      <c r="A18" s="1166">
        <f t="shared" si="0"/>
        <v>8</v>
      </c>
      <c r="B18" s="1167">
        <v>2009</v>
      </c>
      <c r="C18" s="1168">
        <v>0</v>
      </c>
      <c r="E18" s="1177">
        <v>4</v>
      </c>
      <c r="G18" s="1176">
        <v>0</v>
      </c>
      <c r="I18" s="1168">
        <f t="shared" si="1"/>
        <v>0</v>
      </c>
      <c r="K18" s="1169"/>
      <c r="L18" s="1169"/>
      <c r="M18" s="1169"/>
      <c r="N18" s="1178"/>
    </row>
    <row r="19" spans="1:14">
      <c r="A19" s="1166">
        <f t="shared" si="0"/>
        <v>9</v>
      </c>
      <c r="B19" s="1167">
        <v>2010</v>
      </c>
      <c r="C19" s="1168">
        <v>0</v>
      </c>
      <c r="E19" s="1177">
        <v>3</v>
      </c>
      <c r="G19" s="1209">
        <f>+C19/$D$73</f>
        <v>0</v>
      </c>
      <c r="I19" s="1168">
        <f t="shared" si="1"/>
        <v>0</v>
      </c>
    </row>
    <row r="20" spans="1:14">
      <c r="A20" s="1166">
        <f t="shared" si="0"/>
        <v>10</v>
      </c>
      <c r="B20" s="1167">
        <v>2011</v>
      </c>
      <c r="C20" s="1168">
        <v>0</v>
      </c>
      <c r="E20" s="1177">
        <v>2</v>
      </c>
      <c r="G20" s="1176">
        <v>0</v>
      </c>
      <c r="I20" s="1168">
        <f t="shared" si="1"/>
        <v>0</v>
      </c>
    </row>
    <row r="21" spans="1:14">
      <c r="A21" s="1166">
        <f t="shared" si="0"/>
        <v>11</v>
      </c>
      <c r="B21" s="1167">
        <v>2012</v>
      </c>
      <c r="C21" s="1168">
        <v>0</v>
      </c>
      <c r="E21" s="1177">
        <v>1</v>
      </c>
      <c r="G21" s="1176">
        <v>0</v>
      </c>
      <c r="I21" s="1168">
        <f t="shared" si="1"/>
        <v>0</v>
      </c>
    </row>
    <row r="22" spans="1:14" s="703" customFormat="1" ht="5.0999999999999996" customHeight="1">
      <c r="A22" s="1171"/>
      <c r="B22" s="1172"/>
      <c r="C22" s="703">
        <v>0</v>
      </c>
      <c r="D22" s="1173"/>
      <c r="E22" s="1173"/>
      <c r="F22" s="1173"/>
      <c r="G22" s="703">
        <v>0</v>
      </c>
      <c r="H22" s="1173"/>
      <c r="I22" s="703">
        <v>0</v>
      </c>
      <c r="J22" s="1173"/>
    </row>
    <row r="23" spans="1:14">
      <c r="A23" s="1166">
        <f>+A21+1</f>
        <v>12</v>
      </c>
      <c r="B23" s="1159" t="s">
        <v>1799</v>
      </c>
      <c r="C23" s="1168">
        <f>SUM(C11:C22)</f>
        <v>42579.12</v>
      </c>
      <c r="E23" s="1329"/>
      <c r="G23" s="1168">
        <f>SUM(G11:G22)</f>
        <v>0</v>
      </c>
      <c r="I23" s="1168">
        <f>SUM(I11:I22)</f>
        <v>-42579.12</v>
      </c>
    </row>
    <row r="24" spans="1:14">
      <c r="A24" s="1166">
        <f t="shared" ref="A24" si="2">+A23+1</f>
        <v>13</v>
      </c>
      <c r="B24" s="1159" t="s">
        <v>1866</v>
      </c>
      <c r="C24" s="1175">
        <v>1</v>
      </c>
      <c r="E24" s="1161"/>
      <c r="G24" s="1175">
        <f>C24</f>
        <v>1</v>
      </c>
      <c r="I24" s="1175">
        <f>C24</f>
        <v>1</v>
      </c>
    </row>
    <row r="25" spans="1:14" s="703" customFormat="1" ht="5.0999999999999996" customHeight="1">
      <c r="A25" s="1171"/>
      <c r="B25" s="1172"/>
      <c r="C25" s="703">
        <v>0</v>
      </c>
      <c r="D25" s="1173"/>
      <c r="E25" s="1173"/>
      <c r="F25" s="1173"/>
      <c r="G25" s="703">
        <v>0</v>
      </c>
      <c r="H25" s="1173"/>
      <c r="I25" s="703">
        <v>0</v>
      </c>
      <c r="J25" s="1173"/>
    </row>
    <row r="26" spans="1:14">
      <c r="A26" s="1166">
        <f>+A24+1</f>
        <v>14</v>
      </c>
      <c r="B26" s="1159" t="s">
        <v>1800</v>
      </c>
      <c r="C26" s="1168">
        <f>+C23*C24</f>
        <v>42579.12</v>
      </c>
      <c r="E26" s="1161"/>
      <c r="G26" s="1168">
        <f>+G23*G24</f>
        <v>0</v>
      </c>
      <c r="I26" s="1168">
        <f>+I23*I24</f>
        <v>-42579.12</v>
      </c>
    </row>
    <row r="27" spans="1:14">
      <c r="A27" s="1166"/>
      <c r="C27" s="1168"/>
      <c r="E27" s="1161"/>
      <c r="I27" s="1168"/>
    </row>
    <row r="28" spans="1:14">
      <c r="A28" s="1166">
        <f>+A26+1</f>
        <v>15</v>
      </c>
      <c r="B28" s="1159" t="s">
        <v>1801</v>
      </c>
      <c r="C28" s="1168">
        <f>+C26*1</f>
        <v>42579.12</v>
      </c>
      <c r="D28" s="1164" t="s">
        <v>1069</v>
      </c>
      <c r="E28" s="1161"/>
      <c r="G28" s="1168">
        <f>+G26*1</f>
        <v>0</v>
      </c>
      <c r="H28" s="1164" t="s">
        <v>1069</v>
      </c>
      <c r="I28" s="1168">
        <f>+I26*1</f>
        <v>-42579.12</v>
      </c>
      <c r="J28" s="1164" t="s">
        <v>1069</v>
      </c>
    </row>
    <row r="29" spans="1:14">
      <c r="A29" s="1166">
        <f t="shared" ref="A29" si="3">+A28+1</f>
        <v>16</v>
      </c>
      <c r="B29" s="1159" t="s">
        <v>1802</v>
      </c>
      <c r="C29" s="1168">
        <v>0</v>
      </c>
      <c r="D29" s="1164" t="s">
        <v>1076</v>
      </c>
      <c r="E29" s="1161"/>
      <c r="G29" s="1168">
        <v>0</v>
      </c>
      <c r="H29" s="1164" t="s">
        <v>1076</v>
      </c>
      <c r="I29" s="1168">
        <v>0</v>
      </c>
      <c r="J29" s="1164" t="s">
        <v>1076</v>
      </c>
      <c r="L29" s="1179"/>
    </row>
    <row r="30" spans="1:14">
      <c r="A30" s="1166"/>
      <c r="C30" s="1168"/>
      <c r="E30" s="1161"/>
      <c r="I30" s="1168"/>
    </row>
    <row r="31" spans="1:14">
      <c r="A31" s="1166"/>
      <c r="C31" s="1168"/>
      <c r="E31" s="1161"/>
      <c r="I31" s="1168"/>
    </row>
    <row r="32" spans="1:14">
      <c r="A32" s="1166"/>
      <c r="B32" s="1180" t="s">
        <v>1803</v>
      </c>
      <c r="C32" s="1168"/>
      <c r="E32" s="1161"/>
      <c r="I32" s="1168"/>
    </row>
    <row r="33" spans="1:14">
      <c r="A33" s="1166">
        <f>+A29+1</f>
        <v>17</v>
      </c>
      <c r="B33" s="1183">
        <v>2002</v>
      </c>
      <c r="C33" s="1168">
        <v>2108.9899999999998</v>
      </c>
      <c r="D33" s="1159"/>
      <c r="E33" s="1184">
        <v>11</v>
      </c>
      <c r="G33" s="1209">
        <v>0</v>
      </c>
      <c r="I33" s="1168">
        <f>-IF(C33/$D$75*E33&gt;=C33,C33,C33/$D$75*E33)</f>
        <v>-2108.9899999999998</v>
      </c>
      <c r="J33" s="1182"/>
      <c r="K33" s="1169"/>
      <c r="L33" s="1169"/>
      <c r="M33" s="1169"/>
      <c r="N33" s="1170"/>
    </row>
    <row r="34" spans="1:14">
      <c r="A34" s="1166">
        <f t="shared" ref="A34:A43" si="4">+A33+1</f>
        <v>18</v>
      </c>
      <c r="B34" s="1183">
        <v>2003</v>
      </c>
      <c r="C34" s="1168">
        <v>0</v>
      </c>
      <c r="D34" s="1159"/>
      <c r="E34" s="1184">
        <v>10</v>
      </c>
      <c r="G34" s="1176">
        <v>0</v>
      </c>
      <c r="I34" s="1168">
        <f t="shared" ref="I34:I43" si="5">-IF(C34/$D$75*E34&gt;=C34,C34,C34/$D$75*E34)</f>
        <v>0</v>
      </c>
      <c r="J34" s="1182"/>
      <c r="K34" s="1169"/>
      <c r="L34" s="1169"/>
      <c r="M34" s="1169"/>
      <c r="N34" s="1169"/>
    </row>
    <row r="35" spans="1:14">
      <c r="A35" s="1166">
        <f t="shared" si="4"/>
        <v>19</v>
      </c>
      <c r="B35" s="1183">
        <v>2004</v>
      </c>
      <c r="C35" s="1168">
        <v>619.91999999999996</v>
      </c>
      <c r="D35" s="1159"/>
      <c r="E35" s="1184">
        <v>9</v>
      </c>
      <c r="G35" s="1176">
        <v>0</v>
      </c>
      <c r="I35" s="1168">
        <f t="shared" si="5"/>
        <v>-619.91999999999996</v>
      </c>
      <c r="J35" s="1182"/>
      <c r="K35" s="1169"/>
      <c r="L35" s="1169"/>
      <c r="M35" s="1169"/>
      <c r="N35" s="1170"/>
    </row>
    <row r="36" spans="1:14">
      <c r="A36" s="1166">
        <f t="shared" si="4"/>
        <v>20</v>
      </c>
      <c r="B36" s="1183">
        <v>2005</v>
      </c>
      <c r="C36" s="1168">
        <v>125.82</v>
      </c>
      <c r="D36" s="1159"/>
      <c r="E36" s="1184">
        <v>8</v>
      </c>
      <c r="G36" s="1176">
        <v>0</v>
      </c>
      <c r="I36" s="1168">
        <f t="shared" si="5"/>
        <v>-125.82</v>
      </c>
      <c r="J36" s="1182"/>
      <c r="K36" s="1169"/>
      <c r="L36" s="1169"/>
      <c r="M36" s="1169"/>
      <c r="N36" s="1170"/>
    </row>
    <row r="37" spans="1:14">
      <c r="A37" s="1166">
        <f t="shared" si="4"/>
        <v>21</v>
      </c>
      <c r="B37" s="1183">
        <v>2006</v>
      </c>
      <c r="C37" s="1168">
        <v>382.75</v>
      </c>
      <c r="D37" s="1159"/>
      <c r="E37" s="1184">
        <v>7</v>
      </c>
      <c r="G37" s="1176">
        <v>0</v>
      </c>
      <c r="I37" s="1168">
        <f t="shared" si="5"/>
        <v>-382.75</v>
      </c>
      <c r="J37" s="1182"/>
      <c r="K37" s="1169"/>
      <c r="L37" s="1169"/>
      <c r="M37" s="1169"/>
      <c r="N37" s="1170"/>
    </row>
    <row r="38" spans="1:14">
      <c r="A38" s="1166">
        <f t="shared" si="4"/>
        <v>22</v>
      </c>
      <c r="B38" s="1183">
        <v>2007</v>
      </c>
      <c r="C38" s="1168">
        <v>0</v>
      </c>
      <c r="D38" s="1159"/>
      <c r="E38" s="1184">
        <v>6</v>
      </c>
      <c r="G38" s="1176">
        <v>0</v>
      </c>
      <c r="I38" s="1168">
        <f t="shared" si="5"/>
        <v>0</v>
      </c>
      <c r="J38" s="1182"/>
      <c r="K38" s="1169"/>
      <c r="L38" s="1169"/>
      <c r="M38" s="1169"/>
      <c r="N38" s="1174"/>
    </row>
    <row r="39" spans="1:14">
      <c r="A39" s="1166">
        <f t="shared" si="4"/>
        <v>23</v>
      </c>
      <c r="B39" s="1183">
        <v>2008</v>
      </c>
      <c r="C39" s="1168">
        <v>0</v>
      </c>
      <c r="D39" s="1159"/>
      <c r="E39" s="1184">
        <v>5</v>
      </c>
      <c r="G39" s="1176">
        <v>0</v>
      </c>
      <c r="I39" s="1168">
        <f t="shared" si="5"/>
        <v>0</v>
      </c>
      <c r="J39" s="1182"/>
      <c r="K39" s="1169"/>
      <c r="L39" s="1169"/>
      <c r="M39" s="1169"/>
      <c r="N39" s="1174"/>
    </row>
    <row r="40" spans="1:14">
      <c r="A40" s="1166">
        <f t="shared" si="4"/>
        <v>24</v>
      </c>
      <c r="B40" s="1183">
        <v>2009</v>
      </c>
      <c r="C40" s="1168">
        <v>0</v>
      </c>
      <c r="D40" s="1159"/>
      <c r="E40" s="1184">
        <v>4</v>
      </c>
      <c r="G40" s="1176">
        <v>0</v>
      </c>
      <c r="I40" s="1168">
        <f t="shared" si="5"/>
        <v>0</v>
      </c>
      <c r="J40" s="1182"/>
      <c r="K40" s="1169"/>
      <c r="L40" s="1169"/>
      <c r="M40" s="1169"/>
      <c r="N40" s="1174"/>
    </row>
    <row r="41" spans="1:14">
      <c r="A41" s="1166">
        <f t="shared" si="4"/>
        <v>25</v>
      </c>
      <c r="B41" s="1183">
        <v>2010</v>
      </c>
      <c r="C41" s="1168">
        <v>0</v>
      </c>
      <c r="D41" s="1159"/>
      <c r="E41" s="1184">
        <v>3</v>
      </c>
      <c r="G41" s="1209">
        <f>+C41/$D$75</f>
        <v>0</v>
      </c>
      <c r="I41" s="1168">
        <f t="shared" si="5"/>
        <v>0</v>
      </c>
      <c r="J41" s="1182"/>
      <c r="K41" s="1169"/>
      <c r="L41" s="1169"/>
      <c r="M41" s="1169"/>
      <c r="N41" s="1174"/>
    </row>
    <row r="42" spans="1:14">
      <c r="A42" s="1166">
        <f t="shared" si="4"/>
        <v>26</v>
      </c>
      <c r="B42" s="1183">
        <v>2011</v>
      </c>
      <c r="C42" s="1168">
        <v>0</v>
      </c>
      <c r="D42" s="1159"/>
      <c r="E42" s="1184">
        <v>2</v>
      </c>
      <c r="G42" s="1209">
        <f t="shared" ref="G42:G43" si="6">+C42/$D$75</f>
        <v>0</v>
      </c>
      <c r="I42" s="1168">
        <f t="shared" si="5"/>
        <v>0</v>
      </c>
      <c r="J42" s="1182"/>
      <c r="K42" s="1169"/>
      <c r="L42" s="1169"/>
      <c r="M42" s="1169"/>
      <c r="N42" s="1174"/>
    </row>
    <row r="43" spans="1:14">
      <c r="A43" s="1166">
        <f t="shared" si="4"/>
        <v>27</v>
      </c>
      <c r="B43" s="1183">
        <v>2012</v>
      </c>
      <c r="C43" s="1168">
        <v>0</v>
      </c>
      <c r="D43" s="1159"/>
      <c r="E43" s="1184">
        <v>1</v>
      </c>
      <c r="G43" s="1209">
        <f t="shared" si="6"/>
        <v>0</v>
      </c>
      <c r="I43" s="1168">
        <f t="shared" si="5"/>
        <v>0</v>
      </c>
      <c r="J43" s="1182"/>
      <c r="K43" s="1169"/>
      <c r="L43" s="1169"/>
      <c r="M43" s="1169"/>
      <c r="N43" s="1174"/>
    </row>
    <row r="44" spans="1:14" ht="6" customHeight="1">
      <c r="A44" s="1166"/>
      <c r="B44" s="1183"/>
      <c r="C44" s="1185">
        <v>0</v>
      </c>
      <c r="D44" s="1159"/>
      <c r="E44" s="1161"/>
      <c r="G44" s="703">
        <v>0</v>
      </c>
      <c r="I44" s="703">
        <v>0</v>
      </c>
    </row>
    <row r="45" spans="1:14">
      <c r="A45" s="1166">
        <f>+A43+1</f>
        <v>28</v>
      </c>
      <c r="B45" s="1183" t="s">
        <v>1804</v>
      </c>
      <c r="C45" s="1168">
        <f>SUM(C33:C44)</f>
        <v>3237.48</v>
      </c>
      <c r="D45" s="1159"/>
      <c r="E45" s="1161"/>
      <c r="G45" s="1168">
        <f>SUM(G30:G44)</f>
        <v>0</v>
      </c>
      <c r="I45" s="1168">
        <f>SUM(I33:I38)</f>
        <v>-3237.48</v>
      </c>
    </row>
    <row r="46" spans="1:14">
      <c r="A46" s="1166">
        <f t="shared" ref="A46" si="7">+A45+1</f>
        <v>29</v>
      </c>
      <c r="B46" s="1159" t="s">
        <v>1866</v>
      </c>
      <c r="C46" s="1175">
        <f>C24</f>
        <v>1</v>
      </c>
      <c r="D46" s="1159"/>
      <c r="E46" s="1161"/>
      <c r="G46" s="1175">
        <f>C46</f>
        <v>1</v>
      </c>
      <c r="I46" s="1175">
        <f>G46</f>
        <v>1</v>
      </c>
    </row>
    <row r="47" spans="1:14" ht="4.5" customHeight="1">
      <c r="A47" s="1171"/>
      <c r="B47" s="1183"/>
      <c r="C47" s="703">
        <v>0</v>
      </c>
      <c r="D47" s="1159"/>
      <c r="E47" s="1161"/>
      <c r="G47" s="703">
        <v>0</v>
      </c>
      <c r="I47" s="703">
        <v>0</v>
      </c>
    </row>
    <row r="48" spans="1:14">
      <c r="A48" s="1166">
        <f>+A46+1</f>
        <v>30</v>
      </c>
      <c r="B48" s="1183" t="s">
        <v>1805</v>
      </c>
      <c r="C48" s="1168">
        <f>C45*C46</f>
        <v>3237.48</v>
      </c>
      <c r="D48" s="1159"/>
      <c r="E48" s="1161"/>
      <c r="G48" s="1168">
        <f>+G45*G46</f>
        <v>0</v>
      </c>
      <c r="I48" s="1168">
        <f>I45*I46</f>
        <v>-3237.48</v>
      </c>
    </row>
    <row r="49" spans="1:10">
      <c r="A49" s="1166"/>
      <c r="B49" s="1183"/>
      <c r="C49" s="1186"/>
      <c r="D49" s="1159"/>
      <c r="E49" s="1161"/>
      <c r="I49" s="1168"/>
    </row>
    <row r="50" spans="1:10">
      <c r="A50" s="1166">
        <f>+A48+1</f>
        <v>31</v>
      </c>
      <c r="B50" s="1159" t="s">
        <v>1801</v>
      </c>
      <c r="C50" s="1168">
        <f>+C48*1</f>
        <v>3237.48</v>
      </c>
      <c r="D50" s="1164" t="s">
        <v>1069</v>
      </c>
      <c r="E50" s="1161"/>
      <c r="G50" s="1168">
        <f>+G48*1</f>
        <v>0</v>
      </c>
      <c r="H50" s="1164" t="s">
        <v>1069</v>
      </c>
      <c r="I50" s="1168">
        <f>+I48*1</f>
        <v>-3237.48</v>
      </c>
      <c r="J50" s="1164" t="s">
        <v>1069</v>
      </c>
    </row>
    <row r="51" spans="1:10">
      <c r="A51" s="1166">
        <f t="shared" ref="A51" si="8">+A50+1</f>
        <v>32</v>
      </c>
      <c r="B51" s="1159" t="s">
        <v>1802</v>
      </c>
      <c r="C51" s="1168">
        <v>0</v>
      </c>
      <c r="D51" s="1164" t="s">
        <v>1076</v>
      </c>
      <c r="E51" s="1161"/>
      <c r="G51" s="1168">
        <v>0</v>
      </c>
      <c r="H51" s="1164" t="s">
        <v>1076</v>
      </c>
      <c r="I51" s="1168">
        <v>0</v>
      </c>
      <c r="J51" s="1164" t="s">
        <v>1076</v>
      </c>
    </row>
    <row r="52" spans="1:10">
      <c r="A52" s="1166"/>
      <c r="B52" s="1183"/>
      <c r="C52" s="1186"/>
      <c r="D52" s="1159"/>
      <c r="E52" s="1161"/>
      <c r="I52" s="1168"/>
    </row>
    <row r="53" spans="1:10" ht="15">
      <c r="A53" s="1166"/>
      <c r="B53" s="1165" t="s">
        <v>1872</v>
      </c>
      <c r="C53" s="1168"/>
      <c r="E53" s="1161"/>
      <c r="I53" s="1168"/>
    </row>
    <row r="54" spans="1:10">
      <c r="A54" s="1166">
        <f>+A51+1</f>
        <v>33</v>
      </c>
      <c r="B54" s="1159" t="s">
        <v>1876</v>
      </c>
      <c r="C54" s="1168">
        <f>C28+C50</f>
        <v>45816.600000000006</v>
      </c>
      <c r="E54" s="1161"/>
      <c r="G54" s="1168">
        <f>G28+G50</f>
        <v>0</v>
      </c>
      <c r="I54" s="1168">
        <f>I28+I50</f>
        <v>-45816.600000000006</v>
      </c>
    </row>
    <row r="55" spans="1:10">
      <c r="A55" s="1166">
        <f>+A54+1</f>
        <v>34</v>
      </c>
      <c r="B55" s="1159" t="s">
        <v>1877</v>
      </c>
      <c r="C55" s="1168">
        <f>C29+C51</f>
        <v>0</v>
      </c>
      <c r="E55" s="1161"/>
      <c r="G55" s="1168">
        <f>G29+G51</f>
        <v>0</v>
      </c>
      <c r="I55" s="1168">
        <f>I29+I51</f>
        <v>0</v>
      </c>
    </row>
    <row r="56" spans="1:10">
      <c r="A56" s="1166"/>
      <c r="E56" s="1161"/>
    </row>
    <row r="57" spans="1:10">
      <c r="A57" s="1166"/>
      <c r="E57" s="1161"/>
    </row>
    <row r="58" spans="1:10" ht="15">
      <c r="A58" s="1166"/>
      <c r="B58" s="1165" t="s">
        <v>1806</v>
      </c>
      <c r="E58" s="1161"/>
    </row>
    <row r="59" spans="1:10">
      <c r="A59" s="1166">
        <f>+A55+1</f>
        <v>35</v>
      </c>
      <c r="B59" s="1181" t="str">
        <f>+B10</f>
        <v>Mini-computers</v>
      </c>
      <c r="C59" s="1187">
        <f>SUM(C11:C18)</f>
        <v>42579.12</v>
      </c>
      <c r="E59" s="1161"/>
    </row>
    <row r="60" spans="1:10">
      <c r="A60" s="1166">
        <f>+A59+1</f>
        <v>36</v>
      </c>
      <c r="B60" s="1181" t="str">
        <f>B32</f>
        <v>Software Amortization</v>
      </c>
      <c r="C60" s="1187">
        <f>SUM(C33:C40)</f>
        <v>3237.48</v>
      </c>
    </row>
    <row r="61" spans="1:10" s="703" customFormat="1" ht="5.0999999999999996" customHeight="1">
      <c r="A61" s="1171"/>
      <c r="B61" s="1172"/>
      <c r="C61" s="703">
        <v>0</v>
      </c>
      <c r="D61" s="1173"/>
      <c r="F61" s="1173"/>
      <c r="G61" s="1173"/>
      <c r="H61" s="1173"/>
      <c r="J61" s="1173"/>
    </row>
    <row r="62" spans="1:10">
      <c r="A62" s="1166">
        <f>+A60+1</f>
        <v>37</v>
      </c>
      <c r="B62" s="1159" t="s">
        <v>1807</v>
      </c>
      <c r="C62" s="1168">
        <f>SUM(C59:C61)</f>
        <v>45816.600000000006</v>
      </c>
      <c r="I62" s="1168"/>
    </row>
    <row r="63" spans="1:10">
      <c r="A63" s="1166">
        <f>+A62+1</f>
        <v>38</v>
      </c>
      <c r="B63" s="1181" t="str">
        <f>+B24</f>
        <v>Percentage allocated to WSC of Kentucky</v>
      </c>
      <c r="C63" s="1175">
        <f>+C24</f>
        <v>1</v>
      </c>
    </row>
    <row r="64" spans="1:10" s="703" customFormat="1" ht="5.0999999999999996" customHeight="1">
      <c r="A64" s="1171"/>
      <c r="B64" s="1172"/>
      <c r="C64" s="703">
        <v>0</v>
      </c>
      <c r="D64" s="1173"/>
      <c r="F64" s="1173"/>
      <c r="G64" s="1173"/>
      <c r="H64" s="1173"/>
      <c r="J64" s="1173"/>
    </row>
    <row r="65" spans="1:9">
      <c r="A65" s="1166">
        <f>+A63+1</f>
        <v>39</v>
      </c>
      <c r="B65" s="1159" t="s">
        <v>1807</v>
      </c>
      <c r="C65" s="1168">
        <f>+C62*C63</f>
        <v>45816.600000000006</v>
      </c>
      <c r="I65" s="1168"/>
    </row>
    <row r="68" spans="1:9">
      <c r="A68" s="1164" t="s">
        <v>1069</v>
      </c>
      <c r="B68" s="1169" t="s">
        <v>1878</v>
      </c>
      <c r="C68" s="1175"/>
    </row>
    <row r="69" spans="1:9">
      <c r="A69" s="1164" t="s">
        <v>1076</v>
      </c>
      <c r="B69" s="1169" t="s">
        <v>1879</v>
      </c>
      <c r="C69" s="1175"/>
    </row>
    <row r="70" spans="1:9">
      <c r="A70" s="1203" t="s">
        <v>1079</v>
      </c>
      <c r="B70" s="1159" t="s">
        <v>1870</v>
      </c>
      <c r="C70" s="1223"/>
      <c r="D70" s="1199"/>
    </row>
    <row r="71" spans="1:9">
      <c r="A71" s="1203"/>
      <c r="B71" s="1190"/>
      <c r="C71" s="1161" t="s">
        <v>1868</v>
      </c>
      <c r="D71" s="1161" t="s">
        <v>1869</v>
      </c>
      <c r="E71" s="1161" t="s">
        <v>448</v>
      </c>
    </row>
    <row r="72" spans="1:9">
      <c r="A72" s="1203"/>
      <c r="B72" s="1332" t="s">
        <v>1808</v>
      </c>
      <c r="C72" s="1333">
        <v>60</v>
      </c>
      <c r="D72" s="1333">
        <v>5</v>
      </c>
      <c r="E72" s="1331">
        <f>1/D72</f>
        <v>0.2</v>
      </c>
    </row>
    <row r="73" spans="1:9">
      <c r="A73" s="1203"/>
      <c r="B73" s="1332" t="s">
        <v>1810</v>
      </c>
      <c r="C73" s="1333">
        <v>36</v>
      </c>
      <c r="D73" s="1333">
        <v>3</v>
      </c>
      <c r="E73" s="1331">
        <f>1/D73</f>
        <v>0.33333333333333331</v>
      </c>
    </row>
    <row r="74" spans="1:9">
      <c r="A74" s="1203"/>
      <c r="B74" s="1332" t="s">
        <v>1811</v>
      </c>
      <c r="C74" s="1333">
        <v>96</v>
      </c>
      <c r="D74" s="1333">
        <v>8</v>
      </c>
      <c r="E74" s="1331">
        <f>1/D74</f>
        <v>0.125</v>
      </c>
    </row>
    <row r="75" spans="1:9">
      <c r="A75" s="1203"/>
      <c r="B75" s="1332" t="s">
        <v>1812</v>
      </c>
      <c r="C75" s="1333">
        <v>36</v>
      </c>
      <c r="D75" s="1333">
        <v>3</v>
      </c>
      <c r="E75" s="1331">
        <f>1/D75</f>
        <v>0.33333333333333331</v>
      </c>
    </row>
  </sheetData>
  <mergeCells count="4">
    <mergeCell ref="A1:B1"/>
    <mergeCell ref="A2:B2"/>
    <mergeCell ref="A3:B3"/>
    <mergeCell ref="A4:C4"/>
  </mergeCells>
  <pageMargins left="1.5" right="0.7" top="0.75" bottom="0.75" header="0.3" footer="0.3"/>
  <pageSetup scale="5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F0"/>
  </sheetPr>
  <dimension ref="A1:Q130"/>
  <sheetViews>
    <sheetView view="pageBreakPreview" topLeftCell="A74" zoomScaleNormal="100" zoomScaleSheetLayoutView="100" workbookViewId="0"/>
  </sheetViews>
  <sheetFormatPr defaultRowHeight="12.75"/>
  <cols>
    <col min="1" max="1" width="3.375" style="1246" customWidth="1"/>
    <col min="2" max="2" width="37.75" style="1190" customWidth="1"/>
    <col min="3" max="3" width="10.125" style="1190" bestFit="1" customWidth="1"/>
    <col min="4" max="4" width="4.375" style="1189" customWidth="1"/>
    <col min="5" max="5" width="4.5" style="1190" customWidth="1"/>
    <col min="6" max="6" width="7" style="1194" bestFit="1" customWidth="1"/>
    <col min="7" max="7" width="2.625" style="1189" customWidth="1"/>
    <col min="8" max="8" width="11.125" style="1192" customWidth="1"/>
    <col min="9" max="9" width="2.625" style="1189" customWidth="1"/>
    <col min="10" max="10" width="10.625" style="1190" customWidth="1"/>
    <col min="11" max="11" width="3.625" style="1189" customWidth="1"/>
    <col min="12" max="14" width="9" style="1190"/>
    <col min="15" max="15" width="9.125" style="1190" bestFit="1" customWidth="1"/>
    <col min="16" max="16384" width="9" style="1190"/>
  </cols>
  <sheetData>
    <row r="1" spans="1:17" ht="12.75" customHeight="1">
      <c r="A1" s="2147" t="str">
        <f>'Input Schedule'!G6</f>
        <v>WATER SERVICE CORPORATION OF KENTUCKY</v>
      </c>
      <c r="B1" s="2147"/>
      <c r="C1" s="1188"/>
      <c r="F1" s="1191"/>
      <c r="J1" s="1193" t="s">
        <v>1867</v>
      </c>
    </row>
    <row r="2" spans="1:17" ht="12.75" customHeight="1">
      <c r="A2" s="2148" t="s">
        <v>1809</v>
      </c>
      <c r="B2" s="2148"/>
    </row>
    <row r="3" spans="1:17" ht="12.75" customHeight="1">
      <c r="A3" s="2148" t="s">
        <v>1785</v>
      </c>
      <c r="B3" s="2148"/>
    </row>
    <row r="4" spans="1:17" ht="12.75" customHeight="1">
      <c r="A4" s="2145" t="s">
        <v>1662</v>
      </c>
      <c r="B4" s="2145"/>
      <c r="C4" s="2145"/>
    </row>
    <row r="5" spans="1:17" ht="12.75" customHeight="1">
      <c r="A5" s="1197"/>
    </row>
    <row r="6" spans="1:17" ht="12.75" customHeight="1">
      <c r="A6" s="1197"/>
    </row>
    <row r="7" spans="1:17" s="1202" customFormat="1" ht="45" customHeight="1">
      <c r="A7" s="1198" t="s">
        <v>1786</v>
      </c>
      <c r="B7" s="1198" t="s">
        <v>1455</v>
      </c>
      <c r="C7" s="1198" t="s">
        <v>1787</v>
      </c>
      <c r="D7" s="1199"/>
      <c r="E7" s="1198"/>
      <c r="F7" s="1200" t="s">
        <v>1788</v>
      </c>
      <c r="G7" s="1199"/>
      <c r="H7" s="1201" t="s">
        <v>1789</v>
      </c>
      <c r="I7" s="1199" t="s">
        <v>1079</v>
      </c>
      <c r="J7" s="1198" t="s">
        <v>1790</v>
      </c>
      <c r="K7" s="1199"/>
      <c r="L7" s="1198"/>
      <c r="P7" s="1198"/>
      <c r="Q7" s="1198"/>
    </row>
    <row r="8" spans="1:17" ht="12.75" customHeight="1">
      <c r="A8" s="1203"/>
      <c r="B8" s="1195"/>
      <c r="C8" s="1203" t="s">
        <v>1791</v>
      </c>
      <c r="D8" s="1199"/>
      <c r="E8" s="1203"/>
      <c r="F8" s="1204" t="s">
        <v>1792</v>
      </c>
      <c r="G8" s="1199"/>
      <c r="H8" s="1203" t="s">
        <v>1793</v>
      </c>
      <c r="I8" s="1199"/>
      <c r="J8" s="1203" t="s">
        <v>1456</v>
      </c>
      <c r="K8" s="1199"/>
      <c r="L8" s="1195"/>
      <c r="P8" s="1195"/>
      <c r="Q8" s="1195"/>
    </row>
    <row r="9" spans="1:17" ht="12.75" customHeight="1">
      <c r="A9" s="1203"/>
      <c r="B9" s="1195"/>
      <c r="C9" s="1195"/>
      <c r="D9" s="1199"/>
      <c r="E9" s="1195"/>
      <c r="F9" s="1204"/>
      <c r="G9" s="1199"/>
      <c r="H9" s="1205"/>
      <c r="I9" s="1199"/>
      <c r="J9" s="1195"/>
      <c r="K9" s="1199"/>
      <c r="L9" s="1195"/>
      <c r="P9" s="1195"/>
      <c r="Q9" s="1195"/>
    </row>
    <row r="10" spans="1:17" ht="12.75" customHeight="1">
      <c r="A10" s="1203"/>
      <c r="B10" s="1206" t="s">
        <v>1794</v>
      </c>
      <c r="C10" s="1195"/>
      <c r="D10" s="1199"/>
      <c r="E10" s="1195"/>
      <c r="F10" s="1204"/>
      <c r="G10" s="1199"/>
      <c r="H10" s="1205"/>
      <c r="I10" s="1199"/>
      <c r="J10" s="1195"/>
      <c r="K10" s="1199"/>
      <c r="L10" s="1195"/>
      <c r="P10" s="1195"/>
      <c r="Q10" s="1195"/>
    </row>
    <row r="11" spans="1:17" ht="12.75" customHeight="1">
      <c r="A11" s="1207">
        <v>1</v>
      </c>
      <c r="B11" s="1169" t="s">
        <v>1813</v>
      </c>
      <c r="C11" s="1208">
        <v>371501.92</v>
      </c>
      <c r="D11" s="1199" t="s">
        <v>1065</v>
      </c>
      <c r="E11" s="1195"/>
      <c r="F11" s="1204"/>
      <c r="G11" s="1199"/>
      <c r="H11" s="1209">
        <v>0</v>
      </c>
      <c r="I11" s="1199"/>
      <c r="J11" s="1210">
        <f>-C11</f>
        <v>-371501.92</v>
      </c>
      <c r="K11" s="1199"/>
      <c r="L11" s="1195"/>
      <c r="M11" s="1195"/>
      <c r="N11" s="1195"/>
      <c r="O11" s="1208"/>
      <c r="P11" s="1195"/>
      <c r="Q11" s="1195"/>
    </row>
    <row r="12" spans="1:17" ht="12.75" customHeight="1">
      <c r="A12" s="1207">
        <f>+A11+1</f>
        <v>2</v>
      </c>
      <c r="B12" s="1211">
        <v>2001</v>
      </c>
      <c r="C12" s="1208">
        <v>0</v>
      </c>
      <c r="D12" s="1199" t="s">
        <v>1065</v>
      </c>
      <c r="E12" s="1195"/>
      <c r="F12" s="1212">
        <v>12</v>
      </c>
      <c r="G12" s="1199"/>
      <c r="H12" s="1209">
        <v>0</v>
      </c>
      <c r="I12" s="1199"/>
      <c r="J12" s="1213">
        <f t="shared" ref="J12:J23" si="0">-IF(C12/$D$123*F12&gt;=C12,C12,C12/$D$123*F12)</f>
        <v>0</v>
      </c>
      <c r="K12" s="1199"/>
      <c r="L12" s="1195"/>
      <c r="M12" s="1195"/>
      <c r="N12" s="1195"/>
      <c r="O12" s="1208"/>
      <c r="P12" s="1195"/>
      <c r="Q12" s="1195"/>
    </row>
    <row r="13" spans="1:17" ht="12.75" customHeight="1">
      <c r="A13" s="1207">
        <f t="shared" ref="A13:A23" si="1">+A12+1</f>
        <v>3</v>
      </c>
      <c r="B13" s="1211">
        <v>2002</v>
      </c>
      <c r="C13" s="1208">
        <v>5583.4</v>
      </c>
      <c r="D13" s="1199" t="s">
        <v>1065</v>
      </c>
      <c r="E13" s="1195"/>
      <c r="F13" s="1212">
        <v>11</v>
      </c>
      <c r="G13" s="1199"/>
      <c r="H13" s="1209">
        <v>0</v>
      </c>
      <c r="I13" s="1199"/>
      <c r="J13" s="1213">
        <f t="shared" si="0"/>
        <v>-5583.4</v>
      </c>
      <c r="K13" s="1199"/>
      <c r="L13" s="1195"/>
      <c r="M13" s="1195"/>
      <c r="N13" s="1195"/>
      <c r="O13" s="1208"/>
      <c r="P13" s="1195"/>
      <c r="Q13" s="1195"/>
    </row>
    <row r="14" spans="1:17" ht="12.75" customHeight="1">
      <c r="A14" s="1207">
        <f t="shared" si="1"/>
        <v>4</v>
      </c>
      <c r="B14" s="1211">
        <v>2003</v>
      </c>
      <c r="C14" s="1208">
        <v>171679.56</v>
      </c>
      <c r="D14" s="1199" t="s">
        <v>1065</v>
      </c>
      <c r="E14" s="1195"/>
      <c r="F14" s="1212">
        <v>10</v>
      </c>
      <c r="G14" s="1199"/>
      <c r="H14" s="1209">
        <v>0</v>
      </c>
      <c r="I14" s="1199"/>
      <c r="J14" s="1213">
        <f t="shared" si="0"/>
        <v>-171679.56</v>
      </c>
      <c r="K14" s="1199"/>
      <c r="L14" s="1195"/>
      <c r="M14" s="1195"/>
      <c r="N14" s="1195"/>
      <c r="O14" s="1195"/>
      <c r="P14" s="1195"/>
      <c r="Q14" s="1195"/>
    </row>
    <row r="15" spans="1:17" ht="12.75" customHeight="1">
      <c r="A15" s="1207">
        <f t="shared" si="1"/>
        <v>5</v>
      </c>
      <c r="B15" s="1211">
        <v>2004</v>
      </c>
      <c r="C15" s="1208">
        <v>13640.17</v>
      </c>
      <c r="D15" s="1199" t="s">
        <v>1065</v>
      </c>
      <c r="E15" s="1195"/>
      <c r="F15" s="1212">
        <v>9</v>
      </c>
      <c r="G15" s="1199"/>
      <c r="H15" s="1209">
        <v>0</v>
      </c>
      <c r="I15" s="1199"/>
      <c r="J15" s="1213">
        <f t="shared" si="0"/>
        <v>-13640.17</v>
      </c>
      <c r="K15" s="1199"/>
      <c r="L15" s="1195"/>
      <c r="M15" s="1195"/>
      <c r="N15" s="1195"/>
      <c r="O15" s="1208"/>
      <c r="P15" s="1195"/>
      <c r="Q15" s="1195"/>
    </row>
    <row r="16" spans="1:17" ht="12.75" customHeight="1">
      <c r="A16" s="1207">
        <f t="shared" si="1"/>
        <v>6</v>
      </c>
      <c r="B16" s="1211">
        <v>2005</v>
      </c>
      <c r="C16" s="1208">
        <v>0</v>
      </c>
      <c r="D16" s="1199" t="s">
        <v>1065</v>
      </c>
      <c r="E16" s="1195"/>
      <c r="F16" s="1212">
        <v>8</v>
      </c>
      <c r="G16" s="1199"/>
      <c r="H16" s="1209">
        <v>0</v>
      </c>
      <c r="I16" s="1199"/>
      <c r="J16" s="1213">
        <f t="shared" si="0"/>
        <v>0</v>
      </c>
      <c r="K16" s="1199"/>
      <c r="L16" s="1195"/>
      <c r="M16" s="1195"/>
      <c r="N16" s="1195"/>
      <c r="O16" s="1208"/>
      <c r="P16" s="1195"/>
      <c r="Q16" s="1195"/>
    </row>
    <row r="17" spans="1:17" ht="12.75" customHeight="1">
      <c r="A17" s="1207">
        <f t="shared" si="1"/>
        <v>7</v>
      </c>
      <c r="B17" s="1211">
        <v>2006</v>
      </c>
      <c r="C17" s="1208">
        <v>2385</v>
      </c>
      <c r="D17" s="1199" t="s">
        <v>1065</v>
      </c>
      <c r="E17" s="1195"/>
      <c r="F17" s="1212">
        <v>7</v>
      </c>
      <c r="G17" s="1199"/>
      <c r="H17" s="1209">
        <v>0</v>
      </c>
      <c r="I17" s="1199"/>
      <c r="J17" s="1213">
        <f t="shared" si="0"/>
        <v>-2385</v>
      </c>
      <c r="K17" s="1199"/>
      <c r="L17" s="1195"/>
      <c r="M17" s="1195"/>
      <c r="N17" s="1195"/>
      <c r="O17" s="1208"/>
      <c r="P17" s="1195"/>
      <c r="Q17" s="1195"/>
    </row>
    <row r="18" spans="1:17" ht="12.75" customHeight="1">
      <c r="A18" s="1207">
        <f t="shared" si="1"/>
        <v>8</v>
      </c>
      <c r="B18" s="1211">
        <v>2007</v>
      </c>
      <c r="C18" s="1208">
        <v>0</v>
      </c>
      <c r="D18" s="1199" t="s">
        <v>1065</v>
      </c>
      <c r="E18" s="1195"/>
      <c r="F18" s="1212">
        <v>6</v>
      </c>
      <c r="G18" s="1199"/>
      <c r="H18" s="1209">
        <v>0</v>
      </c>
      <c r="I18" s="1199"/>
      <c r="J18" s="1213">
        <f t="shared" si="0"/>
        <v>0</v>
      </c>
      <c r="K18" s="1199"/>
      <c r="L18" s="1195"/>
      <c r="M18" s="1195"/>
      <c r="N18" s="1195"/>
      <c r="O18" s="1214"/>
      <c r="P18" s="1195"/>
      <c r="Q18" s="1195"/>
    </row>
    <row r="19" spans="1:17" ht="12.75" customHeight="1">
      <c r="A19" s="1207">
        <f t="shared" si="1"/>
        <v>9</v>
      </c>
      <c r="B19" s="1215">
        <v>2008</v>
      </c>
      <c r="C19" s="1208">
        <v>6476.37</v>
      </c>
      <c r="D19" s="1199" t="s">
        <v>1065</v>
      </c>
      <c r="E19" s="1195"/>
      <c r="F19" s="1212">
        <v>5</v>
      </c>
      <c r="G19" s="1199"/>
      <c r="H19" s="1209">
        <f>+C19/$D$123</f>
        <v>1295.2739999999999</v>
      </c>
      <c r="I19" s="1199"/>
      <c r="J19" s="1213">
        <f t="shared" si="0"/>
        <v>-6476.37</v>
      </c>
      <c r="K19" s="1199"/>
      <c r="L19" s="1216"/>
      <c r="M19" s="1195"/>
      <c r="N19" s="1195"/>
      <c r="O19" s="1195"/>
      <c r="P19" s="1195"/>
      <c r="Q19" s="1195"/>
    </row>
    <row r="20" spans="1:17" ht="12.75" customHeight="1">
      <c r="A20" s="1207">
        <f t="shared" si="1"/>
        <v>10</v>
      </c>
      <c r="B20" s="1215">
        <v>2009</v>
      </c>
      <c r="C20" s="1208">
        <v>0</v>
      </c>
      <c r="D20" s="1199" t="s">
        <v>1065</v>
      </c>
      <c r="E20" s="1195"/>
      <c r="F20" s="1212">
        <v>4</v>
      </c>
      <c r="G20" s="1199"/>
      <c r="H20" s="1209">
        <f>+C20/$D$123</f>
        <v>0</v>
      </c>
      <c r="I20" s="1199"/>
      <c r="J20" s="1213">
        <f t="shared" si="0"/>
        <v>0</v>
      </c>
      <c r="K20" s="1199"/>
      <c r="L20" s="1195"/>
      <c r="M20" s="1195"/>
      <c r="N20" s="1195"/>
      <c r="O20" s="1195"/>
      <c r="P20" s="1195"/>
      <c r="Q20" s="1195"/>
    </row>
    <row r="21" spans="1:17" ht="12.75" customHeight="1">
      <c r="A21" s="1207">
        <f t="shared" si="1"/>
        <v>11</v>
      </c>
      <c r="B21" s="1215">
        <v>2010</v>
      </c>
      <c r="C21" s="1208">
        <v>508722.1</v>
      </c>
      <c r="D21" s="1199" t="s">
        <v>1065</v>
      </c>
      <c r="E21" s="1195"/>
      <c r="F21" s="1212">
        <v>3</v>
      </c>
      <c r="G21" s="1199"/>
      <c r="H21" s="1209">
        <f>+C21/$D$123</f>
        <v>101744.42</v>
      </c>
      <c r="I21" s="1199"/>
      <c r="J21" s="1213">
        <f t="shared" si="0"/>
        <v>-305233.26</v>
      </c>
      <c r="K21" s="1199"/>
      <c r="L21" s="1195"/>
      <c r="M21" s="1195"/>
      <c r="N21" s="1195"/>
      <c r="O21" s="1195"/>
      <c r="P21" s="1195"/>
      <c r="Q21" s="1195"/>
    </row>
    <row r="22" spans="1:17" ht="12.75" customHeight="1">
      <c r="A22" s="1207">
        <f t="shared" si="1"/>
        <v>12</v>
      </c>
      <c r="B22" s="1215">
        <v>2011</v>
      </c>
      <c r="C22" s="1208">
        <v>6608.58</v>
      </c>
      <c r="D22" s="1199" t="s">
        <v>1065</v>
      </c>
      <c r="E22" s="1195"/>
      <c r="F22" s="1212">
        <v>2</v>
      </c>
      <c r="G22" s="1199"/>
      <c r="H22" s="1209">
        <f>+C22/$D$123</f>
        <v>1321.7159999999999</v>
      </c>
      <c r="I22" s="1199"/>
      <c r="J22" s="1213">
        <f t="shared" si="0"/>
        <v>-2643.4319999999998</v>
      </c>
      <c r="K22" s="1199"/>
      <c r="L22" s="1195"/>
      <c r="M22" s="1195"/>
      <c r="N22" s="1195"/>
      <c r="O22" s="1195"/>
      <c r="P22" s="1195"/>
      <c r="Q22" s="1195"/>
    </row>
    <row r="23" spans="1:17" ht="12.75" customHeight="1">
      <c r="A23" s="1207">
        <f t="shared" si="1"/>
        <v>13</v>
      </c>
      <c r="B23" s="1215">
        <v>2012</v>
      </c>
      <c r="C23" s="1208">
        <v>0</v>
      </c>
      <c r="D23" s="1199" t="s">
        <v>1065</v>
      </c>
      <c r="E23" s="1195"/>
      <c r="F23" s="1212">
        <v>1</v>
      </c>
      <c r="G23" s="1199"/>
      <c r="H23" s="1209">
        <f>+C23/$D$123</f>
        <v>0</v>
      </c>
      <c r="I23" s="1199"/>
      <c r="J23" s="1213">
        <f t="shared" si="0"/>
        <v>0</v>
      </c>
      <c r="K23" s="1199"/>
      <c r="L23" s="1195"/>
      <c r="M23" s="1195"/>
      <c r="N23" s="1195"/>
      <c r="O23" s="1195"/>
      <c r="P23" s="1195"/>
      <c r="Q23" s="1195"/>
    </row>
    <row r="24" spans="1:17" s="1222" customFormat="1" ht="3.95" customHeight="1">
      <c r="A24" s="1217"/>
      <c r="B24" s="1218"/>
      <c r="C24" s="1219">
        <v>0</v>
      </c>
      <c r="D24" s="1220"/>
      <c r="E24" s="1219"/>
      <c r="F24" s="1221"/>
      <c r="G24" s="1220"/>
      <c r="H24" s="1220">
        <v>0</v>
      </c>
      <c r="I24" s="1220"/>
      <c r="J24" s="1219">
        <v>0</v>
      </c>
      <c r="K24" s="1220"/>
      <c r="L24" s="1219"/>
      <c r="M24" s="1219"/>
      <c r="N24" s="1219"/>
      <c r="O24" s="1219"/>
      <c r="P24" s="1219"/>
      <c r="Q24" s="1219"/>
    </row>
    <row r="25" spans="1:17" ht="12.75" customHeight="1">
      <c r="A25" s="1207">
        <f>+A23+1</f>
        <v>14</v>
      </c>
      <c r="B25" s="1169" t="s">
        <v>1795</v>
      </c>
      <c r="C25" s="1208">
        <f>SUM(C10:C24)</f>
        <v>1086597.1000000001</v>
      </c>
      <c r="D25" s="1199"/>
      <c r="E25" s="1195"/>
      <c r="F25" s="1204"/>
      <c r="G25" s="1199"/>
      <c r="H25" s="1209">
        <f>SUM(H11:H24)</f>
        <v>104361.41</v>
      </c>
      <c r="I25" s="1199"/>
      <c r="J25" s="1208">
        <f>SUM(J11:J24)</f>
        <v>-879143.11200000008</v>
      </c>
      <c r="K25" s="1199"/>
      <c r="L25" s="1195"/>
      <c r="M25" s="1195"/>
      <c r="N25" s="1195"/>
      <c r="O25" s="1195"/>
      <c r="P25" s="1195"/>
      <c r="Q25" s="1195"/>
    </row>
    <row r="26" spans="1:17" ht="12.75" customHeight="1">
      <c r="A26" s="1207">
        <f t="shared" ref="A26" si="2">+A25+1</f>
        <v>15</v>
      </c>
      <c r="B26" s="1169" t="s">
        <v>1866</v>
      </c>
      <c r="C26" s="1223">
        <f>+'Input Schedule'!D17</f>
        <v>2.6393242386234281E-2</v>
      </c>
      <c r="D26" s="1199"/>
      <c r="E26" s="1195"/>
      <c r="F26" s="1204"/>
      <c r="G26" s="1199"/>
      <c r="H26" s="1223">
        <f>C26</f>
        <v>2.6393242386234281E-2</v>
      </c>
      <c r="I26" s="1199"/>
      <c r="J26" s="1223">
        <f>C26</f>
        <v>2.6393242386234281E-2</v>
      </c>
      <c r="K26" s="1199"/>
      <c r="L26" s="1195"/>
      <c r="M26" s="1195"/>
      <c r="N26" s="1195"/>
      <c r="O26" s="1195"/>
      <c r="P26" s="1195"/>
      <c r="Q26" s="1195"/>
    </row>
    <row r="27" spans="1:17" s="1222" customFormat="1" ht="5.0999999999999996" customHeight="1">
      <c r="A27" s="1217"/>
      <c r="B27" s="1218"/>
      <c r="C27" s="1219">
        <v>0</v>
      </c>
      <c r="D27" s="1220"/>
      <c r="E27" s="1219"/>
      <c r="F27" s="1221"/>
      <c r="G27" s="1220"/>
      <c r="H27" s="1219">
        <v>0</v>
      </c>
      <c r="I27" s="1220"/>
      <c r="J27" s="1219">
        <v>0</v>
      </c>
      <c r="K27" s="1220"/>
      <c r="L27" s="1219"/>
      <c r="M27" s="1219"/>
      <c r="N27" s="1219"/>
      <c r="O27" s="1219"/>
      <c r="P27" s="1219"/>
      <c r="Q27" s="1219"/>
    </row>
    <row r="28" spans="1:17" ht="12.75" customHeight="1">
      <c r="A28" s="1207">
        <f>+A26+1</f>
        <v>16</v>
      </c>
      <c r="B28" s="1169" t="str">
        <f>" WSC Mainframe computers Allocation"</f>
        <v xml:space="preserve"> WSC Mainframe computers Allocation</v>
      </c>
      <c r="C28" s="1208">
        <f>+C25*C26</f>
        <v>28678.820636479253</v>
      </c>
      <c r="D28" s="1224"/>
      <c r="E28" s="1206"/>
      <c r="F28" s="1225"/>
      <c r="G28" s="1224"/>
      <c r="H28" s="1208">
        <f>+H25*H26</f>
        <v>2754.4359898991743</v>
      </c>
      <c r="I28" s="1224"/>
      <c r="J28" s="1208">
        <f>+J25*J26</f>
        <v>-23203.437247204314</v>
      </c>
      <c r="K28" s="1199"/>
      <c r="L28" s="1195"/>
      <c r="M28" s="1195"/>
      <c r="N28" s="1195"/>
      <c r="O28" s="1195"/>
      <c r="P28" s="1195"/>
      <c r="Q28" s="1195"/>
    </row>
    <row r="29" spans="1:17" ht="12.75" customHeight="1">
      <c r="A29" s="1207"/>
      <c r="B29" s="1169"/>
      <c r="C29" s="1226"/>
      <c r="D29" s="1199"/>
      <c r="E29" s="1195"/>
      <c r="F29" s="1204"/>
      <c r="G29" s="1199"/>
      <c r="H29" s="1205"/>
      <c r="I29" s="1199"/>
      <c r="J29" s="1227"/>
      <c r="K29" s="1199"/>
      <c r="L29" s="1195"/>
      <c r="M29" s="1195"/>
      <c r="N29" s="1195"/>
      <c r="O29" s="1195"/>
      <c r="P29" s="1195"/>
      <c r="Q29" s="1195"/>
    </row>
    <row r="30" spans="1:17" ht="12.75" customHeight="1">
      <c r="A30" s="1207">
        <f>+A28+1</f>
        <v>17</v>
      </c>
      <c r="B30" s="1169" t="s">
        <v>1796</v>
      </c>
      <c r="C30" s="1208">
        <f>C28*1</f>
        <v>28678.820636479253</v>
      </c>
      <c r="D30" s="1203" t="s">
        <v>1069</v>
      </c>
      <c r="E30" s="1195"/>
      <c r="F30" s="1204"/>
      <c r="G30" s="1199"/>
      <c r="H30" s="1208">
        <f>H28*1</f>
        <v>2754.4359898991743</v>
      </c>
      <c r="I30" s="1203" t="s">
        <v>1069</v>
      </c>
      <c r="J30" s="1208">
        <f>J28*1</f>
        <v>-23203.437247204314</v>
      </c>
      <c r="K30" s="1203" t="s">
        <v>1069</v>
      </c>
      <c r="L30" s="1195"/>
      <c r="M30" s="1195"/>
      <c r="N30" s="1195"/>
      <c r="O30" s="1195"/>
      <c r="P30" s="1195"/>
      <c r="Q30" s="1195"/>
    </row>
    <row r="31" spans="1:17" ht="12.75" customHeight="1">
      <c r="A31" s="1207">
        <f t="shared" ref="A31" si="3">+A30+1</f>
        <v>18</v>
      </c>
      <c r="B31" s="1169" t="s">
        <v>1797</v>
      </c>
      <c r="C31" s="1208">
        <f>C28*0</f>
        <v>0</v>
      </c>
      <c r="D31" s="1203" t="s">
        <v>1076</v>
      </c>
      <c r="E31" s="1195"/>
      <c r="F31" s="1204"/>
      <c r="G31" s="1199"/>
      <c r="H31" s="1208">
        <f>H28*0</f>
        <v>0</v>
      </c>
      <c r="I31" s="1203" t="s">
        <v>1076</v>
      </c>
      <c r="J31" s="1208">
        <f>J28*0</f>
        <v>0</v>
      </c>
      <c r="K31" s="1203" t="s">
        <v>1076</v>
      </c>
      <c r="L31" s="1195"/>
      <c r="M31" s="1195"/>
      <c r="N31" s="1195"/>
      <c r="O31" s="1195"/>
      <c r="P31" s="1195"/>
      <c r="Q31" s="1195"/>
    </row>
    <row r="32" spans="1:17" ht="12.75" customHeight="1">
      <c r="A32" s="1207"/>
      <c r="B32" s="1169"/>
      <c r="C32" s="1208"/>
      <c r="D32" s="1199"/>
      <c r="E32" s="1195"/>
      <c r="F32" s="1204"/>
      <c r="G32" s="1199"/>
      <c r="H32" s="1205"/>
      <c r="I32" s="1199"/>
      <c r="J32" s="1208"/>
      <c r="K32" s="1199"/>
      <c r="L32" s="1195"/>
      <c r="M32" s="1195"/>
      <c r="N32" s="1195"/>
      <c r="O32" s="1195"/>
      <c r="P32" s="1195"/>
      <c r="Q32" s="1195"/>
    </row>
    <row r="33" spans="1:17" ht="12.75" customHeight="1">
      <c r="A33" s="1207"/>
      <c r="B33" s="1228" t="s">
        <v>1798</v>
      </c>
      <c r="C33" s="1208"/>
      <c r="D33" s="1199"/>
      <c r="E33" s="1195"/>
      <c r="F33" s="1204"/>
      <c r="G33" s="1199"/>
      <c r="H33" s="1205"/>
      <c r="I33" s="1199"/>
      <c r="J33" s="1208"/>
      <c r="K33" s="1199"/>
      <c r="L33" s="1195"/>
      <c r="M33" s="1195"/>
      <c r="N33" s="1195"/>
      <c r="O33" s="1195"/>
      <c r="P33" s="1195"/>
      <c r="Q33" s="1195"/>
    </row>
    <row r="34" spans="1:17" ht="12.75" customHeight="1">
      <c r="A34" s="1207">
        <f>+A31+1</f>
        <v>19</v>
      </c>
      <c r="B34" s="1229" t="s">
        <v>1814</v>
      </c>
      <c r="C34" s="1230">
        <f>336703.35-74638.15-5422.29+21446.45+59267.49+43190.56+92778.78-10456.23+42112.09+26068.58-4786.54-3941.45</f>
        <v>522322.63999999984</v>
      </c>
      <c r="D34" s="1199" t="s">
        <v>1065</v>
      </c>
      <c r="E34" s="1195"/>
      <c r="F34" s="1204"/>
      <c r="G34" s="1199"/>
      <c r="H34" s="1209">
        <v>0</v>
      </c>
      <c r="I34" s="1199"/>
      <c r="J34" s="1208">
        <f t="shared" ref="J34" si="4">-C34</f>
        <v>-522322.63999999984</v>
      </c>
      <c r="K34" s="1199"/>
      <c r="L34" s="1195"/>
      <c r="M34" s="1195"/>
      <c r="N34" s="1195"/>
      <c r="O34" s="1208"/>
      <c r="P34" s="1195"/>
      <c r="Q34" s="1195"/>
    </row>
    <row r="35" spans="1:17" ht="12.75" customHeight="1">
      <c r="A35" s="1207">
        <f>+A34+1</f>
        <v>20</v>
      </c>
      <c r="B35" s="1231">
        <v>2001</v>
      </c>
      <c r="C35" s="1208">
        <v>24964.82</v>
      </c>
      <c r="D35" s="1199" t="s">
        <v>1065</v>
      </c>
      <c r="E35" s="1195"/>
      <c r="F35" s="1212">
        <v>12</v>
      </c>
      <c r="G35" s="1199"/>
      <c r="H35" s="1209">
        <v>0</v>
      </c>
      <c r="I35" s="1199"/>
      <c r="J35" s="1213">
        <f t="shared" ref="J35:J46" si="5">-IF(C35/$D$124*F35&gt;=C35,C35,C35/$D$124*F35)</f>
        <v>-24964.82</v>
      </c>
      <c r="K35" s="1199"/>
      <c r="L35" s="1195"/>
      <c r="M35" s="1195"/>
      <c r="N35" s="1195"/>
      <c r="O35" s="1208"/>
      <c r="P35" s="1195"/>
      <c r="Q35" s="1195"/>
    </row>
    <row r="36" spans="1:17" ht="12.75" customHeight="1">
      <c r="A36" s="1207">
        <f t="shared" ref="A36:A45" si="6">+A35+1</f>
        <v>21</v>
      </c>
      <c r="B36" s="1231">
        <v>2002</v>
      </c>
      <c r="C36" s="1208">
        <v>169303.75</v>
      </c>
      <c r="D36" s="1199" t="s">
        <v>1065</v>
      </c>
      <c r="E36" s="1195"/>
      <c r="F36" s="1212">
        <v>11</v>
      </c>
      <c r="G36" s="1199"/>
      <c r="H36" s="1209">
        <v>0</v>
      </c>
      <c r="I36" s="1199"/>
      <c r="J36" s="1213">
        <f t="shared" si="5"/>
        <v>-169303.75</v>
      </c>
      <c r="K36" s="1199"/>
      <c r="L36" s="1195"/>
      <c r="M36" s="1195"/>
      <c r="N36" s="1195"/>
      <c r="O36" s="1208"/>
      <c r="P36" s="1195"/>
      <c r="Q36" s="1195"/>
    </row>
    <row r="37" spans="1:17" ht="12.75" customHeight="1">
      <c r="A37" s="1207">
        <f t="shared" si="6"/>
        <v>22</v>
      </c>
      <c r="B37" s="1231">
        <v>2003</v>
      </c>
      <c r="C37" s="1208">
        <v>32992.83</v>
      </c>
      <c r="D37" s="1199" t="s">
        <v>1065</v>
      </c>
      <c r="E37" s="1195"/>
      <c r="F37" s="1212">
        <v>10</v>
      </c>
      <c r="G37" s="1199"/>
      <c r="H37" s="1209">
        <v>0</v>
      </c>
      <c r="I37" s="1199"/>
      <c r="J37" s="1213">
        <f t="shared" si="5"/>
        <v>-32992.83</v>
      </c>
      <c r="K37" s="1199"/>
      <c r="L37" s="1195"/>
      <c r="M37" s="1195"/>
      <c r="N37" s="1195"/>
      <c r="O37" s="1195"/>
      <c r="P37" s="1195"/>
      <c r="Q37" s="1195"/>
    </row>
    <row r="38" spans="1:17" ht="12.75" customHeight="1">
      <c r="A38" s="1207">
        <f t="shared" si="6"/>
        <v>23</v>
      </c>
      <c r="B38" s="1231">
        <v>2004</v>
      </c>
      <c r="C38" s="1208">
        <v>28300.37</v>
      </c>
      <c r="D38" s="1199" t="s">
        <v>1065</v>
      </c>
      <c r="E38" s="1195"/>
      <c r="F38" s="1212">
        <v>9</v>
      </c>
      <c r="G38" s="1199"/>
      <c r="H38" s="1209">
        <v>0</v>
      </c>
      <c r="I38" s="1199"/>
      <c r="J38" s="1213">
        <f t="shared" si="5"/>
        <v>-28300.37</v>
      </c>
      <c r="K38" s="1199"/>
      <c r="L38" s="1195"/>
      <c r="M38" s="1195"/>
      <c r="N38" s="1195"/>
      <c r="O38" s="1208"/>
      <c r="P38" s="1195"/>
      <c r="Q38" s="1195"/>
    </row>
    <row r="39" spans="1:17" ht="12.75" customHeight="1">
      <c r="A39" s="1207">
        <f t="shared" si="6"/>
        <v>24</v>
      </c>
      <c r="B39" s="1231">
        <v>2005</v>
      </c>
      <c r="C39" s="1208">
        <v>64443.01</v>
      </c>
      <c r="D39" s="1199" t="s">
        <v>1065</v>
      </c>
      <c r="E39" s="1195"/>
      <c r="F39" s="1212">
        <v>8</v>
      </c>
      <c r="G39" s="1199"/>
      <c r="H39" s="1209">
        <v>0</v>
      </c>
      <c r="I39" s="1199"/>
      <c r="J39" s="1213">
        <f t="shared" si="5"/>
        <v>-64443.01</v>
      </c>
      <c r="K39" s="1199"/>
      <c r="L39" s="1195"/>
      <c r="M39" s="1195"/>
      <c r="N39" s="1195"/>
      <c r="O39" s="1208"/>
      <c r="P39" s="1195"/>
      <c r="Q39" s="1195"/>
    </row>
    <row r="40" spans="1:17" ht="12.75" customHeight="1">
      <c r="A40" s="1207">
        <f t="shared" si="6"/>
        <v>25</v>
      </c>
      <c r="B40" s="1231">
        <v>2006</v>
      </c>
      <c r="C40" s="1232">
        <v>129917</v>
      </c>
      <c r="D40" s="1199" t="s">
        <v>1065</v>
      </c>
      <c r="E40" s="1195"/>
      <c r="F40" s="1212">
        <v>7</v>
      </c>
      <c r="G40" s="1199"/>
      <c r="H40" s="1209">
        <v>0</v>
      </c>
      <c r="I40" s="1199"/>
      <c r="J40" s="1213">
        <f t="shared" si="5"/>
        <v>-129917</v>
      </c>
      <c r="K40" s="1199"/>
      <c r="L40" s="1195"/>
      <c r="M40" s="1195"/>
      <c r="N40" s="1233"/>
      <c r="O40" s="1208"/>
      <c r="P40" s="1195"/>
      <c r="Q40" s="1195"/>
    </row>
    <row r="41" spans="1:17" ht="12.75" customHeight="1">
      <c r="A41" s="1207">
        <f t="shared" si="6"/>
        <v>26</v>
      </c>
      <c r="B41" s="1231">
        <v>2007</v>
      </c>
      <c r="C41" s="1232">
        <v>207293.74</v>
      </c>
      <c r="D41" s="1199" t="s">
        <v>1065</v>
      </c>
      <c r="E41" s="1195"/>
      <c r="F41" s="1212">
        <v>6</v>
      </c>
      <c r="G41" s="1199"/>
      <c r="H41" s="1209">
        <v>0</v>
      </c>
      <c r="I41" s="1199"/>
      <c r="J41" s="1213">
        <f t="shared" si="5"/>
        <v>-207293.74</v>
      </c>
      <c r="K41" s="1199"/>
      <c r="L41" s="1195"/>
      <c r="M41" s="1195"/>
      <c r="N41" s="1195"/>
      <c r="O41" s="1214"/>
      <c r="P41" s="1195"/>
      <c r="Q41" s="1195"/>
    </row>
    <row r="42" spans="1:17" ht="12.75" customHeight="1">
      <c r="A42" s="1207">
        <f t="shared" si="6"/>
        <v>27</v>
      </c>
      <c r="B42" s="1215">
        <v>2008</v>
      </c>
      <c r="C42" s="1232">
        <f>50144.23+20558</f>
        <v>70702.23000000001</v>
      </c>
      <c r="D42" s="1199" t="s">
        <v>1065</v>
      </c>
      <c r="E42" s="1195"/>
      <c r="F42" s="1212">
        <v>5</v>
      </c>
      <c r="G42" s="1199"/>
      <c r="H42" s="1209">
        <v>0</v>
      </c>
      <c r="I42" s="1199"/>
      <c r="J42" s="1213">
        <f t="shared" si="5"/>
        <v>-70702.23000000001</v>
      </c>
      <c r="K42" s="1199"/>
      <c r="L42" s="1195"/>
      <c r="M42" s="1195"/>
      <c r="N42" s="1195"/>
      <c r="O42" s="1195"/>
      <c r="P42" s="1195"/>
      <c r="Q42" s="1195"/>
    </row>
    <row r="43" spans="1:17" ht="12.75" customHeight="1">
      <c r="A43" s="1207">
        <f t="shared" si="6"/>
        <v>28</v>
      </c>
      <c r="B43" s="1215">
        <v>2009</v>
      </c>
      <c r="C43" s="1234">
        <v>58159.65</v>
      </c>
      <c r="D43" s="1199" t="s">
        <v>1065</v>
      </c>
      <c r="E43" s="1195"/>
      <c r="F43" s="1212">
        <v>4</v>
      </c>
      <c r="G43" s="1199"/>
      <c r="H43" s="1209">
        <v>0</v>
      </c>
      <c r="I43" s="1199"/>
      <c r="J43" s="1213">
        <f t="shared" si="5"/>
        <v>-58159.65</v>
      </c>
      <c r="K43" s="1199"/>
      <c r="L43" s="1195"/>
      <c r="M43" s="1195"/>
      <c r="N43" s="1195"/>
      <c r="O43" s="1195"/>
      <c r="P43" s="1195"/>
      <c r="Q43" s="1195"/>
    </row>
    <row r="44" spans="1:17" ht="12.75" customHeight="1">
      <c r="A44" s="1207">
        <f t="shared" si="6"/>
        <v>29</v>
      </c>
      <c r="B44" s="1215">
        <v>2010</v>
      </c>
      <c r="C44" s="1232">
        <v>93231.26</v>
      </c>
      <c r="D44" s="1199" t="s">
        <v>1065</v>
      </c>
      <c r="E44" s="1195"/>
      <c r="F44" s="1212">
        <v>3</v>
      </c>
      <c r="G44" s="1199"/>
      <c r="H44" s="1209">
        <f>+C44/$D$124</f>
        <v>31077.086666666666</v>
      </c>
      <c r="I44" s="1199"/>
      <c r="J44" s="1213">
        <f t="shared" si="5"/>
        <v>-93231.26</v>
      </c>
      <c r="K44" s="1199"/>
      <c r="L44" s="1216"/>
      <c r="M44" s="1195"/>
      <c r="N44" s="1195"/>
      <c r="O44" s="1195"/>
      <c r="P44" s="1195"/>
      <c r="Q44" s="1195"/>
    </row>
    <row r="45" spans="1:17" ht="12.75" customHeight="1">
      <c r="A45" s="1207">
        <f t="shared" si="6"/>
        <v>30</v>
      </c>
      <c r="B45" s="1215">
        <v>2011</v>
      </c>
      <c r="C45" s="1234">
        <v>175254.61</v>
      </c>
      <c r="D45" s="1199" t="s">
        <v>1065</v>
      </c>
      <c r="E45" s="1195"/>
      <c r="F45" s="1212">
        <v>2</v>
      </c>
      <c r="G45" s="1199"/>
      <c r="H45" s="1209">
        <f>+C45/$D$124</f>
        <v>58418.203333333331</v>
      </c>
      <c r="I45" s="1199"/>
      <c r="J45" s="1213">
        <f t="shared" si="5"/>
        <v>-116836.40666666666</v>
      </c>
      <c r="K45" s="1199"/>
      <c r="L45" s="1195"/>
      <c r="M45" s="1195"/>
      <c r="N45" s="1195"/>
      <c r="O45" s="1195"/>
      <c r="P45" s="1195"/>
      <c r="Q45" s="1195"/>
    </row>
    <row r="46" spans="1:17" ht="12.75" customHeight="1">
      <c r="A46" s="1207">
        <f>+A45+1</f>
        <v>31</v>
      </c>
      <c r="B46" s="1215">
        <v>2012</v>
      </c>
      <c r="C46" s="1234">
        <v>76063.22</v>
      </c>
      <c r="D46" s="1199" t="s">
        <v>1065</v>
      </c>
      <c r="E46" s="1195"/>
      <c r="F46" s="1212">
        <v>1</v>
      </c>
      <c r="G46" s="1199"/>
      <c r="H46" s="1209">
        <f>+C46/$D$124</f>
        <v>25354.406666666666</v>
      </c>
      <c r="I46" s="1199"/>
      <c r="J46" s="1213">
        <f t="shared" si="5"/>
        <v>-25354.406666666666</v>
      </c>
      <c r="K46" s="1199"/>
      <c r="L46" s="1195"/>
      <c r="M46" s="1195"/>
      <c r="N46" s="1195"/>
      <c r="O46" s="1195"/>
      <c r="P46" s="1195"/>
      <c r="Q46" s="1195"/>
    </row>
    <row r="47" spans="1:17" s="1222" customFormat="1" ht="5.0999999999999996" customHeight="1">
      <c r="A47" s="1217"/>
      <c r="B47" s="1218"/>
      <c r="C47" s="1219">
        <v>0</v>
      </c>
      <c r="D47" s="1220"/>
      <c r="E47" s="1219"/>
      <c r="F47" s="1221"/>
      <c r="G47" s="1220"/>
      <c r="H47" s="1235">
        <v>0</v>
      </c>
      <c r="I47" s="1220"/>
      <c r="J47" s="1219">
        <v>0</v>
      </c>
      <c r="K47" s="1220"/>
      <c r="L47" s="1219"/>
      <c r="M47" s="1219"/>
      <c r="N47" s="1219"/>
      <c r="O47" s="1219"/>
      <c r="P47" s="1219"/>
      <c r="Q47" s="1219"/>
    </row>
    <row r="48" spans="1:17" ht="12.75" customHeight="1">
      <c r="A48" s="1207">
        <f>+A46+1</f>
        <v>32</v>
      </c>
      <c r="B48" s="1169" t="s">
        <v>1799</v>
      </c>
      <c r="C48" s="1208">
        <f>SUM(C34:C47)</f>
        <v>1652949.1299999997</v>
      </c>
      <c r="D48" s="1199"/>
      <c r="E48" s="1195"/>
      <c r="F48" s="1212"/>
      <c r="G48" s="1199"/>
      <c r="H48" s="1209">
        <f>SUM(H34:H47)</f>
        <v>114849.69666666666</v>
      </c>
      <c r="I48" s="1199"/>
      <c r="J48" s="1208">
        <f>SUM(J34:J47)</f>
        <v>-1543822.1133333331</v>
      </c>
      <c r="K48" s="1199"/>
      <c r="L48" s="1195"/>
      <c r="M48" s="1195"/>
      <c r="N48" s="1195"/>
      <c r="O48" s="1195"/>
      <c r="P48" s="1195"/>
      <c r="Q48" s="1195"/>
    </row>
    <row r="49" spans="1:17" ht="12.75" customHeight="1">
      <c r="A49" s="1207">
        <f t="shared" ref="A49" si="7">+A48+1</f>
        <v>33</v>
      </c>
      <c r="B49" s="1169" t="str">
        <f>B26</f>
        <v>Percentage allocated to WSC of Kentucky</v>
      </c>
      <c r="C49" s="1223">
        <f>+C26</f>
        <v>2.6393242386234281E-2</v>
      </c>
      <c r="D49" s="1199"/>
      <c r="E49" s="1195"/>
      <c r="F49" s="1212"/>
      <c r="G49" s="1199"/>
      <c r="H49" s="1223">
        <f>H26</f>
        <v>2.6393242386234281E-2</v>
      </c>
      <c r="I49" s="1199"/>
      <c r="J49" s="1223">
        <f>+J26</f>
        <v>2.6393242386234281E-2</v>
      </c>
      <c r="K49" s="1199"/>
      <c r="L49" s="1195"/>
      <c r="M49" s="1195"/>
      <c r="N49" s="1195"/>
      <c r="O49" s="1195"/>
      <c r="P49" s="1195"/>
      <c r="Q49" s="1195"/>
    </row>
    <row r="50" spans="1:17" s="1222" customFormat="1" ht="5.0999999999999996" customHeight="1">
      <c r="A50" s="1217"/>
      <c r="B50" s="1218"/>
      <c r="C50" s="1219">
        <v>0</v>
      </c>
      <c r="D50" s="1220"/>
      <c r="E50" s="1219"/>
      <c r="F50" s="1221"/>
      <c r="G50" s="1220"/>
      <c r="H50" s="1219">
        <v>0</v>
      </c>
      <c r="I50" s="1220"/>
      <c r="J50" s="1219">
        <v>0</v>
      </c>
      <c r="K50" s="1220"/>
      <c r="L50" s="1219"/>
      <c r="M50" s="1219"/>
      <c r="N50" s="1219"/>
      <c r="O50" s="1219"/>
      <c r="P50" s="1219"/>
      <c r="Q50" s="1219"/>
    </row>
    <row r="51" spans="1:17" ht="12.75" customHeight="1">
      <c r="A51" s="1207">
        <f>+A49+1</f>
        <v>34</v>
      </c>
      <c r="B51" s="1169" t="s">
        <v>1815</v>
      </c>
      <c r="C51" s="1208">
        <f>+C48*C49</f>
        <v>43626.68704020507</v>
      </c>
      <c r="D51" s="1199"/>
      <c r="E51" s="1195"/>
      <c r="F51" s="1204"/>
      <c r="G51" s="1199"/>
      <c r="H51" s="1208">
        <f>+H48*H49</f>
        <v>3031.2558821088164</v>
      </c>
      <c r="I51" s="1199"/>
      <c r="J51" s="1208">
        <f>+J48*J49</f>
        <v>-40746.471238435108</v>
      </c>
      <c r="K51" s="1199"/>
      <c r="L51" s="1195"/>
      <c r="M51" s="1195"/>
      <c r="N51" s="1195"/>
      <c r="O51" s="1195"/>
      <c r="P51" s="1195"/>
      <c r="Q51" s="1195"/>
    </row>
    <row r="52" spans="1:17" ht="12.75" customHeight="1">
      <c r="A52" s="1207"/>
      <c r="B52" s="1169"/>
      <c r="C52" s="1208"/>
      <c r="D52" s="1199"/>
      <c r="E52" s="1195"/>
      <c r="F52" s="1204"/>
      <c r="G52" s="1199"/>
      <c r="H52" s="1205"/>
      <c r="I52" s="1199"/>
      <c r="J52" s="1208"/>
      <c r="K52" s="1199"/>
      <c r="L52" s="1195"/>
      <c r="M52" s="1195"/>
      <c r="N52" s="1195"/>
      <c r="O52" s="1195"/>
      <c r="P52" s="1195"/>
      <c r="Q52" s="1195"/>
    </row>
    <row r="53" spans="1:17" ht="12.75" customHeight="1">
      <c r="A53" s="1207">
        <f>+A51+1</f>
        <v>35</v>
      </c>
      <c r="B53" s="1169" t="s">
        <v>1801</v>
      </c>
      <c r="C53" s="1208">
        <f>C51*1</f>
        <v>43626.68704020507</v>
      </c>
      <c r="D53" s="1203" t="s">
        <v>1069</v>
      </c>
      <c r="E53" s="1195"/>
      <c r="F53" s="1204"/>
      <c r="G53" s="1199"/>
      <c r="H53" s="1208">
        <f>H51*1</f>
        <v>3031.2558821088164</v>
      </c>
      <c r="I53" s="1203" t="s">
        <v>1069</v>
      </c>
      <c r="J53" s="1208">
        <f>J51*1</f>
        <v>-40746.471238435108</v>
      </c>
      <c r="K53" s="1203" t="s">
        <v>1069</v>
      </c>
      <c r="L53" s="1195"/>
      <c r="M53" s="1216"/>
      <c r="N53" s="1195"/>
      <c r="O53" s="1195"/>
      <c r="P53" s="1195"/>
      <c r="Q53" s="1195"/>
    </row>
    <row r="54" spans="1:17" ht="12.75" customHeight="1">
      <c r="A54" s="1207">
        <f t="shared" ref="A54" si="8">+A53+1</f>
        <v>36</v>
      </c>
      <c r="B54" s="1169" t="s">
        <v>1802</v>
      </c>
      <c r="C54" s="1208">
        <f>C51*0</f>
        <v>0</v>
      </c>
      <c r="D54" s="1203" t="s">
        <v>1076</v>
      </c>
      <c r="E54" s="1195"/>
      <c r="F54" s="1204"/>
      <c r="G54" s="1199"/>
      <c r="H54" s="1208">
        <f>H51*0</f>
        <v>0</v>
      </c>
      <c r="I54" s="1203" t="s">
        <v>1076</v>
      </c>
      <c r="J54" s="1208">
        <f>J51*0</f>
        <v>0</v>
      </c>
      <c r="K54" s="1203" t="s">
        <v>1076</v>
      </c>
      <c r="L54" s="1195"/>
      <c r="M54" s="1236"/>
      <c r="N54" s="1195"/>
      <c r="O54" s="1195"/>
      <c r="P54" s="1195"/>
      <c r="Q54" s="1195"/>
    </row>
    <row r="55" spans="1:17" ht="12.75" customHeight="1">
      <c r="A55" s="1207"/>
      <c r="B55" s="1169"/>
      <c r="C55" s="1208"/>
      <c r="D55" s="1203"/>
      <c r="E55" s="1195"/>
      <c r="F55" s="1204"/>
      <c r="G55" s="1199"/>
      <c r="H55" s="1205"/>
      <c r="I55" s="1199"/>
      <c r="J55" s="1208"/>
      <c r="K55" s="1203"/>
      <c r="L55" s="1195"/>
      <c r="M55" s="1236"/>
      <c r="N55" s="1195"/>
      <c r="O55" s="1195"/>
      <c r="P55" s="1195"/>
      <c r="Q55" s="1195"/>
    </row>
    <row r="56" spans="1:17" ht="12.75" customHeight="1">
      <c r="A56" s="1207"/>
      <c r="B56" s="1228" t="s">
        <v>1816</v>
      </c>
      <c r="C56" s="1208"/>
      <c r="D56" s="1199"/>
      <c r="E56" s="1195"/>
      <c r="F56" s="1204"/>
      <c r="G56" s="1199"/>
      <c r="H56" s="1205"/>
      <c r="I56" s="1199"/>
      <c r="J56" s="1208"/>
      <c r="K56" s="1199"/>
      <c r="L56" s="1195"/>
      <c r="M56" s="1236"/>
      <c r="N56" s="1195"/>
      <c r="O56" s="1195"/>
      <c r="P56" s="1195"/>
      <c r="Q56" s="1195"/>
    </row>
    <row r="57" spans="1:17" ht="12.75" customHeight="1">
      <c r="A57" s="1207">
        <f>+A54+1</f>
        <v>37</v>
      </c>
      <c r="B57" s="1229" t="s">
        <v>1814</v>
      </c>
      <c r="C57" s="1230">
        <v>771292.93</v>
      </c>
      <c r="D57" s="1199" t="s">
        <v>1065</v>
      </c>
      <c r="E57" s="1195"/>
      <c r="F57" s="1204"/>
      <c r="G57" s="1199"/>
      <c r="H57" s="1209">
        <v>0</v>
      </c>
      <c r="I57" s="1199"/>
      <c r="J57" s="1208">
        <f t="shared" ref="J57" si="9">-C57</f>
        <v>-771292.93</v>
      </c>
      <c r="K57" s="1199"/>
      <c r="L57" s="1195"/>
      <c r="M57" s="1195"/>
      <c r="N57" s="1195"/>
      <c r="O57" s="1208"/>
      <c r="P57" s="1195"/>
      <c r="Q57" s="1195"/>
    </row>
    <row r="58" spans="1:17" ht="12.75" customHeight="1">
      <c r="A58" s="1207">
        <f t="shared" ref="A58:A68" si="10">+A57+1</f>
        <v>38</v>
      </c>
      <c r="B58" s="1231">
        <v>2001</v>
      </c>
      <c r="C58" s="1208">
        <v>45542.34</v>
      </c>
      <c r="D58" s="1199" t="s">
        <v>1065</v>
      </c>
      <c r="E58" s="1195"/>
      <c r="F58" s="1212">
        <v>12</v>
      </c>
      <c r="G58" s="1199"/>
      <c r="H58" s="1209">
        <v>0</v>
      </c>
      <c r="I58" s="1199"/>
      <c r="J58" s="1213">
        <f t="shared" ref="J58:J69" si="11">-IF(C58/$D$125*F58&gt;=C58,C58,C58/$D$125*F58)</f>
        <v>-45542.34</v>
      </c>
      <c r="K58" s="1199"/>
      <c r="L58" s="1195"/>
      <c r="M58" s="1195"/>
      <c r="N58" s="1195"/>
      <c r="O58" s="1208"/>
      <c r="P58" s="1195"/>
      <c r="Q58" s="1195"/>
    </row>
    <row r="59" spans="1:17" ht="12.75" customHeight="1">
      <c r="A59" s="1207">
        <f t="shared" si="10"/>
        <v>39</v>
      </c>
      <c r="B59" s="1231">
        <v>2002</v>
      </c>
      <c r="C59" s="1208">
        <v>5912.31</v>
      </c>
      <c r="D59" s="1199" t="s">
        <v>1065</v>
      </c>
      <c r="E59" s="1195"/>
      <c r="F59" s="1212">
        <v>11</v>
      </c>
      <c r="G59" s="1199"/>
      <c r="H59" s="1209">
        <v>0</v>
      </c>
      <c r="I59" s="1199"/>
      <c r="J59" s="1213">
        <f t="shared" si="11"/>
        <v>-5912.31</v>
      </c>
      <c r="K59" s="1199"/>
      <c r="L59" s="1195"/>
      <c r="M59" s="1195"/>
      <c r="N59" s="1195"/>
      <c r="O59" s="1208"/>
      <c r="P59" s="1195"/>
      <c r="Q59" s="1195"/>
    </row>
    <row r="60" spans="1:17" ht="12.75" customHeight="1">
      <c r="A60" s="1207">
        <f t="shared" si="10"/>
        <v>40</v>
      </c>
      <c r="B60" s="1231">
        <v>2003</v>
      </c>
      <c r="C60" s="1208">
        <v>14240</v>
      </c>
      <c r="D60" s="1199" t="s">
        <v>1065</v>
      </c>
      <c r="E60" s="1195"/>
      <c r="F60" s="1212">
        <v>10</v>
      </c>
      <c r="G60" s="1199"/>
      <c r="H60" s="1209">
        <v>0</v>
      </c>
      <c r="I60" s="1199"/>
      <c r="J60" s="1213">
        <f t="shared" si="11"/>
        <v>-14240</v>
      </c>
      <c r="K60" s="1199"/>
      <c r="L60" s="1195"/>
      <c r="M60" s="1195"/>
      <c r="N60" s="1195"/>
      <c r="O60" s="1195"/>
      <c r="P60" s="1195"/>
      <c r="Q60" s="1195"/>
    </row>
    <row r="61" spans="1:17" ht="12.75" customHeight="1">
      <c r="A61" s="1207">
        <f t="shared" si="10"/>
        <v>41</v>
      </c>
      <c r="B61" s="1231">
        <v>2004</v>
      </c>
      <c r="C61" s="1208">
        <v>0</v>
      </c>
      <c r="D61" s="1199" t="s">
        <v>1065</v>
      </c>
      <c r="E61" s="1195"/>
      <c r="F61" s="1212">
        <v>9</v>
      </c>
      <c r="G61" s="1199"/>
      <c r="H61" s="1209">
        <v>0</v>
      </c>
      <c r="I61" s="1199"/>
      <c r="J61" s="1213">
        <f t="shared" si="11"/>
        <v>0</v>
      </c>
      <c r="K61" s="1199"/>
      <c r="L61" s="1195"/>
      <c r="M61" s="1195"/>
      <c r="N61" s="1195"/>
      <c r="O61" s="1208"/>
      <c r="P61" s="1195"/>
      <c r="Q61" s="1195"/>
    </row>
    <row r="62" spans="1:17" ht="12.75" customHeight="1">
      <c r="A62" s="1207">
        <f t="shared" si="10"/>
        <v>42</v>
      </c>
      <c r="B62" s="1231">
        <v>2005</v>
      </c>
      <c r="C62" s="1208">
        <v>0</v>
      </c>
      <c r="D62" s="1199" t="s">
        <v>1065</v>
      </c>
      <c r="E62" s="1195"/>
      <c r="F62" s="1212">
        <v>8</v>
      </c>
      <c r="G62" s="1199"/>
      <c r="H62" s="1209">
        <f t="shared" ref="H62:H68" si="12">+C62/$D$125</f>
        <v>0</v>
      </c>
      <c r="I62" s="1199"/>
      <c r="J62" s="1213">
        <f t="shared" si="11"/>
        <v>0</v>
      </c>
      <c r="K62" s="1199"/>
      <c r="L62" s="1195"/>
      <c r="M62" s="1195"/>
      <c r="N62" s="1195"/>
      <c r="O62" s="1208"/>
      <c r="P62" s="1195"/>
      <c r="Q62" s="1195"/>
    </row>
    <row r="63" spans="1:17" ht="12.75" customHeight="1">
      <c r="A63" s="1207">
        <f t="shared" si="10"/>
        <v>43</v>
      </c>
      <c r="B63" s="1231">
        <v>2006</v>
      </c>
      <c r="C63" s="1232">
        <v>0</v>
      </c>
      <c r="D63" s="1199" t="s">
        <v>1065</v>
      </c>
      <c r="E63" s="1195"/>
      <c r="F63" s="1212">
        <v>7</v>
      </c>
      <c r="G63" s="1199"/>
      <c r="H63" s="1209">
        <f t="shared" si="12"/>
        <v>0</v>
      </c>
      <c r="I63" s="1199"/>
      <c r="J63" s="1213">
        <f t="shared" si="11"/>
        <v>0</v>
      </c>
      <c r="K63" s="1199"/>
      <c r="L63" s="1195"/>
      <c r="M63" s="1195"/>
      <c r="N63" s="1195"/>
      <c r="O63" s="1208"/>
      <c r="P63" s="1195"/>
      <c r="Q63" s="1195"/>
    </row>
    <row r="64" spans="1:17" ht="12.75" customHeight="1">
      <c r="A64" s="1207">
        <f t="shared" si="10"/>
        <v>44</v>
      </c>
      <c r="B64" s="1231">
        <v>2007</v>
      </c>
      <c r="C64" s="1232">
        <v>0</v>
      </c>
      <c r="D64" s="1199" t="s">
        <v>1065</v>
      </c>
      <c r="E64" s="1195"/>
      <c r="F64" s="1212">
        <v>6</v>
      </c>
      <c r="G64" s="1199"/>
      <c r="H64" s="1209">
        <f t="shared" si="12"/>
        <v>0</v>
      </c>
      <c r="I64" s="1199"/>
      <c r="J64" s="1213">
        <f t="shared" si="11"/>
        <v>0</v>
      </c>
      <c r="K64" s="1199"/>
      <c r="L64" s="1195"/>
      <c r="M64" s="1195"/>
      <c r="N64" s="1195"/>
      <c r="O64" s="1214"/>
      <c r="P64" s="1195"/>
      <c r="Q64" s="1195"/>
    </row>
    <row r="65" spans="1:17" ht="12.75" customHeight="1">
      <c r="A65" s="1207">
        <f t="shared" si="10"/>
        <v>45</v>
      </c>
      <c r="B65" s="1215">
        <v>2008</v>
      </c>
      <c r="C65" s="1232">
        <f>20826256.86+795767</f>
        <v>21622023.859999999</v>
      </c>
      <c r="D65" s="1199" t="s">
        <v>1065</v>
      </c>
      <c r="E65" s="1195"/>
      <c r="F65" s="1212">
        <v>5</v>
      </c>
      <c r="G65" s="1199"/>
      <c r="H65" s="1209">
        <f t="shared" si="12"/>
        <v>2702752.9824999999</v>
      </c>
      <c r="I65" s="1199"/>
      <c r="J65" s="1213">
        <f t="shared" si="11"/>
        <v>-13513764.9125</v>
      </c>
      <c r="K65" s="1199"/>
      <c r="L65" s="1216"/>
      <c r="M65" s="1195"/>
      <c r="N65" s="1195"/>
      <c r="O65" s="1195"/>
      <c r="P65" s="1195"/>
      <c r="Q65" s="1195"/>
    </row>
    <row r="66" spans="1:17" ht="12.75" customHeight="1">
      <c r="A66" s="1207">
        <f t="shared" si="10"/>
        <v>46</v>
      </c>
      <c r="B66" s="1215">
        <v>2009</v>
      </c>
      <c r="C66" s="1232">
        <v>488372.76</v>
      </c>
      <c r="D66" s="1199" t="s">
        <v>1065</v>
      </c>
      <c r="E66" s="1195"/>
      <c r="F66" s="1212">
        <v>4</v>
      </c>
      <c r="G66" s="1199"/>
      <c r="H66" s="1209">
        <f t="shared" si="12"/>
        <v>61046.595000000001</v>
      </c>
      <c r="I66" s="1199"/>
      <c r="J66" s="1213">
        <f t="shared" si="11"/>
        <v>-244186.38</v>
      </c>
      <c r="K66" s="1199"/>
      <c r="L66" s="1216"/>
      <c r="M66" s="1195"/>
      <c r="N66" s="1195"/>
      <c r="O66" s="1195"/>
      <c r="P66" s="1195"/>
      <c r="Q66" s="1195"/>
    </row>
    <row r="67" spans="1:17" ht="12.75" customHeight="1">
      <c r="A67" s="1207">
        <f t="shared" si="10"/>
        <v>47</v>
      </c>
      <c r="B67" s="1215">
        <v>2010</v>
      </c>
      <c r="C67" s="1232">
        <v>-170056.34</v>
      </c>
      <c r="D67" s="1199" t="s">
        <v>1065</v>
      </c>
      <c r="E67" s="1195"/>
      <c r="F67" s="1212">
        <v>3</v>
      </c>
      <c r="G67" s="1199"/>
      <c r="H67" s="1209">
        <f t="shared" si="12"/>
        <v>-21257.0425</v>
      </c>
      <c r="I67" s="1199"/>
      <c r="J67" s="1213">
        <f t="shared" si="11"/>
        <v>170056.34</v>
      </c>
      <c r="K67" s="1199"/>
      <c r="L67" s="1195"/>
      <c r="M67" s="1195"/>
      <c r="N67" s="1195"/>
      <c r="O67" s="1195"/>
      <c r="P67" s="1195"/>
      <c r="Q67" s="1195"/>
    </row>
    <row r="68" spans="1:17" ht="13.5" customHeight="1">
      <c r="A68" s="1207">
        <f t="shared" si="10"/>
        <v>48</v>
      </c>
      <c r="B68" s="1215">
        <v>2011</v>
      </c>
      <c r="C68" s="1234">
        <v>95692.17</v>
      </c>
      <c r="D68" s="1199" t="s">
        <v>1065</v>
      </c>
      <c r="E68" s="1195"/>
      <c r="F68" s="1212">
        <v>2</v>
      </c>
      <c r="G68" s="1199"/>
      <c r="H68" s="1209">
        <f t="shared" si="12"/>
        <v>11961.52125</v>
      </c>
      <c r="I68" s="1199"/>
      <c r="J68" s="1213">
        <f t="shared" si="11"/>
        <v>-23923.0425</v>
      </c>
      <c r="K68" s="1199"/>
      <c r="L68" s="1195"/>
      <c r="M68" s="1195"/>
      <c r="N68" s="1195"/>
      <c r="O68" s="1195"/>
      <c r="P68" s="1195"/>
      <c r="Q68" s="1195"/>
    </row>
    <row r="69" spans="1:17" ht="13.5" customHeight="1">
      <c r="A69" s="1207">
        <f>+A68+1</f>
        <v>49</v>
      </c>
      <c r="B69" s="1215">
        <v>2012</v>
      </c>
      <c r="C69" s="1234">
        <v>68520.63</v>
      </c>
      <c r="D69" s="1199" t="s">
        <v>1065</v>
      </c>
      <c r="E69" s="1195"/>
      <c r="F69" s="1212">
        <v>1</v>
      </c>
      <c r="G69" s="1199"/>
      <c r="H69" s="1209">
        <f>+C69/$D$125</f>
        <v>8565.0787500000006</v>
      </c>
      <c r="I69" s="1199"/>
      <c r="J69" s="1213">
        <f t="shared" si="11"/>
        <v>-8565.0787500000006</v>
      </c>
      <c r="K69" s="1199"/>
      <c r="L69" s="1195"/>
      <c r="M69" s="1195"/>
      <c r="N69" s="1195"/>
      <c r="O69" s="1195"/>
      <c r="P69" s="1195"/>
      <c r="Q69" s="1195"/>
    </row>
    <row r="70" spans="1:17" ht="5.0999999999999996" customHeight="1">
      <c r="A70" s="1207"/>
      <c r="B70" s="1215"/>
      <c r="C70" s="1219">
        <v>0</v>
      </c>
      <c r="D70" s="1199"/>
      <c r="E70" s="1195"/>
      <c r="F70" s="1212"/>
      <c r="G70" s="1199"/>
      <c r="H70" s="1235">
        <v>0</v>
      </c>
      <c r="I70" s="1199"/>
      <c r="J70" s="1219">
        <v>0</v>
      </c>
      <c r="K70" s="1199"/>
      <c r="L70" s="1195"/>
      <c r="M70" s="1195"/>
      <c r="N70" s="1195"/>
      <c r="O70" s="1195"/>
      <c r="P70" s="1195"/>
      <c r="Q70" s="1195"/>
    </row>
    <row r="71" spans="1:17" ht="12.75" customHeight="1">
      <c r="A71" s="1207">
        <f>+A69+1</f>
        <v>50</v>
      </c>
      <c r="B71" s="1169" t="s">
        <v>1817</v>
      </c>
      <c r="C71" s="1208">
        <f>SUM(C57:C70)</f>
        <v>22941540.66</v>
      </c>
      <c r="D71" s="1199"/>
      <c r="E71" s="1195"/>
      <c r="F71" s="1204"/>
      <c r="G71" s="1199"/>
      <c r="H71" s="1209">
        <f>SUM(H57:H70)</f>
        <v>2763069.1350000002</v>
      </c>
      <c r="I71" s="1199"/>
      <c r="J71" s="1208">
        <f>SUM(J57:J70)</f>
        <v>-14457370.653750001</v>
      </c>
      <c r="K71" s="1199"/>
      <c r="L71" s="1195"/>
      <c r="M71" s="1195"/>
      <c r="N71" s="1195"/>
      <c r="O71" s="1195"/>
      <c r="P71" s="1195"/>
      <c r="Q71" s="1195"/>
    </row>
    <row r="72" spans="1:17" ht="12.75" customHeight="1">
      <c r="A72" s="1207">
        <f t="shared" ref="A72" si="13">+A71+1</f>
        <v>51</v>
      </c>
      <c r="B72" s="1169" t="str">
        <f>B49</f>
        <v>Percentage allocated to WSC of Kentucky</v>
      </c>
      <c r="C72" s="1223">
        <f>+C49</f>
        <v>2.6393242386234281E-2</v>
      </c>
      <c r="D72" s="1199"/>
      <c r="E72" s="1195"/>
      <c r="F72" s="1204"/>
      <c r="G72" s="1199"/>
      <c r="H72" s="1223">
        <f>H49</f>
        <v>2.6393242386234281E-2</v>
      </c>
      <c r="I72" s="1199"/>
      <c r="J72" s="1223">
        <f>J49</f>
        <v>2.6393242386234281E-2</v>
      </c>
      <c r="K72" s="1199"/>
      <c r="L72" s="1195"/>
      <c r="M72" s="1195"/>
      <c r="N72" s="1195"/>
      <c r="O72" s="1195"/>
      <c r="P72" s="1195"/>
      <c r="Q72" s="1195"/>
    </row>
    <row r="73" spans="1:17" ht="5.0999999999999996" customHeight="1">
      <c r="A73" s="1217"/>
      <c r="B73" s="1218"/>
      <c r="C73" s="1219">
        <v>0</v>
      </c>
      <c r="D73" s="1220"/>
      <c r="E73" s="1219"/>
      <c r="F73" s="1221"/>
      <c r="G73" s="1220"/>
      <c r="H73" s="1219">
        <v>0</v>
      </c>
      <c r="I73" s="1220"/>
      <c r="J73" s="1219">
        <v>0</v>
      </c>
      <c r="K73" s="1220"/>
      <c r="L73" s="1195"/>
      <c r="M73" s="1195"/>
      <c r="N73" s="1195"/>
      <c r="O73" s="1195"/>
      <c r="P73" s="1195"/>
      <c r="Q73" s="1195"/>
    </row>
    <row r="74" spans="1:17" ht="12.75" customHeight="1">
      <c r="A74" s="1207">
        <f>+A72+1</f>
        <v>52</v>
      </c>
      <c r="B74" s="1169" t="s">
        <v>1818</v>
      </c>
      <c r="C74" s="1208">
        <f>+C71*C72</f>
        <v>605501.64335302915</v>
      </c>
      <c r="D74" s="1199"/>
      <c r="E74" s="1195"/>
      <c r="F74" s="1204"/>
      <c r="G74" s="1199"/>
      <c r="H74" s="1208">
        <f>+H71*H72</f>
        <v>72926.353409977703</v>
      </c>
      <c r="I74" s="1199"/>
      <c r="J74" s="1208">
        <f>+J71*J72</f>
        <v>-381576.88793205412</v>
      </c>
      <c r="K74" s="1199"/>
      <c r="L74" s="1195"/>
      <c r="M74" s="1195"/>
      <c r="N74" s="1237"/>
      <c r="O74" s="1195"/>
      <c r="P74" s="1195"/>
      <c r="Q74" s="1195"/>
    </row>
    <row r="75" spans="1:17" ht="12.75" customHeight="1">
      <c r="A75" s="1207"/>
      <c r="B75" s="1169"/>
      <c r="C75" s="1208"/>
      <c r="D75" s="1199"/>
      <c r="E75" s="1195"/>
      <c r="F75" s="1204"/>
      <c r="G75" s="1199"/>
      <c r="H75" s="1205"/>
      <c r="I75" s="1199"/>
      <c r="J75" s="1208"/>
      <c r="K75" s="1199"/>
      <c r="L75" s="1195"/>
      <c r="M75" s="1195"/>
      <c r="N75" s="1195"/>
      <c r="O75" s="1195"/>
      <c r="P75" s="1195"/>
      <c r="Q75" s="1195"/>
    </row>
    <row r="76" spans="1:17" ht="12.75" customHeight="1">
      <c r="A76" s="1207">
        <f>+A74+1</f>
        <v>53</v>
      </c>
      <c r="B76" s="1169" t="s">
        <v>1819</v>
      </c>
      <c r="C76" s="1208">
        <f>C74*1</f>
        <v>605501.64335302915</v>
      </c>
      <c r="D76" s="1203" t="s">
        <v>1069</v>
      </c>
      <c r="E76" s="1195"/>
      <c r="F76" s="1204"/>
      <c r="G76" s="1199"/>
      <c r="H76" s="1208">
        <f>H74*1</f>
        <v>72926.353409977703</v>
      </c>
      <c r="I76" s="1203" t="s">
        <v>1069</v>
      </c>
      <c r="J76" s="1208">
        <f>J74*1</f>
        <v>-381576.88793205412</v>
      </c>
      <c r="K76" s="1203" t="s">
        <v>1069</v>
      </c>
      <c r="L76" s="1195"/>
      <c r="M76" s="1195"/>
      <c r="N76" s="1195"/>
      <c r="O76" s="1195"/>
      <c r="P76" s="1195"/>
      <c r="Q76" s="1195"/>
    </row>
    <row r="77" spans="1:17" ht="12.75" customHeight="1">
      <c r="A77" s="1207">
        <f t="shared" ref="A77" si="14">+A76+1</f>
        <v>54</v>
      </c>
      <c r="B77" s="1169" t="s">
        <v>1820</v>
      </c>
      <c r="C77" s="1208">
        <f>C74*0</f>
        <v>0</v>
      </c>
      <c r="D77" s="1203" t="s">
        <v>1076</v>
      </c>
      <c r="E77" s="1195"/>
      <c r="F77" s="1204"/>
      <c r="G77" s="1199"/>
      <c r="H77" s="1208">
        <f>H74*0</f>
        <v>0</v>
      </c>
      <c r="I77" s="1203" t="s">
        <v>1076</v>
      </c>
      <c r="J77" s="1208">
        <f>J74*0</f>
        <v>0</v>
      </c>
      <c r="K77" s="1203" t="s">
        <v>1076</v>
      </c>
      <c r="L77" s="1195"/>
      <c r="M77" s="1195"/>
      <c r="N77" s="1195"/>
      <c r="O77" s="1195"/>
      <c r="P77" s="1195"/>
      <c r="Q77" s="1195"/>
    </row>
    <row r="78" spans="1:17" ht="12.75" customHeight="1">
      <c r="A78" s="1207"/>
      <c r="B78" s="1169"/>
      <c r="C78" s="1208"/>
      <c r="D78" s="1203"/>
      <c r="E78" s="1195"/>
      <c r="F78" s="1204"/>
      <c r="G78" s="1199"/>
      <c r="H78" s="1205"/>
      <c r="I78" s="1199"/>
      <c r="J78" s="1208"/>
      <c r="K78" s="1203"/>
      <c r="L78" s="1195"/>
      <c r="M78" s="1195"/>
      <c r="N78" s="1195"/>
      <c r="O78" s="1195"/>
      <c r="P78" s="1195"/>
      <c r="Q78" s="1195"/>
    </row>
    <row r="79" spans="1:17" ht="12.75" customHeight="1">
      <c r="A79" s="1207"/>
      <c r="B79" s="1238" t="s">
        <v>1803</v>
      </c>
      <c r="C79" s="1208"/>
      <c r="D79" s="1199"/>
      <c r="E79" s="1195"/>
      <c r="F79" s="1204"/>
      <c r="G79" s="1199"/>
      <c r="H79" s="1205"/>
      <c r="I79" s="1199"/>
      <c r="J79" s="1208"/>
      <c r="K79" s="1199"/>
      <c r="L79" s="1195"/>
      <c r="M79" s="1195"/>
      <c r="N79" s="1195"/>
      <c r="O79" s="1195"/>
      <c r="P79" s="1195"/>
      <c r="Q79" s="1195"/>
    </row>
    <row r="80" spans="1:17" ht="12.75" customHeight="1">
      <c r="A80" s="1207">
        <f>+A77+1</f>
        <v>55</v>
      </c>
      <c r="B80" s="1239" t="s">
        <v>1821</v>
      </c>
      <c r="C80" s="1208">
        <v>89398.85</v>
      </c>
      <c r="D80" s="1199" t="s">
        <v>1065</v>
      </c>
      <c r="E80" s="1195"/>
      <c r="F80" s="1212"/>
      <c r="G80" s="1199"/>
      <c r="H80" s="1209">
        <v>0</v>
      </c>
      <c r="I80" s="1199"/>
      <c r="J80" s="1208">
        <f>-C80</f>
        <v>-89398.85</v>
      </c>
      <c r="K80" s="1199"/>
      <c r="L80" s="1195"/>
      <c r="M80" s="1195"/>
      <c r="N80" s="1195"/>
      <c r="O80" s="1208"/>
      <c r="P80" s="1195"/>
      <c r="Q80" s="1195"/>
    </row>
    <row r="81" spans="1:17" ht="12.75" customHeight="1">
      <c r="A81" s="1207">
        <f t="shared" ref="A81:A91" si="15">+A80+1</f>
        <v>56</v>
      </c>
      <c r="B81" s="1240">
        <v>2001</v>
      </c>
      <c r="C81" s="1208">
        <v>9222.02</v>
      </c>
      <c r="D81" s="1199" t="s">
        <v>1065</v>
      </c>
      <c r="E81" s="1195"/>
      <c r="F81" s="1212">
        <v>12</v>
      </c>
      <c r="G81" s="1199"/>
      <c r="H81" s="1209">
        <v>0</v>
      </c>
      <c r="I81" s="1199"/>
      <c r="J81" s="1213">
        <f t="shared" ref="J81:J92" si="16">-IF(C81/$D$126*F81&gt;=C81,C81,C81/$D$126*F81)</f>
        <v>-9222.02</v>
      </c>
      <c r="K81" s="1199"/>
      <c r="L81" s="1195"/>
      <c r="M81" s="1195"/>
      <c r="N81" s="1195"/>
      <c r="O81" s="1208"/>
      <c r="P81" s="1195"/>
      <c r="Q81" s="1195"/>
    </row>
    <row r="82" spans="1:17" ht="12.75" customHeight="1">
      <c r="A82" s="1207">
        <f t="shared" si="15"/>
        <v>57</v>
      </c>
      <c r="B82" s="1240">
        <v>2002</v>
      </c>
      <c r="C82" s="1208">
        <v>17117.28</v>
      </c>
      <c r="D82" s="1199" t="s">
        <v>1065</v>
      </c>
      <c r="E82" s="1195"/>
      <c r="F82" s="1212">
        <v>11</v>
      </c>
      <c r="G82" s="1199"/>
      <c r="H82" s="1209">
        <v>0</v>
      </c>
      <c r="I82" s="1199"/>
      <c r="J82" s="1213">
        <f t="shared" si="16"/>
        <v>-17117.28</v>
      </c>
      <c r="K82" s="1199"/>
      <c r="L82" s="1195"/>
      <c r="M82" s="1195"/>
      <c r="N82" s="1195"/>
      <c r="O82" s="1208"/>
      <c r="P82" s="1195"/>
      <c r="Q82" s="1195"/>
    </row>
    <row r="83" spans="1:17" ht="12.75" customHeight="1">
      <c r="A83" s="1207">
        <f t="shared" si="15"/>
        <v>58</v>
      </c>
      <c r="B83" s="1240">
        <v>2003</v>
      </c>
      <c r="C83" s="1208">
        <v>8312.1</v>
      </c>
      <c r="D83" s="1199" t="s">
        <v>1065</v>
      </c>
      <c r="E83" s="1195"/>
      <c r="F83" s="1212">
        <v>10</v>
      </c>
      <c r="G83" s="1199"/>
      <c r="H83" s="1209">
        <v>0</v>
      </c>
      <c r="I83" s="1199"/>
      <c r="J83" s="1213">
        <f t="shared" si="16"/>
        <v>-8312.1</v>
      </c>
      <c r="K83" s="1199"/>
      <c r="L83" s="1195"/>
      <c r="M83" s="1195"/>
      <c r="N83" s="1195"/>
      <c r="O83" s="1195"/>
      <c r="P83" s="1195"/>
      <c r="Q83" s="1195"/>
    </row>
    <row r="84" spans="1:17" ht="12.75" customHeight="1">
      <c r="A84" s="1207">
        <f t="shared" si="15"/>
        <v>59</v>
      </c>
      <c r="B84" s="1240">
        <v>2004</v>
      </c>
      <c r="C84" s="1208">
        <v>5069.38</v>
      </c>
      <c r="D84" s="1199" t="s">
        <v>1065</v>
      </c>
      <c r="E84" s="1195"/>
      <c r="F84" s="1212">
        <v>9</v>
      </c>
      <c r="G84" s="1199"/>
      <c r="H84" s="1209">
        <v>0</v>
      </c>
      <c r="I84" s="1199"/>
      <c r="J84" s="1213">
        <f t="shared" si="16"/>
        <v>-5069.38</v>
      </c>
      <c r="K84" s="1199"/>
      <c r="L84" s="1195"/>
      <c r="M84" s="1195"/>
      <c r="N84" s="1195"/>
      <c r="O84" s="1208"/>
      <c r="P84" s="1195"/>
      <c r="Q84" s="1195"/>
    </row>
    <row r="85" spans="1:17" ht="12.75" customHeight="1">
      <c r="A85" s="1207">
        <f t="shared" si="15"/>
        <v>60</v>
      </c>
      <c r="B85" s="1240">
        <v>2005</v>
      </c>
      <c r="C85" s="1208">
        <v>30905.93</v>
      </c>
      <c r="D85" s="1199" t="s">
        <v>1065</v>
      </c>
      <c r="E85" s="1195"/>
      <c r="F85" s="1212">
        <v>8</v>
      </c>
      <c r="G85" s="1199"/>
      <c r="H85" s="1209">
        <v>0</v>
      </c>
      <c r="I85" s="1199"/>
      <c r="J85" s="1213">
        <f t="shared" si="16"/>
        <v>-30905.93</v>
      </c>
      <c r="K85" s="1199"/>
      <c r="L85" s="1195"/>
      <c r="M85" s="1195"/>
      <c r="N85" s="1195"/>
      <c r="O85" s="1208"/>
      <c r="P85" s="1195"/>
      <c r="Q85" s="1195"/>
    </row>
    <row r="86" spans="1:17" ht="12.75" customHeight="1">
      <c r="A86" s="1207">
        <f t="shared" si="15"/>
        <v>61</v>
      </c>
      <c r="B86" s="1240">
        <v>2006</v>
      </c>
      <c r="C86" s="1170">
        <v>20309.55</v>
      </c>
      <c r="D86" s="1199" t="s">
        <v>1065</v>
      </c>
      <c r="E86" s="1195"/>
      <c r="F86" s="1212">
        <v>7</v>
      </c>
      <c r="G86" s="1199"/>
      <c r="H86" s="1209">
        <v>0</v>
      </c>
      <c r="I86" s="1199"/>
      <c r="J86" s="1213">
        <f t="shared" si="16"/>
        <v>-20309.55</v>
      </c>
      <c r="K86" s="1199"/>
      <c r="L86" s="1195"/>
      <c r="M86" s="1195"/>
      <c r="N86" s="1195"/>
      <c r="O86" s="1208"/>
      <c r="P86" s="1195"/>
      <c r="Q86" s="1195"/>
    </row>
    <row r="87" spans="1:17" ht="12.75" customHeight="1">
      <c r="A87" s="1207">
        <f t="shared" si="15"/>
        <v>62</v>
      </c>
      <c r="B87" s="1240">
        <v>2007</v>
      </c>
      <c r="C87" s="1170">
        <v>318624.71999999997</v>
      </c>
      <c r="D87" s="1199" t="s">
        <v>1065</v>
      </c>
      <c r="E87" s="1195"/>
      <c r="F87" s="1212">
        <v>6</v>
      </c>
      <c r="G87" s="1199"/>
      <c r="H87" s="1209">
        <v>0</v>
      </c>
      <c r="I87" s="1199"/>
      <c r="J87" s="1213">
        <f t="shared" si="16"/>
        <v>-318624.71999999997</v>
      </c>
      <c r="K87" s="1199"/>
      <c r="L87" s="1195"/>
      <c r="M87" s="1195"/>
      <c r="N87" s="1195"/>
      <c r="O87" s="1214"/>
      <c r="P87" s="1195"/>
      <c r="Q87" s="1195"/>
    </row>
    <row r="88" spans="1:17" ht="12.75" customHeight="1">
      <c r="A88" s="1207">
        <f t="shared" si="15"/>
        <v>63</v>
      </c>
      <c r="B88" s="1215">
        <v>2008</v>
      </c>
      <c r="C88" s="1170">
        <v>60603.839999999997</v>
      </c>
      <c r="D88" s="1199" t="s">
        <v>1065</v>
      </c>
      <c r="E88" s="1195"/>
      <c r="F88" s="1212">
        <v>5</v>
      </c>
      <c r="G88" s="1199"/>
      <c r="H88" s="1209">
        <v>0</v>
      </c>
      <c r="I88" s="1199"/>
      <c r="J88" s="1213">
        <f t="shared" si="16"/>
        <v>-60603.839999999997</v>
      </c>
      <c r="K88" s="1199"/>
      <c r="L88" s="1195"/>
      <c r="M88" s="1195"/>
      <c r="N88" s="1195"/>
      <c r="O88" s="1195"/>
      <c r="P88" s="1195"/>
      <c r="Q88" s="1195"/>
    </row>
    <row r="89" spans="1:17" ht="12.75" customHeight="1">
      <c r="A89" s="1207">
        <f t="shared" si="15"/>
        <v>64</v>
      </c>
      <c r="B89" s="1215">
        <v>2009</v>
      </c>
      <c r="C89" s="1170">
        <v>2762.01</v>
      </c>
      <c r="D89" s="1199" t="s">
        <v>1065</v>
      </c>
      <c r="E89" s="1195"/>
      <c r="F89" s="1212">
        <v>4</v>
      </c>
      <c r="G89" s="1199"/>
      <c r="H89" s="1209">
        <v>0</v>
      </c>
      <c r="I89" s="1199"/>
      <c r="J89" s="1213">
        <f t="shared" si="16"/>
        <v>-2762.01</v>
      </c>
      <c r="K89" s="1199"/>
      <c r="L89" s="1195"/>
      <c r="M89" s="1195"/>
      <c r="N89" s="1195"/>
      <c r="O89" s="1195"/>
      <c r="P89" s="1195"/>
      <c r="Q89" s="1195"/>
    </row>
    <row r="90" spans="1:17" ht="12.75" customHeight="1">
      <c r="A90" s="1207">
        <f t="shared" si="15"/>
        <v>65</v>
      </c>
      <c r="B90" s="1215">
        <v>2010</v>
      </c>
      <c r="C90" s="1170">
        <v>0</v>
      </c>
      <c r="D90" s="1199" t="s">
        <v>1065</v>
      </c>
      <c r="E90" s="1195"/>
      <c r="F90" s="1212">
        <v>3</v>
      </c>
      <c r="G90" s="1199"/>
      <c r="H90" s="1209">
        <f>+C90/$D$126</f>
        <v>0</v>
      </c>
      <c r="I90" s="1199"/>
      <c r="J90" s="1213">
        <f t="shared" si="16"/>
        <v>0</v>
      </c>
      <c r="K90" s="1199"/>
      <c r="L90" s="1195"/>
      <c r="M90" s="1195"/>
      <c r="N90" s="1195"/>
      <c r="O90" s="1195"/>
      <c r="P90" s="1195"/>
      <c r="Q90" s="1195"/>
    </row>
    <row r="91" spans="1:17" ht="12.75" customHeight="1">
      <c r="A91" s="1207">
        <f t="shared" si="15"/>
        <v>66</v>
      </c>
      <c r="B91" s="1215">
        <v>2011</v>
      </c>
      <c r="C91" s="1170">
        <v>0</v>
      </c>
      <c r="D91" s="1199" t="s">
        <v>1065</v>
      </c>
      <c r="E91" s="1195"/>
      <c r="F91" s="1212">
        <v>2</v>
      </c>
      <c r="G91" s="1199"/>
      <c r="H91" s="1209">
        <f>+C91/$D$126</f>
        <v>0</v>
      </c>
      <c r="I91" s="1199"/>
      <c r="J91" s="1213">
        <f t="shared" si="16"/>
        <v>0</v>
      </c>
      <c r="K91" s="1199"/>
      <c r="L91" s="1195"/>
      <c r="M91" s="1195"/>
      <c r="N91" s="1195"/>
      <c r="O91" s="1195"/>
      <c r="P91" s="1195"/>
      <c r="Q91" s="1195"/>
    </row>
    <row r="92" spans="1:17" ht="12.75" customHeight="1">
      <c r="A92" s="1207">
        <f>+A91+1</f>
        <v>67</v>
      </c>
      <c r="B92" s="1215">
        <v>2012</v>
      </c>
      <c r="C92" s="1170">
        <v>0</v>
      </c>
      <c r="D92" s="1199" t="s">
        <v>1065</v>
      </c>
      <c r="E92" s="1195"/>
      <c r="F92" s="1212">
        <v>1</v>
      </c>
      <c r="G92" s="1199"/>
      <c r="H92" s="1209">
        <f>+C92/$D$126</f>
        <v>0</v>
      </c>
      <c r="I92" s="1199"/>
      <c r="J92" s="1213">
        <f t="shared" si="16"/>
        <v>0</v>
      </c>
      <c r="K92" s="1199"/>
      <c r="L92" s="1195"/>
      <c r="M92" s="1195"/>
      <c r="N92" s="1195"/>
      <c r="O92" s="1195"/>
      <c r="P92" s="1195"/>
      <c r="Q92" s="1195"/>
    </row>
    <row r="93" spans="1:17" ht="5.0999999999999996" customHeight="1">
      <c r="A93" s="1207"/>
      <c r="B93" s="1241"/>
      <c r="C93" s="1242">
        <v>0</v>
      </c>
      <c r="D93" s="1195"/>
      <c r="E93" s="1195"/>
      <c r="F93" s="1204"/>
      <c r="G93" s="1199"/>
      <c r="H93" s="1220">
        <v>0</v>
      </c>
      <c r="I93" s="1199"/>
      <c r="J93" s="1219">
        <v>0</v>
      </c>
      <c r="K93" s="1199"/>
      <c r="L93" s="1195"/>
      <c r="M93" s="1195"/>
      <c r="N93" s="1195"/>
      <c r="O93" s="1195"/>
      <c r="P93" s="1195"/>
      <c r="Q93" s="1195"/>
    </row>
    <row r="94" spans="1:17" ht="12.75" customHeight="1">
      <c r="A94" s="1207">
        <f>+A92+1</f>
        <v>68</v>
      </c>
      <c r="B94" s="1241" t="s">
        <v>1804</v>
      </c>
      <c r="C94" s="1170">
        <f>SUM(C80:C93)</f>
        <v>562325.67999999993</v>
      </c>
      <c r="D94" s="1195"/>
      <c r="E94" s="1195"/>
      <c r="F94" s="1204"/>
      <c r="G94" s="1199"/>
      <c r="H94" s="1209">
        <f>SUM(H80:H93)</f>
        <v>0</v>
      </c>
      <c r="I94" s="1199"/>
      <c r="J94" s="1209">
        <f>SUM(J80:J93)</f>
        <v>-562325.67999999993</v>
      </c>
      <c r="K94" s="1199"/>
      <c r="L94" s="1195"/>
      <c r="M94" s="1195"/>
      <c r="N94" s="1195"/>
      <c r="O94" s="1208"/>
      <c r="P94" s="1195"/>
      <c r="Q94" s="1195"/>
    </row>
    <row r="95" spans="1:17" ht="12.75" customHeight="1">
      <c r="A95" s="1207">
        <f t="shared" ref="A95" si="17">+A94+1</f>
        <v>69</v>
      </c>
      <c r="B95" s="1241" t="str">
        <f>B26</f>
        <v>Percentage allocated to WSC of Kentucky</v>
      </c>
      <c r="C95" s="1223">
        <f>C72</f>
        <v>2.6393242386234281E-2</v>
      </c>
      <c r="D95" s="1195"/>
      <c r="E95" s="1195"/>
      <c r="F95" s="1204"/>
      <c r="G95" s="1199"/>
      <c r="H95" s="1223">
        <f>H72</f>
        <v>2.6393242386234281E-2</v>
      </c>
      <c r="I95" s="1199"/>
      <c r="J95" s="1223">
        <f>J72</f>
        <v>2.6393242386234281E-2</v>
      </c>
      <c r="K95" s="1199"/>
      <c r="L95" s="1195"/>
      <c r="M95" s="1195"/>
      <c r="N95" s="1195"/>
      <c r="O95" s="1208"/>
      <c r="P95" s="1195"/>
      <c r="Q95" s="1195"/>
    </row>
    <row r="96" spans="1:17" ht="5.0999999999999996" customHeight="1">
      <c r="A96" s="1207"/>
      <c r="B96" s="1241"/>
      <c r="C96" s="1219">
        <v>0</v>
      </c>
      <c r="D96" s="1195"/>
      <c r="E96" s="1195"/>
      <c r="F96" s="1204"/>
      <c r="G96" s="1199"/>
      <c r="H96" s="1219">
        <v>0</v>
      </c>
      <c r="I96" s="1199"/>
      <c r="J96" s="1219">
        <v>0</v>
      </c>
      <c r="K96" s="1199"/>
      <c r="L96" s="1195"/>
      <c r="M96" s="1195"/>
      <c r="N96" s="1195"/>
      <c r="O96" s="1195"/>
      <c r="P96" s="1195"/>
      <c r="Q96" s="1195"/>
    </row>
    <row r="97" spans="1:17" ht="12.75" customHeight="1">
      <c r="A97" s="1207">
        <f>+A95+1</f>
        <v>70</v>
      </c>
      <c r="B97" s="1241" t="s">
        <v>1822</v>
      </c>
      <c r="C97" s="1170">
        <f>C94*C95</f>
        <v>14841.597972244013</v>
      </c>
      <c r="D97" s="1195"/>
      <c r="E97" s="1195"/>
      <c r="F97" s="1204"/>
      <c r="G97" s="1199"/>
      <c r="H97" s="1208">
        <f>+H94*H95</f>
        <v>0</v>
      </c>
      <c r="I97" s="1199"/>
      <c r="J97" s="1208">
        <f>J94*J95</f>
        <v>-14841.597972244013</v>
      </c>
      <c r="K97" s="1199"/>
      <c r="L97" s="1195"/>
      <c r="M97" s="1195"/>
      <c r="N97" s="1195"/>
      <c r="O97" s="1208"/>
      <c r="P97" s="1195"/>
      <c r="Q97" s="1195"/>
    </row>
    <row r="98" spans="1:17" ht="12.75" customHeight="1">
      <c r="A98" s="1207"/>
      <c r="B98" s="1241"/>
      <c r="C98" s="1243"/>
      <c r="D98" s="1195"/>
      <c r="E98" s="1195"/>
      <c r="F98" s="1204"/>
      <c r="G98" s="1199"/>
      <c r="H98" s="1205"/>
      <c r="I98" s="1199"/>
      <c r="J98" s="1208"/>
      <c r="K98" s="1199"/>
      <c r="L98" s="1195"/>
      <c r="M98" s="1195"/>
      <c r="N98" s="1195"/>
      <c r="O98" s="1223"/>
      <c r="P98" s="1195"/>
      <c r="Q98" s="1195"/>
    </row>
    <row r="99" spans="1:17" ht="12.75" customHeight="1">
      <c r="A99" s="1207">
        <f>+A97+1</f>
        <v>71</v>
      </c>
      <c r="B99" s="1169" t="s">
        <v>1823</v>
      </c>
      <c r="C99" s="1208">
        <f>C97*1</f>
        <v>14841.597972244013</v>
      </c>
      <c r="D99" s="1203" t="s">
        <v>1069</v>
      </c>
      <c r="E99" s="1195"/>
      <c r="F99" s="1204"/>
      <c r="G99" s="1199"/>
      <c r="H99" s="1208">
        <f>H97*1</f>
        <v>0</v>
      </c>
      <c r="I99" s="1203" t="s">
        <v>1069</v>
      </c>
      <c r="J99" s="1208">
        <f>J97*1</f>
        <v>-14841.597972244013</v>
      </c>
      <c r="K99" s="1203" t="s">
        <v>1069</v>
      </c>
      <c r="L99" s="1195"/>
      <c r="M99" s="1195"/>
      <c r="N99" s="1195"/>
      <c r="O99" s="1195"/>
      <c r="P99" s="1195"/>
      <c r="Q99" s="1195"/>
    </row>
    <row r="100" spans="1:17" ht="12.75" customHeight="1">
      <c r="A100" s="1207">
        <f t="shared" ref="A100" si="18">+A99+1</f>
        <v>72</v>
      </c>
      <c r="B100" s="1169" t="s">
        <v>1824</v>
      </c>
      <c r="C100" s="1208">
        <f>C97*0</f>
        <v>0</v>
      </c>
      <c r="D100" s="1203" t="s">
        <v>1076</v>
      </c>
      <c r="E100" s="1195"/>
      <c r="F100" s="1204"/>
      <c r="G100" s="1199"/>
      <c r="H100" s="1208">
        <f>H97*0</f>
        <v>0</v>
      </c>
      <c r="I100" s="1203" t="s">
        <v>1076</v>
      </c>
      <c r="J100" s="1208">
        <f>J97*0</f>
        <v>0</v>
      </c>
      <c r="K100" s="1203" t="s">
        <v>1076</v>
      </c>
      <c r="L100" s="1195"/>
      <c r="M100" s="1195"/>
      <c r="N100" s="1195"/>
      <c r="O100" s="1195"/>
      <c r="P100" s="1195"/>
      <c r="Q100" s="1195"/>
    </row>
    <row r="101" spans="1:17" ht="12.75" customHeight="1">
      <c r="A101" s="1207"/>
      <c r="B101" s="1241"/>
      <c r="C101" s="1243"/>
      <c r="D101" s="1195"/>
      <c r="E101" s="1195"/>
      <c r="F101" s="1204"/>
      <c r="G101" s="1199"/>
      <c r="H101" s="1205"/>
      <c r="I101" s="1199"/>
      <c r="J101" s="1208"/>
      <c r="K101" s="1199"/>
      <c r="L101" s="1195"/>
      <c r="M101" s="1195"/>
      <c r="N101" s="1195"/>
      <c r="O101" s="1195"/>
      <c r="P101" s="1195"/>
      <c r="Q101" s="1195"/>
    </row>
    <row r="102" spans="1:17" ht="14.25">
      <c r="A102" s="1207"/>
      <c r="B102" s="1228" t="s">
        <v>1872</v>
      </c>
      <c r="C102" s="1208"/>
      <c r="D102" s="1199"/>
      <c r="E102" s="1195"/>
      <c r="F102" s="1204"/>
      <c r="G102" s="1199"/>
      <c r="H102" s="1205"/>
      <c r="I102" s="1199"/>
      <c r="J102" s="1208"/>
      <c r="K102" s="1199"/>
      <c r="L102" s="1195"/>
      <c r="M102" s="1195"/>
      <c r="N102" s="1195"/>
      <c r="O102" s="1195"/>
      <c r="P102" s="1195"/>
      <c r="Q102" s="1195"/>
    </row>
    <row r="103" spans="1:17" ht="12.75" customHeight="1">
      <c r="A103" s="1207">
        <f>+A100+1</f>
        <v>73</v>
      </c>
      <c r="B103" s="1169" t="s">
        <v>1874</v>
      </c>
      <c r="C103" s="1208">
        <f>+C30+C53+C99+C76</f>
        <v>692648.74900195748</v>
      </c>
      <c r="D103" s="1199"/>
      <c r="E103" s="1195"/>
      <c r="F103" s="1204"/>
      <c r="G103" s="1199"/>
      <c r="H103" s="1208">
        <f>+H30+H53+H99+H76</f>
        <v>78712.045281985687</v>
      </c>
      <c r="I103" s="1199"/>
      <c r="J103" s="1208">
        <f>+J30+J53+J99+J76</f>
        <v>-460368.39438993752</v>
      </c>
      <c r="K103" s="1199"/>
      <c r="L103" s="1195"/>
      <c r="M103" s="1195"/>
      <c r="N103" s="1195"/>
      <c r="O103" s="1195"/>
      <c r="P103" s="1195"/>
      <c r="Q103" s="1195"/>
    </row>
    <row r="104" spans="1:17" ht="12.75" customHeight="1">
      <c r="A104" s="1207">
        <f t="shared" ref="A104" si="19">+A103+1</f>
        <v>74</v>
      </c>
      <c r="B104" s="1169" t="s">
        <v>1875</v>
      </c>
      <c r="C104" s="1208">
        <f>+C31+C54+C100+C77</f>
        <v>0</v>
      </c>
      <c r="D104" s="1199"/>
      <c r="E104" s="1195"/>
      <c r="F104" s="1204"/>
      <c r="G104" s="1199"/>
      <c r="H104" s="1208">
        <f>+H31+H54+H100+H77</f>
        <v>0</v>
      </c>
      <c r="I104" s="1199"/>
      <c r="J104" s="1208">
        <f>+J31+J54+J100+J77</f>
        <v>0</v>
      </c>
      <c r="K104" s="1199"/>
      <c r="L104" s="1195"/>
      <c r="M104" s="1195"/>
      <c r="N104" s="1195"/>
      <c r="O104" s="1195"/>
      <c r="P104" s="1195"/>
      <c r="Q104" s="1195"/>
    </row>
    <row r="105" spans="1:17" ht="12.75" customHeight="1">
      <c r="A105" s="1207"/>
      <c r="B105" s="1169"/>
      <c r="C105" s="1195"/>
      <c r="D105" s="1199"/>
      <c r="E105" s="1195"/>
      <c r="F105" s="1204"/>
      <c r="G105" s="1199"/>
      <c r="H105" s="1205"/>
      <c r="I105" s="1199"/>
      <c r="J105" s="1195"/>
      <c r="K105" s="1199"/>
      <c r="L105" s="1195"/>
      <c r="M105" s="1195"/>
      <c r="N105" s="1195"/>
      <c r="O105" s="1195"/>
      <c r="P105" s="1195"/>
      <c r="Q105" s="1195"/>
    </row>
    <row r="106" spans="1:17" ht="12.75" customHeight="1">
      <c r="A106" s="1207"/>
      <c r="B106" s="1169"/>
      <c r="C106" s="1195"/>
      <c r="D106" s="1199"/>
      <c r="E106" s="1195"/>
      <c r="F106" s="1204"/>
      <c r="G106" s="1199"/>
      <c r="H106" s="1205"/>
      <c r="I106" s="1199"/>
      <c r="J106" s="1195"/>
      <c r="K106" s="1199"/>
      <c r="L106" s="1195"/>
      <c r="M106" s="1195"/>
      <c r="N106" s="1195"/>
      <c r="O106" s="1195"/>
      <c r="P106" s="1195"/>
      <c r="Q106" s="1195"/>
    </row>
    <row r="107" spans="1:17" ht="12.75" customHeight="1">
      <c r="A107" s="1207"/>
      <c r="B107" s="1228" t="s">
        <v>1806</v>
      </c>
      <c r="C107" s="1195"/>
      <c r="D107" s="1199"/>
      <c r="E107" s="1195"/>
      <c r="F107" s="1204"/>
      <c r="G107" s="1199"/>
      <c r="H107" s="1205"/>
      <c r="I107" s="1199"/>
      <c r="J107" s="1195"/>
      <c r="K107" s="1199"/>
      <c r="L107" s="1195"/>
      <c r="M107" s="1195"/>
      <c r="N107" s="1195"/>
      <c r="O107" s="1195"/>
      <c r="P107" s="1195"/>
      <c r="Q107" s="1195"/>
    </row>
    <row r="108" spans="1:17">
      <c r="A108" s="1207">
        <f>+A104+1</f>
        <v>75</v>
      </c>
      <c r="B108" s="1239" t="str">
        <f>+B10</f>
        <v>Mainframe computers</v>
      </c>
      <c r="C108" s="1244">
        <f>SUM(C11:C19)</f>
        <v>571266.42000000004</v>
      </c>
      <c r="D108" s="1199"/>
      <c r="E108" s="1195"/>
      <c r="F108" s="1204"/>
      <c r="G108" s="1199"/>
      <c r="H108" s="1205"/>
      <c r="I108" s="1199"/>
      <c r="J108" s="1195"/>
      <c r="K108" s="1199"/>
      <c r="L108" s="1195"/>
      <c r="M108" s="1195"/>
      <c r="N108" s="1195"/>
      <c r="O108" s="1195"/>
      <c r="P108" s="1195"/>
      <c r="Q108" s="1195"/>
    </row>
    <row r="109" spans="1:17">
      <c r="A109" s="1207">
        <f>+A108+1</f>
        <v>76</v>
      </c>
      <c r="B109" s="1239" t="str">
        <f>+B33</f>
        <v>Mini-computers</v>
      </c>
      <c r="C109" s="1244">
        <f>SUM(C34:C43)</f>
        <v>1308400.0399999996</v>
      </c>
      <c r="D109" s="1199"/>
      <c r="E109" s="1195"/>
      <c r="F109" s="1204"/>
      <c r="G109" s="1199"/>
      <c r="H109" s="1205"/>
      <c r="I109" s="1199"/>
      <c r="J109" s="1195"/>
      <c r="K109" s="1199"/>
      <c r="L109" s="1195"/>
      <c r="M109" s="1195"/>
      <c r="N109" s="1195"/>
      <c r="O109" s="1195"/>
      <c r="P109" s="1195"/>
      <c r="Q109" s="1195"/>
    </row>
    <row r="110" spans="1:17" s="1222" customFormat="1" ht="15">
      <c r="A110" s="1207">
        <f t="shared" ref="A110:A111" si="20">+A109+1</f>
        <v>77</v>
      </c>
      <c r="B110" s="1169" t="s">
        <v>1816</v>
      </c>
      <c r="C110" s="1245">
        <f>SUM(C57:C64)</f>
        <v>836987.58000000007</v>
      </c>
      <c r="D110" s="1199"/>
      <c r="E110" s="1195"/>
      <c r="F110" s="1204"/>
      <c r="G110" s="1199"/>
      <c r="H110" s="1205"/>
      <c r="I110" s="1199"/>
      <c r="J110" s="1195"/>
      <c r="K110" s="1199"/>
      <c r="L110" s="1195"/>
      <c r="M110" s="1195"/>
      <c r="N110" s="1195"/>
      <c r="O110" s="1195"/>
      <c r="P110" s="1195"/>
      <c r="Q110" s="1195"/>
    </row>
    <row r="111" spans="1:17" ht="12.75" customHeight="1">
      <c r="A111" s="1207">
        <f t="shared" si="20"/>
        <v>78</v>
      </c>
      <c r="B111" s="1239" t="str">
        <f>B79</f>
        <v>Software Amortization</v>
      </c>
      <c r="C111" s="1244">
        <f>SUM(C80:C89)</f>
        <v>562325.67999999993</v>
      </c>
      <c r="D111" s="1199"/>
      <c r="E111" s="1195"/>
      <c r="F111" s="1204"/>
      <c r="G111" s="1199"/>
      <c r="H111" s="1205"/>
      <c r="I111" s="1199"/>
      <c r="J111" s="1195"/>
      <c r="K111" s="1199"/>
      <c r="L111" s="1195"/>
      <c r="M111" s="1195"/>
      <c r="N111" s="1195"/>
      <c r="O111" s="1195"/>
      <c r="P111" s="1195"/>
      <c r="Q111" s="1195"/>
    </row>
    <row r="112" spans="1:17" ht="5.0999999999999996" customHeight="1">
      <c r="A112" s="1217"/>
      <c r="B112" s="1218"/>
      <c r="C112" s="1219">
        <v>0</v>
      </c>
      <c r="D112" s="1220"/>
      <c r="E112" s="1219"/>
      <c r="F112" s="1221"/>
      <c r="G112" s="1220"/>
      <c r="H112" s="1220"/>
      <c r="I112" s="1220"/>
      <c r="J112" s="1219"/>
      <c r="K112" s="1220"/>
      <c r="L112" s="1219"/>
      <c r="M112" s="1219"/>
      <c r="N112" s="1219"/>
      <c r="O112" s="1219"/>
      <c r="P112" s="1219"/>
      <c r="Q112" s="1219"/>
    </row>
    <row r="113" spans="1:17" s="1222" customFormat="1" ht="15">
      <c r="A113" s="1207">
        <f>+A111+1</f>
        <v>79</v>
      </c>
      <c r="B113" s="1169" t="s">
        <v>1807</v>
      </c>
      <c r="C113" s="1208">
        <f>SUM(C108:C112)</f>
        <v>3278979.7199999997</v>
      </c>
      <c r="D113" s="1199"/>
      <c r="E113" s="1195"/>
      <c r="F113" s="1204"/>
      <c r="G113" s="1199"/>
      <c r="H113" s="1205"/>
      <c r="I113" s="1199"/>
      <c r="J113" s="1208"/>
      <c r="K113" s="1199"/>
      <c r="L113" s="1195"/>
      <c r="M113" s="1195"/>
      <c r="N113" s="1195"/>
      <c r="O113" s="1195"/>
      <c r="P113" s="1195"/>
      <c r="Q113" s="1195"/>
    </row>
    <row r="114" spans="1:17" ht="12.75" customHeight="1">
      <c r="A114" s="1207">
        <f>+A113+1</f>
        <v>80</v>
      </c>
      <c r="B114" s="1239" t="str">
        <f>+B49</f>
        <v>Percentage allocated to WSC of Kentucky</v>
      </c>
      <c r="C114" s="1223">
        <f>+C49</f>
        <v>2.6393242386234281E-2</v>
      </c>
      <c r="D114" s="1199"/>
      <c r="E114" s="1195"/>
      <c r="F114" s="1204"/>
      <c r="G114" s="1199"/>
      <c r="H114" s="1205"/>
      <c r="I114" s="1199"/>
      <c r="J114" s="1195"/>
      <c r="K114" s="1199"/>
      <c r="L114" s="1195"/>
      <c r="M114" s="1195"/>
      <c r="N114" s="1195"/>
      <c r="O114" s="1195"/>
      <c r="P114" s="1195"/>
      <c r="Q114" s="1195"/>
    </row>
    <row r="115" spans="1:17" ht="5.0999999999999996" customHeight="1">
      <c r="A115" s="1217"/>
      <c r="B115" s="1218"/>
      <c r="C115" s="1219">
        <v>0</v>
      </c>
      <c r="D115" s="1220"/>
      <c r="E115" s="1219"/>
      <c r="F115" s="1221"/>
      <c r="G115" s="1220"/>
      <c r="H115" s="1220"/>
      <c r="I115" s="1220"/>
      <c r="J115" s="1219"/>
      <c r="K115" s="1220"/>
      <c r="L115" s="1219"/>
      <c r="M115" s="1219"/>
      <c r="N115" s="1219"/>
      <c r="O115" s="1219"/>
      <c r="P115" s="1219"/>
      <c r="Q115" s="1219"/>
    </row>
    <row r="116" spans="1:17" ht="12.75" customHeight="1">
      <c r="A116" s="1207">
        <f>+A114+1</f>
        <v>81</v>
      </c>
      <c r="B116" s="1169" t="s">
        <v>1807</v>
      </c>
      <c r="C116" s="1208">
        <f>+C113*C114</f>
        <v>86542.90652950661</v>
      </c>
      <c r="D116" s="1199"/>
      <c r="E116" s="1195"/>
      <c r="F116" s="1204"/>
      <c r="G116" s="1199"/>
      <c r="H116" s="1205"/>
      <c r="I116" s="1199"/>
      <c r="J116" s="1208"/>
      <c r="K116" s="1199"/>
      <c r="L116" s="1195"/>
      <c r="M116" s="1195"/>
      <c r="N116" s="1195"/>
      <c r="O116" s="1195"/>
      <c r="P116" s="1195"/>
      <c r="Q116" s="1195"/>
    </row>
    <row r="117" spans="1:17" ht="12.75" customHeight="1">
      <c r="A117" s="1203"/>
      <c r="B117" s="1195"/>
      <c r="C117" s="1195"/>
      <c r="D117" s="1199"/>
      <c r="E117" s="1195"/>
      <c r="F117" s="1204"/>
      <c r="G117" s="1199"/>
      <c r="H117" s="1205"/>
      <c r="I117" s="1199"/>
      <c r="J117" s="1195"/>
      <c r="K117" s="1199"/>
      <c r="L117" s="1195"/>
      <c r="M117" s="1195"/>
      <c r="N117" s="1195"/>
      <c r="O117" s="1195"/>
      <c r="P117" s="1195"/>
      <c r="Q117" s="1195"/>
    </row>
    <row r="118" spans="1:17" ht="12.75" customHeight="1">
      <c r="A118" s="1203"/>
      <c r="B118" s="1169"/>
      <c r="C118" s="1195"/>
      <c r="D118" s="1199"/>
      <c r="E118" s="1195"/>
      <c r="F118" s="1204"/>
      <c r="G118" s="1199"/>
      <c r="H118" s="1205"/>
      <c r="I118" s="1199"/>
      <c r="J118" s="1195"/>
      <c r="K118" s="1199"/>
      <c r="L118" s="1195"/>
      <c r="M118" s="1195"/>
      <c r="N118" s="1195"/>
      <c r="O118" s="1195"/>
      <c r="P118" s="1195"/>
      <c r="Q118" s="1195"/>
    </row>
    <row r="119" spans="1:17" ht="12.75" customHeight="1">
      <c r="A119" s="1203" t="s">
        <v>1069</v>
      </c>
      <c r="B119" s="1169" t="str">
        <f>"Water allocation based on customer ratio of "&amp;TEXT('Input Schedule'!D7,"##.#0%")</f>
        <v>Water allocation based on customer ratio of 100.0%</v>
      </c>
      <c r="C119" s="1223"/>
      <c r="D119" s="1199"/>
      <c r="E119" s="1195"/>
      <c r="F119" s="1204"/>
      <c r="G119" s="1199"/>
      <c r="H119" s="1205"/>
      <c r="I119" s="1199"/>
      <c r="J119" s="1195"/>
      <c r="K119" s="1199"/>
      <c r="L119" s="1195"/>
      <c r="M119" s="1195"/>
      <c r="N119" s="1195"/>
      <c r="O119" s="1195"/>
      <c r="P119" s="1195"/>
      <c r="Q119" s="1195"/>
    </row>
    <row r="120" spans="1:17" ht="12.75" customHeight="1">
      <c r="A120" s="1203" t="s">
        <v>1076</v>
      </c>
      <c r="B120" s="1169" t="str">
        <f>"Sewer allocation based on customer ratio of "&amp;TEXT('Input Schedule'!D8,"##.#0%")</f>
        <v>Sewer allocation based on customer ratio of .0%</v>
      </c>
      <c r="C120" s="1223"/>
      <c r="D120" s="1199"/>
      <c r="E120" s="1195"/>
      <c r="F120" s="1204"/>
      <c r="G120" s="1199"/>
      <c r="H120" s="1205"/>
      <c r="I120" s="1199"/>
      <c r="J120" s="1195"/>
      <c r="K120" s="1199"/>
      <c r="L120" s="1195"/>
      <c r="M120" s="1195"/>
      <c r="N120" s="1195"/>
      <c r="O120" s="1195"/>
      <c r="P120" s="1195"/>
      <c r="Q120" s="1195"/>
    </row>
    <row r="121" spans="1:17" ht="12.75" customHeight="1">
      <c r="A121" s="1203" t="s">
        <v>1079</v>
      </c>
      <c r="B121" s="1169" t="s">
        <v>1870</v>
      </c>
      <c r="C121" s="1223"/>
      <c r="D121" s="1199"/>
      <c r="E121" s="1195"/>
      <c r="F121" s="1204"/>
      <c r="G121" s="1199"/>
      <c r="H121" s="1205"/>
      <c r="I121" s="1199"/>
      <c r="J121" s="1195"/>
      <c r="K121" s="1199"/>
      <c r="L121" s="1195"/>
      <c r="M121" s="1195"/>
      <c r="N121" s="1195"/>
      <c r="O121" s="1195"/>
      <c r="P121" s="1195"/>
      <c r="Q121" s="1195"/>
    </row>
    <row r="122" spans="1:17" ht="12.75" customHeight="1">
      <c r="A122" s="1203"/>
      <c r="C122" s="1203" t="s">
        <v>1868</v>
      </c>
      <c r="D122" s="1203" t="s">
        <v>1869</v>
      </c>
      <c r="E122" s="1203" t="s">
        <v>448</v>
      </c>
      <c r="F122" s="1204"/>
      <c r="G122" s="1199"/>
      <c r="H122" s="1205"/>
      <c r="I122" s="1199"/>
      <c r="J122" s="1195"/>
      <c r="K122" s="1199"/>
      <c r="L122" s="1195"/>
      <c r="M122" s="1195"/>
      <c r="N122" s="1195"/>
      <c r="O122" s="1195"/>
      <c r="P122" s="1195"/>
      <c r="Q122" s="1195"/>
    </row>
    <row r="123" spans="1:17" ht="12.75" customHeight="1">
      <c r="A123" s="1203"/>
      <c r="B123" s="1330" t="s">
        <v>1808</v>
      </c>
      <c r="C123" s="1196">
        <v>60</v>
      </c>
      <c r="D123" s="1196">
        <v>5</v>
      </c>
      <c r="E123" s="1331">
        <f>1/D123</f>
        <v>0.2</v>
      </c>
      <c r="F123" s="1204"/>
      <c r="G123" s="1199"/>
      <c r="H123" s="1205"/>
      <c r="I123" s="1199"/>
      <c r="J123" s="1195"/>
      <c r="K123" s="1199"/>
      <c r="L123" s="1195"/>
      <c r="M123" s="1195"/>
      <c r="N123" s="1195"/>
      <c r="O123" s="1195"/>
      <c r="P123" s="1195"/>
      <c r="Q123" s="1195"/>
    </row>
    <row r="124" spans="1:17" ht="12.75" customHeight="1">
      <c r="A124" s="1203"/>
      <c r="B124" s="1330" t="s">
        <v>1810</v>
      </c>
      <c r="C124" s="1196">
        <v>36</v>
      </c>
      <c r="D124" s="1196">
        <v>3</v>
      </c>
      <c r="E124" s="1331">
        <f t="shared" ref="E124:E126" si="21">1/D124</f>
        <v>0.33333333333333331</v>
      </c>
      <c r="F124" s="1204"/>
      <c r="G124" s="1199"/>
      <c r="H124" s="1205"/>
      <c r="I124" s="1199"/>
      <c r="J124" s="1195"/>
      <c r="K124" s="1199"/>
      <c r="L124" s="1195"/>
      <c r="M124" s="1195"/>
      <c r="N124" s="1195"/>
      <c r="O124" s="1195"/>
      <c r="P124" s="1195"/>
      <c r="Q124" s="1195"/>
    </row>
    <row r="125" spans="1:17" ht="12.75" customHeight="1">
      <c r="A125" s="1203"/>
      <c r="B125" s="1330" t="s">
        <v>1811</v>
      </c>
      <c r="C125" s="1196">
        <v>96</v>
      </c>
      <c r="D125" s="1196">
        <v>8</v>
      </c>
      <c r="E125" s="1331">
        <f t="shared" si="21"/>
        <v>0.125</v>
      </c>
      <c r="F125" s="1204"/>
      <c r="G125" s="1199"/>
      <c r="H125" s="1205"/>
      <c r="I125" s="1199"/>
      <c r="J125" s="1195"/>
      <c r="K125" s="1199"/>
      <c r="L125" s="1195"/>
      <c r="M125" s="1195"/>
      <c r="N125" s="1195"/>
      <c r="O125" s="1195"/>
      <c r="P125" s="1195"/>
      <c r="Q125" s="1195"/>
    </row>
    <row r="126" spans="1:17" ht="12.75" customHeight="1">
      <c r="A126" s="1203"/>
      <c r="B126" s="1330" t="s">
        <v>1812</v>
      </c>
      <c r="C126" s="1196">
        <v>36</v>
      </c>
      <c r="D126" s="1196">
        <v>3</v>
      </c>
      <c r="E126" s="1331">
        <f t="shared" si="21"/>
        <v>0.33333333333333331</v>
      </c>
      <c r="F126" s="1204"/>
      <c r="G126" s="1199"/>
      <c r="H126" s="1205"/>
      <c r="I126" s="1199"/>
      <c r="J126" s="1195"/>
      <c r="K126" s="1199"/>
      <c r="L126" s="1195"/>
      <c r="M126" s="1195"/>
      <c r="N126" s="1195"/>
      <c r="O126" s="1195"/>
      <c r="P126" s="1195"/>
      <c r="Q126" s="1195"/>
    </row>
    <row r="127" spans="1:17" ht="12.75" customHeight="1">
      <c r="A127" s="1203" t="s">
        <v>1065</v>
      </c>
      <c r="B127" s="1195" t="s">
        <v>1825</v>
      </c>
      <c r="C127" s="1195"/>
      <c r="D127" s="1199"/>
      <c r="E127" s="1195"/>
      <c r="F127" s="1204"/>
      <c r="G127" s="1199"/>
      <c r="H127" s="1205"/>
      <c r="I127" s="1199"/>
      <c r="J127" s="1195"/>
      <c r="K127" s="1199"/>
      <c r="L127" s="1195"/>
      <c r="M127" s="1195"/>
      <c r="N127" s="1195"/>
      <c r="O127" s="1195"/>
      <c r="P127" s="1195"/>
      <c r="Q127" s="1195"/>
    </row>
    <row r="128" spans="1:17" ht="12.75" customHeight="1">
      <c r="A128" s="1203"/>
      <c r="B128" s="1195"/>
      <c r="C128" s="1195"/>
      <c r="D128" s="1199"/>
      <c r="E128" s="1195"/>
      <c r="F128" s="1204"/>
      <c r="G128" s="1199"/>
      <c r="H128" s="1205"/>
      <c r="I128" s="1199"/>
      <c r="J128" s="1195"/>
      <c r="K128" s="1199"/>
      <c r="L128" s="1195"/>
      <c r="M128" s="1195"/>
      <c r="N128" s="1195"/>
      <c r="O128" s="1195"/>
      <c r="P128" s="1195"/>
      <c r="Q128" s="1195"/>
    </row>
    <row r="129" spans="1:17" ht="12.75" customHeight="1">
      <c r="A129" s="1203"/>
      <c r="B129" s="1195"/>
      <c r="C129" s="1195"/>
      <c r="D129" s="1199"/>
      <c r="E129" s="1195"/>
      <c r="F129" s="1204"/>
      <c r="G129" s="1199"/>
      <c r="H129" s="1205"/>
      <c r="I129" s="1199"/>
      <c r="J129" s="1195"/>
      <c r="K129" s="1199"/>
      <c r="L129" s="1195"/>
      <c r="M129" s="1195"/>
      <c r="N129" s="1195"/>
      <c r="O129" s="1195"/>
      <c r="P129" s="1195"/>
      <c r="Q129" s="1195"/>
    </row>
    <row r="130" spans="1:17" ht="12.75" customHeight="1">
      <c r="A130" s="1203"/>
      <c r="B130" s="1195"/>
      <c r="C130" s="1195"/>
      <c r="D130" s="1199"/>
      <c r="E130" s="1195"/>
      <c r="F130" s="1204"/>
      <c r="G130" s="1199"/>
      <c r="H130" s="1205"/>
      <c r="I130" s="1199"/>
      <c r="J130" s="1195"/>
      <c r="K130" s="1199"/>
      <c r="L130" s="1195"/>
      <c r="M130" s="1195"/>
      <c r="N130" s="1195"/>
      <c r="O130" s="1195"/>
      <c r="P130" s="1195"/>
      <c r="Q130" s="1195"/>
    </row>
  </sheetData>
  <mergeCells count="4">
    <mergeCell ref="A1:B1"/>
    <mergeCell ref="A2:B2"/>
    <mergeCell ref="A3:B3"/>
    <mergeCell ref="A4:C4"/>
  </mergeCells>
  <pageMargins left="1.5" right="0.7" top="0.75" bottom="0.75" header="0.3" footer="0.3"/>
  <pageSetup scale="66" orientation="portrait" r:id="rId1"/>
  <headerFooter alignWithMargins="0"/>
  <rowBreaks count="1" manualBreakCount="1">
    <brk id="77" max="10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9"/>
  <sheetViews>
    <sheetView view="pageBreakPreview" zoomScaleNormal="85" zoomScaleSheetLayoutView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defaultRowHeight="12.75"/>
  <cols>
    <col min="1" max="2" width="9" style="1373"/>
    <col min="3" max="3" width="31.5" style="1356" bestFit="1" customWidth="1"/>
    <col min="4" max="4" width="13" style="1356" bestFit="1" customWidth="1"/>
    <col min="5" max="5" width="11.125" style="1356" customWidth="1"/>
    <col min="6" max="6" width="12.625" style="1356" bestFit="1" customWidth="1"/>
    <col min="7" max="7" width="1" style="1356" customWidth="1"/>
    <col min="8" max="8" width="12.25" style="1356" customWidth="1"/>
    <col min="9" max="9" width="11.5" style="1356" customWidth="1"/>
    <col min="10" max="10" width="9.625" style="1356" bestFit="1" customWidth="1"/>
    <col min="11" max="11" width="9.875" style="1356" bestFit="1" customWidth="1"/>
    <col min="12" max="12" width="3.25" style="1357" customWidth="1"/>
    <col min="13" max="13" width="11.75" style="1356" customWidth="1"/>
    <col min="14" max="14" width="11.125" style="1356" bestFit="1" customWidth="1"/>
    <col min="15" max="15" width="1.25" style="1356" customWidth="1"/>
    <col min="16" max="16" width="11.375" style="1356" bestFit="1" customWidth="1"/>
    <col min="17" max="17" width="10.75" style="1356" bestFit="1" customWidth="1"/>
    <col min="18" max="19" width="10.375" style="1356" bestFit="1" customWidth="1"/>
    <col min="20" max="16384" width="9" style="1356"/>
  </cols>
  <sheetData>
    <row r="1" spans="1:19" ht="14.25">
      <c r="A1" s="1355" t="s">
        <v>280</v>
      </c>
      <c r="B1" s="1355"/>
      <c r="S1" s="593" t="s">
        <v>1904</v>
      </c>
    </row>
    <row r="2" spans="1:19">
      <c r="A2" s="1355" t="s">
        <v>1907</v>
      </c>
      <c r="B2" s="1358"/>
    </row>
    <row r="3" spans="1:19">
      <c r="A3" s="1358"/>
      <c r="B3" s="1358"/>
    </row>
    <row r="5" spans="1:19" ht="38.25">
      <c r="A5" s="1359" t="s">
        <v>1908</v>
      </c>
      <c r="B5" s="1359" t="s">
        <v>1909</v>
      </c>
      <c r="C5" s="1360" t="s">
        <v>1910</v>
      </c>
      <c r="D5" s="1361" t="s">
        <v>1911</v>
      </c>
      <c r="E5" s="1362" t="s">
        <v>1912</v>
      </c>
      <c r="F5" s="1362" t="s">
        <v>1913</v>
      </c>
      <c r="G5" s="1363"/>
      <c r="H5" s="1362" t="s">
        <v>1914</v>
      </c>
      <c r="I5" s="1363" t="s">
        <v>1915</v>
      </c>
      <c r="J5" s="1363" t="s">
        <v>1916</v>
      </c>
      <c r="K5" s="1363" t="s">
        <v>1917</v>
      </c>
      <c r="M5" s="1362" t="s">
        <v>1912</v>
      </c>
      <c r="N5" s="1362" t="s">
        <v>1913</v>
      </c>
      <c r="O5" s="1363"/>
      <c r="P5" s="1362" t="s">
        <v>1914</v>
      </c>
      <c r="Q5" s="1363" t="s">
        <v>1915</v>
      </c>
      <c r="R5" s="1363" t="s">
        <v>1916</v>
      </c>
      <c r="S5" s="1363" t="s">
        <v>1917</v>
      </c>
    </row>
    <row r="6" spans="1:19">
      <c r="A6" s="1364"/>
      <c r="B6" s="1364"/>
      <c r="C6" s="1360"/>
    </row>
    <row r="7" spans="1:19">
      <c r="A7" s="2149" t="s">
        <v>292</v>
      </c>
      <c r="B7" s="2150"/>
      <c r="C7" s="2151"/>
    </row>
    <row r="8" spans="1:19">
      <c r="A8" s="1365">
        <v>1020</v>
      </c>
      <c r="B8" s="1365">
        <v>1835</v>
      </c>
      <c r="C8" s="1366" t="s">
        <v>1100</v>
      </c>
      <c r="D8" s="1360" t="s">
        <v>466</v>
      </c>
      <c r="E8" s="1356">
        <f>+F8-H8</f>
        <v>36282.690000000031</v>
      </c>
      <c r="F8" s="1356">
        <f>SUMIF('wp-p5a-restatement (audit)'!$B:$B,'wp-p5 Recon Summary'!$D8,'wp-p5a-restatement (audit)'!$H:$H)</f>
        <v>164394.10000000003</v>
      </c>
      <c r="H8" s="1356">
        <f>SUM(I8:K8)</f>
        <v>128111.41</v>
      </c>
      <c r="I8" s="1356">
        <v>128111.41</v>
      </c>
      <c r="J8" s="1356">
        <v>0</v>
      </c>
      <c r="K8" s="1356">
        <v>0</v>
      </c>
      <c r="M8" s="1356">
        <f>N8-P8</f>
        <v>8869.52</v>
      </c>
      <c r="N8" s="1356">
        <f>SUMIF('wp-p5a-restatement (audit)'!$B$9:$B$126,'wp-p5 Recon Summary'!$D8,'wp-p5a-restatement (audit)'!$N$9:$N$126)</f>
        <v>0</v>
      </c>
      <c r="P8" s="1356">
        <f>SUM(Q8:S8)</f>
        <v>-8869.52</v>
      </c>
      <c r="Q8" s="1356">
        <v>-8869.52</v>
      </c>
      <c r="S8" s="1356">
        <v>0</v>
      </c>
    </row>
    <row r="9" spans="1:19">
      <c r="A9" s="1365">
        <v>1025</v>
      </c>
      <c r="B9" s="1365">
        <v>1840</v>
      </c>
      <c r="C9" s="1366" t="s">
        <v>1101</v>
      </c>
      <c r="H9" s="1356">
        <f t="shared" ref="H9:H37" si="0">SUM(I9:K9)</f>
        <v>0</v>
      </c>
      <c r="I9" s="1356">
        <v>0</v>
      </c>
      <c r="J9" s="1356">
        <v>0</v>
      </c>
      <c r="K9" s="1356">
        <v>0</v>
      </c>
      <c r="P9" s="1356">
        <f t="shared" ref="P9:P37" si="1">SUM(Q9:S9)</f>
        <v>0</v>
      </c>
      <c r="Q9" s="1356">
        <v>0</v>
      </c>
      <c r="S9" s="1356">
        <v>0</v>
      </c>
    </row>
    <row r="10" spans="1:19">
      <c r="A10" s="1365">
        <v>1040</v>
      </c>
      <c r="B10" s="1365">
        <v>0</v>
      </c>
      <c r="C10" s="1366" t="s">
        <v>1102</v>
      </c>
      <c r="D10" s="1360" t="s">
        <v>511</v>
      </c>
      <c r="E10" s="1356">
        <f>+F10-H11</f>
        <v>-1861.9999999999964</v>
      </c>
      <c r="F10" s="1356">
        <f>SUMIF('wp-p5a-restatement (audit)'!$B:$B,'wp-p5 Recon Summary'!$D10,'wp-p5a-restatement (audit)'!$H:$H)</f>
        <v>20677.280000000002</v>
      </c>
      <c r="H10" s="1356">
        <f t="shared" si="0"/>
        <v>0</v>
      </c>
      <c r="I10" s="1356">
        <v>0</v>
      </c>
      <c r="J10" s="1356">
        <v>0</v>
      </c>
      <c r="K10" s="1356">
        <v>0</v>
      </c>
      <c r="N10" s="1356">
        <f>SUMIF('wp-p5a-restatement (audit)'!$B$9:$B$126,'wp-p5 Recon Summary'!$D10,'wp-p5a-restatement (audit)'!$N$9:$N$126)</f>
        <v>0</v>
      </c>
      <c r="P10" s="1356">
        <f t="shared" si="1"/>
        <v>0</v>
      </c>
      <c r="Q10" s="1356">
        <v>0</v>
      </c>
      <c r="S10" s="1356">
        <v>0</v>
      </c>
    </row>
    <row r="11" spans="1:19">
      <c r="A11" s="1365">
        <v>1045</v>
      </c>
      <c r="B11" s="1365">
        <v>0</v>
      </c>
      <c r="C11" s="1366" t="s">
        <v>1103</v>
      </c>
      <c r="H11" s="1356">
        <f t="shared" si="0"/>
        <v>22539.279999999999</v>
      </c>
      <c r="I11" s="1356">
        <v>20044.05</v>
      </c>
      <c r="J11" s="1356">
        <v>0</v>
      </c>
      <c r="K11" s="1356">
        <v>2495.23</v>
      </c>
      <c r="P11" s="1356">
        <f t="shared" si="1"/>
        <v>0</v>
      </c>
      <c r="Q11" s="1356">
        <v>0</v>
      </c>
      <c r="S11" s="1356">
        <v>0</v>
      </c>
    </row>
    <row r="12" spans="1:19">
      <c r="A12" s="1365">
        <v>1050</v>
      </c>
      <c r="B12" s="1365">
        <v>1845</v>
      </c>
      <c r="C12" s="1366" t="s">
        <v>1104</v>
      </c>
      <c r="D12" s="1367" t="s">
        <v>293</v>
      </c>
      <c r="E12" s="1356">
        <f>+F12-SUM(H12:H37)</f>
        <v>1861.9999999981374</v>
      </c>
      <c r="F12" s="1356">
        <f>SUMIF('wp-p5a-restatement (audit)'!$B9:$B126,'wp-p5 Recon Summary'!$D12,'wp-p5a-restatement (audit)'!$H9:$H126)</f>
        <v>8663903.9999999981</v>
      </c>
      <c r="H12" s="1356">
        <f t="shared" si="0"/>
        <v>113002.11</v>
      </c>
      <c r="I12" s="1356">
        <v>113002.11</v>
      </c>
      <c r="J12" s="1356">
        <v>0</v>
      </c>
      <c r="K12" s="1356">
        <v>0</v>
      </c>
      <c r="M12" s="1356">
        <f>N12-SUM(P12:P37)</f>
        <v>513864.10309999948</v>
      </c>
      <c r="N12" s="1356">
        <f>-SUMIF('wp-p5a-restatement (audit)'!$B$9:$B$126,'wp-p5 Recon Summary'!$D12,'wp-p5a-restatement (audit)'!$N$9:$N$126)</f>
        <v>-3093365.2669000006</v>
      </c>
      <c r="P12" s="1356">
        <f t="shared" si="1"/>
        <v>-23242.47</v>
      </c>
      <c r="Q12" s="1356">
        <v>-23242.47</v>
      </c>
      <c r="S12" s="1356">
        <v>0</v>
      </c>
    </row>
    <row r="13" spans="1:19">
      <c r="A13" s="1365">
        <v>1055</v>
      </c>
      <c r="B13" s="1365">
        <v>1850</v>
      </c>
      <c r="C13" s="1366" t="s">
        <v>1105</v>
      </c>
      <c r="H13" s="1356">
        <f t="shared" si="0"/>
        <v>452039.98</v>
      </c>
      <c r="I13" s="1356">
        <v>452039.98</v>
      </c>
      <c r="J13" s="1356">
        <v>0</v>
      </c>
      <c r="K13" s="1356">
        <v>0</v>
      </c>
      <c r="P13" s="1356">
        <f t="shared" si="1"/>
        <v>-149986.76</v>
      </c>
      <c r="Q13" s="1356">
        <v>-149986.76</v>
      </c>
      <c r="S13" s="1356">
        <v>0</v>
      </c>
    </row>
    <row r="14" spans="1:19">
      <c r="A14" s="1365">
        <v>1060</v>
      </c>
      <c r="B14" s="1365">
        <v>1855</v>
      </c>
      <c r="C14" s="1366" t="s">
        <v>1106</v>
      </c>
      <c r="H14" s="1356">
        <f t="shared" si="0"/>
        <v>0</v>
      </c>
      <c r="I14" s="1356">
        <v>0</v>
      </c>
      <c r="J14" s="1356">
        <v>0</v>
      </c>
      <c r="K14" s="1356">
        <v>0</v>
      </c>
      <c r="P14" s="1356">
        <f t="shared" si="1"/>
        <v>0</v>
      </c>
      <c r="Q14" s="1356">
        <v>0</v>
      </c>
      <c r="S14" s="1356">
        <v>0</v>
      </c>
    </row>
    <row r="15" spans="1:19">
      <c r="A15" s="1365">
        <v>1065</v>
      </c>
      <c r="B15" s="1365">
        <v>1860</v>
      </c>
      <c r="C15" s="1366" t="s">
        <v>1107</v>
      </c>
      <c r="H15" s="1356">
        <f t="shared" si="0"/>
        <v>129602.66</v>
      </c>
      <c r="I15" s="1356">
        <v>129602.66</v>
      </c>
      <c r="J15" s="1356">
        <v>0</v>
      </c>
      <c r="K15" s="1356">
        <v>0</v>
      </c>
      <c r="P15" s="1356">
        <f t="shared" si="1"/>
        <v>-7348.15</v>
      </c>
      <c r="Q15" s="1356">
        <v>-7348.15</v>
      </c>
      <c r="S15" s="1356">
        <v>0</v>
      </c>
    </row>
    <row r="16" spans="1:19">
      <c r="A16" s="1365">
        <v>1080</v>
      </c>
      <c r="B16" s="1365">
        <v>1875</v>
      </c>
      <c r="C16" s="1366" t="s">
        <v>1108</v>
      </c>
      <c r="H16" s="1356">
        <f t="shared" si="0"/>
        <v>475035.13</v>
      </c>
      <c r="I16" s="1356">
        <v>475035.13</v>
      </c>
      <c r="J16" s="1356">
        <v>0</v>
      </c>
      <c r="K16" s="1356">
        <v>0</v>
      </c>
      <c r="P16" s="1356">
        <f t="shared" si="1"/>
        <v>-68495.210000000006</v>
      </c>
      <c r="Q16" s="1356">
        <v>-68495.210000000006</v>
      </c>
      <c r="S16" s="1356">
        <v>0</v>
      </c>
    </row>
    <row r="17" spans="1:19">
      <c r="A17" s="1365">
        <v>1090</v>
      </c>
      <c r="B17" s="1365">
        <v>1885</v>
      </c>
      <c r="C17" s="1366" t="s">
        <v>1109</v>
      </c>
      <c r="H17" s="1356">
        <f t="shared" si="0"/>
        <v>8822.06</v>
      </c>
      <c r="I17" s="1356">
        <v>8822.06</v>
      </c>
      <c r="J17" s="1356">
        <v>0</v>
      </c>
      <c r="K17" s="1356">
        <v>0</v>
      </c>
      <c r="P17" s="1356">
        <f t="shared" si="1"/>
        <v>-248.83</v>
      </c>
      <c r="Q17" s="1356">
        <v>-248.83</v>
      </c>
      <c r="S17" s="1356">
        <v>0</v>
      </c>
    </row>
    <row r="18" spans="1:19">
      <c r="A18" s="1365">
        <v>1105</v>
      </c>
      <c r="B18" s="1365">
        <v>1900</v>
      </c>
      <c r="C18" s="1366" t="s">
        <v>1110</v>
      </c>
      <c r="H18" s="1356">
        <f t="shared" si="0"/>
        <v>595958.72</v>
      </c>
      <c r="I18" s="1356">
        <v>595958.72</v>
      </c>
      <c r="J18" s="1356">
        <v>0</v>
      </c>
      <c r="K18" s="1356">
        <v>0</v>
      </c>
      <c r="P18" s="1356">
        <f t="shared" si="1"/>
        <v>-86792.35</v>
      </c>
      <c r="Q18" s="1356">
        <v>-86792.35</v>
      </c>
      <c r="S18" s="1356">
        <v>0</v>
      </c>
    </row>
    <row r="19" spans="1:19">
      <c r="A19" s="1365">
        <v>1110</v>
      </c>
      <c r="B19" s="1365">
        <v>1905</v>
      </c>
      <c r="C19" s="1366" t="s">
        <v>1111</v>
      </c>
      <c r="H19" s="1356">
        <f t="shared" si="0"/>
        <v>5577.38</v>
      </c>
      <c r="I19" s="1356">
        <v>5577.38</v>
      </c>
      <c r="J19" s="1356">
        <v>0</v>
      </c>
      <c r="K19" s="1356">
        <v>0</v>
      </c>
      <c r="P19" s="1356">
        <f t="shared" si="1"/>
        <v>-296.17</v>
      </c>
      <c r="Q19" s="1356">
        <v>-296.17</v>
      </c>
      <c r="S19" s="1356">
        <v>0</v>
      </c>
    </row>
    <row r="20" spans="1:19">
      <c r="A20" s="1365">
        <v>1115</v>
      </c>
      <c r="B20" s="1365">
        <v>1910</v>
      </c>
      <c r="C20" s="1366" t="s">
        <v>1112</v>
      </c>
      <c r="H20" s="1356">
        <f t="shared" si="0"/>
        <v>574202.65</v>
      </c>
      <c r="I20" s="1356">
        <v>574202.65</v>
      </c>
      <c r="J20" s="1356">
        <v>0</v>
      </c>
      <c r="K20" s="1356">
        <v>0</v>
      </c>
      <c r="P20" s="1356">
        <f t="shared" si="1"/>
        <v>-199093.02</v>
      </c>
      <c r="Q20" s="1356">
        <v>-199093.02</v>
      </c>
      <c r="S20" s="1356">
        <v>0</v>
      </c>
    </row>
    <row r="21" spans="1:19">
      <c r="A21" s="1365">
        <v>1120</v>
      </c>
      <c r="B21" s="1365">
        <v>1915</v>
      </c>
      <c r="C21" s="1366" t="s">
        <v>1113</v>
      </c>
      <c r="H21" s="1356">
        <f t="shared" si="0"/>
        <v>522964.63</v>
      </c>
      <c r="I21" s="1356">
        <v>522964.63</v>
      </c>
      <c r="J21" s="1356">
        <v>0</v>
      </c>
      <c r="K21" s="1356">
        <v>0</v>
      </c>
      <c r="P21" s="1356">
        <f t="shared" si="1"/>
        <v>-228855.22</v>
      </c>
      <c r="Q21" s="1356">
        <v>-228855.22</v>
      </c>
      <c r="S21" s="1356">
        <v>0</v>
      </c>
    </row>
    <row r="22" spans="1:19">
      <c r="A22" s="1365">
        <v>1125</v>
      </c>
      <c r="B22" s="1365">
        <v>1920</v>
      </c>
      <c r="C22" s="1366" t="s">
        <v>1114</v>
      </c>
      <c r="H22" s="1356">
        <f t="shared" si="0"/>
        <v>2975975.97</v>
      </c>
      <c r="I22" s="1356">
        <v>2975975.97</v>
      </c>
      <c r="J22" s="1356">
        <v>0</v>
      </c>
      <c r="K22" s="1356">
        <v>0</v>
      </c>
      <c r="P22" s="1356">
        <f t="shared" si="1"/>
        <v>-1312250.2</v>
      </c>
      <c r="Q22" s="1356">
        <v>-1312250.2</v>
      </c>
      <c r="S22" s="1356">
        <v>0</v>
      </c>
    </row>
    <row r="23" spans="1:19">
      <c r="A23" s="1365">
        <v>1130</v>
      </c>
      <c r="B23" s="1365">
        <v>1925</v>
      </c>
      <c r="C23" s="1366" t="s">
        <v>1115</v>
      </c>
      <c r="H23" s="1356">
        <f t="shared" si="0"/>
        <v>682894.04</v>
      </c>
      <c r="I23" s="1356">
        <v>682894.04</v>
      </c>
      <c r="J23" s="1356">
        <v>0</v>
      </c>
      <c r="K23" s="1356">
        <v>0</v>
      </c>
      <c r="P23" s="1356">
        <f t="shared" si="1"/>
        <v>-566222.02</v>
      </c>
      <c r="Q23" s="1356">
        <v>-566222.02</v>
      </c>
      <c r="S23" s="1356">
        <v>0</v>
      </c>
    </row>
    <row r="24" spans="1:19">
      <c r="A24" s="1365">
        <v>1135</v>
      </c>
      <c r="B24" s="1365">
        <v>1930</v>
      </c>
      <c r="C24" s="1366" t="s">
        <v>1116</v>
      </c>
      <c r="H24" s="1356">
        <f t="shared" si="0"/>
        <v>708803.19</v>
      </c>
      <c r="I24" s="1356">
        <v>708803.19</v>
      </c>
      <c r="J24" s="1356">
        <v>0</v>
      </c>
      <c r="K24" s="1356">
        <v>0</v>
      </c>
      <c r="P24" s="1356">
        <f t="shared" si="1"/>
        <v>-417350.63</v>
      </c>
      <c r="Q24" s="1356">
        <v>-417350.63</v>
      </c>
      <c r="S24" s="1356">
        <v>0</v>
      </c>
    </row>
    <row r="25" spans="1:19">
      <c r="A25" s="1365">
        <v>1140</v>
      </c>
      <c r="B25" s="1365">
        <v>1935</v>
      </c>
      <c r="C25" s="1366" t="s">
        <v>1117</v>
      </c>
      <c r="H25" s="1356">
        <f t="shared" si="0"/>
        <v>349788.43</v>
      </c>
      <c r="I25" s="1356">
        <v>349788.43</v>
      </c>
      <c r="J25" s="1356">
        <v>0</v>
      </c>
      <c r="K25" s="1356">
        <v>0</v>
      </c>
      <c r="P25" s="1356">
        <f t="shared" si="1"/>
        <v>-169467.15</v>
      </c>
      <c r="Q25" s="1356">
        <v>-169467.15</v>
      </c>
      <c r="S25" s="1356">
        <v>0</v>
      </c>
    </row>
    <row r="26" spans="1:19">
      <c r="A26" s="1365">
        <v>1145</v>
      </c>
      <c r="B26" s="1365">
        <v>1940</v>
      </c>
      <c r="C26" s="1366" t="s">
        <v>1118</v>
      </c>
      <c r="H26" s="1356">
        <f t="shared" si="0"/>
        <v>382078.73</v>
      </c>
      <c r="I26" s="1356">
        <v>382078.73</v>
      </c>
      <c r="J26" s="1356">
        <v>0</v>
      </c>
      <c r="K26" s="1356">
        <v>0</v>
      </c>
      <c r="P26" s="1356">
        <f t="shared" si="1"/>
        <v>-47695.73</v>
      </c>
      <c r="Q26" s="1356">
        <v>-47695.73</v>
      </c>
      <c r="S26" s="1356">
        <v>0</v>
      </c>
    </row>
    <row r="27" spans="1:19">
      <c r="A27" s="1365">
        <v>1150</v>
      </c>
      <c r="B27" s="1365">
        <v>1945</v>
      </c>
      <c r="C27" s="1366" t="s">
        <v>1119</v>
      </c>
      <c r="H27" s="1356">
        <f t="shared" si="0"/>
        <v>0</v>
      </c>
      <c r="I27" s="1356">
        <v>0</v>
      </c>
      <c r="J27" s="1356">
        <v>0</v>
      </c>
      <c r="K27" s="1356">
        <v>0</v>
      </c>
      <c r="P27" s="1356">
        <f t="shared" si="1"/>
        <v>0</v>
      </c>
      <c r="Q27" s="1356">
        <v>0</v>
      </c>
      <c r="S27" s="1356">
        <v>0</v>
      </c>
    </row>
    <row r="28" spans="1:19">
      <c r="A28" s="1365">
        <v>1170</v>
      </c>
      <c r="B28" s="1365">
        <v>1965</v>
      </c>
      <c r="C28" s="1366" t="s">
        <v>1120</v>
      </c>
      <c r="H28" s="1356">
        <f t="shared" si="0"/>
        <v>0</v>
      </c>
      <c r="I28" s="1356">
        <v>0</v>
      </c>
      <c r="J28" s="1356">
        <v>0</v>
      </c>
      <c r="K28" s="1356">
        <v>0</v>
      </c>
      <c r="P28" s="1356">
        <f t="shared" si="1"/>
        <v>0</v>
      </c>
      <c r="Q28" s="1356">
        <v>0</v>
      </c>
      <c r="S28" s="1356">
        <v>0</v>
      </c>
    </row>
    <row r="29" spans="1:19">
      <c r="A29" s="1365">
        <v>1175</v>
      </c>
      <c r="B29" s="1365">
        <v>1970</v>
      </c>
      <c r="C29" s="1366" t="s">
        <v>1121</v>
      </c>
      <c r="H29" s="1356">
        <f t="shared" si="0"/>
        <v>144932.96000000002</v>
      </c>
      <c r="I29" s="1356">
        <v>72362.27</v>
      </c>
      <c r="J29" s="1356">
        <v>0</v>
      </c>
      <c r="K29" s="1356">
        <v>72570.69</v>
      </c>
      <c r="P29" s="1356">
        <f t="shared" si="1"/>
        <v>-49639.05</v>
      </c>
      <c r="Q29" s="1356">
        <v>-14395.82</v>
      </c>
      <c r="S29" s="1356">
        <v>-35243.230000000003</v>
      </c>
    </row>
    <row r="30" spans="1:19">
      <c r="A30" s="1365">
        <v>1180</v>
      </c>
      <c r="B30" s="1365">
        <v>1975</v>
      </c>
      <c r="C30" s="1366" t="s">
        <v>1122</v>
      </c>
      <c r="H30" s="1356">
        <f t="shared" si="0"/>
        <v>99304.56</v>
      </c>
      <c r="I30" s="1356">
        <v>63057.98</v>
      </c>
      <c r="J30" s="1356">
        <v>0</v>
      </c>
      <c r="K30" s="1356">
        <v>36246.58</v>
      </c>
      <c r="P30" s="1356">
        <f t="shared" si="1"/>
        <v>-81625.66</v>
      </c>
      <c r="Q30" s="1356">
        <v>-51820.29</v>
      </c>
      <c r="S30" s="1356">
        <v>-29805.37</v>
      </c>
    </row>
    <row r="31" spans="1:19">
      <c r="A31" s="1365">
        <v>1190</v>
      </c>
      <c r="B31" s="1365">
        <v>1985</v>
      </c>
      <c r="C31" s="1366" t="s">
        <v>1123</v>
      </c>
      <c r="H31" s="1356">
        <f t="shared" si="0"/>
        <v>259536.56</v>
      </c>
      <c r="I31" s="1356">
        <v>258985.34</v>
      </c>
      <c r="J31" s="1356">
        <v>0</v>
      </c>
      <c r="K31" s="1356">
        <v>551.22</v>
      </c>
      <c r="P31" s="1356">
        <f t="shared" si="1"/>
        <v>-115780.56</v>
      </c>
      <c r="Q31" s="1356">
        <v>-115223.02</v>
      </c>
      <c r="S31" s="1356">
        <v>-557.54</v>
      </c>
    </row>
    <row r="32" spans="1:19">
      <c r="A32" s="1365">
        <v>1195</v>
      </c>
      <c r="B32" s="1365">
        <v>1990</v>
      </c>
      <c r="C32" s="1366" t="s">
        <v>1124</v>
      </c>
      <c r="H32" s="1356">
        <f t="shared" si="0"/>
        <v>45181.53</v>
      </c>
      <c r="I32" s="1356">
        <v>45181.53</v>
      </c>
      <c r="J32" s="1356">
        <v>0</v>
      </c>
      <c r="K32" s="1356">
        <v>0</v>
      </c>
      <c r="P32" s="1356">
        <f t="shared" si="1"/>
        <v>-27358.7</v>
      </c>
      <c r="Q32" s="1356">
        <v>-27358.7</v>
      </c>
      <c r="S32" s="1356">
        <v>0</v>
      </c>
    </row>
    <row r="33" spans="1:19">
      <c r="A33" s="1365">
        <v>1205</v>
      </c>
      <c r="B33" s="1365">
        <v>2000</v>
      </c>
      <c r="C33" s="1366" t="s">
        <v>1125</v>
      </c>
      <c r="H33" s="1356">
        <f t="shared" si="0"/>
        <v>64260.229999999996</v>
      </c>
      <c r="I33" s="1356">
        <v>44155.86</v>
      </c>
      <c r="J33" s="1356">
        <v>0</v>
      </c>
      <c r="K33" s="1356">
        <v>20104.37</v>
      </c>
      <c r="P33" s="1356">
        <f t="shared" si="1"/>
        <v>-46684.24</v>
      </c>
      <c r="Q33" s="1356">
        <v>-36105.03</v>
      </c>
      <c r="S33" s="1356">
        <v>-10579.21</v>
      </c>
    </row>
    <row r="34" spans="1:19">
      <c r="A34" s="1365">
        <v>1210</v>
      </c>
      <c r="B34" s="1365">
        <v>2005</v>
      </c>
      <c r="C34" s="1366" t="s">
        <v>1126</v>
      </c>
      <c r="H34" s="1356">
        <f t="shared" si="0"/>
        <v>0</v>
      </c>
      <c r="I34" s="1356">
        <v>0</v>
      </c>
      <c r="J34" s="1356">
        <v>0</v>
      </c>
      <c r="K34" s="1356">
        <v>0</v>
      </c>
      <c r="P34" s="1356">
        <f t="shared" si="1"/>
        <v>0</v>
      </c>
      <c r="Q34" s="1356">
        <v>0</v>
      </c>
      <c r="S34" s="1356">
        <v>0</v>
      </c>
    </row>
    <row r="35" spans="1:19">
      <c r="A35" s="1365">
        <v>1215</v>
      </c>
      <c r="B35" s="1365">
        <v>0</v>
      </c>
      <c r="C35" s="1366" t="s">
        <v>1127</v>
      </c>
      <c r="H35" s="1356">
        <f t="shared" si="0"/>
        <v>69976</v>
      </c>
      <c r="I35" s="1356">
        <v>69976</v>
      </c>
      <c r="J35" s="1356">
        <v>0</v>
      </c>
      <c r="K35" s="1356">
        <v>0</v>
      </c>
      <c r="P35" s="1356">
        <f t="shared" si="1"/>
        <v>0</v>
      </c>
      <c r="Q35" s="1356">
        <v>0</v>
      </c>
      <c r="S35" s="1356">
        <v>0</v>
      </c>
    </row>
    <row r="36" spans="1:19">
      <c r="A36" s="1368">
        <v>1220</v>
      </c>
      <c r="B36" s="1365">
        <v>2010</v>
      </c>
      <c r="C36" s="1366" t="s">
        <v>1128</v>
      </c>
      <c r="H36" s="1356">
        <f t="shared" si="0"/>
        <v>0</v>
      </c>
      <c r="I36" s="1356">
        <v>0</v>
      </c>
      <c r="J36" s="1356">
        <v>0</v>
      </c>
      <c r="K36" s="1356">
        <v>0</v>
      </c>
      <c r="P36" s="1356">
        <f t="shared" si="1"/>
        <v>-8744.59</v>
      </c>
      <c r="Q36" s="1356">
        <v>-8744.59</v>
      </c>
      <c r="S36" s="1356">
        <v>0</v>
      </c>
    </row>
    <row r="37" spans="1:19">
      <c r="A37" s="1368"/>
      <c r="B37" s="1365"/>
      <c r="C37" s="1366" t="s">
        <v>92</v>
      </c>
      <c r="H37" s="1356">
        <f t="shared" si="0"/>
        <v>2104.48</v>
      </c>
      <c r="I37" s="1356">
        <v>2104.48</v>
      </c>
      <c r="J37" s="1356">
        <v>0</v>
      </c>
      <c r="K37" s="1356">
        <v>0</v>
      </c>
      <c r="P37" s="1356">
        <f t="shared" si="1"/>
        <v>-52.66</v>
      </c>
      <c r="Q37" s="1356">
        <v>-52.66</v>
      </c>
      <c r="S37" s="1356">
        <v>0</v>
      </c>
    </row>
    <row r="38" spans="1:19" ht="13.5" thickBot="1">
      <c r="A38" s="1369"/>
      <c r="B38" s="1369"/>
      <c r="C38" s="1370"/>
      <c r="D38" s="1371"/>
      <c r="E38" s="1372"/>
      <c r="F38" s="1371"/>
      <c r="G38" s="1371"/>
      <c r="H38" s="1371"/>
      <c r="I38" s="1371"/>
      <c r="J38" s="1371"/>
      <c r="K38" s="1371"/>
      <c r="M38" s="1371"/>
      <c r="N38" s="1371"/>
      <c r="O38" s="1371"/>
      <c r="P38" s="1371"/>
      <c r="Q38" s="1371"/>
      <c r="R38" s="1371"/>
      <c r="S38" s="1371"/>
    </row>
    <row r="39" spans="1:19" ht="13.5" thickBot="1">
      <c r="C39" s="1360" t="s">
        <v>463</v>
      </c>
      <c r="E39" s="1374">
        <f>SUM(E8:E38)</f>
        <v>36282.689999998169</v>
      </c>
      <c r="F39" s="1356">
        <f>SUM(F8:F38)</f>
        <v>8848975.379999999</v>
      </c>
      <c r="H39" s="1356">
        <f>SUM(H8:H38)</f>
        <v>8812692.6900000013</v>
      </c>
      <c r="I39" s="1356">
        <f>SUM(I8:I38)</f>
        <v>8680724.5999999996</v>
      </c>
      <c r="J39" s="1356">
        <f>SUM(J8:J38)</f>
        <v>0</v>
      </c>
      <c r="K39" s="1356">
        <f>SUM(K8:K38)</f>
        <v>131968.09</v>
      </c>
      <c r="M39" s="1374">
        <f t="shared" ref="M39:S39" si="2">SUM(M8:M38)</f>
        <v>522733.6230999995</v>
      </c>
      <c r="N39" s="1356">
        <f t="shared" si="2"/>
        <v>-3093365.2669000006</v>
      </c>
      <c r="O39" s="1356">
        <f t="shared" si="2"/>
        <v>0</v>
      </c>
      <c r="P39" s="1356">
        <f t="shared" si="2"/>
        <v>-3616098.89</v>
      </c>
      <c r="Q39" s="1356">
        <f t="shared" si="2"/>
        <v>-3539913.5399999996</v>
      </c>
      <c r="R39" s="1356">
        <f t="shared" si="2"/>
        <v>0</v>
      </c>
      <c r="S39" s="1356">
        <f t="shared" si="2"/>
        <v>-76185.350000000006</v>
      </c>
    </row>
    <row r="40" spans="1:19">
      <c r="C40" s="1360"/>
    </row>
    <row r="41" spans="1:19">
      <c r="C41" s="1360" t="s">
        <v>1918</v>
      </c>
      <c r="F41" s="1356">
        <f>SUM('wp-p5a-restatement (audit)'!H9:H62,'wp-p5a-restatement (audit)'!H69,'wp-p5a-restatement (audit)'!H73:H75,'wp-p5a-restatement (audit)'!H78,'wp-p5a-restatement (audit)'!H81,'wp-p5a-restatement (audit)'!H82,'wp-p5a-restatement (audit)'!H85:H86,'wp-p5a-restatement (audit)'!H89:H90,'wp-p5a-restatement (audit)'!H93,'wp-p5a-restatement (audit)'!H99,'wp-p5a-restatement (audit)'!H102:H103,'wp-p5a-restatement (audit)'!H107,'wp-p5a-restatement (audit)'!H110:H111,'wp-p5a-restatement (audit)'!H115,'wp-p5a-restatement (audit)'!H118:H119)</f>
        <v>8848975.3799999971</v>
      </c>
      <c r="H41" s="1356">
        <f>SUM(I41:K41)</f>
        <v>8812692.6899999995</v>
      </c>
      <c r="I41" s="1356">
        <v>8680724.5999999996</v>
      </c>
      <c r="K41" s="1356">
        <v>131968.09</v>
      </c>
      <c r="M41" s="1356">
        <f>+N41-P41</f>
        <v>522733.62310000043</v>
      </c>
      <c r="N41" s="1356">
        <f>-SUM('wp-p5a-restatement (audit)'!N118:N119,'wp-p5a-restatement (audit)'!N115,'wp-p5a-restatement (audit)'!N110:N111,'wp-p5a-restatement (audit)'!N107,'wp-p5a-restatement (audit)'!N102:N103,'wp-p5a-restatement (audit)'!N99,'wp-p5a-restatement (audit)'!N93,'wp-p5a-restatement (audit)'!N89:N90,'wp-p5a-restatement (audit)'!N85:N86,'wp-p5a-restatement (audit)'!N81:N82,'wp-p5a-restatement (audit)'!N78,'wp-p5a-restatement (audit)'!N73:N75,'wp-p5a-restatement (audit)'!N69,'wp-p5a-restatement (audit)'!N9:N62)</f>
        <v>-3093365.2668999997</v>
      </c>
      <c r="P41" s="1356">
        <f>SUM(Q41:S41)</f>
        <v>-3616098.89</v>
      </c>
      <c r="Q41" s="1356">
        <v>-3539913.54</v>
      </c>
      <c r="S41" s="1356">
        <v>-76185.350000000006</v>
      </c>
    </row>
    <row r="42" spans="1:19">
      <c r="F42" s="1356">
        <f>+F39-F41</f>
        <v>0</v>
      </c>
      <c r="H42" s="1356">
        <f>+H39-H41</f>
        <v>0</v>
      </c>
      <c r="I42" s="1356">
        <f>+I39-I41</f>
        <v>0</v>
      </c>
      <c r="K42" s="1356">
        <f>+K39-K41</f>
        <v>0</v>
      </c>
      <c r="N42" s="1356">
        <f>+N39-N41</f>
        <v>0</v>
      </c>
      <c r="P42" s="1356">
        <f>+P39-P41</f>
        <v>0</v>
      </c>
      <c r="Q42" s="1356">
        <f>+Q39-Q41</f>
        <v>0</v>
      </c>
      <c r="S42" s="1356">
        <f>+S39-S41</f>
        <v>0</v>
      </c>
    </row>
    <row r="44" spans="1:19">
      <c r="A44" s="1375">
        <v>1555</v>
      </c>
      <c r="B44" s="1365">
        <v>2300</v>
      </c>
      <c r="C44" s="1366" t="s">
        <v>1153</v>
      </c>
      <c r="D44" s="1360" t="s">
        <v>294</v>
      </c>
      <c r="E44" s="1356">
        <f>+F44-H44</f>
        <v>0</v>
      </c>
      <c r="F44" s="1356">
        <f>SUMIF('wp-p5a-restatement (audit)'!$B:$B,'wp-p5 Recon Summary'!$D44,'wp-p5a-restatement (audit)'!$H:$H)</f>
        <v>489812.83</v>
      </c>
      <c r="H44" s="1356">
        <f t="shared" ref="H44" si="3">SUM(I44:K44)</f>
        <v>489812.82999999996</v>
      </c>
      <c r="I44" s="1356">
        <v>42210.03</v>
      </c>
      <c r="J44" s="1356">
        <v>0</v>
      </c>
      <c r="K44" s="1356">
        <v>447602.8</v>
      </c>
      <c r="M44" s="1356">
        <f>N44-P44</f>
        <v>-44282.304999999993</v>
      </c>
      <c r="N44" s="1356">
        <f>-SUMIF('wp-p5a-restatement (audit)'!$B$9:$B$126,'wp-p5 Recon Summary'!$D44,'wp-p5a-restatement (audit)'!$N$9:$N$126)</f>
        <v>-481305.27500000002</v>
      </c>
      <c r="P44" s="1356">
        <f t="shared" ref="P44" si="4">SUM(Q44:S44)</f>
        <v>-437022.97000000003</v>
      </c>
      <c r="Q44" s="1356">
        <v>-25663.69</v>
      </c>
      <c r="S44" s="1356">
        <v>-411359.28</v>
      </c>
    </row>
    <row r="45" spans="1:19">
      <c r="E45" s="1371"/>
      <c r="F45" s="1371"/>
      <c r="G45" s="1371"/>
      <c r="H45" s="1371"/>
      <c r="I45" s="1371"/>
      <c r="J45" s="1371"/>
      <c r="K45" s="1371"/>
      <c r="M45" s="1371"/>
      <c r="N45" s="1371"/>
      <c r="O45" s="1371"/>
      <c r="P45" s="1371"/>
      <c r="Q45" s="1371"/>
      <c r="R45" s="1371"/>
      <c r="S45" s="1371"/>
    </row>
    <row r="46" spans="1:19">
      <c r="C46" s="1360" t="s">
        <v>1919</v>
      </c>
      <c r="F46" s="1356">
        <f>SUM(F44:F45)</f>
        <v>489812.83</v>
      </c>
      <c r="H46" s="1356">
        <f t="shared" ref="H46:K46" si="5">SUM(H44:H45)</f>
        <v>489812.82999999996</v>
      </c>
      <c r="I46" s="1356">
        <f t="shared" si="5"/>
        <v>42210.03</v>
      </c>
      <c r="J46" s="1356">
        <f t="shared" si="5"/>
        <v>0</v>
      </c>
      <c r="K46" s="1356">
        <f t="shared" si="5"/>
        <v>447602.8</v>
      </c>
      <c r="M46" s="1356">
        <f t="shared" ref="M46:S46" si="6">SUM(M44:M45)</f>
        <v>-44282.304999999993</v>
      </c>
      <c r="N46" s="1356">
        <f t="shared" si="6"/>
        <v>-481305.27500000002</v>
      </c>
      <c r="O46" s="1356">
        <f t="shared" si="6"/>
        <v>0</v>
      </c>
      <c r="P46" s="1356">
        <f t="shared" si="6"/>
        <v>-437022.97000000003</v>
      </c>
      <c r="Q46" s="1356">
        <f t="shared" si="6"/>
        <v>-25663.69</v>
      </c>
      <c r="R46" s="1356">
        <f t="shared" si="6"/>
        <v>0</v>
      </c>
      <c r="S46" s="1356">
        <f t="shared" si="6"/>
        <v>-411359.28</v>
      </c>
    </row>
    <row r="47" spans="1:19">
      <c r="C47" s="1360"/>
    </row>
    <row r="48" spans="1:19">
      <c r="C48" s="1360" t="s">
        <v>1920</v>
      </c>
      <c r="F48" s="1356">
        <f>SUM('wp-p5a-restatement (audit)'!H63:H68,'wp-p5a-restatement (audit)'!H70:H72,'wp-p5a-restatement (audit)'!H77,'wp-p5a-restatement (audit)'!H80,'wp-p5a-restatement (audit)'!H84,'wp-p5a-restatement (audit)'!H88,'wp-p5a-restatement (audit)'!H92,'wp-p5a-restatement (audit)'!H95,'wp-p5a-restatement (audit)'!H101,'wp-p5a-restatement (audit)'!H109,'wp-p5a-restatement (audit)'!H117)</f>
        <v>489812.83</v>
      </c>
      <c r="H48" s="1356">
        <f>SUM(I48:K48)</f>
        <v>489812.82999999996</v>
      </c>
      <c r="I48" s="1356">
        <v>42210.03</v>
      </c>
      <c r="K48" s="1356">
        <v>447602.8</v>
      </c>
      <c r="M48" s="1356">
        <f>+N48-P48</f>
        <v>-44282.304999999993</v>
      </c>
      <c r="N48" s="1356">
        <f>-SUM('wp-p5a-restatement (audit)'!N63:N68,'wp-p5a-restatement (audit)'!N70:N72,'wp-p5a-restatement (audit)'!N77,'wp-p5a-restatement (audit)'!N80,'wp-p5a-restatement (audit)'!N84,'wp-p5a-restatement (audit)'!N88,'wp-p5a-restatement (audit)'!N92,'wp-p5a-restatement (audit)'!N95,'wp-p5a-restatement (audit)'!N101,'wp-p5a-restatement (audit)'!N109,'wp-p5a-restatement (audit)'!N117)</f>
        <v>-481305.27500000002</v>
      </c>
      <c r="P48" s="1356">
        <f>SUM(Q48:S48)</f>
        <v>-437022.97000000003</v>
      </c>
      <c r="Q48" s="1356">
        <v>-25663.69</v>
      </c>
      <c r="S48" s="1356">
        <v>-411359.28</v>
      </c>
    </row>
    <row r="49" spans="1:19">
      <c r="F49" s="1356">
        <f>+F46-F48</f>
        <v>0</v>
      </c>
      <c r="H49" s="1356">
        <f>+H46-H48</f>
        <v>0</v>
      </c>
      <c r="I49" s="1356">
        <f>+I46-I48</f>
        <v>0</v>
      </c>
      <c r="K49" s="1356">
        <f>+K46-K48</f>
        <v>0</v>
      </c>
    </row>
    <row r="51" spans="1:19">
      <c r="A51" s="1364">
        <v>1580</v>
      </c>
      <c r="B51" s="1365">
        <v>2320</v>
      </c>
      <c r="C51" s="1360" t="s">
        <v>1154</v>
      </c>
      <c r="D51" s="1360" t="s">
        <v>89</v>
      </c>
      <c r="E51" s="1356">
        <f>F51-SUM(H51:H55)</f>
        <v>0</v>
      </c>
      <c r="F51" s="1356">
        <f>SUMIF('wp-p5a-restatement (audit)'!$B:$B,'wp-p5 Recon Summary'!$D51,'wp-p5a-restatement (audit)'!$H:$H)</f>
        <v>720843.45000000007</v>
      </c>
      <c r="H51" s="1356">
        <f t="shared" ref="H51:H54" si="7">SUM(I51:K51)</f>
        <v>28366.57</v>
      </c>
      <c r="I51" s="1356">
        <v>0</v>
      </c>
      <c r="J51" s="1356">
        <v>0</v>
      </c>
      <c r="K51" s="1356">
        <v>28366.57</v>
      </c>
      <c r="M51" s="1356">
        <f>N51-SUM(P51:P55)</f>
        <v>46758.321562499972</v>
      </c>
      <c r="N51" s="1356">
        <f>-SUMIF('wp-p5a-restatement (audit)'!$B$9:$B$126,'wp-p5 Recon Summary'!$D51,'wp-p5a-restatement (audit)'!$N$9:$N$126)</f>
        <v>-266857.56843750004</v>
      </c>
      <c r="P51" s="1356">
        <f t="shared" ref="P51:P54" si="8">SUM(Q51:S51)</f>
        <v>-17202.8</v>
      </c>
      <c r="Q51" s="1356">
        <v>0</v>
      </c>
      <c r="S51" s="1356">
        <v>-17202.8</v>
      </c>
    </row>
    <row r="52" spans="1:19">
      <c r="A52" s="1364">
        <v>1585</v>
      </c>
      <c r="B52" s="1365">
        <v>2325</v>
      </c>
      <c r="C52" s="1360" t="s">
        <v>1155</v>
      </c>
      <c r="H52" s="1356">
        <f t="shared" si="7"/>
        <v>79041.820000000007</v>
      </c>
      <c r="I52" s="1356">
        <v>0</v>
      </c>
      <c r="J52" s="1356">
        <v>0</v>
      </c>
      <c r="K52" s="1356">
        <v>79041.820000000007</v>
      </c>
      <c r="P52" s="1356">
        <f t="shared" si="8"/>
        <v>-68258.820000000007</v>
      </c>
      <c r="Q52" s="1356">
        <v>0</v>
      </c>
      <c r="S52" s="1356">
        <v>-68258.820000000007</v>
      </c>
    </row>
    <row r="53" spans="1:19">
      <c r="A53" s="1364">
        <v>1590</v>
      </c>
      <c r="B53" s="1365">
        <v>2330</v>
      </c>
      <c r="C53" s="1360" t="s">
        <v>1156</v>
      </c>
      <c r="H53" s="1356">
        <f t="shared" si="7"/>
        <v>595427.74</v>
      </c>
      <c r="I53" s="1356">
        <v>0</v>
      </c>
      <c r="J53" s="1356">
        <v>0</v>
      </c>
      <c r="K53" s="1356">
        <v>595427.74</v>
      </c>
      <c r="P53" s="1356">
        <f t="shared" si="8"/>
        <v>-210379.39</v>
      </c>
      <c r="Q53" s="1356">
        <v>0</v>
      </c>
      <c r="S53" s="1356">
        <v>-210379.39</v>
      </c>
    </row>
    <row r="54" spans="1:19">
      <c r="A54" s="1364">
        <v>1595</v>
      </c>
      <c r="B54" s="1365">
        <v>2335</v>
      </c>
      <c r="C54" s="1360" t="s">
        <v>1157</v>
      </c>
      <c r="H54" s="1356">
        <f t="shared" si="7"/>
        <v>18007.32</v>
      </c>
      <c r="I54" s="1356">
        <v>0</v>
      </c>
      <c r="J54" s="1356">
        <v>0</v>
      </c>
      <c r="K54" s="1356">
        <v>18007.32</v>
      </c>
      <c r="P54" s="1356">
        <f t="shared" si="8"/>
        <v>-17774.88</v>
      </c>
      <c r="Q54" s="1356">
        <v>0</v>
      </c>
      <c r="S54" s="1356">
        <v>-17774.88</v>
      </c>
    </row>
    <row r="55" spans="1:19">
      <c r="E55" s="1371"/>
      <c r="F55" s="1371"/>
      <c r="G55" s="1371"/>
      <c r="H55" s="1371"/>
      <c r="I55" s="1371"/>
      <c r="J55" s="1371"/>
      <c r="K55" s="1371"/>
      <c r="M55" s="1371"/>
      <c r="N55" s="1371"/>
      <c r="O55" s="1371"/>
      <c r="P55" s="1371"/>
      <c r="Q55" s="1371"/>
      <c r="R55" s="1371"/>
      <c r="S55" s="1371"/>
    </row>
    <row r="56" spans="1:19">
      <c r="C56" s="1360" t="s">
        <v>1921</v>
      </c>
      <c r="F56" s="1356">
        <f>SUM(F51:F55)</f>
        <v>720843.45000000007</v>
      </c>
      <c r="H56" s="1356">
        <f>SUM(H51:H55)</f>
        <v>720843.45</v>
      </c>
      <c r="I56" s="1356">
        <f>SUM(I51:I55)</f>
        <v>0</v>
      </c>
      <c r="J56" s="1356">
        <f>SUM(J51:J55)</f>
        <v>0</v>
      </c>
      <c r="K56" s="1356">
        <f>SUM(K51:K55)</f>
        <v>720843.45</v>
      </c>
      <c r="M56" s="1356">
        <f t="shared" ref="M56:S56" si="9">SUM(M51:M55)</f>
        <v>46758.321562499972</v>
      </c>
      <c r="N56" s="1356">
        <f t="shared" si="9"/>
        <v>-266857.56843750004</v>
      </c>
      <c r="O56" s="1356">
        <f t="shared" si="9"/>
        <v>0</v>
      </c>
      <c r="P56" s="1356">
        <f t="shared" si="9"/>
        <v>-313615.89</v>
      </c>
      <c r="Q56" s="1356">
        <f t="shared" si="9"/>
        <v>0</v>
      </c>
      <c r="R56" s="1356">
        <f t="shared" si="9"/>
        <v>0</v>
      </c>
      <c r="S56" s="1356">
        <f t="shared" si="9"/>
        <v>-313615.89</v>
      </c>
    </row>
    <row r="57" spans="1:19">
      <c r="C57" s="1360"/>
    </row>
    <row r="58" spans="1:19">
      <c r="C58" s="1360" t="s">
        <v>1922</v>
      </c>
      <c r="F58" s="1356">
        <f>SUM('wp-p5a-restatement (audit)'!H116,'wp-p5a-restatement (audit)'!H108,'wp-p5a-restatement (audit)'!H100,'wp-p5a-restatement (audit)'!H94,'wp-p5a-restatement (audit)'!H91,'wp-p5a-restatement (audit)'!H87,'wp-p5a-restatement (audit)'!H83,'wp-p5a-restatement (audit)'!H79,'wp-p5a-restatement (audit)'!H76)</f>
        <v>720843.45</v>
      </c>
      <c r="H58" s="1356">
        <f>SUM(I58:K58)</f>
        <v>720843.45</v>
      </c>
      <c r="I58" s="1356">
        <v>0</v>
      </c>
      <c r="J58" s="1356">
        <v>0</v>
      </c>
      <c r="K58" s="1356">
        <v>720843.45</v>
      </c>
      <c r="M58" s="1356">
        <f>+N58-P58</f>
        <v>46758.321562499972</v>
      </c>
      <c r="N58" s="1356">
        <f>-SUM('wp-p5a-restatement (audit)'!N116,'wp-p5a-restatement (audit)'!N108,'wp-p5a-restatement (audit)'!N100,'wp-p5a-restatement (audit)'!N94,'wp-p5a-restatement (audit)'!N91,'wp-p5a-restatement (audit)'!N87,'wp-p5a-restatement (audit)'!N83,'wp-p5a-restatement (audit)'!N79,'wp-p5a-restatement (audit)'!N76)</f>
        <v>-266857.56843750004</v>
      </c>
      <c r="P58" s="1356">
        <f>SUM(Q58:S58)</f>
        <v>-313615.89</v>
      </c>
      <c r="S58" s="1356">
        <v>-313615.89</v>
      </c>
    </row>
    <row r="59" spans="1:19">
      <c r="F59" s="1356">
        <f>+F56-F58</f>
        <v>0</v>
      </c>
      <c r="H59" s="1356">
        <f>+H56-H58</f>
        <v>0</v>
      </c>
      <c r="I59" s="1356">
        <f>+I56-I58</f>
        <v>0</v>
      </c>
      <c r="J59" s="1356">
        <f>+J56-J58</f>
        <v>0</v>
      </c>
      <c r="K59" s="1356">
        <f>+K56-K58</f>
        <v>0</v>
      </c>
    </row>
    <row r="61" spans="1:19" ht="13.5" thickBot="1">
      <c r="C61" s="1360" t="s">
        <v>463</v>
      </c>
      <c r="E61" s="1376"/>
      <c r="F61" s="1376">
        <f>+F39+F46+F56</f>
        <v>10059631.659999998</v>
      </c>
      <c r="G61" s="1376"/>
      <c r="H61" s="1376">
        <f t="shared" ref="H61:S61" si="10">+H39+H46+H56</f>
        <v>10023348.970000001</v>
      </c>
      <c r="I61" s="1376">
        <f t="shared" si="10"/>
        <v>8722934.629999999</v>
      </c>
      <c r="J61" s="1376">
        <f t="shared" si="10"/>
        <v>0</v>
      </c>
      <c r="K61" s="1376">
        <f t="shared" si="10"/>
        <v>1300414.3399999999</v>
      </c>
      <c r="M61" s="1376">
        <f t="shared" si="10"/>
        <v>525209.63966249954</v>
      </c>
      <c r="N61" s="1376">
        <f t="shared" si="10"/>
        <v>-3841528.1103375005</v>
      </c>
      <c r="O61" s="1376">
        <f t="shared" si="10"/>
        <v>0</v>
      </c>
      <c r="P61" s="1376">
        <f t="shared" si="10"/>
        <v>-4366737.75</v>
      </c>
      <c r="Q61" s="1376">
        <f t="shared" si="10"/>
        <v>-3565577.2299999995</v>
      </c>
      <c r="R61" s="1376">
        <f t="shared" si="10"/>
        <v>0</v>
      </c>
      <c r="S61" s="1376">
        <f t="shared" si="10"/>
        <v>-801160.52</v>
      </c>
    </row>
    <row r="62" spans="1:19" ht="13.5" thickTop="1">
      <c r="C62" s="1360"/>
    </row>
    <row r="63" spans="1:19">
      <c r="C63" s="1360" t="s">
        <v>1923</v>
      </c>
      <c r="F63" s="1356">
        <f>+'wp-p5a-restatement (audit)'!H122</f>
        <v>10059631.660000002</v>
      </c>
      <c r="H63" s="1356">
        <f>SUM(I63:K63)</f>
        <v>10021244.489999998</v>
      </c>
      <c r="I63" s="1356">
        <v>8720830.1499999985</v>
      </c>
      <c r="J63" s="1356">
        <v>0</v>
      </c>
      <c r="K63" s="1356">
        <v>1300414.3399999999</v>
      </c>
      <c r="M63" s="1356">
        <f>+N63-P63</f>
        <v>525156.97966249892</v>
      </c>
      <c r="N63" s="1356">
        <f>-'wp-p5a-restatement (audit)'!N122</f>
        <v>-3841528.1103375009</v>
      </c>
      <c r="P63" s="1356">
        <f>SUM(Q63:S63)</f>
        <v>-4366685.09</v>
      </c>
      <c r="Q63" s="1356">
        <v>-3565524.57</v>
      </c>
      <c r="S63" s="1356">
        <v>-801160.52</v>
      </c>
    </row>
    <row r="64" spans="1:19">
      <c r="F64" s="1356">
        <f>+F61-F63</f>
        <v>0</v>
      </c>
      <c r="H64" s="1356">
        <f t="shared" ref="H64:K64" si="11">+H61-H63</f>
        <v>2104.4800000023097</v>
      </c>
      <c r="I64" s="1356">
        <f t="shared" si="11"/>
        <v>2104.480000000447</v>
      </c>
      <c r="J64" s="1356">
        <f t="shared" si="11"/>
        <v>0</v>
      </c>
      <c r="K64" s="1356">
        <f t="shared" si="11"/>
        <v>0</v>
      </c>
    </row>
    <row r="66" spans="1:19">
      <c r="A66" s="2149" t="s">
        <v>723</v>
      </c>
      <c r="B66" s="2150"/>
      <c r="C66" s="2151"/>
    </row>
    <row r="68" spans="1:19">
      <c r="A68" s="1364">
        <v>3430</v>
      </c>
      <c r="B68" s="1365">
        <v>3975</v>
      </c>
      <c r="C68" s="1366" t="s">
        <v>1244</v>
      </c>
      <c r="D68" s="1360" t="s">
        <v>293</v>
      </c>
      <c r="E68" s="1356">
        <f>F68-SUM(H68:H69)</f>
        <v>-29790.759999999995</v>
      </c>
      <c r="F68" s="1387">
        <f>-SUMIF('wp-p5a-restatement (audit)'!B146:B185,'wp-p5 Recon Summary'!D68,'wp-p5a-restatement (audit)'!H146:H185)</f>
        <v>-110834.98</v>
      </c>
      <c r="H68" s="1356">
        <f t="shared" ref="H68:H69" si="12">SUM(I68:K68)</f>
        <v>-74377.97</v>
      </c>
      <c r="I68" s="1356">
        <v>-74377.97</v>
      </c>
      <c r="J68" s="1356">
        <v>0</v>
      </c>
      <c r="K68" s="1356">
        <v>0</v>
      </c>
      <c r="M68" s="1356">
        <f>N68-SUM(P68:P69)</f>
        <v>22685.932900000007</v>
      </c>
      <c r="N68" s="1356">
        <f>SUMIF('wp-p5a-restatement (audit)'!B146:B185,'wp-p5 Recon Summary'!D68,'wp-p5a-restatement (audit)'!N146:N185)</f>
        <v>35028.102900000005</v>
      </c>
      <c r="P68" s="1356">
        <f t="shared" ref="P68:P69" si="13">SUM(Q68:S68)</f>
        <v>12279.59</v>
      </c>
      <c r="Q68" s="1356">
        <v>12279.59</v>
      </c>
      <c r="S68" s="1356">
        <v>0</v>
      </c>
    </row>
    <row r="69" spans="1:19">
      <c r="A69" s="1364">
        <v>3435</v>
      </c>
      <c r="B69" s="1365">
        <v>3980</v>
      </c>
      <c r="C69" s="1366" t="s">
        <v>1245</v>
      </c>
      <c r="H69" s="1356">
        <f t="shared" si="12"/>
        <v>-6666.25</v>
      </c>
      <c r="I69" s="1356">
        <v>-6666.25</v>
      </c>
      <c r="J69" s="1356">
        <v>0</v>
      </c>
      <c r="K69" s="1356">
        <v>0</v>
      </c>
      <c r="P69" s="1356">
        <f t="shared" si="13"/>
        <v>62.58</v>
      </c>
      <c r="Q69" s="1356">
        <v>62.58</v>
      </c>
      <c r="S69" s="1356">
        <v>0</v>
      </c>
    </row>
    <row r="70" spans="1:19">
      <c r="E70" s="1371"/>
      <c r="F70" s="1371"/>
      <c r="G70" s="1371"/>
      <c r="H70" s="1371"/>
      <c r="I70" s="1371"/>
      <c r="J70" s="1371"/>
      <c r="K70" s="1371"/>
      <c r="L70" s="1377"/>
      <c r="M70" s="1371"/>
      <c r="N70" s="1371"/>
      <c r="O70" s="1371"/>
      <c r="P70" s="1371"/>
      <c r="Q70" s="1371"/>
      <c r="R70" s="1371"/>
      <c r="S70" s="1371"/>
    </row>
    <row r="71" spans="1:19">
      <c r="E71" s="1387">
        <f>SUM(E68:E70)</f>
        <v>-29790.759999999995</v>
      </c>
      <c r="F71" s="1356">
        <f>SUM(F68:F70)</f>
        <v>-110834.98</v>
      </c>
      <c r="H71" s="1356">
        <f>SUM(H68:H70)</f>
        <v>-81044.22</v>
      </c>
      <c r="I71" s="1356">
        <f>SUM(I68:I70)</f>
        <v>-81044.22</v>
      </c>
      <c r="J71" s="1356">
        <f>SUM(J68:J70)</f>
        <v>0</v>
      </c>
      <c r="K71" s="1356">
        <f>SUM(K68:K70)</f>
        <v>0</v>
      </c>
      <c r="M71" s="1387">
        <f>SUM(M68:M70)</f>
        <v>22685.932900000007</v>
      </c>
      <c r="N71" s="1356">
        <f>SUM(N68:N70)</f>
        <v>35028.102900000005</v>
      </c>
      <c r="P71" s="1356">
        <f t="shared" ref="P71:S71" si="14">SUM(P68:P70)</f>
        <v>12342.17</v>
      </c>
      <c r="Q71" s="1356">
        <f t="shared" si="14"/>
        <v>12342.17</v>
      </c>
      <c r="R71" s="1356">
        <f t="shared" si="14"/>
        <v>0</v>
      </c>
      <c r="S71" s="1356">
        <f t="shared" si="14"/>
        <v>0</v>
      </c>
    </row>
    <row r="73" spans="1:19">
      <c r="A73" s="2149" t="s">
        <v>941</v>
      </c>
      <c r="B73" s="2150"/>
      <c r="C73" s="2151"/>
    </row>
    <row r="75" spans="1:19">
      <c r="A75" s="1364">
        <v>3225</v>
      </c>
      <c r="B75" s="1364"/>
      <c r="C75" s="1364" t="s">
        <v>1243</v>
      </c>
      <c r="D75" s="1360" t="s">
        <v>293</v>
      </c>
      <c r="E75" s="1378">
        <f>+F75-H75</f>
        <v>0</v>
      </c>
      <c r="F75" s="1371">
        <f>-'wp-p5a-restatement (audit)'!H140</f>
        <v>-113080.52999999998</v>
      </c>
      <c r="G75" s="1371"/>
      <c r="H75" s="1371">
        <f t="shared" ref="H75" si="15">SUM(I75:K75)</f>
        <v>-113080.53</v>
      </c>
      <c r="I75" s="1371">
        <v>-113080.53</v>
      </c>
      <c r="J75" s="1371">
        <v>0</v>
      </c>
      <c r="K75" s="1371">
        <v>0</v>
      </c>
      <c r="M75" s="1371">
        <f>+N75-P75</f>
        <v>32354.543550000002</v>
      </c>
      <c r="N75" s="1371">
        <f>+'wp-p5a-restatement (audit)'!N142</f>
        <v>32354.543550000002</v>
      </c>
      <c r="O75" s="1371"/>
      <c r="P75" s="1371">
        <f t="shared" ref="P75" si="16">SUM(Q75:S75)</f>
        <v>0</v>
      </c>
      <c r="Q75" s="1371">
        <v>0</v>
      </c>
      <c r="R75" s="1371"/>
      <c r="S75" s="1371">
        <v>0</v>
      </c>
    </row>
    <row r="78" spans="1:19" ht="13.5" thickBot="1"/>
    <row r="79" spans="1:19" ht="13.5" thickBot="1">
      <c r="C79" s="1356" t="s">
        <v>314</v>
      </c>
      <c r="E79" s="1374">
        <f>E39+E71+E75</f>
        <v>6491.929999998174</v>
      </c>
      <c r="M79" s="1374">
        <f>M39+M71+M75</f>
        <v>577774.09954999946</v>
      </c>
    </row>
  </sheetData>
  <mergeCells count="3">
    <mergeCell ref="A7:C7"/>
    <mergeCell ref="A66:C66"/>
    <mergeCell ref="A73:C73"/>
  </mergeCells>
  <pageMargins left="0.7" right="0.7" top="0.75" bottom="0.75" header="0.3" footer="0.3"/>
  <pageSetup scale="55" orientation="landscape" r:id="rId1"/>
  <rowBreaks count="1" manualBreakCount="1">
    <brk id="43" max="18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H186"/>
  <sheetViews>
    <sheetView view="pageBreakPreview" zoomScale="75" zoomScaleNormal="100" zoomScaleSheetLayoutView="75" workbookViewId="0">
      <pane xSplit="3" ySplit="6" topLeftCell="D64" activePane="bottomRight" state="frozen"/>
      <selection pane="topRight"/>
      <selection pane="bottomLeft"/>
      <selection pane="bottomRight"/>
    </sheetView>
  </sheetViews>
  <sheetFormatPr defaultColWidth="8.875" defaultRowHeight="15"/>
  <cols>
    <col min="1" max="1" width="4.125" style="590" customWidth="1"/>
    <col min="2" max="2" width="13.375" style="590" customWidth="1"/>
    <col min="3" max="3" width="13.5" style="590" customWidth="1"/>
    <col min="4" max="4" width="12.125" style="591" customWidth="1"/>
    <col min="5" max="5" width="1.625" style="590" customWidth="1"/>
    <col min="6" max="6" width="10.125" style="591" bestFit="1" customWidth="1"/>
    <col min="7" max="7" width="1.625" style="590" customWidth="1"/>
    <col min="8" max="8" width="23.125" style="579" bestFit="1" customWidth="1"/>
    <col min="9" max="9" width="2.625" style="579" customWidth="1"/>
    <col min="10" max="10" width="11.375" style="590" bestFit="1" customWidth="1"/>
    <col min="11" max="11" width="1.625" style="590" customWidth="1"/>
    <col min="12" max="12" width="10.5" style="590" bestFit="1" customWidth="1"/>
    <col min="13" max="13" width="1.625" style="590" customWidth="1"/>
    <col min="14" max="14" width="13.125" style="590" bestFit="1" customWidth="1"/>
    <col min="15" max="15" width="1.625" style="592" customWidth="1"/>
    <col min="16" max="16" width="13.125" style="590" bestFit="1" customWidth="1"/>
    <col min="17" max="17" width="1.625" style="590" customWidth="1"/>
    <col min="18" max="18" width="12.75" style="590" bestFit="1" customWidth="1"/>
    <col min="19" max="19" width="1.625" style="590" customWidth="1"/>
    <col min="20" max="20" width="13.125" style="590" bestFit="1" customWidth="1"/>
    <col min="21" max="21" width="12.125" style="590" customWidth="1"/>
    <col min="22" max="22" width="13.625" style="590" bestFit="1" customWidth="1"/>
    <col min="23" max="23" width="1.625" style="590" customWidth="1"/>
    <col min="24" max="24" width="13" style="590" bestFit="1" customWidth="1"/>
    <col min="25" max="25" width="1.625" style="590" customWidth="1"/>
    <col min="26" max="26" width="8.875" style="590" customWidth="1"/>
    <col min="27" max="27" width="1.625" style="590" customWidth="1"/>
    <col min="28" max="28" width="11.5" style="590" bestFit="1" customWidth="1"/>
    <col min="29" max="29" width="1.625" style="590" customWidth="1"/>
    <col min="30" max="16384" width="8.875" style="590"/>
  </cols>
  <sheetData>
    <row r="1" spans="1:22">
      <c r="A1" s="589" t="s">
        <v>280</v>
      </c>
      <c r="R1" s="593" t="s">
        <v>1935</v>
      </c>
    </row>
    <row r="2" spans="1:22">
      <c r="A2" s="589" t="str">
        <f>'Sch.A-B.S'!D2</f>
        <v>Case No. 2015 - 00382</v>
      </c>
      <c r="R2" s="593"/>
    </row>
    <row r="3" spans="1:22">
      <c r="A3" s="589" t="s">
        <v>1941</v>
      </c>
    </row>
    <row r="4" spans="1:22">
      <c r="A4" s="589" t="s">
        <v>1942</v>
      </c>
    </row>
    <row r="5" spans="1:22">
      <c r="H5" s="594"/>
      <c r="I5" s="594"/>
      <c r="L5" s="595"/>
      <c r="M5" s="595"/>
      <c r="N5" s="596"/>
      <c r="O5" s="597"/>
    </row>
    <row r="6" spans="1:22" s="598" customFormat="1" ht="34.5" customHeight="1">
      <c r="D6" s="599" t="s">
        <v>637</v>
      </c>
      <c r="F6" s="599" t="s">
        <v>638</v>
      </c>
      <c r="H6" s="600" t="s">
        <v>1476</v>
      </c>
      <c r="I6" s="601"/>
      <c r="J6" s="599" t="s">
        <v>639</v>
      </c>
      <c r="L6" s="599" t="s">
        <v>287</v>
      </c>
      <c r="N6" s="599" t="s">
        <v>288</v>
      </c>
      <c r="O6" s="602"/>
      <c r="P6" s="599" t="s">
        <v>714</v>
      </c>
      <c r="R6" s="599" t="s">
        <v>289</v>
      </c>
      <c r="T6" s="326"/>
    </row>
    <row r="7" spans="1:22" s="604" customFormat="1">
      <c r="A7" s="603"/>
      <c r="C7" s="603"/>
      <c r="D7" s="591"/>
      <c r="E7" s="603"/>
      <c r="H7" s="605"/>
      <c r="I7" s="605"/>
      <c r="O7" s="606"/>
      <c r="T7" s="607" t="s">
        <v>290</v>
      </c>
      <c r="U7" s="608" t="s">
        <v>448</v>
      </c>
      <c r="V7" s="608" t="s">
        <v>291</v>
      </c>
    </row>
    <row r="8" spans="1:22" s="604" customFormat="1">
      <c r="A8" s="603" t="s">
        <v>297</v>
      </c>
      <c r="C8" s="603"/>
      <c r="D8" s="591"/>
      <c r="E8" s="603"/>
      <c r="H8" s="605"/>
      <c r="I8" s="605"/>
      <c r="O8" s="606"/>
      <c r="T8" s="607"/>
      <c r="U8" s="608"/>
      <c r="V8" s="608"/>
    </row>
    <row r="9" spans="1:22">
      <c r="B9" s="590" t="s">
        <v>511</v>
      </c>
      <c r="D9" s="326">
        <v>1981</v>
      </c>
      <c r="F9" s="609">
        <v>29587</v>
      </c>
      <c r="G9" s="610"/>
      <c r="H9" s="291">
        <v>3257.48</v>
      </c>
      <c r="J9" s="611">
        <f>VLOOKUP(D9,$T$17:$V$48,2,FALSE)</f>
        <v>29.75</v>
      </c>
      <c r="K9" s="611"/>
      <c r="L9" s="595">
        <f t="shared" ref="L9:L72" si="0">VLOOKUP(B9,$T$9:$U$13,2,FALSE)</f>
        <v>0</v>
      </c>
      <c r="M9" s="595"/>
      <c r="N9" s="613">
        <f t="shared" ref="N9:N72" si="1">IF(L9*J9*H9&gt;H9,H9,L9*J9*H9)</f>
        <v>0</v>
      </c>
      <c r="O9" s="613"/>
      <c r="P9" s="613">
        <f t="shared" ref="P9:P72" si="2">H9-N9</f>
        <v>3257.48</v>
      </c>
      <c r="Q9" s="612"/>
      <c r="R9" s="614" t="str">
        <f t="shared" ref="R9:R72" si="3">IF(N9=H9,"Yes","No")</f>
        <v>No</v>
      </c>
      <c r="S9" s="614"/>
      <c r="T9" s="590" t="s">
        <v>293</v>
      </c>
      <c r="U9" s="46">
        <v>0.02</v>
      </c>
      <c r="V9" s="591">
        <v>50</v>
      </c>
    </row>
    <row r="10" spans="1:22">
      <c r="B10" s="590" t="s">
        <v>511</v>
      </c>
      <c r="D10" s="326">
        <v>1981</v>
      </c>
      <c r="F10" s="609">
        <v>29587</v>
      </c>
      <c r="G10" s="610"/>
      <c r="H10" s="291">
        <v>596</v>
      </c>
      <c r="I10" s="291"/>
      <c r="J10" s="611">
        <f t="shared" ref="J10:J73" si="4">VLOOKUP(D10,$T$17:$V$48,2,FALSE)</f>
        <v>29.75</v>
      </c>
      <c r="K10" s="611"/>
      <c r="L10" s="595">
        <f t="shared" si="0"/>
        <v>0</v>
      </c>
      <c r="M10" s="595"/>
      <c r="N10" s="613">
        <f t="shared" si="1"/>
        <v>0</v>
      </c>
      <c r="O10" s="613"/>
      <c r="P10" s="613">
        <f t="shared" si="2"/>
        <v>596</v>
      </c>
      <c r="Q10" s="612"/>
      <c r="R10" s="614" t="str">
        <f t="shared" si="3"/>
        <v>No</v>
      </c>
      <c r="S10" s="614"/>
      <c r="T10" s="590" t="s">
        <v>294</v>
      </c>
      <c r="U10" s="46">
        <f>ROUND(1/V10,3)</f>
        <v>0.25</v>
      </c>
      <c r="V10" s="591">
        <v>4</v>
      </c>
    </row>
    <row r="11" spans="1:22">
      <c r="B11" s="590" t="s">
        <v>511</v>
      </c>
      <c r="D11" s="326">
        <v>1981</v>
      </c>
      <c r="F11" s="609">
        <v>29587</v>
      </c>
      <c r="G11" s="610"/>
      <c r="H11" s="291">
        <v>1234.5</v>
      </c>
      <c r="J11" s="611">
        <f t="shared" si="4"/>
        <v>29.75</v>
      </c>
      <c r="K11" s="611"/>
      <c r="L11" s="595">
        <f t="shared" si="0"/>
        <v>0</v>
      </c>
      <c r="M11" s="595"/>
      <c r="N11" s="613">
        <f t="shared" si="1"/>
        <v>0</v>
      </c>
      <c r="O11" s="613"/>
      <c r="P11" s="613">
        <f t="shared" si="2"/>
        <v>1234.5</v>
      </c>
      <c r="Q11" s="612"/>
      <c r="R11" s="614" t="str">
        <f t="shared" si="3"/>
        <v>No</v>
      </c>
      <c r="S11" s="614"/>
      <c r="T11" s="590" t="s">
        <v>89</v>
      </c>
      <c r="U11" s="46">
        <v>0.125</v>
      </c>
      <c r="V11" s="591">
        <v>4</v>
      </c>
    </row>
    <row r="12" spans="1:22">
      <c r="B12" s="590" t="s">
        <v>293</v>
      </c>
      <c r="D12" s="326">
        <v>1985</v>
      </c>
      <c r="F12" s="609">
        <v>31372</v>
      </c>
      <c r="G12" s="610"/>
      <c r="H12" s="291">
        <v>13478.2</v>
      </c>
      <c r="J12" s="611">
        <f t="shared" si="4"/>
        <v>25.75</v>
      </c>
      <c r="K12" s="611"/>
      <c r="L12" s="595">
        <f t="shared" si="0"/>
        <v>0.02</v>
      </c>
      <c r="M12" s="595"/>
      <c r="N12" s="613">
        <f>IF(L12*J12*H12&gt;H12,H12,L12*J12*H12)</f>
        <v>6941.2730000000001</v>
      </c>
      <c r="O12" s="613"/>
      <c r="P12" s="613">
        <f t="shared" si="2"/>
        <v>6536.9270000000006</v>
      </c>
      <c r="Q12" s="612"/>
      <c r="R12" s="614" t="str">
        <f t="shared" si="3"/>
        <v>No</v>
      </c>
      <c r="S12" s="614"/>
      <c r="T12" s="590" t="s">
        <v>511</v>
      </c>
      <c r="U12" s="46">
        <v>0</v>
      </c>
      <c r="V12" s="591">
        <v>0</v>
      </c>
    </row>
    <row r="13" spans="1:22">
      <c r="B13" s="590" t="s">
        <v>293</v>
      </c>
      <c r="D13" s="326">
        <v>1985</v>
      </c>
      <c r="F13" s="609">
        <v>31372</v>
      </c>
      <c r="G13" s="610"/>
      <c r="H13" s="291">
        <v>185476.3</v>
      </c>
      <c r="J13" s="611">
        <f t="shared" si="4"/>
        <v>25.75</v>
      </c>
      <c r="K13" s="611"/>
      <c r="L13" s="595">
        <f t="shared" si="0"/>
        <v>0.02</v>
      </c>
      <c r="M13" s="595"/>
      <c r="N13" s="613">
        <f t="shared" si="1"/>
        <v>95520.294500000004</v>
      </c>
      <c r="O13" s="613"/>
      <c r="P13" s="613">
        <f t="shared" si="2"/>
        <v>89956.005499999985</v>
      </c>
      <c r="Q13" s="612"/>
      <c r="R13" s="614" t="str">
        <f t="shared" si="3"/>
        <v>No</v>
      </c>
      <c r="S13" s="614"/>
      <c r="T13" s="590" t="s">
        <v>466</v>
      </c>
      <c r="U13" s="46">
        <v>0</v>
      </c>
      <c r="V13" s="591">
        <v>0</v>
      </c>
    </row>
    <row r="14" spans="1:22">
      <c r="B14" s="590" t="s">
        <v>293</v>
      </c>
      <c r="D14" s="326">
        <v>1985</v>
      </c>
      <c r="F14" s="609">
        <v>31372</v>
      </c>
      <c r="G14" s="610"/>
      <c r="H14" s="291">
        <v>2641.38</v>
      </c>
      <c r="J14" s="611">
        <f t="shared" si="4"/>
        <v>25.75</v>
      </c>
      <c r="K14" s="611"/>
      <c r="L14" s="595">
        <f t="shared" si="0"/>
        <v>0.02</v>
      </c>
      <c r="M14" s="595"/>
      <c r="N14" s="613">
        <f t="shared" si="1"/>
        <v>1360.3107</v>
      </c>
      <c r="O14" s="613"/>
      <c r="P14" s="613">
        <f t="shared" si="2"/>
        <v>1281.0693000000001</v>
      </c>
      <c r="Q14" s="612"/>
      <c r="R14" s="614" t="str">
        <f t="shared" si="3"/>
        <v>No</v>
      </c>
      <c r="S14" s="614"/>
      <c r="T14" s="590" t="s">
        <v>295</v>
      </c>
      <c r="U14" s="615"/>
    </row>
    <row r="15" spans="1:22">
      <c r="B15" s="590" t="s">
        <v>293</v>
      </c>
      <c r="D15" s="326">
        <v>1985</v>
      </c>
      <c r="F15" s="609">
        <v>31372</v>
      </c>
      <c r="G15" s="610"/>
      <c r="H15" s="291">
        <v>6336.72</v>
      </c>
      <c r="J15" s="611">
        <f t="shared" si="4"/>
        <v>25.75</v>
      </c>
      <c r="K15" s="611"/>
      <c r="L15" s="595">
        <f t="shared" si="0"/>
        <v>0.02</v>
      </c>
      <c r="M15" s="595"/>
      <c r="N15" s="613">
        <f t="shared" si="1"/>
        <v>3263.4108000000001</v>
      </c>
      <c r="O15" s="613"/>
      <c r="P15" s="613">
        <f t="shared" si="2"/>
        <v>3073.3092000000001</v>
      </c>
      <c r="Q15" s="612"/>
      <c r="R15" s="614" t="str">
        <f t="shared" si="3"/>
        <v>No</v>
      </c>
      <c r="S15" s="614"/>
    </row>
    <row r="16" spans="1:22">
      <c r="B16" s="590" t="s">
        <v>293</v>
      </c>
      <c r="D16" s="326">
        <v>1985</v>
      </c>
      <c r="F16" s="609">
        <v>31372</v>
      </c>
      <c r="G16" s="610"/>
      <c r="H16" s="291">
        <v>30123.53</v>
      </c>
      <c r="J16" s="611">
        <f t="shared" si="4"/>
        <v>25.75</v>
      </c>
      <c r="K16" s="611"/>
      <c r="L16" s="595">
        <f t="shared" si="0"/>
        <v>0.02</v>
      </c>
      <c r="M16" s="595"/>
      <c r="N16" s="613">
        <f t="shared" si="1"/>
        <v>15513.61795</v>
      </c>
      <c r="O16" s="613"/>
      <c r="P16" s="613">
        <f t="shared" si="2"/>
        <v>14609.912049999999</v>
      </c>
      <c r="Q16" s="612"/>
      <c r="R16" s="614" t="str">
        <f t="shared" si="3"/>
        <v>No</v>
      </c>
      <c r="S16" s="614"/>
      <c r="U16" s="616">
        <v>40451</v>
      </c>
      <c r="V16" s="610"/>
    </row>
    <row r="17" spans="2:21">
      <c r="B17" s="590" t="s">
        <v>293</v>
      </c>
      <c r="D17" s="326">
        <v>1985</v>
      </c>
      <c r="F17" s="609">
        <v>31372</v>
      </c>
      <c r="G17" s="610"/>
      <c r="H17" s="291">
        <v>194242.01</v>
      </c>
      <c r="J17" s="611">
        <f t="shared" si="4"/>
        <v>25.75</v>
      </c>
      <c r="K17" s="611"/>
      <c r="L17" s="595">
        <f t="shared" si="0"/>
        <v>0.02</v>
      </c>
      <c r="M17" s="595"/>
      <c r="N17" s="613">
        <f t="shared" si="1"/>
        <v>100034.63515</v>
      </c>
      <c r="O17" s="613"/>
      <c r="P17" s="613">
        <f t="shared" si="2"/>
        <v>94207.374850000007</v>
      </c>
      <c r="Q17" s="612"/>
      <c r="R17" s="614" t="str">
        <f t="shared" si="3"/>
        <v>No</v>
      </c>
      <c r="S17" s="614"/>
      <c r="T17" s="326">
        <v>1974</v>
      </c>
      <c r="U17" s="590">
        <f>2010.75-T17</f>
        <v>36.75</v>
      </c>
    </row>
    <row r="18" spans="2:21">
      <c r="B18" s="590" t="s">
        <v>293</v>
      </c>
      <c r="D18" s="326">
        <v>1985</v>
      </c>
      <c r="F18" s="609">
        <v>31372</v>
      </c>
      <c r="H18" s="291">
        <v>25622.799999999999</v>
      </c>
      <c r="J18" s="611">
        <f t="shared" si="4"/>
        <v>25.75</v>
      </c>
      <c r="K18" s="611"/>
      <c r="L18" s="595">
        <f t="shared" si="0"/>
        <v>0.02</v>
      </c>
      <c r="M18" s="595"/>
      <c r="N18" s="613">
        <f t="shared" si="1"/>
        <v>13195.742</v>
      </c>
      <c r="O18" s="613"/>
      <c r="P18" s="613">
        <f t="shared" si="2"/>
        <v>12427.057999999999</v>
      </c>
      <c r="Q18" s="612"/>
      <c r="R18" s="614" t="str">
        <f t="shared" si="3"/>
        <v>No</v>
      </c>
      <c r="S18" s="614"/>
      <c r="T18" s="326">
        <v>1975</v>
      </c>
      <c r="U18" s="590">
        <f t="shared" ref="U18:U52" si="5">2010.75-T18</f>
        <v>35.75</v>
      </c>
    </row>
    <row r="19" spans="2:21">
      <c r="B19" s="590" t="s">
        <v>293</v>
      </c>
      <c r="D19" s="326">
        <v>1985</v>
      </c>
      <c r="F19" s="609">
        <v>31372</v>
      </c>
      <c r="H19" s="291">
        <v>334189.62</v>
      </c>
      <c r="J19" s="611">
        <f t="shared" si="4"/>
        <v>25.75</v>
      </c>
      <c r="K19" s="611"/>
      <c r="L19" s="595">
        <f t="shared" si="0"/>
        <v>0.02</v>
      </c>
      <c r="M19" s="595"/>
      <c r="N19" s="613">
        <f t="shared" si="1"/>
        <v>172107.65429999999</v>
      </c>
      <c r="O19" s="613"/>
      <c r="P19" s="613">
        <f t="shared" si="2"/>
        <v>162081.9657</v>
      </c>
      <c r="Q19" s="612"/>
      <c r="R19" s="614" t="str">
        <f t="shared" si="3"/>
        <v>No</v>
      </c>
      <c r="S19" s="614"/>
      <c r="T19" s="326">
        <v>1976</v>
      </c>
      <c r="U19" s="590">
        <f t="shared" si="5"/>
        <v>34.75</v>
      </c>
    </row>
    <row r="20" spans="2:21">
      <c r="B20" s="590" t="s">
        <v>293</v>
      </c>
      <c r="D20" s="326">
        <v>1985</v>
      </c>
      <c r="F20" s="609">
        <v>31372</v>
      </c>
      <c r="H20" s="291">
        <v>13680.34</v>
      </c>
      <c r="J20" s="611">
        <f t="shared" si="4"/>
        <v>25.75</v>
      </c>
      <c r="K20" s="611"/>
      <c r="L20" s="595">
        <f t="shared" si="0"/>
        <v>0.02</v>
      </c>
      <c r="M20" s="595"/>
      <c r="N20" s="613">
        <f t="shared" si="1"/>
        <v>7045.3751000000002</v>
      </c>
      <c r="O20" s="613"/>
      <c r="P20" s="613">
        <f t="shared" si="2"/>
        <v>6634.9648999999999</v>
      </c>
      <c r="Q20" s="612"/>
      <c r="R20" s="614" t="str">
        <f t="shared" si="3"/>
        <v>No</v>
      </c>
      <c r="S20" s="614"/>
      <c r="T20" s="326">
        <v>1977</v>
      </c>
      <c r="U20" s="590">
        <f t="shared" si="5"/>
        <v>33.75</v>
      </c>
    </row>
    <row r="21" spans="2:21">
      <c r="B21" s="590" t="s">
        <v>293</v>
      </c>
      <c r="D21" s="326">
        <v>1985</v>
      </c>
      <c r="F21" s="609">
        <v>31372</v>
      </c>
      <c r="H21" s="291">
        <v>10164.719999999999</v>
      </c>
      <c r="J21" s="611">
        <f t="shared" si="4"/>
        <v>25.75</v>
      </c>
      <c r="K21" s="611"/>
      <c r="L21" s="595">
        <f t="shared" si="0"/>
        <v>0.02</v>
      </c>
      <c r="M21" s="595"/>
      <c r="N21" s="613">
        <f t="shared" si="1"/>
        <v>5234.8307999999997</v>
      </c>
      <c r="O21" s="613"/>
      <c r="P21" s="613">
        <f t="shared" si="2"/>
        <v>4929.8891999999996</v>
      </c>
      <c r="Q21" s="612"/>
      <c r="R21" s="614" t="str">
        <f t="shared" si="3"/>
        <v>No</v>
      </c>
      <c r="S21" s="614"/>
      <c r="T21" s="326">
        <v>1978</v>
      </c>
      <c r="U21" s="590">
        <f t="shared" si="5"/>
        <v>32.75</v>
      </c>
    </row>
    <row r="22" spans="2:21">
      <c r="B22" s="590" t="s">
        <v>293</v>
      </c>
      <c r="D22" s="326">
        <v>1985</v>
      </c>
      <c r="F22" s="609">
        <v>31372</v>
      </c>
      <c r="H22" s="291">
        <v>312686.93</v>
      </c>
      <c r="J22" s="611">
        <f t="shared" si="4"/>
        <v>25.75</v>
      </c>
      <c r="K22" s="611"/>
      <c r="L22" s="595">
        <f t="shared" si="0"/>
        <v>0.02</v>
      </c>
      <c r="M22" s="595"/>
      <c r="N22" s="613">
        <f t="shared" si="1"/>
        <v>161033.76895</v>
      </c>
      <c r="O22" s="613"/>
      <c r="P22" s="613">
        <f t="shared" si="2"/>
        <v>151653.16105</v>
      </c>
      <c r="Q22" s="612"/>
      <c r="R22" s="614" t="str">
        <f t="shared" si="3"/>
        <v>No</v>
      </c>
      <c r="S22" s="614"/>
      <c r="T22" s="326">
        <v>1979</v>
      </c>
      <c r="U22" s="590">
        <f t="shared" si="5"/>
        <v>31.75</v>
      </c>
    </row>
    <row r="23" spans="2:21">
      <c r="B23" s="590" t="s">
        <v>293</v>
      </c>
      <c r="D23" s="326">
        <v>1985</v>
      </c>
      <c r="F23" s="609">
        <v>31372</v>
      </c>
      <c r="H23" s="291">
        <v>125585.14</v>
      </c>
      <c r="J23" s="611">
        <f t="shared" si="4"/>
        <v>25.75</v>
      </c>
      <c r="K23" s="611"/>
      <c r="L23" s="595">
        <f t="shared" si="0"/>
        <v>0.02</v>
      </c>
      <c r="M23" s="595"/>
      <c r="N23" s="613">
        <f t="shared" si="1"/>
        <v>64676.347099999999</v>
      </c>
      <c r="O23" s="613"/>
      <c r="P23" s="613">
        <f t="shared" si="2"/>
        <v>60908.7929</v>
      </c>
      <c r="Q23" s="612"/>
      <c r="R23" s="614" t="str">
        <f t="shared" si="3"/>
        <v>No</v>
      </c>
      <c r="S23" s="614"/>
      <c r="T23" s="326">
        <v>1980</v>
      </c>
      <c r="U23" s="590">
        <f t="shared" si="5"/>
        <v>30.75</v>
      </c>
    </row>
    <row r="24" spans="2:21">
      <c r="B24" s="590" t="s">
        <v>293</v>
      </c>
      <c r="D24" s="326">
        <v>1985</v>
      </c>
      <c r="F24" s="609">
        <v>31372</v>
      </c>
      <c r="H24" s="291">
        <v>2264076.4700000002</v>
      </c>
      <c r="J24" s="611">
        <f t="shared" si="4"/>
        <v>25.75</v>
      </c>
      <c r="K24" s="611"/>
      <c r="L24" s="595">
        <f t="shared" si="0"/>
        <v>0.02</v>
      </c>
      <c r="M24" s="595"/>
      <c r="N24" s="613">
        <f t="shared" si="1"/>
        <v>1165999.3820500001</v>
      </c>
      <c r="O24" s="613"/>
      <c r="P24" s="613">
        <f t="shared" si="2"/>
        <v>1098077.0879500001</v>
      </c>
      <c r="Q24" s="612"/>
      <c r="R24" s="614" t="str">
        <f t="shared" si="3"/>
        <v>No</v>
      </c>
      <c r="S24" s="614"/>
      <c r="T24" s="326">
        <v>1981</v>
      </c>
      <c r="U24" s="590">
        <f t="shared" si="5"/>
        <v>29.75</v>
      </c>
    </row>
    <row r="25" spans="2:21">
      <c r="B25" s="590" t="s">
        <v>293</v>
      </c>
      <c r="C25" s="592"/>
      <c r="D25" s="326">
        <v>1985</v>
      </c>
      <c r="E25" s="592"/>
      <c r="F25" s="609">
        <v>31372</v>
      </c>
      <c r="G25" s="592"/>
      <c r="H25" s="291">
        <v>283658.51</v>
      </c>
      <c r="J25" s="611">
        <f t="shared" si="4"/>
        <v>25.75</v>
      </c>
      <c r="K25" s="611"/>
      <c r="L25" s="595">
        <f t="shared" si="0"/>
        <v>0.02</v>
      </c>
      <c r="M25" s="595"/>
      <c r="N25" s="613">
        <f t="shared" si="1"/>
        <v>146084.13265000001</v>
      </c>
      <c r="O25" s="613"/>
      <c r="P25" s="613">
        <f t="shared" si="2"/>
        <v>137574.37735</v>
      </c>
      <c r="Q25" s="612"/>
      <c r="R25" s="614" t="str">
        <f t="shared" si="3"/>
        <v>No</v>
      </c>
      <c r="S25" s="614"/>
      <c r="T25" s="326">
        <v>1982</v>
      </c>
      <c r="U25" s="590">
        <f t="shared" si="5"/>
        <v>28.75</v>
      </c>
    </row>
    <row r="26" spans="2:21">
      <c r="B26" s="590" t="s">
        <v>293</v>
      </c>
      <c r="C26" s="592"/>
      <c r="D26" s="326">
        <v>1985</v>
      </c>
      <c r="E26" s="592"/>
      <c r="F26" s="609">
        <v>31372</v>
      </c>
      <c r="G26" s="617"/>
      <c r="H26" s="291">
        <v>40452.800000000003</v>
      </c>
      <c r="J26" s="611">
        <f t="shared" si="4"/>
        <v>25.75</v>
      </c>
      <c r="K26" s="611"/>
      <c r="L26" s="595">
        <f t="shared" si="0"/>
        <v>0.02</v>
      </c>
      <c r="M26" s="595"/>
      <c r="N26" s="613">
        <f t="shared" si="1"/>
        <v>20833.192000000003</v>
      </c>
      <c r="O26" s="613"/>
      <c r="P26" s="613">
        <f t="shared" si="2"/>
        <v>19619.608</v>
      </c>
      <c r="Q26" s="612"/>
      <c r="R26" s="614" t="str">
        <f t="shared" si="3"/>
        <v>No</v>
      </c>
      <c r="S26" s="614"/>
      <c r="T26" s="326">
        <v>1983</v>
      </c>
      <c r="U26" s="590">
        <f t="shared" si="5"/>
        <v>27.75</v>
      </c>
    </row>
    <row r="27" spans="2:21">
      <c r="B27" s="590" t="s">
        <v>293</v>
      </c>
      <c r="C27" s="592"/>
      <c r="D27" s="326">
        <v>1985</v>
      </c>
      <c r="E27" s="592"/>
      <c r="F27" s="609">
        <v>31372</v>
      </c>
      <c r="G27" s="617"/>
      <c r="H27" s="291">
        <v>515437.63</v>
      </c>
      <c r="J27" s="611">
        <f t="shared" si="4"/>
        <v>25.75</v>
      </c>
      <c r="K27" s="611"/>
      <c r="L27" s="595">
        <f t="shared" si="0"/>
        <v>0.02</v>
      </c>
      <c r="M27" s="595"/>
      <c r="N27" s="613">
        <f t="shared" si="1"/>
        <v>265450.37945000001</v>
      </c>
      <c r="O27" s="613"/>
      <c r="P27" s="613">
        <f t="shared" si="2"/>
        <v>249987.25055</v>
      </c>
      <c r="Q27" s="612"/>
      <c r="R27" s="614" t="str">
        <f t="shared" si="3"/>
        <v>No</v>
      </c>
      <c r="S27" s="614"/>
      <c r="T27" s="326">
        <v>1984</v>
      </c>
      <c r="U27" s="590">
        <f t="shared" si="5"/>
        <v>26.75</v>
      </c>
    </row>
    <row r="28" spans="2:21">
      <c r="B28" s="590" t="s">
        <v>293</v>
      </c>
      <c r="C28" s="592"/>
      <c r="D28" s="326">
        <v>1985</v>
      </c>
      <c r="E28" s="592"/>
      <c r="F28" s="609">
        <v>31372</v>
      </c>
      <c r="G28" s="617"/>
      <c r="H28" s="291">
        <v>78560.820000000007</v>
      </c>
      <c r="J28" s="611">
        <f t="shared" si="4"/>
        <v>25.75</v>
      </c>
      <c r="K28" s="611"/>
      <c r="L28" s="595">
        <f t="shared" si="0"/>
        <v>0.02</v>
      </c>
      <c r="M28" s="595"/>
      <c r="N28" s="613">
        <f t="shared" si="1"/>
        <v>40458.822300000007</v>
      </c>
      <c r="O28" s="613"/>
      <c r="P28" s="613">
        <f t="shared" si="2"/>
        <v>38101.9977</v>
      </c>
      <c r="Q28" s="612"/>
      <c r="R28" s="614" t="str">
        <f t="shared" si="3"/>
        <v>No</v>
      </c>
      <c r="S28" s="614"/>
      <c r="T28" s="326">
        <v>1985</v>
      </c>
      <c r="U28" s="590">
        <f t="shared" si="5"/>
        <v>25.75</v>
      </c>
    </row>
    <row r="29" spans="2:21">
      <c r="B29" s="590" t="s">
        <v>293</v>
      </c>
      <c r="C29" s="592"/>
      <c r="D29" s="326">
        <v>1985</v>
      </c>
      <c r="E29" s="592"/>
      <c r="F29" s="609">
        <v>31372</v>
      </c>
      <c r="G29" s="617"/>
      <c r="H29" s="291">
        <v>370692.25</v>
      </c>
      <c r="J29" s="611">
        <f t="shared" si="4"/>
        <v>25.75</v>
      </c>
      <c r="K29" s="611"/>
      <c r="L29" s="595">
        <f t="shared" si="0"/>
        <v>0.02</v>
      </c>
      <c r="M29" s="595"/>
      <c r="N29" s="613">
        <f t="shared" si="1"/>
        <v>190906.50875000001</v>
      </c>
      <c r="O29" s="613"/>
      <c r="P29" s="613">
        <f t="shared" si="2"/>
        <v>179785.74124999999</v>
      </c>
      <c r="Q29" s="612"/>
      <c r="R29" s="614" t="str">
        <f t="shared" si="3"/>
        <v>No</v>
      </c>
      <c r="S29" s="614"/>
      <c r="T29" s="326">
        <v>1986</v>
      </c>
      <c r="U29" s="590">
        <f t="shared" si="5"/>
        <v>24.75</v>
      </c>
    </row>
    <row r="30" spans="2:21">
      <c r="B30" s="590" t="s">
        <v>293</v>
      </c>
      <c r="C30" s="592"/>
      <c r="D30" s="326">
        <v>1985</v>
      </c>
      <c r="E30" s="592"/>
      <c r="F30" s="609">
        <v>31372</v>
      </c>
      <c r="G30" s="617"/>
      <c r="H30" s="291">
        <v>70195.28</v>
      </c>
      <c r="J30" s="611">
        <f t="shared" si="4"/>
        <v>25.75</v>
      </c>
      <c r="K30" s="611"/>
      <c r="L30" s="595">
        <f t="shared" si="0"/>
        <v>0.02</v>
      </c>
      <c r="M30" s="595"/>
      <c r="N30" s="613">
        <f t="shared" si="1"/>
        <v>36150.569199999998</v>
      </c>
      <c r="O30" s="613"/>
      <c r="P30" s="613">
        <f t="shared" si="2"/>
        <v>34044.710800000001</v>
      </c>
      <c r="Q30" s="612"/>
      <c r="R30" s="614" t="str">
        <f t="shared" si="3"/>
        <v>No</v>
      </c>
      <c r="S30" s="614"/>
      <c r="T30" s="326">
        <v>1987</v>
      </c>
      <c r="U30" s="590">
        <f t="shared" si="5"/>
        <v>23.75</v>
      </c>
    </row>
    <row r="31" spans="2:21">
      <c r="B31" s="590" t="s">
        <v>293</v>
      </c>
      <c r="C31" s="592"/>
      <c r="D31" s="326">
        <v>1985</v>
      </c>
      <c r="E31" s="592"/>
      <c r="F31" s="609">
        <v>31372</v>
      </c>
      <c r="G31" s="617"/>
      <c r="H31" s="291">
        <v>145967.76</v>
      </c>
      <c r="J31" s="611">
        <f t="shared" si="4"/>
        <v>25.75</v>
      </c>
      <c r="K31" s="611"/>
      <c r="L31" s="595">
        <f t="shared" si="0"/>
        <v>0.02</v>
      </c>
      <c r="M31" s="595"/>
      <c r="N31" s="613">
        <f t="shared" si="1"/>
        <v>75173.396400000012</v>
      </c>
      <c r="O31" s="613"/>
      <c r="P31" s="613">
        <f t="shared" si="2"/>
        <v>70794.363599999997</v>
      </c>
      <c r="Q31" s="612"/>
      <c r="R31" s="614" t="str">
        <f t="shared" si="3"/>
        <v>No</v>
      </c>
      <c r="S31" s="614"/>
      <c r="T31" s="326">
        <v>1988</v>
      </c>
      <c r="U31" s="590">
        <f t="shared" si="5"/>
        <v>22.75</v>
      </c>
    </row>
    <row r="32" spans="2:21">
      <c r="B32" s="590" t="s">
        <v>293</v>
      </c>
      <c r="C32" s="592"/>
      <c r="D32" s="326">
        <v>1985</v>
      </c>
      <c r="E32" s="592"/>
      <c r="F32" s="609">
        <v>31372</v>
      </c>
      <c r="G32" s="617"/>
      <c r="H32" s="291">
        <v>19188.32</v>
      </c>
      <c r="J32" s="611">
        <f t="shared" si="4"/>
        <v>25.75</v>
      </c>
      <c r="K32" s="611"/>
      <c r="L32" s="595">
        <f t="shared" si="0"/>
        <v>0.02</v>
      </c>
      <c r="M32" s="595"/>
      <c r="N32" s="613">
        <f t="shared" si="1"/>
        <v>9881.9848000000002</v>
      </c>
      <c r="O32" s="613"/>
      <c r="P32" s="613">
        <f t="shared" si="2"/>
        <v>9306.3351999999995</v>
      </c>
      <c r="Q32" s="612"/>
      <c r="R32" s="614" t="str">
        <f t="shared" si="3"/>
        <v>No</v>
      </c>
      <c r="S32" s="614"/>
      <c r="T32" s="326">
        <v>1989</v>
      </c>
      <c r="U32" s="590">
        <f t="shared" si="5"/>
        <v>21.75</v>
      </c>
    </row>
    <row r="33" spans="1:21">
      <c r="B33" s="590" t="s">
        <v>293</v>
      </c>
      <c r="C33" s="592"/>
      <c r="D33" s="326">
        <v>1985</v>
      </c>
      <c r="E33" s="592"/>
      <c r="F33" s="609">
        <v>31372</v>
      </c>
      <c r="G33" s="617"/>
      <c r="H33" s="291">
        <v>129343.47</v>
      </c>
      <c r="J33" s="611">
        <f t="shared" si="4"/>
        <v>25.75</v>
      </c>
      <c r="K33" s="611"/>
      <c r="L33" s="595">
        <f t="shared" si="0"/>
        <v>0.02</v>
      </c>
      <c r="M33" s="595"/>
      <c r="N33" s="613">
        <f t="shared" si="1"/>
        <v>66611.887050000005</v>
      </c>
      <c r="O33" s="613"/>
      <c r="P33" s="613">
        <f t="shared" si="2"/>
        <v>62731.582949999996</v>
      </c>
      <c r="Q33" s="612"/>
      <c r="R33" s="614" t="str">
        <f t="shared" si="3"/>
        <v>No</v>
      </c>
      <c r="S33" s="614"/>
      <c r="T33" s="326">
        <v>1990</v>
      </c>
      <c r="U33" s="590">
        <f t="shared" si="5"/>
        <v>20.75</v>
      </c>
    </row>
    <row r="34" spans="1:21">
      <c r="B34" s="590" t="s">
        <v>293</v>
      </c>
      <c r="C34" s="592"/>
      <c r="D34" s="326">
        <v>1985</v>
      </c>
      <c r="E34" s="592"/>
      <c r="F34" s="609">
        <v>31372</v>
      </c>
      <c r="G34" s="617"/>
      <c r="H34" s="291">
        <v>21885.34</v>
      </c>
      <c r="J34" s="611">
        <f t="shared" si="4"/>
        <v>25.75</v>
      </c>
      <c r="K34" s="611"/>
      <c r="L34" s="595">
        <f t="shared" si="0"/>
        <v>0.02</v>
      </c>
      <c r="M34" s="595"/>
      <c r="N34" s="613">
        <f t="shared" si="1"/>
        <v>11270.9501</v>
      </c>
      <c r="O34" s="613"/>
      <c r="P34" s="613">
        <f t="shared" si="2"/>
        <v>10614.3899</v>
      </c>
      <c r="Q34" s="612"/>
      <c r="R34" s="614" t="str">
        <f t="shared" si="3"/>
        <v>No</v>
      </c>
      <c r="S34" s="614"/>
      <c r="T34" s="326">
        <v>1991</v>
      </c>
      <c r="U34" s="590">
        <f t="shared" si="5"/>
        <v>19.75</v>
      </c>
    </row>
    <row r="35" spans="1:21">
      <c r="B35" s="590" t="s">
        <v>293</v>
      </c>
      <c r="D35" s="326">
        <v>1997</v>
      </c>
      <c r="F35" s="618">
        <v>35642</v>
      </c>
      <c r="G35" s="619"/>
      <c r="H35" s="291">
        <v>6000.81</v>
      </c>
      <c r="J35" s="611">
        <f t="shared" si="4"/>
        <v>13.75</v>
      </c>
      <c r="K35" s="611"/>
      <c r="L35" s="595">
        <f t="shared" si="0"/>
        <v>0.02</v>
      </c>
      <c r="M35" s="595"/>
      <c r="N35" s="613">
        <f t="shared" si="1"/>
        <v>1650.2227500000001</v>
      </c>
      <c r="O35" s="613"/>
      <c r="P35" s="613">
        <f t="shared" si="2"/>
        <v>4350.5872500000005</v>
      </c>
      <c r="Q35" s="612"/>
      <c r="R35" s="614" t="str">
        <f t="shared" si="3"/>
        <v>No</v>
      </c>
      <c r="S35" s="614"/>
      <c r="T35" s="326">
        <v>1992</v>
      </c>
      <c r="U35" s="590">
        <f t="shared" si="5"/>
        <v>18.75</v>
      </c>
    </row>
    <row r="36" spans="1:21">
      <c r="B36" s="590" t="s">
        <v>293</v>
      </c>
      <c r="D36" s="326">
        <v>1997</v>
      </c>
      <c r="F36" s="618">
        <v>35642</v>
      </c>
      <c r="G36" s="610"/>
      <c r="H36" s="291">
        <v>677.84</v>
      </c>
      <c r="J36" s="611">
        <f t="shared" si="4"/>
        <v>13.75</v>
      </c>
      <c r="K36" s="611"/>
      <c r="L36" s="595">
        <f t="shared" si="0"/>
        <v>0.02</v>
      </c>
      <c r="M36" s="595"/>
      <c r="N36" s="613">
        <f t="shared" si="1"/>
        <v>186.40600000000003</v>
      </c>
      <c r="O36" s="613"/>
      <c r="P36" s="613">
        <f t="shared" si="2"/>
        <v>491.43399999999997</v>
      </c>
      <c r="Q36" s="612"/>
      <c r="R36" s="614" t="str">
        <f t="shared" si="3"/>
        <v>No</v>
      </c>
      <c r="S36" s="614"/>
      <c r="T36" s="326">
        <v>1993</v>
      </c>
      <c r="U36" s="590">
        <f t="shared" si="5"/>
        <v>17.75</v>
      </c>
    </row>
    <row r="37" spans="1:21">
      <c r="B37" s="590" t="s">
        <v>293</v>
      </c>
      <c r="D37" s="326">
        <v>1997</v>
      </c>
      <c r="F37" s="618">
        <v>35642</v>
      </c>
      <c r="G37" s="610"/>
      <c r="H37" s="291">
        <v>39951.21</v>
      </c>
      <c r="J37" s="611">
        <f t="shared" si="4"/>
        <v>13.75</v>
      </c>
      <c r="K37" s="611"/>
      <c r="L37" s="595">
        <f t="shared" si="0"/>
        <v>0.02</v>
      </c>
      <c r="M37" s="595"/>
      <c r="N37" s="613">
        <f t="shared" si="1"/>
        <v>10986.582750000001</v>
      </c>
      <c r="O37" s="613"/>
      <c r="P37" s="613">
        <f t="shared" si="2"/>
        <v>28964.627249999998</v>
      </c>
      <c r="Q37" s="612"/>
      <c r="R37" s="614" t="str">
        <f t="shared" si="3"/>
        <v>No</v>
      </c>
      <c r="S37" s="614"/>
      <c r="T37" s="326">
        <v>1994</v>
      </c>
      <c r="U37" s="590">
        <f t="shared" si="5"/>
        <v>16.75</v>
      </c>
    </row>
    <row r="38" spans="1:21">
      <c r="B38" s="590" t="s">
        <v>293</v>
      </c>
      <c r="D38" s="326">
        <v>1997</v>
      </c>
      <c r="F38" s="618">
        <v>35642</v>
      </c>
      <c r="G38" s="617"/>
      <c r="H38" s="291">
        <v>18022.240000000002</v>
      </c>
      <c r="J38" s="611">
        <f t="shared" si="4"/>
        <v>13.75</v>
      </c>
      <c r="K38" s="611"/>
      <c r="L38" s="595">
        <f t="shared" si="0"/>
        <v>0.02</v>
      </c>
      <c r="M38" s="595"/>
      <c r="N38" s="613">
        <f t="shared" si="1"/>
        <v>4956.1160000000009</v>
      </c>
      <c r="O38" s="613"/>
      <c r="P38" s="613">
        <f t="shared" si="2"/>
        <v>13066.124</v>
      </c>
      <c r="Q38" s="612"/>
      <c r="R38" s="614" t="str">
        <f t="shared" si="3"/>
        <v>No</v>
      </c>
      <c r="S38" s="614"/>
      <c r="T38" s="326">
        <v>1995</v>
      </c>
      <c r="U38" s="590">
        <f t="shared" si="5"/>
        <v>15.75</v>
      </c>
    </row>
    <row r="39" spans="1:21">
      <c r="B39" s="590" t="s">
        <v>293</v>
      </c>
      <c r="D39" s="326">
        <v>1997</v>
      </c>
      <c r="F39" s="609">
        <v>35642</v>
      </c>
      <c r="G39" s="610"/>
      <c r="H39" s="291">
        <v>29151.79</v>
      </c>
      <c r="I39" s="291"/>
      <c r="J39" s="611">
        <f t="shared" si="4"/>
        <v>13.75</v>
      </c>
      <c r="K39" s="620"/>
      <c r="L39" s="621">
        <f t="shared" si="0"/>
        <v>0.02</v>
      </c>
      <c r="M39" s="621"/>
      <c r="N39" s="613">
        <f t="shared" si="1"/>
        <v>8016.7422500000011</v>
      </c>
      <c r="O39" s="613"/>
      <c r="P39" s="613">
        <f t="shared" si="2"/>
        <v>21135.047749999998</v>
      </c>
      <c r="Q39" s="613"/>
      <c r="R39" s="622" t="str">
        <f t="shared" si="3"/>
        <v>No</v>
      </c>
      <c r="S39" s="614"/>
      <c r="T39" s="326">
        <v>1996</v>
      </c>
      <c r="U39" s="590">
        <f t="shared" si="5"/>
        <v>14.75</v>
      </c>
    </row>
    <row r="40" spans="1:21">
      <c r="B40" s="590" t="s">
        <v>293</v>
      </c>
      <c r="D40" s="326">
        <v>1997</v>
      </c>
      <c r="F40" s="609">
        <v>35642</v>
      </c>
      <c r="G40" s="610"/>
      <c r="H40" s="291">
        <v>34478.839999999997</v>
      </c>
      <c r="J40" s="611">
        <f t="shared" si="4"/>
        <v>13.75</v>
      </c>
      <c r="K40" s="620"/>
      <c r="L40" s="621">
        <f t="shared" si="0"/>
        <v>0.02</v>
      </c>
      <c r="M40" s="621"/>
      <c r="N40" s="613">
        <f t="shared" si="1"/>
        <v>9481.6810000000005</v>
      </c>
      <c r="O40" s="613"/>
      <c r="P40" s="613">
        <f t="shared" si="2"/>
        <v>24997.158999999996</v>
      </c>
      <c r="Q40" s="613"/>
      <c r="R40" s="622" t="str">
        <f t="shared" si="3"/>
        <v>No</v>
      </c>
      <c r="S40" s="579"/>
      <c r="T40" s="326">
        <v>1997</v>
      </c>
      <c r="U40" s="590">
        <f t="shared" si="5"/>
        <v>13.75</v>
      </c>
    </row>
    <row r="41" spans="1:21">
      <c r="B41" s="590" t="s">
        <v>293</v>
      </c>
      <c r="D41" s="326">
        <v>1997</v>
      </c>
      <c r="F41" s="609">
        <v>35642</v>
      </c>
      <c r="G41" s="610"/>
      <c r="H41" s="291">
        <v>682.5</v>
      </c>
      <c r="J41" s="611">
        <f t="shared" si="4"/>
        <v>13.75</v>
      </c>
      <c r="K41" s="620"/>
      <c r="L41" s="621">
        <f t="shared" si="0"/>
        <v>0.02</v>
      </c>
      <c r="M41" s="621"/>
      <c r="N41" s="613">
        <f t="shared" si="1"/>
        <v>187.68750000000003</v>
      </c>
      <c r="O41" s="613"/>
      <c r="P41" s="613">
        <f t="shared" si="2"/>
        <v>494.8125</v>
      </c>
      <c r="Q41" s="613"/>
      <c r="R41" s="622" t="str">
        <f t="shared" si="3"/>
        <v>No</v>
      </c>
      <c r="T41" s="326">
        <v>1998</v>
      </c>
      <c r="U41" s="590">
        <f t="shared" si="5"/>
        <v>12.75</v>
      </c>
    </row>
    <row r="42" spans="1:21">
      <c r="B42" s="590" t="s">
        <v>293</v>
      </c>
      <c r="D42" s="326">
        <v>1997</v>
      </c>
      <c r="F42" s="609">
        <v>35642</v>
      </c>
      <c r="G42" s="610"/>
      <c r="H42" s="291">
        <v>33053.68</v>
      </c>
      <c r="J42" s="611">
        <f t="shared" si="4"/>
        <v>13.75</v>
      </c>
      <c r="K42" s="620"/>
      <c r="L42" s="621">
        <f t="shared" si="0"/>
        <v>0.02</v>
      </c>
      <c r="M42" s="621"/>
      <c r="N42" s="613">
        <f t="shared" si="1"/>
        <v>9089.7620000000006</v>
      </c>
      <c r="O42" s="613"/>
      <c r="P42" s="613">
        <f t="shared" si="2"/>
        <v>23963.917999999998</v>
      </c>
      <c r="Q42" s="613"/>
      <c r="R42" s="622" t="str">
        <f t="shared" si="3"/>
        <v>No</v>
      </c>
      <c r="T42" s="326">
        <v>1999</v>
      </c>
      <c r="U42" s="590">
        <f t="shared" si="5"/>
        <v>11.75</v>
      </c>
    </row>
    <row r="43" spans="1:21">
      <c r="B43" s="590" t="s">
        <v>293</v>
      </c>
      <c r="D43" s="326">
        <v>1997</v>
      </c>
      <c r="F43" s="609">
        <v>35642</v>
      </c>
      <c r="G43" s="610"/>
      <c r="H43" s="291">
        <v>6843.71</v>
      </c>
      <c r="J43" s="611">
        <f t="shared" si="4"/>
        <v>13.75</v>
      </c>
      <c r="K43" s="620"/>
      <c r="L43" s="621">
        <f t="shared" si="0"/>
        <v>0.02</v>
      </c>
      <c r="M43" s="621"/>
      <c r="N43" s="613">
        <f t="shared" si="1"/>
        <v>1882.0202500000003</v>
      </c>
      <c r="O43" s="613"/>
      <c r="P43" s="613">
        <f t="shared" si="2"/>
        <v>4961.6897499999995</v>
      </c>
      <c r="Q43" s="613"/>
      <c r="R43" s="622" t="str">
        <f t="shared" si="3"/>
        <v>No</v>
      </c>
      <c r="T43" s="326">
        <v>2000</v>
      </c>
      <c r="U43" s="590">
        <f t="shared" si="5"/>
        <v>10.75</v>
      </c>
    </row>
    <row r="44" spans="1:21">
      <c r="B44" s="590" t="s">
        <v>293</v>
      </c>
      <c r="D44" s="326">
        <v>1997</v>
      </c>
      <c r="F44" s="609">
        <v>35642</v>
      </c>
      <c r="G44" s="610"/>
      <c r="H44" s="291">
        <v>12226.94</v>
      </c>
      <c r="J44" s="611">
        <f t="shared" si="4"/>
        <v>13.75</v>
      </c>
      <c r="K44" s="620"/>
      <c r="L44" s="621">
        <f t="shared" si="0"/>
        <v>0.02</v>
      </c>
      <c r="M44" s="621"/>
      <c r="N44" s="613">
        <f t="shared" si="1"/>
        <v>3362.4085000000005</v>
      </c>
      <c r="O44" s="613"/>
      <c r="P44" s="613">
        <f t="shared" si="2"/>
        <v>8864.531500000001</v>
      </c>
      <c r="Q44" s="613"/>
      <c r="R44" s="622" t="str">
        <f t="shared" si="3"/>
        <v>No</v>
      </c>
      <c r="T44" s="326">
        <v>2001</v>
      </c>
      <c r="U44" s="590">
        <f t="shared" si="5"/>
        <v>9.75</v>
      </c>
    </row>
    <row r="45" spans="1:21">
      <c r="B45" s="590" t="s">
        <v>293</v>
      </c>
      <c r="D45" s="326">
        <v>1997</v>
      </c>
      <c r="F45" s="609">
        <v>35642</v>
      </c>
      <c r="G45" s="610"/>
      <c r="H45" s="291">
        <v>337.29</v>
      </c>
      <c r="J45" s="611">
        <f t="shared" si="4"/>
        <v>13.75</v>
      </c>
      <c r="K45" s="620"/>
      <c r="L45" s="621">
        <f t="shared" si="0"/>
        <v>0.02</v>
      </c>
      <c r="M45" s="621"/>
      <c r="N45" s="613">
        <f t="shared" si="1"/>
        <v>92.754750000000016</v>
      </c>
      <c r="O45" s="613"/>
      <c r="P45" s="613">
        <f t="shared" si="2"/>
        <v>244.53525000000002</v>
      </c>
      <c r="Q45" s="613"/>
      <c r="R45" s="622" t="str">
        <f t="shared" si="3"/>
        <v>No</v>
      </c>
      <c r="T45" s="326">
        <v>2002</v>
      </c>
      <c r="U45" s="590">
        <f t="shared" si="5"/>
        <v>8.75</v>
      </c>
    </row>
    <row r="46" spans="1:21">
      <c r="B46" s="590" t="s">
        <v>293</v>
      </c>
      <c r="D46" s="326">
        <v>1997</v>
      </c>
      <c r="F46" s="609">
        <v>35642</v>
      </c>
      <c r="G46" s="610"/>
      <c r="H46" s="291">
        <v>25347.95</v>
      </c>
      <c r="J46" s="611">
        <f t="shared" si="4"/>
        <v>13.75</v>
      </c>
      <c r="K46" s="620"/>
      <c r="L46" s="621">
        <f t="shared" si="0"/>
        <v>0.02</v>
      </c>
      <c r="M46" s="621"/>
      <c r="N46" s="613">
        <f t="shared" si="1"/>
        <v>6970.6862500000007</v>
      </c>
      <c r="O46" s="613"/>
      <c r="P46" s="613">
        <f t="shared" si="2"/>
        <v>18377.263749999998</v>
      </c>
      <c r="Q46" s="613"/>
      <c r="R46" s="622" t="str">
        <f t="shared" si="3"/>
        <v>No</v>
      </c>
      <c r="T46" s="326">
        <v>2003</v>
      </c>
      <c r="U46" s="590">
        <f t="shared" si="5"/>
        <v>7.75</v>
      </c>
    </row>
    <row r="47" spans="1:21">
      <c r="A47" s="623"/>
      <c r="B47" s="590" t="s">
        <v>293</v>
      </c>
      <c r="D47" s="326">
        <v>1997</v>
      </c>
      <c r="F47" s="609">
        <v>35642</v>
      </c>
      <c r="G47" s="610"/>
      <c r="H47" s="291">
        <v>7520.74</v>
      </c>
      <c r="J47" s="611">
        <f t="shared" si="4"/>
        <v>13.75</v>
      </c>
      <c r="K47" s="620"/>
      <c r="L47" s="621">
        <f t="shared" si="0"/>
        <v>0.02</v>
      </c>
      <c r="M47" s="621"/>
      <c r="N47" s="613">
        <f t="shared" si="1"/>
        <v>2068.2035000000001</v>
      </c>
      <c r="O47" s="613"/>
      <c r="P47" s="613">
        <f t="shared" si="2"/>
        <v>5452.5365000000002</v>
      </c>
      <c r="Q47" s="613"/>
      <c r="R47" s="622" t="str">
        <f t="shared" si="3"/>
        <v>No</v>
      </c>
      <c r="T47" s="326">
        <v>2004</v>
      </c>
      <c r="U47" s="590">
        <f t="shared" si="5"/>
        <v>6.75</v>
      </c>
    </row>
    <row r="48" spans="1:21">
      <c r="B48" s="590" t="s">
        <v>293</v>
      </c>
      <c r="D48" s="326">
        <v>1997</v>
      </c>
      <c r="F48" s="609">
        <v>35642</v>
      </c>
      <c r="G48" s="610"/>
      <c r="H48" s="291">
        <v>20637.8</v>
      </c>
      <c r="J48" s="611">
        <f t="shared" si="4"/>
        <v>13.75</v>
      </c>
      <c r="K48" s="620"/>
      <c r="L48" s="621">
        <f t="shared" si="0"/>
        <v>0.02</v>
      </c>
      <c r="M48" s="621"/>
      <c r="N48" s="613">
        <f t="shared" si="1"/>
        <v>5675.3950000000004</v>
      </c>
      <c r="O48" s="613"/>
      <c r="P48" s="613">
        <f t="shared" si="2"/>
        <v>14962.404999999999</v>
      </c>
      <c r="Q48" s="613"/>
      <c r="R48" s="622" t="str">
        <f t="shared" si="3"/>
        <v>No</v>
      </c>
      <c r="S48" s="614"/>
      <c r="T48" s="326">
        <v>2005</v>
      </c>
      <c r="U48" s="590">
        <f t="shared" si="5"/>
        <v>5.75</v>
      </c>
    </row>
    <row r="49" spans="2:21">
      <c r="B49" s="590" t="s">
        <v>293</v>
      </c>
      <c r="D49" s="326">
        <v>1997</v>
      </c>
      <c r="F49" s="609">
        <v>35642</v>
      </c>
      <c r="G49" s="610"/>
      <c r="H49" s="291">
        <v>3041</v>
      </c>
      <c r="J49" s="611">
        <f t="shared" si="4"/>
        <v>13.75</v>
      </c>
      <c r="K49" s="620"/>
      <c r="L49" s="621">
        <f t="shared" si="0"/>
        <v>0.02</v>
      </c>
      <c r="M49" s="621"/>
      <c r="N49" s="613">
        <f t="shared" si="1"/>
        <v>836.27500000000009</v>
      </c>
      <c r="O49" s="613"/>
      <c r="P49" s="613">
        <f t="shared" si="2"/>
        <v>2204.7249999999999</v>
      </c>
      <c r="Q49" s="613"/>
      <c r="R49" s="622" t="str">
        <f t="shared" si="3"/>
        <v>No</v>
      </c>
      <c r="S49" s="614"/>
      <c r="T49" s="591">
        <v>2006</v>
      </c>
      <c r="U49" s="590">
        <f t="shared" si="5"/>
        <v>4.75</v>
      </c>
    </row>
    <row r="50" spans="2:21">
      <c r="B50" s="590" t="s">
        <v>293</v>
      </c>
      <c r="D50" s="326">
        <v>1997</v>
      </c>
      <c r="F50" s="609">
        <v>35642</v>
      </c>
      <c r="G50" s="610"/>
      <c r="H50" s="291">
        <v>854.21</v>
      </c>
      <c r="J50" s="611">
        <f t="shared" si="4"/>
        <v>13.75</v>
      </c>
      <c r="K50" s="620"/>
      <c r="L50" s="621">
        <f t="shared" si="0"/>
        <v>0.02</v>
      </c>
      <c r="M50" s="621"/>
      <c r="N50" s="613">
        <f t="shared" si="1"/>
        <v>234.90775000000002</v>
      </c>
      <c r="O50" s="613"/>
      <c r="P50" s="613">
        <f t="shared" si="2"/>
        <v>619.30224999999996</v>
      </c>
      <c r="Q50" s="613"/>
      <c r="R50" s="622" t="str">
        <f t="shared" si="3"/>
        <v>No</v>
      </c>
      <c r="S50" s="614"/>
      <c r="T50" s="591">
        <v>2007</v>
      </c>
      <c r="U50" s="590">
        <f t="shared" si="5"/>
        <v>3.75</v>
      </c>
    </row>
    <row r="51" spans="2:21">
      <c r="B51" s="590" t="s">
        <v>293</v>
      </c>
      <c r="C51" s="592"/>
      <c r="D51" s="624">
        <v>1997</v>
      </c>
      <c r="E51" s="592"/>
      <c r="F51" s="625">
        <v>35642</v>
      </c>
      <c r="G51" s="617"/>
      <c r="H51" s="291">
        <v>8920.93</v>
      </c>
      <c r="J51" s="611">
        <f t="shared" si="4"/>
        <v>13.75</v>
      </c>
      <c r="K51" s="620"/>
      <c r="L51" s="621">
        <f t="shared" si="0"/>
        <v>0.02</v>
      </c>
      <c r="M51" s="621"/>
      <c r="N51" s="613">
        <f t="shared" si="1"/>
        <v>2453.2557500000003</v>
      </c>
      <c r="O51" s="613"/>
      <c r="P51" s="613">
        <f t="shared" si="2"/>
        <v>6467.67425</v>
      </c>
      <c r="Q51" s="613"/>
      <c r="R51" s="622" t="str">
        <f t="shared" si="3"/>
        <v>No</v>
      </c>
      <c r="S51" s="614"/>
      <c r="T51" s="626">
        <v>2008</v>
      </c>
      <c r="U51" s="590">
        <f t="shared" si="5"/>
        <v>2.75</v>
      </c>
    </row>
    <row r="52" spans="2:21">
      <c r="B52" s="590" t="s">
        <v>293</v>
      </c>
      <c r="C52" s="592"/>
      <c r="D52" s="624">
        <v>1997</v>
      </c>
      <c r="E52" s="592"/>
      <c r="F52" s="625">
        <v>35642</v>
      </c>
      <c r="G52" s="617"/>
      <c r="H52" s="291">
        <v>18713.8</v>
      </c>
      <c r="J52" s="611">
        <f t="shared" si="4"/>
        <v>13.75</v>
      </c>
      <c r="K52" s="620"/>
      <c r="L52" s="621">
        <f t="shared" si="0"/>
        <v>0.02</v>
      </c>
      <c r="M52" s="621"/>
      <c r="N52" s="613">
        <f t="shared" si="1"/>
        <v>5146.2950000000001</v>
      </c>
      <c r="O52" s="613"/>
      <c r="P52" s="613">
        <f t="shared" si="2"/>
        <v>13567.504999999999</v>
      </c>
      <c r="Q52" s="613"/>
      <c r="R52" s="622" t="str">
        <f t="shared" si="3"/>
        <v>No</v>
      </c>
      <c r="S52" s="614"/>
      <c r="T52" s="590">
        <v>2009</v>
      </c>
      <c r="U52" s="590">
        <f t="shared" si="5"/>
        <v>1.75</v>
      </c>
    </row>
    <row r="53" spans="2:21">
      <c r="B53" s="590" t="s">
        <v>293</v>
      </c>
      <c r="C53" s="592"/>
      <c r="D53" s="624">
        <v>1997</v>
      </c>
      <c r="E53" s="592"/>
      <c r="F53" s="625">
        <v>35642</v>
      </c>
      <c r="G53" s="617"/>
      <c r="H53" s="291">
        <v>42319.97</v>
      </c>
      <c r="J53" s="611">
        <f t="shared" si="4"/>
        <v>13.75</v>
      </c>
      <c r="K53" s="620"/>
      <c r="L53" s="621">
        <f t="shared" si="0"/>
        <v>0.02</v>
      </c>
      <c r="M53" s="621"/>
      <c r="N53" s="613">
        <f t="shared" si="1"/>
        <v>11637.991750000001</v>
      </c>
      <c r="O53" s="613"/>
      <c r="P53" s="613">
        <f t="shared" si="2"/>
        <v>30681.97825</v>
      </c>
      <c r="Q53" s="613"/>
      <c r="R53" s="622" t="str">
        <f t="shared" si="3"/>
        <v>No</v>
      </c>
      <c r="S53" s="614"/>
      <c r="T53" s="590">
        <v>2010</v>
      </c>
      <c r="U53" s="590">
        <v>1</v>
      </c>
    </row>
    <row r="54" spans="2:21">
      <c r="B54" s="590" t="s">
        <v>293</v>
      </c>
      <c r="C54" s="592"/>
      <c r="D54" s="624">
        <v>1997</v>
      </c>
      <c r="E54" s="592"/>
      <c r="F54" s="625">
        <v>35642</v>
      </c>
      <c r="G54" s="617"/>
      <c r="H54" s="291">
        <v>117894.63</v>
      </c>
      <c r="J54" s="611">
        <f t="shared" si="4"/>
        <v>13.75</v>
      </c>
      <c r="K54" s="620"/>
      <c r="L54" s="621">
        <f t="shared" si="0"/>
        <v>0.02</v>
      </c>
      <c r="M54" s="621"/>
      <c r="N54" s="613">
        <f t="shared" si="1"/>
        <v>32421.023250000006</v>
      </c>
      <c r="O54" s="613"/>
      <c r="P54" s="613">
        <f t="shared" si="2"/>
        <v>85473.606750000006</v>
      </c>
      <c r="Q54" s="613"/>
      <c r="R54" s="622" t="str">
        <f t="shared" si="3"/>
        <v>No</v>
      </c>
      <c r="S54" s="614"/>
    </row>
    <row r="55" spans="2:21">
      <c r="B55" s="590" t="s">
        <v>293</v>
      </c>
      <c r="C55" s="592"/>
      <c r="D55" s="624">
        <v>1997</v>
      </c>
      <c r="E55" s="592"/>
      <c r="F55" s="625">
        <v>35642</v>
      </c>
      <c r="G55" s="617"/>
      <c r="H55" s="291">
        <v>2383</v>
      </c>
      <c r="J55" s="611">
        <f t="shared" si="4"/>
        <v>13.75</v>
      </c>
      <c r="K55" s="620"/>
      <c r="L55" s="621">
        <f t="shared" si="0"/>
        <v>0.02</v>
      </c>
      <c r="M55" s="621"/>
      <c r="N55" s="613">
        <f t="shared" si="1"/>
        <v>655.32500000000005</v>
      </c>
      <c r="O55" s="613"/>
      <c r="P55" s="613">
        <f t="shared" si="2"/>
        <v>1727.675</v>
      </c>
      <c r="Q55" s="613"/>
      <c r="R55" s="622" t="str">
        <f t="shared" si="3"/>
        <v>No</v>
      </c>
      <c r="S55" s="614"/>
    </row>
    <row r="56" spans="2:21">
      <c r="B56" s="590" t="s">
        <v>293</v>
      </c>
      <c r="C56" s="592"/>
      <c r="D56" s="624">
        <v>1997</v>
      </c>
      <c r="E56" s="592"/>
      <c r="F56" s="625">
        <v>35642</v>
      </c>
      <c r="G56" s="617"/>
      <c r="H56" s="291">
        <v>454</v>
      </c>
      <c r="J56" s="611">
        <f t="shared" si="4"/>
        <v>13.75</v>
      </c>
      <c r="K56" s="620"/>
      <c r="L56" s="621">
        <f t="shared" si="0"/>
        <v>0.02</v>
      </c>
      <c r="M56" s="621"/>
      <c r="N56" s="613">
        <f t="shared" si="1"/>
        <v>124.85000000000001</v>
      </c>
      <c r="O56" s="613"/>
      <c r="P56" s="613">
        <f t="shared" si="2"/>
        <v>329.15</v>
      </c>
      <c r="Q56" s="613"/>
      <c r="R56" s="622" t="str">
        <f t="shared" si="3"/>
        <v>No</v>
      </c>
      <c r="S56" s="614"/>
    </row>
    <row r="57" spans="2:21">
      <c r="B57" s="590" t="s">
        <v>511</v>
      </c>
      <c r="D57" s="326">
        <v>1997</v>
      </c>
      <c r="F57" s="609">
        <v>35642</v>
      </c>
      <c r="G57" s="610"/>
      <c r="H57" s="291">
        <v>840.8</v>
      </c>
      <c r="J57" s="611">
        <f t="shared" si="4"/>
        <v>13.75</v>
      </c>
      <c r="K57" s="620"/>
      <c r="L57" s="621">
        <f t="shared" si="0"/>
        <v>0</v>
      </c>
      <c r="M57" s="621"/>
      <c r="N57" s="613">
        <f t="shared" si="1"/>
        <v>0</v>
      </c>
      <c r="O57" s="613"/>
      <c r="P57" s="613">
        <f t="shared" si="2"/>
        <v>840.8</v>
      </c>
      <c r="Q57" s="613"/>
      <c r="R57" s="622" t="str">
        <f t="shared" si="3"/>
        <v>No</v>
      </c>
      <c r="S57" s="614"/>
    </row>
    <row r="58" spans="2:21">
      <c r="B58" s="590" t="s">
        <v>511</v>
      </c>
      <c r="D58" s="326">
        <v>1997</v>
      </c>
      <c r="F58" s="609">
        <v>35642</v>
      </c>
      <c r="G58" s="610"/>
      <c r="H58" s="291">
        <v>6853</v>
      </c>
      <c r="J58" s="611">
        <f t="shared" si="4"/>
        <v>13.75</v>
      </c>
      <c r="K58" s="620"/>
      <c r="L58" s="621">
        <f t="shared" si="0"/>
        <v>0</v>
      </c>
      <c r="M58" s="621"/>
      <c r="N58" s="613">
        <f t="shared" si="1"/>
        <v>0</v>
      </c>
      <c r="O58" s="613"/>
      <c r="P58" s="613">
        <f t="shared" si="2"/>
        <v>6853</v>
      </c>
      <c r="Q58" s="613"/>
      <c r="R58" s="622" t="str">
        <f t="shared" si="3"/>
        <v>No</v>
      </c>
      <c r="S58" s="614"/>
    </row>
    <row r="59" spans="2:21">
      <c r="B59" s="590" t="s">
        <v>511</v>
      </c>
      <c r="D59" s="326">
        <v>1997</v>
      </c>
      <c r="F59" s="609">
        <v>35642</v>
      </c>
      <c r="G59" s="610"/>
      <c r="H59" s="291">
        <v>628.83000000000004</v>
      </c>
      <c r="J59" s="611">
        <f t="shared" si="4"/>
        <v>13.75</v>
      </c>
      <c r="K59" s="620"/>
      <c r="L59" s="621">
        <f t="shared" si="0"/>
        <v>0</v>
      </c>
      <c r="M59" s="621"/>
      <c r="N59" s="613">
        <f t="shared" si="1"/>
        <v>0</v>
      </c>
      <c r="O59" s="613"/>
      <c r="P59" s="613">
        <f t="shared" si="2"/>
        <v>628.83000000000004</v>
      </c>
      <c r="Q59" s="613"/>
      <c r="R59" s="622" t="str">
        <f t="shared" si="3"/>
        <v>No</v>
      </c>
      <c r="S59" s="614"/>
    </row>
    <row r="60" spans="2:21">
      <c r="B60" s="590" t="s">
        <v>511</v>
      </c>
      <c r="D60" s="326">
        <v>1997</v>
      </c>
      <c r="F60" s="609">
        <v>35642</v>
      </c>
      <c r="G60" s="610"/>
      <c r="H60" s="291">
        <v>1025.44</v>
      </c>
      <c r="J60" s="611">
        <f t="shared" si="4"/>
        <v>13.75</v>
      </c>
      <c r="K60" s="620"/>
      <c r="L60" s="621">
        <f t="shared" si="0"/>
        <v>0</v>
      </c>
      <c r="M60" s="621"/>
      <c r="N60" s="613">
        <f t="shared" si="1"/>
        <v>0</v>
      </c>
      <c r="O60" s="613"/>
      <c r="P60" s="613">
        <f t="shared" si="2"/>
        <v>1025.44</v>
      </c>
      <c r="Q60" s="613"/>
      <c r="R60" s="622" t="str">
        <f t="shared" si="3"/>
        <v>No</v>
      </c>
      <c r="S60" s="614"/>
    </row>
    <row r="61" spans="2:21">
      <c r="B61" s="590" t="s">
        <v>511</v>
      </c>
      <c r="D61" s="326">
        <v>1997</v>
      </c>
      <c r="F61" s="609">
        <v>35642</v>
      </c>
      <c r="G61" s="610"/>
      <c r="H61" s="291">
        <v>5496</v>
      </c>
      <c r="J61" s="611">
        <f t="shared" si="4"/>
        <v>13.75</v>
      </c>
      <c r="K61" s="620"/>
      <c r="L61" s="621">
        <f t="shared" si="0"/>
        <v>0</v>
      </c>
      <c r="M61" s="621"/>
      <c r="N61" s="613">
        <f t="shared" si="1"/>
        <v>0</v>
      </c>
      <c r="O61" s="613"/>
      <c r="P61" s="613">
        <f t="shared" si="2"/>
        <v>5496</v>
      </c>
      <c r="Q61" s="613"/>
      <c r="R61" s="622" t="str">
        <f t="shared" si="3"/>
        <v>No</v>
      </c>
      <c r="S61" s="614"/>
    </row>
    <row r="62" spans="2:21">
      <c r="B62" s="590" t="s">
        <v>511</v>
      </c>
      <c r="D62" s="326">
        <v>1997</v>
      </c>
      <c r="F62" s="609">
        <v>35642</v>
      </c>
      <c r="G62" s="610"/>
      <c r="H62" s="291">
        <v>112</v>
      </c>
      <c r="J62" s="611">
        <f t="shared" si="4"/>
        <v>13.75</v>
      </c>
      <c r="K62" s="620"/>
      <c r="L62" s="621">
        <f t="shared" si="0"/>
        <v>0</v>
      </c>
      <c r="M62" s="621"/>
      <c r="N62" s="613">
        <f t="shared" si="1"/>
        <v>0</v>
      </c>
      <c r="O62" s="613"/>
      <c r="P62" s="613">
        <f t="shared" si="2"/>
        <v>112</v>
      </c>
      <c r="Q62" s="613"/>
      <c r="R62" s="622" t="str">
        <f t="shared" si="3"/>
        <v>No</v>
      </c>
      <c r="S62" s="614"/>
    </row>
    <row r="63" spans="2:21">
      <c r="B63" s="592" t="s">
        <v>294</v>
      </c>
      <c r="C63" s="592"/>
      <c r="D63" s="624">
        <v>1997</v>
      </c>
      <c r="E63" s="592"/>
      <c r="F63" s="625">
        <v>35642</v>
      </c>
      <c r="G63" s="617"/>
      <c r="H63" s="291">
        <v>91200.55</v>
      </c>
      <c r="J63" s="611">
        <f t="shared" si="4"/>
        <v>13.75</v>
      </c>
      <c r="K63" s="620"/>
      <c r="L63" s="621">
        <f t="shared" si="0"/>
        <v>0.25</v>
      </c>
      <c r="M63" s="621"/>
      <c r="N63" s="613">
        <f t="shared" si="1"/>
        <v>91200.55</v>
      </c>
      <c r="O63" s="613"/>
      <c r="P63" s="613">
        <f t="shared" si="2"/>
        <v>0</v>
      </c>
      <c r="Q63" s="613"/>
      <c r="R63" s="622" t="str">
        <f t="shared" si="3"/>
        <v>Yes</v>
      </c>
      <c r="S63" s="614"/>
    </row>
    <row r="64" spans="2:21">
      <c r="B64" s="592" t="s">
        <v>294</v>
      </c>
      <c r="C64" s="592"/>
      <c r="D64" s="624">
        <v>1997</v>
      </c>
      <c r="E64" s="592"/>
      <c r="F64" s="625">
        <v>35642</v>
      </c>
      <c r="G64" s="617"/>
      <c r="H64" s="291">
        <v>23193.71</v>
      </c>
      <c r="J64" s="611">
        <f t="shared" si="4"/>
        <v>13.75</v>
      </c>
      <c r="K64" s="620"/>
      <c r="L64" s="621">
        <f t="shared" si="0"/>
        <v>0.25</v>
      </c>
      <c r="M64" s="621"/>
      <c r="N64" s="613">
        <f t="shared" si="1"/>
        <v>23193.71</v>
      </c>
      <c r="O64" s="613"/>
      <c r="P64" s="613">
        <f t="shared" si="2"/>
        <v>0</v>
      </c>
      <c r="Q64" s="613"/>
      <c r="R64" s="622" t="str">
        <f t="shared" si="3"/>
        <v>Yes</v>
      </c>
      <c r="S64" s="614"/>
    </row>
    <row r="65" spans="2:34">
      <c r="B65" s="592" t="s">
        <v>294</v>
      </c>
      <c r="C65" s="592"/>
      <c r="D65" s="624">
        <v>1997</v>
      </c>
      <c r="E65" s="592"/>
      <c r="F65" s="625">
        <v>35642</v>
      </c>
      <c r="G65" s="617"/>
      <c r="H65" s="291">
        <v>30641.95</v>
      </c>
      <c r="J65" s="611">
        <f t="shared" si="4"/>
        <v>13.75</v>
      </c>
      <c r="K65" s="620"/>
      <c r="L65" s="621">
        <f t="shared" si="0"/>
        <v>0.25</v>
      </c>
      <c r="M65" s="621"/>
      <c r="N65" s="613">
        <f t="shared" si="1"/>
        <v>30641.95</v>
      </c>
      <c r="O65" s="613"/>
      <c r="P65" s="613">
        <f t="shared" si="2"/>
        <v>0</v>
      </c>
      <c r="Q65" s="613"/>
      <c r="R65" s="622" t="str">
        <f t="shared" si="3"/>
        <v>Yes</v>
      </c>
      <c r="S65" s="614"/>
    </row>
    <row r="66" spans="2:34">
      <c r="B66" s="592" t="s">
        <v>294</v>
      </c>
      <c r="C66" s="592"/>
      <c r="D66" s="624">
        <v>1997</v>
      </c>
      <c r="E66" s="592"/>
      <c r="F66" s="625">
        <v>35642</v>
      </c>
      <c r="G66" s="617"/>
      <c r="H66" s="291">
        <v>3289</v>
      </c>
      <c r="J66" s="611">
        <f t="shared" si="4"/>
        <v>13.75</v>
      </c>
      <c r="K66" s="620"/>
      <c r="L66" s="621">
        <f t="shared" si="0"/>
        <v>0.25</v>
      </c>
      <c r="M66" s="621"/>
      <c r="N66" s="613">
        <f t="shared" si="1"/>
        <v>3289</v>
      </c>
      <c r="O66" s="613"/>
      <c r="P66" s="613">
        <f t="shared" si="2"/>
        <v>0</v>
      </c>
      <c r="Q66" s="613"/>
      <c r="R66" s="622" t="str">
        <f t="shared" si="3"/>
        <v>Yes</v>
      </c>
      <c r="S66" s="614"/>
    </row>
    <row r="67" spans="2:34">
      <c r="B67" s="592" t="s">
        <v>294</v>
      </c>
      <c r="C67" s="592"/>
      <c r="D67" s="624">
        <v>1997</v>
      </c>
      <c r="E67" s="592"/>
      <c r="F67" s="625">
        <v>35642</v>
      </c>
      <c r="G67" s="617"/>
      <c r="H67" s="291">
        <v>626</v>
      </c>
      <c r="J67" s="611">
        <f t="shared" si="4"/>
        <v>13.75</v>
      </c>
      <c r="K67" s="620"/>
      <c r="L67" s="621">
        <f t="shared" si="0"/>
        <v>0.25</v>
      </c>
      <c r="M67" s="621"/>
      <c r="N67" s="613">
        <f t="shared" si="1"/>
        <v>626</v>
      </c>
      <c r="O67" s="613"/>
      <c r="P67" s="613">
        <f t="shared" si="2"/>
        <v>0</v>
      </c>
      <c r="Q67" s="613"/>
      <c r="R67" s="622" t="str">
        <f t="shared" si="3"/>
        <v>Yes</v>
      </c>
      <c r="S67" s="614"/>
    </row>
    <row r="68" spans="2:34">
      <c r="B68" s="592" t="s">
        <v>294</v>
      </c>
      <c r="C68" s="592"/>
      <c r="D68" s="624">
        <v>1999</v>
      </c>
      <c r="E68" s="592"/>
      <c r="F68" s="625">
        <v>36342</v>
      </c>
      <c r="G68" s="617"/>
      <c r="H68" s="291">
        <v>23723</v>
      </c>
      <c r="J68" s="611">
        <f t="shared" si="4"/>
        <v>11.75</v>
      </c>
      <c r="K68" s="620"/>
      <c r="L68" s="621">
        <f t="shared" si="0"/>
        <v>0.25</v>
      </c>
      <c r="M68" s="621"/>
      <c r="N68" s="613">
        <f t="shared" si="1"/>
        <v>23723</v>
      </c>
      <c r="O68" s="613"/>
      <c r="P68" s="613">
        <f t="shared" si="2"/>
        <v>0</v>
      </c>
      <c r="Q68" s="613"/>
      <c r="R68" s="622" t="str">
        <f t="shared" si="3"/>
        <v>Yes</v>
      </c>
      <c r="S68" s="614"/>
    </row>
    <row r="69" spans="2:34">
      <c r="B69" s="590" t="s">
        <v>293</v>
      </c>
      <c r="C69" s="592"/>
      <c r="D69" s="624">
        <v>2000</v>
      </c>
      <c r="E69" s="592"/>
      <c r="F69" s="625">
        <v>36861</v>
      </c>
      <c r="G69" s="617"/>
      <c r="H69" s="291">
        <v>69976</v>
      </c>
      <c r="J69" s="611">
        <f t="shared" si="4"/>
        <v>10.75</v>
      </c>
      <c r="K69" s="620"/>
      <c r="L69" s="621">
        <f t="shared" si="0"/>
        <v>0.02</v>
      </c>
      <c r="M69" s="621"/>
      <c r="N69" s="613">
        <f t="shared" si="1"/>
        <v>15044.84</v>
      </c>
      <c r="O69" s="613"/>
      <c r="P69" s="613">
        <f t="shared" si="2"/>
        <v>54931.16</v>
      </c>
      <c r="Q69" s="613"/>
      <c r="R69" s="622" t="str">
        <f t="shared" si="3"/>
        <v>No</v>
      </c>
      <c r="S69" s="614"/>
    </row>
    <row r="70" spans="2:34">
      <c r="B70" s="592" t="s">
        <v>294</v>
      </c>
      <c r="C70" s="592"/>
      <c r="D70" s="624">
        <v>2000</v>
      </c>
      <c r="E70" s="592"/>
      <c r="F70" s="625">
        <v>36526</v>
      </c>
      <c r="G70" s="617"/>
      <c r="H70" s="291">
        <v>21601</v>
      </c>
      <c r="J70" s="611">
        <f t="shared" si="4"/>
        <v>10.75</v>
      </c>
      <c r="K70" s="620"/>
      <c r="L70" s="621">
        <f t="shared" si="0"/>
        <v>0.25</v>
      </c>
      <c r="M70" s="621"/>
      <c r="N70" s="613">
        <f t="shared" si="1"/>
        <v>21601</v>
      </c>
      <c r="O70" s="613"/>
      <c r="P70" s="613">
        <f t="shared" si="2"/>
        <v>0</v>
      </c>
      <c r="Q70" s="613"/>
      <c r="R70" s="622" t="str">
        <f t="shared" si="3"/>
        <v>Yes</v>
      </c>
      <c r="S70" s="614"/>
    </row>
    <row r="71" spans="2:34">
      <c r="B71" s="592" t="s">
        <v>294</v>
      </c>
      <c r="C71" s="592"/>
      <c r="D71" s="624">
        <v>2000</v>
      </c>
      <c r="E71" s="592"/>
      <c r="F71" s="625">
        <v>36586</v>
      </c>
      <c r="G71" s="617"/>
      <c r="H71" s="291">
        <v>24098</v>
      </c>
      <c r="I71" s="291"/>
      <c r="J71" s="611">
        <f t="shared" si="4"/>
        <v>10.75</v>
      </c>
      <c r="K71" s="620"/>
      <c r="L71" s="621">
        <f t="shared" si="0"/>
        <v>0.25</v>
      </c>
      <c r="M71" s="621"/>
      <c r="N71" s="613">
        <f t="shared" si="1"/>
        <v>24098</v>
      </c>
      <c r="O71" s="613"/>
      <c r="P71" s="613">
        <f t="shared" si="2"/>
        <v>0</v>
      </c>
      <c r="Q71" s="613"/>
      <c r="R71" s="622" t="str">
        <f t="shared" si="3"/>
        <v>Yes</v>
      </c>
      <c r="S71" s="614"/>
    </row>
    <row r="72" spans="2:34">
      <c r="B72" s="592" t="s">
        <v>294</v>
      </c>
      <c r="C72" s="592"/>
      <c r="D72" s="624">
        <v>2001</v>
      </c>
      <c r="E72" s="592"/>
      <c r="F72" s="625">
        <v>36951</v>
      </c>
      <c r="G72" s="617"/>
      <c r="H72" s="291">
        <v>32326</v>
      </c>
      <c r="I72" s="291"/>
      <c r="J72" s="611">
        <f t="shared" si="4"/>
        <v>9.75</v>
      </c>
      <c r="K72" s="620"/>
      <c r="L72" s="621">
        <f t="shared" si="0"/>
        <v>0.25</v>
      </c>
      <c r="M72" s="621"/>
      <c r="N72" s="613">
        <f t="shared" si="1"/>
        <v>32326</v>
      </c>
      <c r="O72" s="613"/>
      <c r="P72" s="613">
        <f t="shared" si="2"/>
        <v>0</v>
      </c>
      <c r="Q72" s="613"/>
      <c r="R72" s="622" t="str">
        <f t="shared" si="3"/>
        <v>Yes</v>
      </c>
      <c r="S72" s="614"/>
    </row>
    <row r="73" spans="2:34" s="592" customFormat="1">
      <c r="B73" s="592" t="s">
        <v>466</v>
      </c>
      <c r="D73" s="624">
        <v>2002</v>
      </c>
      <c r="F73" s="625"/>
      <c r="G73" s="617"/>
      <c r="H73" s="291">
        <v>102864.3</v>
      </c>
      <c r="I73" s="291"/>
      <c r="J73" s="611">
        <f t="shared" si="4"/>
        <v>8.75</v>
      </c>
      <c r="K73" s="620"/>
      <c r="L73" s="621">
        <f t="shared" ref="L73:L77" si="6">VLOOKUP(B73,$T$9:$U$13,2,FALSE)</f>
        <v>0</v>
      </c>
      <c r="M73" s="621"/>
      <c r="N73" s="613">
        <f t="shared" ref="N73:N95" si="7">IF(L73*J73*H73&gt;H73,H73,L73*J73*H73)</f>
        <v>0</v>
      </c>
      <c r="O73" s="613"/>
      <c r="P73" s="613">
        <f t="shared" ref="P73:P95" si="8">H73-N73</f>
        <v>102864.3</v>
      </c>
      <c r="Q73" s="613"/>
      <c r="R73" s="622" t="str">
        <f t="shared" ref="R73:R95" si="9">IF(N73=H73,"Yes","No")</f>
        <v>No</v>
      </c>
      <c r="S73" s="622"/>
    </row>
    <row r="74" spans="2:34" s="592" customFormat="1">
      <c r="B74" s="592" t="s">
        <v>466</v>
      </c>
      <c r="D74" s="624">
        <v>2002</v>
      </c>
      <c r="F74" s="625"/>
      <c r="G74" s="617"/>
      <c r="H74" s="291">
        <v>36282.69</v>
      </c>
      <c r="I74" s="291"/>
      <c r="J74" s="611">
        <f t="shared" ref="J74:J89" si="10">VLOOKUP(D74,$T$17:$V$48,2,FALSE)</f>
        <v>8.75</v>
      </c>
      <c r="K74" s="620"/>
      <c r="L74" s="621">
        <f t="shared" si="6"/>
        <v>0</v>
      </c>
      <c r="M74" s="621"/>
      <c r="N74" s="613">
        <f t="shared" si="7"/>
        <v>0</v>
      </c>
      <c r="O74" s="613"/>
      <c r="P74" s="613">
        <f t="shared" si="8"/>
        <v>36282.69</v>
      </c>
      <c r="Q74" s="613"/>
      <c r="R74" s="622" t="str">
        <f t="shared" si="9"/>
        <v>No</v>
      </c>
      <c r="S74" s="622"/>
    </row>
    <row r="75" spans="2:34" s="592" customFormat="1">
      <c r="B75" s="592" t="s">
        <v>293</v>
      </c>
      <c r="D75" s="624">
        <v>2002</v>
      </c>
      <c r="F75" s="625"/>
      <c r="G75" s="617"/>
      <c r="H75" s="291">
        <f>1346.14+366.2+173.49+197.97+464+1363+33.65+767.77+876.23+324+1440-360+304.5+161.53+1624+95.5+43.83+41.59+65.53+405.01+31.1+999.95+314.76+20.35+942.64+202.5+73.18+4413.36+957+337.36+819.4+89.72+181.45+884.16+299+3500+7000+1206.7+27.18+30.75-55.15+73.74+28.41+24.11+48.65+163.78+524.7+4384.93+42.54+478.34+465.27</f>
        <v>38243.82</v>
      </c>
      <c r="I75" s="291"/>
      <c r="J75" s="611">
        <f t="shared" si="10"/>
        <v>8.75</v>
      </c>
      <c r="K75" s="620"/>
      <c r="L75" s="621">
        <f t="shared" si="6"/>
        <v>0.02</v>
      </c>
      <c r="M75" s="621"/>
      <c r="N75" s="613">
        <f t="shared" si="7"/>
        <v>6692.6685000000007</v>
      </c>
      <c r="O75" s="613"/>
      <c r="P75" s="613">
        <f t="shared" si="8"/>
        <v>31551.1515</v>
      </c>
      <c r="Q75" s="613"/>
      <c r="R75" s="622" t="str">
        <f t="shared" si="9"/>
        <v>No</v>
      </c>
      <c r="S75" s="622"/>
    </row>
    <row r="76" spans="2:34" s="592" customFormat="1">
      <c r="B76" s="592" t="s">
        <v>89</v>
      </c>
      <c r="D76" s="624">
        <v>2002</v>
      </c>
      <c r="F76" s="625"/>
      <c r="G76" s="617"/>
      <c r="H76" s="291">
        <f>3671.16+2108.99</f>
        <v>5780.15</v>
      </c>
      <c r="I76" s="291"/>
      <c r="J76" s="611">
        <f t="shared" si="10"/>
        <v>8.75</v>
      </c>
      <c r="K76" s="620"/>
      <c r="L76" s="621">
        <f t="shared" si="6"/>
        <v>0.125</v>
      </c>
      <c r="M76" s="621"/>
      <c r="N76" s="613">
        <f t="shared" si="7"/>
        <v>5780.15</v>
      </c>
      <c r="O76" s="613"/>
      <c r="P76" s="613">
        <f t="shared" si="8"/>
        <v>0</v>
      </c>
      <c r="Q76" s="613"/>
      <c r="R76" s="622" t="str">
        <f t="shared" si="9"/>
        <v>Yes</v>
      </c>
      <c r="S76" s="622"/>
    </row>
    <row r="77" spans="2:34" s="592" customFormat="1">
      <c r="B77" s="592" t="s">
        <v>294</v>
      </c>
      <c r="D77" s="624">
        <v>2002</v>
      </c>
      <c r="F77" s="625"/>
      <c r="G77" s="617"/>
      <c r="H77" s="291">
        <v>25878.91</v>
      </c>
      <c r="I77" s="291"/>
      <c r="J77" s="611">
        <f t="shared" si="10"/>
        <v>8.75</v>
      </c>
      <c r="K77" s="620"/>
      <c r="L77" s="621">
        <f t="shared" si="6"/>
        <v>0.25</v>
      </c>
      <c r="M77" s="621"/>
      <c r="N77" s="613">
        <f t="shared" si="7"/>
        <v>25878.91</v>
      </c>
      <c r="O77" s="613"/>
      <c r="P77" s="613">
        <f t="shared" si="8"/>
        <v>0</v>
      </c>
      <c r="Q77" s="613"/>
      <c r="R77" s="622" t="str">
        <f t="shared" si="9"/>
        <v>Yes</v>
      </c>
      <c r="S77" s="622"/>
    </row>
    <row r="78" spans="2:34">
      <c r="B78" s="590" t="s">
        <v>293</v>
      </c>
      <c r="D78" s="326">
        <v>2003</v>
      </c>
      <c r="F78" s="609"/>
      <c r="G78" s="610"/>
      <c r="H78" s="291">
        <f>303778.27-H79-H80-H81</f>
        <v>210574.95</v>
      </c>
      <c r="J78" s="611">
        <f t="shared" si="10"/>
        <v>7.75</v>
      </c>
      <c r="K78" s="611"/>
      <c r="L78" s="595">
        <f>VLOOKUP(B78,$T$9:$U$13,2,FALSE)</f>
        <v>0.02</v>
      </c>
      <c r="M78" s="595"/>
      <c r="N78" s="613">
        <f t="shared" si="7"/>
        <v>32639.117250000003</v>
      </c>
      <c r="O78" s="613"/>
      <c r="P78" s="613">
        <f t="shared" si="8"/>
        <v>177935.83275</v>
      </c>
      <c r="Q78" s="612"/>
      <c r="R78" s="614" t="str">
        <f t="shared" si="9"/>
        <v>No</v>
      </c>
      <c r="T78" s="616"/>
      <c r="U78" s="627"/>
      <c r="V78" s="616"/>
      <c r="W78" s="579"/>
      <c r="Y78" s="579"/>
      <c r="Z78" s="579"/>
      <c r="AA78" s="579"/>
      <c r="AB78" s="579"/>
      <c r="AC78" s="579"/>
      <c r="AD78" s="579"/>
      <c r="AE78" s="579"/>
      <c r="AF78" s="579"/>
      <c r="AG78" s="579"/>
      <c r="AH78" s="579"/>
    </row>
    <row r="79" spans="2:34">
      <c r="B79" s="590" t="s">
        <v>89</v>
      </c>
      <c r="D79" s="326">
        <v>2003</v>
      </c>
      <c r="F79" s="609"/>
      <c r="G79" s="610"/>
      <c r="H79" s="291">
        <f>3592.2</f>
        <v>3592.2</v>
      </c>
      <c r="J79" s="611">
        <f t="shared" si="10"/>
        <v>7.75</v>
      </c>
      <c r="K79" s="611"/>
      <c r="L79" s="595">
        <v>0.125</v>
      </c>
      <c r="M79" s="595"/>
      <c r="N79" s="613">
        <f t="shared" si="7"/>
        <v>3479.9437499999999</v>
      </c>
      <c r="O79" s="613"/>
      <c r="P79" s="613">
        <f t="shared" si="8"/>
        <v>112.25624999999991</v>
      </c>
      <c r="Q79" s="612"/>
      <c r="R79" s="614" t="str">
        <f t="shared" si="9"/>
        <v>No</v>
      </c>
      <c r="T79" s="579"/>
      <c r="U79" s="579"/>
      <c r="V79" s="579"/>
      <c r="W79" s="579"/>
      <c r="X79" s="579"/>
      <c r="Y79" s="579"/>
      <c r="Z79" s="579"/>
      <c r="AA79" s="579"/>
      <c r="AB79" s="579"/>
      <c r="AC79" s="579"/>
      <c r="AD79" s="579"/>
      <c r="AE79" s="579"/>
      <c r="AF79" s="579"/>
      <c r="AG79" s="579"/>
      <c r="AH79" s="579"/>
    </row>
    <row r="80" spans="2:34">
      <c r="B80" s="590" t="s">
        <v>294</v>
      </c>
      <c r="D80" s="326">
        <v>2003</v>
      </c>
      <c r="F80" s="609"/>
      <c r="G80" s="610"/>
      <c r="H80" s="291">
        <v>66712.73</v>
      </c>
      <c r="J80" s="611">
        <f t="shared" si="10"/>
        <v>7.75</v>
      </c>
      <c r="K80" s="611"/>
      <c r="L80" s="595">
        <f>VLOOKUP(B80,$T$9:$U$13,2,FALSE)</f>
        <v>0.25</v>
      </c>
      <c r="M80" s="595"/>
      <c r="N80" s="613">
        <f t="shared" si="7"/>
        <v>66712.73</v>
      </c>
      <c r="O80" s="613"/>
      <c r="P80" s="613">
        <f t="shared" si="8"/>
        <v>0</v>
      </c>
      <c r="Q80" s="612"/>
      <c r="R80" s="614" t="str">
        <f t="shared" si="9"/>
        <v>Yes</v>
      </c>
      <c r="T80" s="579"/>
      <c r="U80" s="579"/>
      <c r="V80" s="579"/>
      <c r="W80" s="579"/>
      <c r="X80" s="579"/>
      <c r="Y80" s="579"/>
      <c r="Z80" s="579"/>
      <c r="AA80" s="579"/>
      <c r="AB80" s="579"/>
      <c r="AC80" s="579"/>
      <c r="AD80" s="579"/>
      <c r="AE80" s="579"/>
      <c r="AF80" s="579"/>
      <c r="AG80" s="579"/>
      <c r="AH80" s="579"/>
    </row>
    <row r="81" spans="2:34">
      <c r="B81" s="590" t="s">
        <v>466</v>
      </c>
      <c r="D81" s="326">
        <v>2003</v>
      </c>
      <c r="F81" s="609"/>
      <c r="G81" s="610"/>
      <c r="H81" s="291">
        <v>22898.39</v>
      </c>
      <c r="I81" s="291"/>
      <c r="J81" s="611">
        <f t="shared" si="10"/>
        <v>7.75</v>
      </c>
      <c r="K81" s="611"/>
      <c r="L81" s="595">
        <f>VLOOKUP(B81,$T$9:$U$13,2,FALSE)</f>
        <v>0</v>
      </c>
      <c r="M81" s="595"/>
      <c r="N81" s="613">
        <f t="shared" si="7"/>
        <v>0</v>
      </c>
      <c r="O81" s="613"/>
      <c r="P81" s="613">
        <f t="shared" si="8"/>
        <v>22898.39</v>
      </c>
      <c r="Q81" s="613"/>
      <c r="R81" s="614" t="str">
        <f t="shared" si="9"/>
        <v>No</v>
      </c>
      <c r="T81" s="579"/>
      <c r="U81" s="579"/>
      <c r="V81" s="579"/>
      <c r="W81" s="579"/>
      <c r="X81" s="579"/>
      <c r="Y81" s="579"/>
      <c r="Z81" s="579"/>
      <c r="AA81" s="579"/>
      <c r="AB81" s="579"/>
      <c r="AC81" s="579"/>
      <c r="AD81" s="579"/>
      <c r="AE81" s="579"/>
      <c r="AF81" s="579"/>
      <c r="AG81" s="579"/>
      <c r="AH81" s="579"/>
    </row>
    <row r="82" spans="2:34">
      <c r="B82" s="590" t="s">
        <v>293</v>
      </c>
      <c r="D82" s="326">
        <v>2004</v>
      </c>
      <c r="F82" s="609"/>
      <c r="G82" s="610"/>
      <c r="H82" s="291">
        <f>517659.51-H83-H84-H85</f>
        <v>456980.02999999997</v>
      </c>
      <c r="J82" s="611">
        <f t="shared" si="10"/>
        <v>6.75</v>
      </c>
      <c r="K82" s="611"/>
      <c r="L82" s="595">
        <f>VLOOKUP(B82,$T$9:$U$13,2,FALSE)</f>
        <v>0.02</v>
      </c>
      <c r="M82" s="595"/>
      <c r="N82" s="613">
        <f t="shared" si="7"/>
        <v>61692.304049999999</v>
      </c>
      <c r="O82" s="613"/>
      <c r="P82" s="613">
        <f t="shared" si="8"/>
        <v>395287.72594999999</v>
      </c>
      <c r="Q82" s="612"/>
      <c r="R82" s="614" t="str">
        <f t="shared" si="9"/>
        <v>No</v>
      </c>
      <c r="U82" s="579"/>
      <c r="V82" s="579"/>
      <c r="W82" s="579"/>
      <c r="X82" s="579"/>
      <c r="Y82" s="579"/>
      <c r="Z82" s="579"/>
      <c r="AA82" s="579"/>
      <c r="AB82" s="579"/>
      <c r="AC82" s="579"/>
      <c r="AD82" s="579"/>
      <c r="AE82" s="579"/>
      <c r="AF82" s="579"/>
      <c r="AG82" s="579"/>
      <c r="AH82" s="579"/>
    </row>
    <row r="83" spans="2:34">
      <c r="B83" s="590" t="s">
        <v>89</v>
      </c>
      <c r="D83" s="326">
        <v>2004</v>
      </c>
      <c r="F83" s="609"/>
      <c r="G83" s="610"/>
      <c r="H83" s="291">
        <f>2282.04+619.92</f>
        <v>2901.96</v>
      </c>
      <c r="J83" s="611">
        <f t="shared" si="10"/>
        <v>6.75</v>
      </c>
      <c r="K83" s="611"/>
      <c r="L83" s="595">
        <v>0.125</v>
      </c>
      <c r="M83" s="595"/>
      <c r="N83" s="613">
        <f t="shared" si="7"/>
        <v>2448.5287499999999</v>
      </c>
      <c r="O83" s="613"/>
      <c r="P83" s="613">
        <f t="shared" si="8"/>
        <v>453.43125000000009</v>
      </c>
      <c r="Q83" s="612"/>
      <c r="R83" s="614" t="str">
        <f t="shared" si="9"/>
        <v>No</v>
      </c>
      <c r="T83" s="579"/>
      <c r="U83" s="579"/>
      <c r="V83" s="579"/>
      <c r="W83" s="579"/>
      <c r="X83" s="579"/>
      <c r="Y83" s="579"/>
      <c r="Z83" s="579"/>
      <c r="AA83" s="579"/>
      <c r="AB83" s="579"/>
      <c r="AC83" s="579"/>
      <c r="AD83" s="579"/>
      <c r="AE83" s="579"/>
      <c r="AF83" s="579"/>
      <c r="AG83" s="579"/>
      <c r="AH83" s="579"/>
    </row>
    <row r="84" spans="2:34">
      <c r="B84" s="590" t="s">
        <v>294</v>
      </c>
      <c r="D84" s="326">
        <v>2004</v>
      </c>
      <c r="F84" s="609"/>
      <c r="G84" s="610"/>
      <c r="H84" s="291">
        <v>55831.7</v>
      </c>
      <c r="J84" s="611">
        <f t="shared" si="10"/>
        <v>6.75</v>
      </c>
      <c r="K84" s="611"/>
      <c r="L84" s="595">
        <f>VLOOKUP(B84,$T$9:$U$13,2,FALSE)</f>
        <v>0.25</v>
      </c>
      <c r="M84" s="595"/>
      <c r="N84" s="613">
        <f t="shared" si="7"/>
        <v>55831.7</v>
      </c>
      <c r="O84" s="613"/>
      <c r="P84" s="613">
        <f t="shared" si="8"/>
        <v>0</v>
      </c>
      <c r="Q84" s="612"/>
      <c r="R84" s="614" t="str">
        <f t="shared" si="9"/>
        <v>Yes</v>
      </c>
      <c r="T84" s="579"/>
      <c r="U84" s="579"/>
      <c r="V84" s="579"/>
      <c r="W84" s="579"/>
      <c r="X84" s="579"/>
      <c r="Y84" s="579"/>
      <c r="Z84" s="579"/>
      <c r="AA84" s="579"/>
      <c r="AB84" s="579"/>
      <c r="AC84" s="579"/>
      <c r="AD84" s="579"/>
      <c r="AE84" s="579"/>
      <c r="AF84" s="579"/>
      <c r="AG84" s="579"/>
      <c r="AH84" s="579"/>
    </row>
    <row r="85" spans="2:34">
      <c r="B85" s="590" t="s">
        <v>466</v>
      </c>
      <c r="D85" s="326">
        <v>2004</v>
      </c>
      <c r="F85" s="609"/>
      <c r="G85" s="610"/>
      <c r="H85" s="291">
        <v>1945.82</v>
      </c>
      <c r="I85" s="291"/>
      <c r="J85" s="611">
        <f t="shared" si="10"/>
        <v>6.75</v>
      </c>
      <c r="K85" s="611"/>
      <c r="L85" s="595">
        <f>VLOOKUP(B85,$T$9:$U$13,2,FALSE)</f>
        <v>0</v>
      </c>
      <c r="M85" s="595"/>
      <c r="N85" s="613">
        <f t="shared" si="7"/>
        <v>0</v>
      </c>
      <c r="O85" s="613"/>
      <c r="P85" s="613">
        <f t="shared" si="8"/>
        <v>1945.82</v>
      </c>
      <c r="Q85" s="613"/>
      <c r="R85" s="614" t="str">
        <f t="shared" si="9"/>
        <v>No</v>
      </c>
      <c r="T85" s="579"/>
      <c r="U85" s="579"/>
      <c r="V85" s="579"/>
      <c r="W85" s="579"/>
      <c r="X85" s="579"/>
      <c r="Y85" s="579"/>
      <c r="Z85" s="579"/>
      <c r="AA85" s="579"/>
      <c r="AB85" s="579"/>
      <c r="AC85" s="579"/>
      <c r="AD85" s="579"/>
      <c r="AE85" s="579"/>
      <c r="AF85" s="579"/>
      <c r="AG85" s="579"/>
      <c r="AH85" s="579"/>
    </row>
    <row r="86" spans="2:34">
      <c r="B86" s="590" t="s">
        <v>293</v>
      </c>
      <c r="D86" s="326">
        <v>2005</v>
      </c>
      <c r="F86" s="609"/>
      <c r="G86" s="610"/>
      <c r="H86" s="291">
        <f>7256830.51-6546728.58-H89</f>
        <v>709699.02999999968</v>
      </c>
      <c r="J86" s="611">
        <f t="shared" si="10"/>
        <v>5.75</v>
      </c>
      <c r="K86" s="611"/>
      <c r="L86" s="595">
        <f>VLOOKUP(B86,$T$9:$U$13,2,FALSE)</f>
        <v>0.02</v>
      </c>
      <c r="M86" s="595"/>
      <c r="N86" s="613">
        <f t="shared" si="7"/>
        <v>81615.388449999969</v>
      </c>
      <c r="O86" s="613"/>
      <c r="P86" s="613">
        <f t="shared" si="8"/>
        <v>628083.64154999971</v>
      </c>
      <c r="Q86" s="612"/>
      <c r="R86" s="614" t="str">
        <f t="shared" si="9"/>
        <v>No</v>
      </c>
      <c r="U86" s="579"/>
      <c r="V86" s="579"/>
      <c r="W86" s="579"/>
      <c r="X86" s="579"/>
      <c r="Y86" s="579"/>
      <c r="Z86" s="579"/>
      <c r="AA86" s="579"/>
      <c r="AB86" s="579"/>
      <c r="AC86" s="579"/>
      <c r="AD86" s="579"/>
      <c r="AE86" s="579"/>
      <c r="AF86" s="579"/>
      <c r="AG86" s="579"/>
      <c r="AH86" s="579"/>
    </row>
    <row r="87" spans="2:34">
      <c r="B87" s="590" t="s">
        <v>89</v>
      </c>
      <c r="D87" s="326">
        <v>2005</v>
      </c>
      <c r="F87" s="609"/>
      <c r="G87" s="610"/>
      <c r="H87" s="291">
        <f>16432.23-12274.31</f>
        <v>4157.92</v>
      </c>
      <c r="J87" s="611">
        <f t="shared" si="10"/>
        <v>5.75</v>
      </c>
      <c r="K87" s="611"/>
      <c r="L87" s="595">
        <v>0.125</v>
      </c>
      <c r="M87" s="595"/>
      <c r="N87" s="613">
        <f t="shared" si="7"/>
        <v>2988.5050000000001</v>
      </c>
      <c r="O87" s="613"/>
      <c r="P87" s="613">
        <f t="shared" si="8"/>
        <v>1169.415</v>
      </c>
      <c r="Q87" s="612"/>
      <c r="R87" s="614" t="str">
        <f t="shared" si="9"/>
        <v>No</v>
      </c>
      <c r="T87" s="579"/>
      <c r="U87" s="579"/>
      <c r="V87" s="579"/>
      <c r="W87" s="579"/>
      <c r="X87" s="579"/>
      <c r="Y87" s="579"/>
      <c r="Z87" s="579"/>
      <c r="AA87" s="579"/>
      <c r="AB87" s="579"/>
      <c r="AC87" s="579"/>
      <c r="AD87" s="579"/>
      <c r="AE87" s="579"/>
      <c r="AF87" s="579"/>
      <c r="AG87" s="579"/>
      <c r="AH87" s="579"/>
    </row>
    <row r="88" spans="2:34">
      <c r="B88" s="590" t="s">
        <v>294</v>
      </c>
      <c r="D88" s="326">
        <v>2005</v>
      </c>
      <c r="F88" s="609"/>
      <c r="G88" s="610"/>
      <c r="H88" s="291">
        <f>419015.19-399122.55</f>
        <v>19892.640000000014</v>
      </c>
      <c r="J88" s="611">
        <f t="shared" si="10"/>
        <v>5.75</v>
      </c>
      <c r="K88" s="611"/>
      <c r="L88" s="595">
        <f>VLOOKUP(B88,$T$9:$U$13,2,FALSE)</f>
        <v>0.25</v>
      </c>
      <c r="M88" s="595"/>
      <c r="N88" s="613">
        <f t="shared" si="7"/>
        <v>19892.640000000014</v>
      </c>
      <c r="O88" s="613"/>
      <c r="P88" s="613">
        <f t="shared" si="8"/>
        <v>0</v>
      </c>
      <c r="Q88" s="612"/>
      <c r="R88" s="614" t="str">
        <f t="shared" si="9"/>
        <v>Yes</v>
      </c>
      <c r="T88" s="579"/>
      <c r="U88" s="579"/>
      <c r="V88" s="579"/>
      <c r="W88" s="579"/>
      <c r="X88" s="579"/>
      <c r="Y88" s="579"/>
      <c r="Z88" s="579"/>
      <c r="AA88" s="579"/>
      <c r="AB88" s="579"/>
      <c r="AC88" s="579"/>
      <c r="AD88" s="579"/>
      <c r="AE88" s="579"/>
      <c r="AF88" s="579"/>
      <c r="AG88" s="579"/>
      <c r="AH88" s="579"/>
    </row>
    <row r="89" spans="2:34">
      <c r="B89" s="590" t="s">
        <v>466</v>
      </c>
      <c r="D89" s="326">
        <v>2005</v>
      </c>
      <c r="F89" s="609"/>
      <c r="G89" s="610"/>
      <c r="H89" s="291">
        <f>128111.41-127708.51</f>
        <v>402.90000000000873</v>
      </c>
      <c r="I89" s="291"/>
      <c r="J89" s="611">
        <f t="shared" si="10"/>
        <v>5.75</v>
      </c>
      <c r="K89" s="611"/>
      <c r="L89" s="595">
        <f>VLOOKUP(B89,$T$9:$U$13,2,FALSE)</f>
        <v>0</v>
      </c>
      <c r="M89" s="595"/>
      <c r="N89" s="613">
        <f t="shared" si="7"/>
        <v>0</v>
      </c>
      <c r="O89" s="613"/>
      <c r="P89" s="613">
        <f t="shared" si="8"/>
        <v>402.90000000000873</v>
      </c>
      <c r="Q89" s="613"/>
      <c r="R89" s="614" t="str">
        <f t="shared" si="9"/>
        <v>No</v>
      </c>
      <c r="T89" s="579"/>
      <c r="U89" s="579"/>
      <c r="V89" s="579"/>
      <c r="W89" s="579"/>
      <c r="X89" s="579"/>
      <c r="Y89" s="579"/>
      <c r="Z89" s="579"/>
      <c r="AA89" s="579"/>
      <c r="AB89" s="579"/>
      <c r="AC89" s="579"/>
      <c r="AD89" s="579"/>
      <c r="AE89" s="579"/>
      <c r="AF89" s="579"/>
      <c r="AG89" s="579"/>
      <c r="AH89" s="579"/>
    </row>
    <row r="90" spans="2:34">
      <c r="B90" s="590" t="s">
        <v>293</v>
      </c>
      <c r="D90" s="326">
        <v>2006</v>
      </c>
      <c r="F90" s="609"/>
      <c r="G90" s="610"/>
      <c r="H90" s="291">
        <f>7730565.26-7256830.51</f>
        <v>473734.75</v>
      </c>
      <c r="J90" s="611">
        <f t="shared" ref="J90:J95" si="11">VLOOKUP(D90,$T$20:$V$51,2,FALSE)</f>
        <v>4.75</v>
      </c>
      <c r="K90" s="611"/>
      <c r="L90" s="595">
        <f>VLOOKUP(B90,$T$9:$U$13,2,FALSE)</f>
        <v>0.02</v>
      </c>
      <c r="M90" s="595"/>
      <c r="N90" s="613">
        <f t="shared" si="7"/>
        <v>45004.801250000004</v>
      </c>
      <c r="O90" s="613"/>
      <c r="P90" s="613">
        <f t="shared" si="8"/>
        <v>428729.94874999998</v>
      </c>
      <c r="Q90" s="612"/>
      <c r="R90" s="614" t="str">
        <f t="shared" si="9"/>
        <v>No</v>
      </c>
      <c r="U90" s="579"/>
      <c r="V90" s="579"/>
      <c r="W90" s="579"/>
      <c r="X90" s="579"/>
      <c r="Y90" s="579"/>
      <c r="Z90" s="579"/>
      <c r="AA90" s="579"/>
      <c r="AB90" s="579"/>
      <c r="AC90" s="579"/>
      <c r="AD90" s="579"/>
      <c r="AE90" s="579"/>
      <c r="AF90" s="579"/>
      <c r="AG90" s="579"/>
      <c r="AH90" s="579"/>
    </row>
    <row r="91" spans="2:34">
      <c r="B91" s="590" t="s">
        <v>89</v>
      </c>
      <c r="D91" s="326">
        <v>2006</v>
      </c>
      <c r="F91" s="609"/>
      <c r="G91" s="610"/>
      <c r="H91" s="291">
        <f>18544.52-16432.23</f>
        <v>2112.2900000000009</v>
      </c>
      <c r="J91" s="611">
        <f t="shared" si="11"/>
        <v>4.75</v>
      </c>
      <c r="K91" s="611"/>
      <c r="L91" s="595">
        <v>0.125</v>
      </c>
      <c r="M91" s="595"/>
      <c r="N91" s="613">
        <f t="shared" si="7"/>
        <v>1254.1721875000005</v>
      </c>
      <c r="O91" s="613"/>
      <c r="P91" s="613">
        <f t="shared" si="8"/>
        <v>858.11781250000035</v>
      </c>
      <c r="Q91" s="612"/>
      <c r="R91" s="614" t="str">
        <f t="shared" si="9"/>
        <v>No</v>
      </c>
      <c r="T91" s="579"/>
      <c r="U91" s="579"/>
      <c r="V91" s="579"/>
      <c r="W91" s="579"/>
      <c r="X91" s="579"/>
      <c r="Y91" s="579"/>
      <c r="Z91" s="579"/>
      <c r="AA91" s="579"/>
      <c r="AB91" s="579"/>
      <c r="AC91" s="579"/>
      <c r="AD91" s="579"/>
      <c r="AE91" s="579"/>
      <c r="AF91" s="579"/>
      <c r="AG91" s="579"/>
      <c r="AH91" s="579"/>
    </row>
    <row r="92" spans="2:34">
      <c r="B92" s="590" t="s">
        <v>294</v>
      </c>
      <c r="D92" s="326">
        <v>2006</v>
      </c>
      <c r="F92" s="609"/>
      <c r="G92" s="610"/>
      <c r="H92" s="291">
        <f>434621.09-419015.19</f>
        <v>15605.900000000023</v>
      </c>
      <c r="J92" s="611">
        <f t="shared" si="11"/>
        <v>4.75</v>
      </c>
      <c r="K92" s="611"/>
      <c r="L92" s="595">
        <f>VLOOKUP(B92,$T$9:$U$13,2,FALSE)</f>
        <v>0.25</v>
      </c>
      <c r="M92" s="595"/>
      <c r="N92" s="613">
        <f t="shared" si="7"/>
        <v>15605.900000000023</v>
      </c>
      <c r="O92" s="613"/>
      <c r="P92" s="613">
        <f t="shared" si="8"/>
        <v>0</v>
      </c>
      <c r="Q92" s="612"/>
      <c r="R92" s="614" t="str">
        <f t="shared" si="9"/>
        <v>Yes</v>
      </c>
      <c r="T92" s="579"/>
      <c r="U92" s="579"/>
      <c r="V92" s="579"/>
      <c r="W92" s="579"/>
      <c r="X92" s="579"/>
      <c r="Y92" s="579"/>
      <c r="Z92" s="579"/>
      <c r="AA92" s="579"/>
      <c r="AB92" s="579"/>
      <c r="AC92" s="579"/>
      <c r="AD92" s="579"/>
      <c r="AE92" s="579"/>
      <c r="AF92" s="579"/>
      <c r="AG92" s="579"/>
      <c r="AH92" s="579"/>
    </row>
    <row r="93" spans="2:34">
      <c r="B93" s="590" t="s">
        <v>293</v>
      </c>
      <c r="D93" s="591">
        <v>2007</v>
      </c>
      <c r="H93" s="291">
        <f>7955405.05-7730565.26+334.96</f>
        <v>225174.75000000003</v>
      </c>
      <c r="J93" s="611">
        <f t="shared" si="11"/>
        <v>3.75</v>
      </c>
      <c r="K93" s="611"/>
      <c r="L93" s="595">
        <f>VLOOKUP(B93,$T$9:$U$13,2,FALSE)</f>
        <v>0.02</v>
      </c>
      <c r="N93" s="613">
        <f t="shared" si="7"/>
        <v>16888.106250000001</v>
      </c>
      <c r="P93" s="613">
        <f t="shared" si="8"/>
        <v>208286.64375000002</v>
      </c>
      <c r="R93" s="614" t="str">
        <f t="shared" si="9"/>
        <v>No</v>
      </c>
      <c r="T93" s="579"/>
      <c r="U93" s="579"/>
      <c r="V93" s="579"/>
      <c r="W93" s="579"/>
      <c r="X93" s="579"/>
      <c r="Y93" s="579"/>
      <c r="Z93" s="579"/>
      <c r="AA93" s="579"/>
      <c r="AB93" s="579"/>
      <c r="AC93" s="579"/>
      <c r="AD93" s="579"/>
      <c r="AE93" s="579"/>
      <c r="AF93" s="579"/>
      <c r="AG93" s="579"/>
      <c r="AH93" s="579"/>
    </row>
    <row r="94" spans="2:34">
      <c r="B94" s="590" t="s">
        <v>89</v>
      </c>
      <c r="D94" s="591">
        <v>2007</v>
      </c>
      <c r="H94" s="291">
        <f>157170.13-(15307.04+3237.48)</f>
        <v>138625.61000000002</v>
      </c>
      <c r="J94" s="611">
        <f t="shared" si="11"/>
        <v>3.75</v>
      </c>
      <c r="K94" s="611"/>
      <c r="L94" s="595">
        <v>0.125</v>
      </c>
      <c r="N94" s="613">
        <f t="shared" si="7"/>
        <v>64980.754687500004</v>
      </c>
      <c r="P94" s="613">
        <f t="shared" si="8"/>
        <v>73644.855312500003</v>
      </c>
      <c r="R94" s="614" t="str">
        <f t="shared" si="9"/>
        <v>No</v>
      </c>
      <c r="T94" s="579"/>
      <c r="U94" s="579"/>
      <c r="V94" s="579"/>
      <c r="W94" s="579"/>
      <c r="X94" s="579"/>
      <c r="Y94" s="579"/>
      <c r="Z94" s="579"/>
      <c r="AA94" s="579"/>
      <c r="AB94" s="579"/>
      <c r="AC94" s="579"/>
      <c r="AD94" s="579"/>
      <c r="AE94" s="579"/>
      <c r="AF94" s="579"/>
      <c r="AG94" s="579"/>
      <c r="AH94" s="579"/>
    </row>
    <row r="95" spans="2:34">
      <c r="B95" s="590" t="s">
        <v>294</v>
      </c>
      <c r="D95" s="591">
        <v>2007</v>
      </c>
      <c r="H95" s="628">
        <f>467157.6-434621.09</f>
        <v>32536.509999999951</v>
      </c>
      <c r="J95" s="611">
        <f t="shared" si="11"/>
        <v>3.75</v>
      </c>
      <c r="K95" s="611"/>
      <c r="L95" s="595">
        <f>VLOOKUP(B95,$T$9:$U$13,2,FALSE)</f>
        <v>0.25</v>
      </c>
      <c r="N95" s="629">
        <f t="shared" si="7"/>
        <v>30502.978124999954</v>
      </c>
      <c r="P95" s="629">
        <f t="shared" si="8"/>
        <v>2033.5318749999969</v>
      </c>
      <c r="R95" s="614" t="str">
        <f t="shared" si="9"/>
        <v>No</v>
      </c>
      <c r="T95" s="579"/>
      <c r="U95" s="579"/>
      <c r="V95" s="579"/>
      <c r="W95" s="579"/>
      <c r="X95" s="579"/>
      <c r="Y95" s="579"/>
      <c r="Z95" s="579"/>
      <c r="AA95" s="579"/>
      <c r="AB95" s="579"/>
      <c r="AC95" s="579"/>
      <c r="AD95" s="579"/>
      <c r="AE95" s="579"/>
      <c r="AF95" s="579"/>
      <c r="AG95" s="579"/>
      <c r="AH95" s="579"/>
    </row>
    <row r="96" spans="2:34">
      <c r="F96" s="591" t="s">
        <v>298</v>
      </c>
      <c r="H96" s="579">
        <f>SUM(H9:H95)</f>
        <v>8616350.4300000016</v>
      </c>
      <c r="N96" s="579">
        <f>SUM(N9:N95)</f>
        <v>3598498.4053500011</v>
      </c>
      <c r="P96" s="579">
        <f>SUM(P9:P95)</f>
        <v>5017852.0246499991</v>
      </c>
      <c r="T96" s="579"/>
      <c r="U96" s="579"/>
      <c r="V96" s="579"/>
      <c r="W96" s="579"/>
      <c r="X96" s="579"/>
      <c r="Y96" s="579"/>
      <c r="Z96" s="579"/>
      <c r="AA96" s="579"/>
      <c r="AB96" s="579"/>
      <c r="AC96" s="579"/>
      <c r="AD96" s="579"/>
      <c r="AE96" s="579"/>
      <c r="AF96" s="579"/>
      <c r="AG96" s="579"/>
      <c r="AH96" s="579"/>
    </row>
    <row r="97" spans="1:34">
      <c r="T97" s="579"/>
      <c r="U97" s="579"/>
      <c r="V97" s="579"/>
      <c r="W97" s="579"/>
      <c r="X97" s="579"/>
      <c r="Y97" s="579"/>
      <c r="Z97" s="579"/>
      <c r="AA97" s="579"/>
      <c r="AB97" s="579"/>
      <c r="AC97" s="579"/>
      <c r="AD97" s="579"/>
      <c r="AE97" s="579"/>
      <c r="AF97" s="579"/>
      <c r="AG97" s="579"/>
      <c r="AH97" s="579"/>
    </row>
    <row r="98" spans="1:34">
      <c r="A98" s="623" t="s">
        <v>1342</v>
      </c>
      <c r="T98" s="579"/>
      <c r="U98" s="579"/>
      <c r="V98" s="579"/>
      <c r="W98" s="579"/>
      <c r="X98" s="579"/>
      <c r="Y98" s="579"/>
      <c r="Z98" s="579"/>
      <c r="AA98" s="579"/>
      <c r="AB98" s="579"/>
      <c r="AC98" s="579"/>
      <c r="AD98" s="579"/>
      <c r="AE98" s="579"/>
      <c r="AF98" s="579"/>
      <c r="AG98" s="579"/>
      <c r="AH98" s="579"/>
    </row>
    <row r="99" spans="1:34">
      <c r="B99" s="590" t="s">
        <v>293</v>
      </c>
      <c r="D99" s="591">
        <v>2008</v>
      </c>
      <c r="H99" s="579">
        <v>625518.99</v>
      </c>
      <c r="J99" s="611">
        <f>VLOOKUP(D99,$T$20:$V$53,2,FALSE)</f>
        <v>2.75</v>
      </c>
      <c r="L99" s="595">
        <f>VLOOKUP(B99,$T$9:$U$13,2,FALSE)</f>
        <v>0.02</v>
      </c>
      <c r="N99" s="612">
        <f>IF(L99*J99*H99&gt;H99,H99,L99*J99*H99)</f>
        <v>34403.544450000001</v>
      </c>
      <c r="P99" s="612">
        <f>H99-N99</f>
        <v>591115.44554999995</v>
      </c>
      <c r="R99" s="614" t="str">
        <f>IF(N99=H99,"Yes","No")</f>
        <v>No</v>
      </c>
      <c r="T99" s="579"/>
      <c r="U99" s="579"/>
      <c r="V99" s="579"/>
      <c r="W99" s="579"/>
      <c r="X99" s="579"/>
      <c r="Y99" s="579"/>
      <c r="Z99" s="579"/>
      <c r="AA99" s="579"/>
      <c r="AB99" s="579"/>
      <c r="AC99" s="579"/>
      <c r="AD99" s="579"/>
      <c r="AE99" s="579"/>
      <c r="AF99" s="579"/>
      <c r="AG99" s="579"/>
      <c r="AH99" s="579"/>
    </row>
    <row r="100" spans="1:34">
      <c r="B100" s="590" t="s">
        <v>89</v>
      </c>
      <c r="D100" s="591">
        <v>2008</v>
      </c>
      <c r="H100" s="579">
        <v>502208</v>
      </c>
      <c r="J100" s="611">
        <f>VLOOKUP(D100,$T$20:$V$51,2,FALSE)</f>
        <v>2.75</v>
      </c>
      <c r="L100" s="595">
        <v>0.125</v>
      </c>
      <c r="N100" s="612">
        <f>IF(L100*J100*H100&gt;H100,H100,L100*J100*H100)</f>
        <v>172634</v>
      </c>
      <c r="P100" s="612">
        <f>H100-N100</f>
        <v>329574</v>
      </c>
      <c r="R100" s="614" t="str">
        <f>IF(N100=H100,"Yes","No")</f>
        <v>No</v>
      </c>
      <c r="T100" s="579"/>
      <c r="U100" s="579"/>
      <c r="V100" s="579"/>
      <c r="W100" s="579"/>
      <c r="X100" s="579"/>
      <c r="Y100" s="579"/>
      <c r="Z100" s="579"/>
      <c r="AA100" s="579"/>
      <c r="AB100" s="579"/>
      <c r="AC100" s="579"/>
      <c r="AD100" s="579"/>
      <c r="AE100" s="579"/>
      <c r="AF100" s="579"/>
      <c r="AG100" s="579"/>
      <c r="AH100" s="579"/>
    </row>
    <row r="101" spans="1:34">
      <c r="B101" s="590" t="s">
        <v>294</v>
      </c>
      <c r="D101" s="591">
        <v>2008</v>
      </c>
      <c r="H101" s="579">
        <v>24039.77</v>
      </c>
      <c r="J101" s="611">
        <f>VLOOKUP(D101,$T$20:$V$51,2,FALSE)</f>
        <v>2.75</v>
      </c>
      <c r="L101" s="595">
        <f>VLOOKUP(B101,$T$9:$U$13,2,FALSE)</f>
        <v>0.25</v>
      </c>
      <c r="N101" s="612">
        <f>IF(L101*J101*H101&gt;H101,H101,L101*J101*H101)</f>
        <v>16527.341875000002</v>
      </c>
      <c r="P101" s="612">
        <f>H101-N101</f>
        <v>7512.4281249999985</v>
      </c>
      <c r="R101" s="614" t="str">
        <f>IF(N101=H101,"Yes","No")</f>
        <v>No</v>
      </c>
      <c r="T101" s="579"/>
      <c r="U101" s="579"/>
      <c r="V101" s="579"/>
      <c r="W101" s="579"/>
      <c r="X101" s="579"/>
      <c r="Y101" s="579"/>
      <c r="Z101" s="579"/>
      <c r="AA101" s="579"/>
      <c r="AB101" s="579"/>
      <c r="AC101" s="579"/>
      <c r="AD101" s="579"/>
      <c r="AE101" s="579"/>
      <c r="AF101" s="579"/>
      <c r="AG101" s="579"/>
      <c r="AH101" s="579"/>
    </row>
    <row r="102" spans="1:34">
      <c r="B102" s="590" t="s">
        <v>511</v>
      </c>
      <c r="D102" s="591">
        <v>2008</v>
      </c>
      <c r="H102" s="579">
        <v>484.54</v>
      </c>
      <c r="J102" s="611">
        <f>VLOOKUP(D102,$T$20:$V$51,2,FALSE)</f>
        <v>2.75</v>
      </c>
      <c r="L102" s="595">
        <f>VLOOKUP(B102,$T$9:$U$13,2,FALSE)</f>
        <v>0</v>
      </c>
      <c r="N102" s="612">
        <f>IF(L102*J102*H102&gt;H102,H102,L102*J102*H102)</f>
        <v>0</v>
      </c>
      <c r="P102" s="612">
        <f>H102-N102</f>
        <v>484.54</v>
      </c>
      <c r="R102" s="614" t="str">
        <f>IF(N102=H102,"Yes","No")</f>
        <v>No</v>
      </c>
      <c r="T102" s="579"/>
      <c r="U102" s="579"/>
      <c r="V102" s="579"/>
      <c r="W102" s="579"/>
      <c r="X102" s="579"/>
      <c r="Y102" s="579"/>
      <c r="Z102" s="579"/>
      <c r="AA102" s="579"/>
      <c r="AB102" s="579"/>
      <c r="AC102" s="579"/>
      <c r="AD102" s="579"/>
      <c r="AE102" s="579"/>
      <c r="AF102" s="579"/>
      <c r="AG102" s="579"/>
      <c r="AH102" s="579"/>
    </row>
    <row r="103" spans="1:34">
      <c r="B103" s="590" t="s">
        <v>466</v>
      </c>
      <c r="D103" s="591">
        <v>2008</v>
      </c>
      <c r="H103" s="628">
        <v>0</v>
      </c>
      <c r="J103" s="611">
        <f>VLOOKUP(D103,$T$20:$V$51,2,FALSE)</f>
        <v>2.75</v>
      </c>
      <c r="L103" s="595">
        <f>VLOOKUP(B103,$T$9:$U$13,2,FALSE)</f>
        <v>0</v>
      </c>
      <c r="N103" s="629">
        <f>IF(L103*J103*H103&gt;H103,H103,L103*J103*H103)</f>
        <v>0</v>
      </c>
      <c r="P103" s="629">
        <f>H103-N103</f>
        <v>0</v>
      </c>
      <c r="R103" s="614" t="str">
        <f>IF(N103=H103,"Yes","No")</f>
        <v>Yes</v>
      </c>
      <c r="T103" s="579"/>
      <c r="U103" s="579"/>
      <c r="V103" s="579"/>
      <c r="W103" s="579"/>
      <c r="X103" s="579"/>
      <c r="Y103" s="579"/>
      <c r="Z103" s="579"/>
      <c r="AA103" s="579"/>
      <c r="AB103" s="579"/>
      <c r="AC103" s="579"/>
      <c r="AD103" s="579"/>
      <c r="AE103" s="579"/>
      <c r="AF103" s="579"/>
      <c r="AG103" s="579"/>
      <c r="AH103" s="579"/>
    </row>
    <row r="104" spans="1:34">
      <c r="F104" s="591" t="s">
        <v>298</v>
      </c>
      <c r="H104" s="612">
        <f>SUM(H99:H103)</f>
        <v>1152251.3</v>
      </c>
      <c r="N104" s="612">
        <f>SUM(N99:N103)</f>
        <v>223564.886325</v>
      </c>
      <c r="P104" s="612">
        <f>SUM(P99:P103)</f>
        <v>928686.41367499996</v>
      </c>
      <c r="T104" s="579"/>
      <c r="U104" s="579"/>
      <c r="V104" s="579"/>
      <c r="W104" s="579"/>
      <c r="X104" s="579"/>
      <c r="Y104" s="579"/>
      <c r="Z104" s="579"/>
      <c r="AA104" s="579"/>
      <c r="AB104" s="579"/>
      <c r="AC104" s="579"/>
      <c r="AD104" s="579"/>
      <c r="AE104" s="579"/>
      <c r="AF104" s="579"/>
      <c r="AG104" s="579"/>
      <c r="AH104" s="579"/>
    </row>
    <row r="105" spans="1:34">
      <c r="H105" s="612"/>
      <c r="J105" s="425"/>
      <c r="L105" s="612"/>
      <c r="N105" s="612"/>
      <c r="P105" s="612"/>
      <c r="T105" s="579"/>
      <c r="U105" s="579"/>
      <c r="V105" s="579"/>
      <c r="W105" s="579"/>
      <c r="X105" s="579"/>
      <c r="Y105" s="579"/>
      <c r="Z105" s="579"/>
      <c r="AA105" s="579"/>
      <c r="AB105" s="579"/>
      <c r="AC105" s="579"/>
      <c r="AD105" s="579"/>
      <c r="AE105" s="579"/>
      <c r="AF105" s="579"/>
      <c r="AG105" s="579"/>
      <c r="AH105" s="579"/>
    </row>
    <row r="106" spans="1:34">
      <c r="A106" s="623" t="s">
        <v>1343</v>
      </c>
      <c r="H106" s="612"/>
      <c r="N106" s="612"/>
      <c r="P106" s="612"/>
      <c r="T106" s="579"/>
      <c r="U106" s="579"/>
      <c r="V106" s="579"/>
      <c r="W106" s="579"/>
      <c r="X106" s="579"/>
      <c r="Y106" s="579"/>
      <c r="Z106" s="579"/>
      <c r="AA106" s="579"/>
      <c r="AB106" s="579"/>
      <c r="AC106" s="579"/>
      <c r="AD106" s="579"/>
      <c r="AE106" s="579"/>
      <c r="AF106" s="579"/>
      <c r="AG106" s="579"/>
      <c r="AH106" s="579"/>
    </row>
    <row r="107" spans="1:34">
      <c r="B107" s="590" t="s">
        <v>293</v>
      </c>
      <c r="D107" s="591">
        <v>2009</v>
      </c>
      <c r="H107" s="612">
        <v>126895.36</v>
      </c>
      <c r="J107" s="611">
        <f>VLOOKUP(D107,$T$20:$V$53,2,FALSE)</f>
        <v>1.75</v>
      </c>
      <c r="L107" s="595">
        <f>VLOOKUP(B107,$T$9:$U$13,2,FALSE)</f>
        <v>0.02</v>
      </c>
      <c r="N107" s="612">
        <f>IF(L107*J107*H107&gt;H107,H107,L107*J107*H107)</f>
        <v>4441.3376000000007</v>
      </c>
      <c r="P107" s="612">
        <f>H107-N107</f>
        <v>122454.0224</v>
      </c>
      <c r="R107" s="614" t="str">
        <f>IF(N107=H107,"Yes","No")</f>
        <v>No</v>
      </c>
      <c r="T107" s="579"/>
      <c r="U107" s="579"/>
      <c r="V107" s="579"/>
      <c r="W107" s="579"/>
      <c r="X107" s="579"/>
      <c r="Y107" s="579"/>
      <c r="Z107" s="579"/>
      <c r="AA107" s="579"/>
      <c r="AB107" s="579"/>
      <c r="AC107" s="579"/>
      <c r="AD107" s="579"/>
      <c r="AE107" s="579"/>
      <c r="AF107" s="579"/>
      <c r="AG107" s="579"/>
      <c r="AH107" s="579"/>
    </row>
    <row r="108" spans="1:34">
      <c r="B108" s="590" t="s">
        <v>89</v>
      </c>
      <c r="D108" s="591">
        <v>2009</v>
      </c>
      <c r="H108" s="612">
        <v>59822.39</v>
      </c>
      <c r="J108" s="611">
        <f>VLOOKUP(D108,$T$20:$V$53,2,FALSE)</f>
        <v>1.75</v>
      </c>
      <c r="L108" s="595">
        <v>0.125</v>
      </c>
      <c r="N108" s="612">
        <f>IF(L108*J108*H108&gt;H108,H108,L108*J108*H108)</f>
        <v>13086.147812499999</v>
      </c>
      <c r="P108" s="612">
        <f>H108-N108</f>
        <v>46736.2421875</v>
      </c>
      <c r="R108" s="614" t="str">
        <f>IF(N108=H108,"Yes","No")</f>
        <v>No</v>
      </c>
      <c r="T108" s="579"/>
      <c r="U108" s="579"/>
      <c r="V108" s="579"/>
      <c r="W108" s="579"/>
      <c r="X108" s="579"/>
      <c r="Y108" s="579"/>
      <c r="Z108" s="579"/>
      <c r="AA108" s="579"/>
      <c r="AB108" s="579"/>
      <c r="AC108" s="579"/>
      <c r="AD108" s="579"/>
      <c r="AE108" s="579"/>
      <c r="AF108" s="579"/>
      <c r="AG108" s="579"/>
      <c r="AH108" s="579"/>
    </row>
    <row r="109" spans="1:34">
      <c r="B109" s="590" t="s">
        <v>294</v>
      </c>
      <c r="D109" s="591">
        <v>2009</v>
      </c>
      <c r="H109" s="612">
        <v>-1334.63</v>
      </c>
      <c r="J109" s="611">
        <f>VLOOKUP(D109,$T$20:$V$53,2,FALSE)</f>
        <v>1.75</v>
      </c>
      <c r="L109" s="595">
        <f>VLOOKUP(B109,$T$9:$U$13,2,FALSE)</f>
        <v>0.25</v>
      </c>
      <c r="N109" s="612">
        <f>H109*L109</f>
        <v>-333.65750000000003</v>
      </c>
      <c r="P109" s="612">
        <f>H109-N109</f>
        <v>-1000.9725000000001</v>
      </c>
      <c r="R109" s="614" t="str">
        <f>IF(N109=H109,"Yes","No")</f>
        <v>No</v>
      </c>
      <c r="T109" s="579"/>
      <c r="U109" s="579"/>
      <c r="V109" s="579"/>
      <c r="W109" s="579"/>
      <c r="X109" s="579"/>
      <c r="Y109" s="579"/>
      <c r="Z109" s="579"/>
      <c r="AA109" s="579"/>
      <c r="AB109" s="579"/>
      <c r="AC109" s="579"/>
      <c r="AD109" s="579"/>
      <c r="AE109" s="579"/>
      <c r="AF109" s="579"/>
      <c r="AG109" s="579"/>
      <c r="AH109" s="579"/>
    </row>
    <row r="110" spans="1:34">
      <c r="B110" s="590" t="s">
        <v>511</v>
      </c>
      <c r="D110" s="591">
        <v>2009</v>
      </c>
      <c r="H110" s="612">
        <v>173.08</v>
      </c>
      <c r="J110" s="611">
        <f>VLOOKUP(D110,$T$20:$V$53,2,FALSE)</f>
        <v>1.75</v>
      </c>
      <c r="L110" s="595">
        <f>VLOOKUP(B110,$T$9:$U$13,2,FALSE)</f>
        <v>0</v>
      </c>
      <c r="N110" s="612">
        <f>IF(L110*J110*H110&gt;H110,H110,L110*J110*H110)</f>
        <v>0</v>
      </c>
      <c r="P110" s="612">
        <f>H110-N110</f>
        <v>173.08</v>
      </c>
      <c r="R110" s="614" t="str">
        <f>IF(N110=H110,"Yes","No")</f>
        <v>No</v>
      </c>
      <c r="T110" s="579"/>
      <c r="U110" s="579"/>
      <c r="V110" s="579"/>
      <c r="W110" s="579"/>
      <c r="X110" s="579"/>
      <c r="Y110" s="579"/>
      <c r="Z110" s="579"/>
      <c r="AA110" s="579"/>
      <c r="AB110" s="579"/>
      <c r="AC110" s="579"/>
      <c r="AD110" s="579"/>
      <c r="AE110" s="579"/>
      <c r="AF110" s="579"/>
      <c r="AG110" s="579"/>
      <c r="AH110" s="579"/>
    </row>
    <row r="111" spans="1:34">
      <c r="B111" s="590" t="s">
        <v>466</v>
      </c>
      <c r="D111" s="591">
        <v>2009</v>
      </c>
      <c r="H111" s="629"/>
      <c r="J111" s="611">
        <f>VLOOKUP(D111,$T$20:$V$53,2,FALSE)</f>
        <v>1.75</v>
      </c>
      <c r="L111" s="595">
        <f>VLOOKUP(B111,$T$9:$U$13,2,FALSE)</f>
        <v>0</v>
      </c>
      <c r="N111" s="629">
        <f>IF(L111*J111*H111&gt;H111,H111,L111*J111*H111)</f>
        <v>0</v>
      </c>
      <c r="P111" s="629">
        <f>H111-N111</f>
        <v>0</v>
      </c>
      <c r="R111" s="614" t="str">
        <f>IF(N111=H111,"Yes","No")</f>
        <v>Yes</v>
      </c>
      <c r="T111" s="579"/>
      <c r="U111" s="579"/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H111" s="579"/>
    </row>
    <row r="112" spans="1:34">
      <c r="F112" s="591" t="s">
        <v>298</v>
      </c>
      <c r="H112" s="612">
        <f>SUM(H107:H111)</f>
        <v>185556.19999999998</v>
      </c>
      <c r="N112" s="612">
        <f>SUM(N107:N111)</f>
        <v>17193.827912499997</v>
      </c>
      <c r="P112" s="612">
        <f>SUM(P107:P111)</f>
        <v>168362.3720875</v>
      </c>
      <c r="R112" s="614"/>
      <c r="T112" s="579"/>
      <c r="U112" s="579"/>
      <c r="V112" s="579"/>
      <c r="W112" s="579"/>
      <c r="X112" s="579"/>
      <c r="Y112" s="579"/>
      <c r="Z112" s="579"/>
      <c r="AA112" s="579"/>
      <c r="AB112" s="579"/>
      <c r="AC112" s="579"/>
      <c r="AD112" s="579"/>
      <c r="AE112" s="579"/>
      <c r="AF112" s="579"/>
      <c r="AG112" s="579"/>
      <c r="AH112" s="579"/>
    </row>
    <row r="113" spans="1:34">
      <c r="H113" s="612"/>
      <c r="J113" s="611"/>
      <c r="L113" s="595"/>
      <c r="N113" s="613"/>
      <c r="P113" s="613"/>
      <c r="R113" s="614"/>
      <c r="T113" s="579"/>
      <c r="U113" s="579"/>
      <c r="V113" s="579"/>
      <c r="W113" s="579"/>
      <c r="X113" s="579"/>
      <c r="Y113" s="579"/>
      <c r="Z113" s="579"/>
      <c r="AA113" s="579"/>
      <c r="AB113" s="579"/>
      <c r="AC113" s="579"/>
      <c r="AD113" s="579"/>
      <c r="AE113" s="579"/>
      <c r="AF113" s="579"/>
      <c r="AG113" s="579"/>
      <c r="AH113" s="579"/>
    </row>
    <row r="114" spans="1:34">
      <c r="A114" s="623" t="s">
        <v>1344</v>
      </c>
      <c r="H114" s="612"/>
      <c r="N114" s="612"/>
      <c r="P114" s="612"/>
      <c r="T114" s="579"/>
      <c r="U114" s="579"/>
      <c r="V114" s="579"/>
      <c r="W114" s="579"/>
      <c r="X114" s="579"/>
      <c r="Y114" s="579"/>
      <c r="Z114" s="579"/>
      <c r="AA114" s="579"/>
      <c r="AB114" s="579"/>
      <c r="AC114" s="579"/>
      <c r="AD114" s="579"/>
      <c r="AE114" s="579"/>
      <c r="AF114" s="579"/>
      <c r="AG114" s="579"/>
      <c r="AH114" s="579"/>
    </row>
    <row r="115" spans="1:34">
      <c r="B115" s="590" t="s">
        <v>293</v>
      </c>
      <c r="D115" s="591">
        <v>2010</v>
      </c>
      <c r="H115" s="612">
        <v>103905.1</v>
      </c>
      <c r="J115" s="611">
        <f>VLOOKUP(D115,$T$20:$V$53,2,FALSE)</f>
        <v>1</v>
      </c>
      <c r="L115" s="595">
        <f>VLOOKUP(B115,$T$9:$U$13,2,FALSE)</f>
        <v>0.02</v>
      </c>
      <c r="N115" s="612">
        <f>IF(L115*J115*H115&gt;H115,H115,L115*J115*H115)</f>
        <v>2078.1020000000003</v>
      </c>
      <c r="P115" s="612">
        <f>H115-N115</f>
        <v>101826.99800000001</v>
      </c>
      <c r="R115" s="614" t="str">
        <f>IF(N115=H115,"Yes","No")</f>
        <v>No</v>
      </c>
      <c r="T115" s="579"/>
      <c r="U115" s="579"/>
      <c r="V115" s="579"/>
      <c r="W115" s="579"/>
      <c r="X115" s="579"/>
      <c r="Y115" s="579"/>
      <c r="Z115" s="579"/>
      <c r="AA115" s="579"/>
      <c r="AB115" s="579"/>
      <c r="AC115" s="579"/>
      <c r="AD115" s="579"/>
      <c r="AE115" s="579"/>
      <c r="AF115" s="579"/>
      <c r="AG115" s="579"/>
      <c r="AH115" s="579"/>
    </row>
    <row r="116" spans="1:34">
      <c r="B116" s="590" t="s">
        <v>89</v>
      </c>
      <c r="D116" s="591">
        <v>2010</v>
      </c>
      <c r="H116" s="612">
        <v>1642.93</v>
      </c>
      <c r="J116" s="611">
        <f>VLOOKUP(D116,$T$20:$V$53,2,FALSE)</f>
        <v>1</v>
      </c>
      <c r="L116" s="595">
        <v>0.125</v>
      </c>
      <c r="N116" s="612">
        <f>IF(L116*J116*H116&gt;H116,H116,L116*J116*H116)</f>
        <v>205.36625000000001</v>
      </c>
      <c r="P116" s="612">
        <f>H116-N116</f>
        <v>1437.56375</v>
      </c>
      <c r="R116" s="614" t="str">
        <f>IF(N116=H116,"Yes","No")</f>
        <v>No</v>
      </c>
      <c r="T116" s="579"/>
      <c r="U116" s="579"/>
      <c r="V116" s="579"/>
      <c r="W116" s="579"/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H116" s="579"/>
    </row>
    <row r="117" spans="1:34">
      <c r="B117" s="590" t="s">
        <v>294</v>
      </c>
      <c r="D117" s="591">
        <v>2010</v>
      </c>
      <c r="H117" s="612">
        <v>-49.91</v>
      </c>
      <c r="J117" s="611">
        <f>VLOOKUP(D117,$T$20:$V$53,2,FALSE)</f>
        <v>1</v>
      </c>
      <c r="L117" s="595">
        <f>VLOOKUP(B117,$T$9:$U$13,2,FALSE)</f>
        <v>0.25</v>
      </c>
      <c r="N117" s="612">
        <f>H117*L117</f>
        <v>-12.477499999999999</v>
      </c>
      <c r="P117" s="612">
        <f>H117+N117</f>
        <v>-62.387499999999996</v>
      </c>
      <c r="R117" s="614" t="str">
        <f>IF(N117=H117,"Yes","No")</f>
        <v>No</v>
      </c>
      <c r="T117" s="579"/>
      <c r="U117" s="579"/>
      <c r="V117" s="579"/>
      <c r="W117" s="579"/>
      <c r="X117" s="579"/>
      <c r="Y117" s="579"/>
      <c r="Z117" s="579"/>
      <c r="AA117" s="579"/>
      <c r="AB117" s="579"/>
      <c r="AC117" s="579"/>
      <c r="AD117" s="579"/>
      <c r="AE117" s="579"/>
      <c r="AF117" s="579"/>
      <c r="AG117" s="579"/>
      <c r="AH117" s="579"/>
    </row>
    <row r="118" spans="1:34">
      <c r="B118" s="590" t="s">
        <v>511</v>
      </c>
      <c r="D118" s="591">
        <v>2010</v>
      </c>
      <c r="H118" s="612">
        <v>-24.39</v>
      </c>
      <c r="J118" s="611">
        <f>VLOOKUP(D118,$T$20:$V$53,2,FALSE)</f>
        <v>1</v>
      </c>
      <c r="L118" s="595">
        <f>VLOOKUP(B118,$T$9:$U$13,2,FALSE)</f>
        <v>0</v>
      </c>
      <c r="N118" s="612">
        <v>0</v>
      </c>
      <c r="P118" s="612">
        <f>H118-N118</f>
        <v>-24.39</v>
      </c>
      <c r="R118" s="614" t="str">
        <f>IF(N118=H118,"Yes","No")</f>
        <v>No</v>
      </c>
      <c r="T118" s="579"/>
      <c r="U118" s="579"/>
      <c r="V118" s="579"/>
      <c r="W118" s="579"/>
      <c r="X118" s="579"/>
      <c r="Y118" s="579"/>
      <c r="Z118" s="579"/>
      <c r="AA118" s="579"/>
      <c r="AB118" s="579"/>
      <c r="AC118" s="579"/>
      <c r="AD118" s="579"/>
      <c r="AE118" s="579"/>
      <c r="AF118" s="579"/>
      <c r="AG118" s="579"/>
      <c r="AH118" s="579"/>
    </row>
    <row r="119" spans="1:34">
      <c r="B119" s="590" t="s">
        <v>466</v>
      </c>
      <c r="D119" s="591">
        <v>2010</v>
      </c>
      <c r="H119" s="629"/>
      <c r="J119" s="611">
        <f>VLOOKUP(D119,$T$20:$V$53,2,FALSE)</f>
        <v>1</v>
      </c>
      <c r="L119" s="595">
        <f>VLOOKUP(B119,$T$9:$U$13,2,FALSE)</f>
        <v>0</v>
      </c>
      <c r="N119" s="629">
        <f>IF(L119*J119*H119&gt;H119,H119,L119*J119*H119)</f>
        <v>0</v>
      </c>
      <c r="P119" s="629">
        <f>H119-N119</f>
        <v>0</v>
      </c>
      <c r="R119" s="614" t="str">
        <f>IF(N119=H119,"Yes","No")</f>
        <v>Yes</v>
      </c>
      <c r="T119" s="579"/>
      <c r="U119" s="579"/>
      <c r="V119" s="579"/>
      <c r="W119" s="579"/>
      <c r="X119" s="579"/>
      <c r="Y119" s="579"/>
      <c r="Z119" s="579"/>
      <c r="AA119" s="579"/>
      <c r="AB119" s="579"/>
      <c r="AC119" s="579"/>
      <c r="AD119" s="579"/>
      <c r="AE119" s="579"/>
      <c r="AF119" s="579"/>
      <c r="AG119" s="579"/>
      <c r="AH119" s="579"/>
    </row>
    <row r="120" spans="1:34">
      <c r="F120" s="591" t="s">
        <v>298</v>
      </c>
      <c r="H120" s="612">
        <f>SUM(H115:H119)</f>
        <v>105473.73</v>
      </c>
      <c r="N120" s="612">
        <f>SUM(N115:N119)</f>
        <v>2270.9907500000004</v>
      </c>
      <c r="P120" s="612">
        <f>SUM(P115:P119)</f>
        <v>103177.78425000001</v>
      </c>
      <c r="T120" s="579"/>
      <c r="U120" s="579"/>
      <c r="V120" s="579"/>
      <c r="W120" s="579"/>
      <c r="X120" s="579"/>
      <c r="Y120" s="579"/>
      <c r="Z120" s="579"/>
      <c r="AA120" s="579"/>
      <c r="AB120" s="579"/>
      <c r="AC120" s="579"/>
      <c r="AD120" s="579"/>
      <c r="AE120" s="579"/>
      <c r="AF120" s="579"/>
      <c r="AG120" s="579"/>
      <c r="AH120" s="579"/>
    </row>
    <row r="121" spans="1:34">
      <c r="T121" s="579"/>
      <c r="U121" s="579"/>
      <c r="V121" s="579"/>
      <c r="W121" s="579"/>
      <c r="X121" s="579"/>
      <c r="Y121" s="579"/>
      <c r="Z121" s="579"/>
      <c r="AA121" s="579"/>
      <c r="AB121" s="579"/>
      <c r="AC121" s="579"/>
      <c r="AD121" s="579"/>
      <c r="AE121" s="579"/>
      <c r="AF121" s="579"/>
      <c r="AG121" s="579"/>
      <c r="AH121" s="579"/>
    </row>
    <row r="122" spans="1:34" ht="15.75" thickBot="1">
      <c r="F122" s="591" t="s">
        <v>314</v>
      </c>
      <c r="H122" s="630">
        <f>+H104+H96+H112+H120</f>
        <v>10059631.660000002</v>
      </c>
      <c r="L122" s="612"/>
      <c r="N122" s="630">
        <f>+N104+N96+N112+N120</f>
        <v>3841528.1103375009</v>
      </c>
      <c r="P122" s="630">
        <f>+P104+P96+P112+P120</f>
        <v>6218078.5946624987</v>
      </c>
      <c r="Q122" s="579"/>
    </row>
    <row r="123" spans="1:34" ht="15.75" thickTop="1">
      <c r="H123" s="291"/>
      <c r="L123" s="612"/>
      <c r="N123" s="291"/>
      <c r="P123" s="291"/>
      <c r="Q123" s="579"/>
    </row>
    <row r="124" spans="1:34">
      <c r="H124" s="291"/>
      <c r="N124" s="291"/>
      <c r="P124" s="291"/>
      <c r="Q124" s="579"/>
    </row>
    <row r="125" spans="1:34">
      <c r="H125" s="291"/>
      <c r="N125" s="291"/>
      <c r="P125" s="291"/>
      <c r="Q125" s="579"/>
    </row>
    <row r="128" spans="1:34">
      <c r="A128" s="631" t="s">
        <v>649</v>
      </c>
      <c r="B128" s="592"/>
      <c r="C128" s="592"/>
      <c r="D128" s="624"/>
    </row>
    <row r="129" spans="1:18">
      <c r="A129" s="592"/>
      <c r="B129" s="592" t="s">
        <v>293</v>
      </c>
      <c r="C129" s="592"/>
      <c r="D129" s="624">
        <v>1991</v>
      </c>
      <c r="F129" s="625">
        <v>33434</v>
      </c>
      <c r="G129" s="617"/>
      <c r="H129" s="291">
        <v>11611.3</v>
      </c>
      <c r="J129" s="611">
        <f t="shared" ref="J129:J139" si="12">VLOOKUP(D129,$T$17:$V$48,2,FALSE)</f>
        <v>19.75</v>
      </c>
      <c r="K129" s="611"/>
      <c r="L129" s="595">
        <f t="shared" ref="L129:L139" si="13">VLOOKUP(B129,$T$9:$U$13,2,FALSE)</f>
        <v>0.02</v>
      </c>
      <c r="M129" s="595"/>
      <c r="N129" s="612">
        <f t="shared" ref="N129:N139" si="14">IF(L129*J129*H129&gt;H129,H129,L129*J129*H129)</f>
        <v>4586.4634999999998</v>
      </c>
      <c r="O129" s="613"/>
      <c r="P129" s="612">
        <f t="shared" ref="P129:P139" si="15">H129-N129</f>
        <v>7024.8364999999994</v>
      </c>
      <c r="Q129" s="612"/>
      <c r="R129" s="614" t="str">
        <f t="shared" ref="R129:R139" si="16">IF(N129=H129,"Yes","No")</f>
        <v>No</v>
      </c>
    </row>
    <row r="130" spans="1:18">
      <c r="A130" s="592"/>
      <c r="B130" s="592" t="s">
        <v>293</v>
      </c>
      <c r="C130" s="592"/>
      <c r="D130" s="624">
        <v>1993</v>
      </c>
      <c r="F130" s="625">
        <v>34318</v>
      </c>
      <c r="G130" s="617"/>
      <c r="H130" s="291">
        <v>1938.5</v>
      </c>
      <c r="J130" s="611">
        <f t="shared" si="12"/>
        <v>17.75</v>
      </c>
      <c r="K130" s="611"/>
      <c r="L130" s="595">
        <f t="shared" si="13"/>
        <v>0.02</v>
      </c>
      <c r="M130" s="595"/>
      <c r="N130" s="612">
        <f t="shared" si="14"/>
        <v>688.16750000000002</v>
      </c>
      <c r="O130" s="613"/>
      <c r="P130" s="612">
        <f t="shared" si="15"/>
        <v>1250.3325</v>
      </c>
      <c r="Q130" s="612"/>
      <c r="R130" s="614" t="str">
        <f t="shared" si="16"/>
        <v>No</v>
      </c>
    </row>
    <row r="131" spans="1:18">
      <c r="A131" s="592"/>
      <c r="B131" s="592" t="s">
        <v>293</v>
      </c>
      <c r="C131" s="592"/>
      <c r="D131" s="624">
        <v>1995</v>
      </c>
      <c r="F131" s="625">
        <v>34710</v>
      </c>
      <c r="G131" s="617"/>
      <c r="H131" s="291">
        <v>5579.76</v>
      </c>
      <c r="J131" s="611">
        <f t="shared" si="12"/>
        <v>15.75</v>
      </c>
      <c r="K131" s="611"/>
      <c r="L131" s="595">
        <f t="shared" si="13"/>
        <v>0.02</v>
      </c>
      <c r="M131" s="595"/>
      <c r="N131" s="612">
        <f t="shared" si="14"/>
        <v>1757.6244000000002</v>
      </c>
      <c r="O131" s="613"/>
      <c r="P131" s="612">
        <f t="shared" si="15"/>
        <v>3822.1356000000001</v>
      </c>
      <c r="Q131" s="612"/>
      <c r="R131" s="614" t="str">
        <f t="shared" si="16"/>
        <v>No</v>
      </c>
    </row>
    <row r="132" spans="1:18">
      <c r="A132" s="592"/>
      <c r="B132" s="592" t="s">
        <v>293</v>
      </c>
      <c r="C132" s="592"/>
      <c r="D132" s="624">
        <v>1995</v>
      </c>
      <c r="F132" s="625">
        <v>34773</v>
      </c>
      <c r="G132" s="617"/>
      <c r="H132" s="291">
        <v>22218.75</v>
      </c>
      <c r="J132" s="611">
        <f t="shared" si="12"/>
        <v>15.75</v>
      </c>
      <c r="K132" s="611"/>
      <c r="L132" s="595">
        <f t="shared" si="13"/>
        <v>0.02</v>
      </c>
      <c r="M132" s="595"/>
      <c r="N132" s="612">
        <f t="shared" si="14"/>
        <v>6998.90625</v>
      </c>
      <c r="O132" s="613"/>
      <c r="P132" s="612">
        <f t="shared" si="15"/>
        <v>15219.84375</v>
      </c>
      <c r="Q132" s="612"/>
      <c r="R132" s="614" t="str">
        <f t="shared" si="16"/>
        <v>No</v>
      </c>
    </row>
    <row r="133" spans="1:18">
      <c r="A133" s="592"/>
      <c r="B133" s="592" t="s">
        <v>293</v>
      </c>
      <c r="C133" s="592"/>
      <c r="D133" s="624">
        <v>1995</v>
      </c>
      <c r="F133" s="625">
        <v>34773</v>
      </c>
      <c r="G133" s="617"/>
      <c r="H133" s="291">
        <v>7500</v>
      </c>
      <c r="J133" s="611">
        <f t="shared" si="12"/>
        <v>15.75</v>
      </c>
      <c r="K133" s="611"/>
      <c r="L133" s="595">
        <f t="shared" si="13"/>
        <v>0.02</v>
      </c>
      <c r="M133" s="595"/>
      <c r="N133" s="612">
        <f t="shared" si="14"/>
        <v>2362.5</v>
      </c>
      <c r="O133" s="613"/>
      <c r="P133" s="612">
        <f t="shared" si="15"/>
        <v>5137.5</v>
      </c>
      <c r="Q133" s="612"/>
      <c r="R133" s="614" t="str">
        <f t="shared" si="16"/>
        <v>No</v>
      </c>
    </row>
    <row r="134" spans="1:18">
      <c r="A134" s="592"/>
      <c r="B134" s="590" t="s">
        <v>293</v>
      </c>
      <c r="C134" s="592"/>
      <c r="D134" s="624">
        <v>1997</v>
      </c>
      <c r="F134" s="625">
        <v>35625</v>
      </c>
      <c r="G134" s="617"/>
      <c r="H134" s="291">
        <v>8730.5</v>
      </c>
      <c r="J134" s="611">
        <f t="shared" si="12"/>
        <v>13.75</v>
      </c>
      <c r="K134" s="611"/>
      <c r="L134" s="595">
        <f t="shared" si="13"/>
        <v>0.02</v>
      </c>
      <c r="M134" s="595"/>
      <c r="N134" s="612">
        <f t="shared" si="14"/>
        <v>2400.8875000000003</v>
      </c>
      <c r="O134" s="613"/>
      <c r="P134" s="612">
        <f t="shared" si="15"/>
        <v>6329.6124999999993</v>
      </c>
      <c r="Q134" s="612"/>
      <c r="R134" s="614" t="str">
        <f t="shared" si="16"/>
        <v>No</v>
      </c>
    </row>
    <row r="135" spans="1:18">
      <c r="A135" s="592"/>
      <c r="B135" s="592" t="s">
        <v>293</v>
      </c>
      <c r="C135" s="592"/>
      <c r="D135" s="624">
        <v>1997</v>
      </c>
      <c r="F135" s="625">
        <v>35611</v>
      </c>
      <c r="G135" s="617"/>
      <c r="H135" s="291">
        <v>23736.03</v>
      </c>
      <c r="J135" s="611">
        <f t="shared" si="12"/>
        <v>13.75</v>
      </c>
      <c r="K135" s="611"/>
      <c r="L135" s="595">
        <f t="shared" si="13"/>
        <v>0.02</v>
      </c>
      <c r="M135" s="595"/>
      <c r="N135" s="612">
        <f t="shared" si="14"/>
        <v>6527.4082500000004</v>
      </c>
      <c r="O135" s="613"/>
      <c r="P135" s="612">
        <f t="shared" si="15"/>
        <v>17208.621749999998</v>
      </c>
      <c r="Q135" s="612"/>
      <c r="R135" s="614" t="str">
        <f t="shared" si="16"/>
        <v>No</v>
      </c>
    </row>
    <row r="136" spans="1:18">
      <c r="A136" s="592"/>
      <c r="B136" s="592" t="s">
        <v>293</v>
      </c>
      <c r="C136" s="592"/>
      <c r="D136" s="624">
        <v>1999</v>
      </c>
      <c r="F136" s="625">
        <v>36397</v>
      </c>
      <c r="G136" s="617"/>
      <c r="H136" s="291">
        <v>10148.14</v>
      </c>
      <c r="J136" s="611">
        <f t="shared" si="12"/>
        <v>11.75</v>
      </c>
      <c r="K136" s="611"/>
      <c r="L136" s="595">
        <f t="shared" si="13"/>
        <v>0.02</v>
      </c>
      <c r="M136" s="595"/>
      <c r="N136" s="612">
        <f t="shared" si="14"/>
        <v>2384.8128999999999</v>
      </c>
      <c r="O136" s="613"/>
      <c r="P136" s="612">
        <f t="shared" si="15"/>
        <v>7763.3270999999995</v>
      </c>
      <c r="Q136" s="612"/>
      <c r="R136" s="614" t="str">
        <f t="shared" si="16"/>
        <v>No</v>
      </c>
    </row>
    <row r="137" spans="1:18">
      <c r="A137" s="592"/>
      <c r="B137" s="592" t="s">
        <v>293</v>
      </c>
      <c r="C137" s="592"/>
      <c r="D137" s="624">
        <v>2000</v>
      </c>
      <c r="F137" s="625">
        <v>36801</v>
      </c>
      <c r="G137" s="617"/>
      <c r="H137" s="291">
        <v>1866.2</v>
      </c>
      <c r="J137" s="611">
        <f t="shared" si="12"/>
        <v>10.75</v>
      </c>
      <c r="K137" s="611"/>
      <c r="L137" s="595">
        <f t="shared" si="13"/>
        <v>0.02</v>
      </c>
      <c r="M137" s="595"/>
      <c r="N137" s="612">
        <f t="shared" si="14"/>
        <v>401.233</v>
      </c>
      <c r="O137" s="613"/>
      <c r="P137" s="612">
        <f t="shared" si="15"/>
        <v>1464.9670000000001</v>
      </c>
      <c r="Q137" s="612"/>
      <c r="R137" s="614" t="str">
        <f t="shared" si="16"/>
        <v>No</v>
      </c>
    </row>
    <row r="138" spans="1:18">
      <c r="A138" s="592"/>
      <c r="B138" s="592" t="s">
        <v>293</v>
      </c>
      <c r="C138" s="592"/>
      <c r="D138" s="624">
        <v>2000</v>
      </c>
      <c r="F138" s="625">
        <v>36633</v>
      </c>
      <c r="G138" s="617"/>
      <c r="H138" s="291">
        <v>11617.18</v>
      </c>
      <c r="J138" s="611">
        <f t="shared" si="12"/>
        <v>10.75</v>
      </c>
      <c r="K138" s="611"/>
      <c r="L138" s="595">
        <f t="shared" si="13"/>
        <v>0.02</v>
      </c>
      <c r="M138" s="595"/>
      <c r="N138" s="612">
        <f t="shared" si="14"/>
        <v>2497.6936999999998</v>
      </c>
      <c r="O138" s="613"/>
      <c r="P138" s="612">
        <f t="shared" si="15"/>
        <v>9119.4863000000005</v>
      </c>
      <c r="Q138" s="612"/>
      <c r="R138" s="614" t="str">
        <f t="shared" si="16"/>
        <v>No</v>
      </c>
    </row>
    <row r="139" spans="1:18">
      <c r="A139" s="592"/>
      <c r="B139" s="592" t="s">
        <v>293</v>
      </c>
      <c r="C139" s="592"/>
      <c r="D139" s="624">
        <v>2000</v>
      </c>
      <c r="F139" s="625">
        <v>36572</v>
      </c>
      <c r="G139" s="617"/>
      <c r="H139" s="291">
        <v>8134.17</v>
      </c>
      <c r="J139" s="611">
        <f t="shared" si="12"/>
        <v>10.75</v>
      </c>
      <c r="K139" s="611"/>
      <c r="L139" s="595">
        <f t="shared" si="13"/>
        <v>0.02</v>
      </c>
      <c r="M139" s="595"/>
      <c r="N139" s="612">
        <f t="shared" si="14"/>
        <v>1748.84655</v>
      </c>
      <c r="O139" s="613"/>
      <c r="P139" s="612">
        <f t="shared" si="15"/>
        <v>6385.3234499999999</v>
      </c>
      <c r="Q139" s="612"/>
      <c r="R139" s="614" t="str">
        <f t="shared" si="16"/>
        <v>No</v>
      </c>
    </row>
    <row r="140" spans="1:18">
      <c r="F140" s="591" t="s">
        <v>298</v>
      </c>
      <c r="H140" s="338">
        <f>SUM(H129:H139)</f>
        <v>113080.52999999998</v>
      </c>
      <c r="J140" s="790"/>
      <c r="N140" s="632">
        <f>SUM(N129:N139)</f>
        <v>32354.543550000002</v>
      </c>
      <c r="P140" s="632">
        <f>SUM(P129:P139)</f>
        <v>80725.986449999997</v>
      </c>
    </row>
    <row r="141" spans="1:18">
      <c r="J141" s="790"/>
    </row>
    <row r="142" spans="1:18" ht="15.75" thickBot="1">
      <c r="F142" s="591" t="s">
        <v>314</v>
      </c>
      <c r="H142" s="630">
        <f>H140</f>
        <v>113080.52999999998</v>
      </c>
      <c r="J142" s="790"/>
      <c r="N142" s="630">
        <f>N140</f>
        <v>32354.543550000002</v>
      </c>
      <c r="P142" s="630">
        <f>P140</f>
        <v>80725.986449999997</v>
      </c>
    </row>
    <row r="143" spans="1:18" ht="15.75" thickTop="1">
      <c r="J143" s="790"/>
      <c r="N143" s="579"/>
      <c r="P143" s="579"/>
    </row>
    <row r="144" spans="1:18">
      <c r="J144" s="790"/>
      <c r="N144" s="579"/>
      <c r="P144" s="579"/>
    </row>
    <row r="145" spans="1:18">
      <c r="A145" s="631" t="s">
        <v>296</v>
      </c>
      <c r="B145" s="592"/>
      <c r="C145" s="592"/>
      <c r="D145" s="624"/>
      <c r="E145" s="592"/>
      <c r="F145" s="625"/>
      <c r="G145" s="617"/>
      <c r="H145" s="291"/>
      <c r="J145" s="790"/>
    </row>
    <row r="146" spans="1:18">
      <c r="A146" s="592"/>
      <c r="B146" s="592" t="s">
        <v>293</v>
      </c>
      <c r="C146" s="592"/>
      <c r="D146" s="624">
        <v>1988</v>
      </c>
      <c r="E146" s="592"/>
      <c r="F146" s="625">
        <v>32336</v>
      </c>
      <c r="G146" s="617"/>
      <c r="H146" s="291">
        <v>9255</v>
      </c>
      <c r="J146" s="611">
        <f t="shared" ref="J146:J154" si="17">VLOOKUP(D146,$T$17:$V$48,2,FALSE)</f>
        <v>22.75</v>
      </c>
      <c r="K146" s="611"/>
      <c r="L146" s="595">
        <f t="shared" ref="L146:L154" si="18">VLOOKUP(B146,$T$9:$U$13,2,FALSE)</f>
        <v>0.02</v>
      </c>
      <c r="M146" s="595"/>
      <c r="N146" s="612">
        <f t="shared" ref="N146:N154" si="19">IF(L146*J146*H146&gt;H146,H146,L146*J146*H146)</f>
        <v>4211.0250000000005</v>
      </c>
      <c r="O146" s="613"/>
      <c r="P146" s="612">
        <f t="shared" ref="P146:P154" si="20">H146-N146</f>
        <v>5043.9749999999995</v>
      </c>
      <c r="Q146" s="612"/>
      <c r="R146" s="614" t="str">
        <f t="shared" ref="R146:R154" si="21">IF(N146=H146,"Yes","No")</f>
        <v>No</v>
      </c>
    </row>
    <row r="147" spans="1:18">
      <c r="A147" s="592"/>
      <c r="B147" s="592" t="s">
        <v>293</v>
      </c>
      <c r="C147" s="592"/>
      <c r="D147" s="624">
        <v>1990</v>
      </c>
      <c r="E147" s="592"/>
      <c r="F147" s="625"/>
      <c r="G147" s="617"/>
      <c r="H147" s="291">
        <v>19145.650000000001</v>
      </c>
      <c r="J147" s="611">
        <f t="shared" si="17"/>
        <v>20.75</v>
      </c>
      <c r="K147" s="611"/>
      <c r="L147" s="595">
        <f t="shared" si="18"/>
        <v>0.02</v>
      </c>
      <c r="M147" s="595"/>
      <c r="N147" s="612">
        <f t="shared" si="19"/>
        <v>7945.4447500000015</v>
      </c>
      <c r="O147" s="613"/>
      <c r="P147" s="612">
        <f t="shared" si="20"/>
        <v>11200.205249999999</v>
      </c>
      <c r="Q147" s="612"/>
      <c r="R147" s="614" t="str">
        <f t="shared" si="21"/>
        <v>No</v>
      </c>
    </row>
    <row r="148" spans="1:18">
      <c r="A148" s="592"/>
      <c r="B148" s="592" t="s">
        <v>293</v>
      </c>
      <c r="C148" s="592"/>
      <c r="D148" s="624">
        <v>1990</v>
      </c>
      <c r="E148" s="592"/>
      <c r="F148" s="625"/>
      <c r="G148" s="617"/>
      <c r="H148" s="291">
        <v>2885.35</v>
      </c>
      <c r="J148" s="611">
        <f t="shared" si="17"/>
        <v>20.75</v>
      </c>
      <c r="K148" s="611"/>
      <c r="L148" s="595">
        <f t="shared" si="18"/>
        <v>0.02</v>
      </c>
      <c r="M148" s="595"/>
      <c r="N148" s="612">
        <f t="shared" si="19"/>
        <v>1197.4202500000001</v>
      </c>
      <c r="O148" s="613"/>
      <c r="P148" s="612">
        <f t="shared" si="20"/>
        <v>1687.9297499999998</v>
      </c>
      <c r="Q148" s="612"/>
      <c r="R148" s="614" t="str">
        <f t="shared" si="21"/>
        <v>No</v>
      </c>
    </row>
    <row r="149" spans="1:18">
      <c r="A149" s="592"/>
      <c r="B149" s="592" t="s">
        <v>293</v>
      </c>
      <c r="C149" s="592"/>
      <c r="D149" s="624">
        <v>1992</v>
      </c>
      <c r="E149" s="592"/>
      <c r="F149" s="625">
        <v>33706</v>
      </c>
      <c r="G149" s="617"/>
      <c r="H149" s="291">
        <v>38770.04</v>
      </c>
      <c r="J149" s="611">
        <f t="shared" si="17"/>
        <v>18.75</v>
      </c>
      <c r="K149" s="611"/>
      <c r="L149" s="595">
        <f t="shared" si="18"/>
        <v>0.02</v>
      </c>
      <c r="M149" s="595"/>
      <c r="N149" s="612">
        <f t="shared" si="19"/>
        <v>14538.764999999999</v>
      </c>
      <c r="O149" s="613"/>
      <c r="P149" s="612">
        <f t="shared" si="20"/>
        <v>24231.275000000001</v>
      </c>
      <c r="Q149" s="612"/>
      <c r="R149" s="614" t="str">
        <f t="shared" si="21"/>
        <v>No</v>
      </c>
    </row>
    <row r="150" spans="1:18">
      <c r="A150" s="592"/>
      <c r="B150" s="592" t="s">
        <v>293</v>
      </c>
      <c r="C150" s="592"/>
      <c r="D150" s="624">
        <v>1994</v>
      </c>
      <c r="E150" s="592"/>
      <c r="F150" s="625">
        <v>34511</v>
      </c>
      <c r="G150" s="617"/>
      <c r="H150" s="291">
        <v>3600</v>
      </c>
      <c r="J150" s="611">
        <f t="shared" si="17"/>
        <v>16.75</v>
      </c>
      <c r="K150" s="611"/>
      <c r="L150" s="595">
        <f t="shared" si="18"/>
        <v>0.02</v>
      </c>
      <c r="M150" s="595"/>
      <c r="N150" s="612">
        <f t="shared" si="19"/>
        <v>1206</v>
      </c>
      <c r="O150" s="613"/>
      <c r="P150" s="612">
        <f t="shared" si="20"/>
        <v>2394</v>
      </c>
      <c r="Q150" s="612"/>
      <c r="R150" s="614" t="str">
        <f t="shared" si="21"/>
        <v>No</v>
      </c>
    </row>
    <row r="151" spans="1:18">
      <c r="A151" s="592"/>
      <c r="B151" s="592" t="s">
        <v>293</v>
      </c>
      <c r="C151" s="592"/>
      <c r="D151" s="624">
        <v>1997</v>
      </c>
      <c r="E151" s="592"/>
      <c r="F151" s="625">
        <v>35488</v>
      </c>
      <c r="G151" s="617"/>
      <c r="H151" s="291">
        <v>592.4</v>
      </c>
      <c r="J151" s="611">
        <f t="shared" si="17"/>
        <v>13.75</v>
      </c>
      <c r="K151" s="611"/>
      <c r="L151" s="595">
        <f t="shared" si="18"/>
        <v>0.02</v>
      </c>
      <c r="M151" s="595"/>
      <c r="N151" s="612">
        <f t="shared" si="19"/>
        <v>162.91</v>
      </c>
      <c r="O151" s="613"/>
      <c r="P151" s="612">
        <f t="shared" si="20"/>
        <v>429.49</v>
      </c>
      <c r="Q151" s="612"/>
      <c r="R151" s="614" t="str">
        <f t="shared" si="21"/>
        <v>No</v>
      </c>
    </row>
    <row r="152" spans="1:18">
      <c r="A152" s="592"/>
      <c r="B152" s="592" t="s">
        <v>293</v>
      </c>
      <c r="C152" s="592"/>
      <c r="D152" s="624">
        <v>1998</v>
      </c>
      <c r="E152" s="592"/>
      <c r="F152" s="625">
        <v>35905</v>
      </c>
      <c r="G152" s="617"/>
      <c r="H152" s="291">
        <v>6393.4</v>
      </c>
      <c r="J152" s="611">
        <f t="shared" si="17"/>
        <v>12.75</v>
      </c>
      <c r="K152" s="611"/>
      <c r="L152" s="595">
        <f t="shared" si="18"/>
        <v>0.02</v>
      </c>
      <c r="M152" s="595"/>
      <c r="N152" s="612">
        <f t="shared" si="19"/>
        <v>1630.317</v>
      </c>
      <c r="O152" s="613"/>
      <c r="P152" s="612">
        <f t="shared" si="20"/>
        <v>4763.0829999999996</v>
      </c>
      <c r="Q152" s="612"/>
      <c r="R152" s="614" t="str">
        <f t="shared" si="21"/>
        <v>No</v>
      </c>
    </row>
    <row r="153" spans="1:18">
      <c r="A153" s="592"/>
      <c r="B153" s="592" t="s">
        <v>293</v>
      </c>
      <c r="C153" s="592"/>
      <c r="D153" s="624">
        <v>1998</v>
      </c>
      <c r="E153" s="592"/>
      <c r="F153" s="625">
        <v>35912</v>
      </c>
      <c r="G153" s="617"/>
      <c r="H153" s="291">
        <v>3543.75</v>
      </c>
      <c r="J153" s="611">
        <f t="shared" si="17"/>
        <v>12.75</v>
      </c>
      <c r="K153" s="611"/>
      <c r="L153" s="595">
        <f t="shared" si="18"/>
        <v>0.02</v>
      </c>
      <c r="M153" s="595"/>
      <c r="N153" s="612">
        <f t="shared" si="19"/>
        <v>903.65625</v>
      </c>
      <c r="O153" s="613"/>
      <c r="P153" s="612">
        <f t="shared" si="20"/>
        <v>2640.09375</v>
      </c>
      <c r="Q153" s="612"/>
      <c r="R153" s="614" t="str">
        <f t="shared" si="21"/>
        <v>No</v>
      </c>
    </row>
    <row r="154" spans="1:18">
      <c r="A154" s="592"/>
      <c r="B154" s="592" t="s">
        <v>293</v>
      </c>
      <c r="C154" s="592"/>
      <c r="D154" s="624">
        <v>1999</v>
      </c>
      <c r="E154" s="592"/>
      <c r="F154" s="625">
        <v>36403</v>
      </c>
      <c r="G154" s="617"/>
      <c r="H154" s="291">
        <v>5087.76</v>
      </c>
      <c r="J154" s="611">
        <f t="shared" si="17"/>
        <v>11.75</v>
      </c>
      <c r="K154" s="611"/>
      <c r="L154" s="595">
        <f t="shared" si="18"/>
        <v>0.02</v>
      </c>
      <c r="M154" s="595"/>
      <c r="N154" s="612">
        <f t="shared" si="19"/>
        <v>1195.6236000000001</v>
      </c>
      <c r="O154" s="613"/>
      <c r="P154" s="612">
        <f t="shared" si="20"/>
        <v>3892.1364000000003</v>
      </c>
      <c r="Q154" s="612"/>
      <c r="R154" s="614" t="str">
        <f t="shared" si="21"/>
        <v>No</v>
      </c>
    </row>
    <row r="155" spans="1:18">
      <c r="F155" s="591" t="s">
        <v>298</v>
      </c>
      <c r="H155" s="338">
        <f>SUM(H146:H154)</f>
        <v>89273.349999999991</v>
      </c>
      <c r="J155" s="790"/>
      <c r="N155" s="632">
        <f>SUM(N146:N154)</f>
        <v>32991.161850000004</v>
      </c>
      <c r="P155" s="632">
        <f>SUM(P146:P154)</f>
        <v>56282.188149999994</v>
      </c>
    </row>
    <row r="156" spans="1:18">
      <c r="J156" s="790"/>
    </row>
    <row r="157" spans="1:18">
      <c r="A157" s="623" t="s">
        <v>299</v>
      </c>
      <c r="J157" s="790"/>
    </row>
    <row r="158" spans="1:18">
      <c r="B158" s="592" t="s">
        <v>293</v>
      </c>
      <c r="C158" s="592"/>
      <c r="D158" s="624">
        <v>2003</v>
      </c>
      <c r="H158" s="579">
        <f>8249.36</f>
        <v>8249.36</v>
      </c>
      <c r="J158" s="611">
        <f>VLOOKUP(D158,$T$17:$V$48,2,FALSE)</f>
        <v>7.75</v>
      </c>
      <c r="K158" s="611"/>
      <c r="L158" s="595">
        <f>VLOOKUP(B158,$T$9:$U$13,2,FALSE)</f>
        <v>0.02</v>
      </c>
      <c r="M158" s="595"/>
      <c r="N158" s="612">
        <f>H158*J158*L158</f>
        <v>1278.6508000000001</v>
      </c>
      <c r="O158" s="613"/>
      <c r="P158" s="612">
        <f>H158-N158</f>
        <v>6970.7092000000002</v>
      </c>
      <c r="Q158" s="612"/>
      <c r="R158" s="614" t="str">
        <f>IF(N158=H158,"Yes","No")</f>
        <v>No</v>
      </c>
    </row>
    <row r="159" spans="1:18">
      <c r="B159" s="592" t="s">
        <v>293</v>
      </c>
      <c r="C159" s="592"/>
      <c r="D159" s="624">
        <v>2003</v>
      </c>
      <c r="H159" s="579">
        <v>221</v>
      </c>
      <c r="J159" s="611">
        <f>VLOOKUP(D159,$T$17:$V$48,2,FALSE)</f>
        <v>7.75</v>
      </c>
      <c r="K159" s="611"/>
      <c r="L159" s="595">
        <f>VLOOKUP(B159,$T$9:$U$13,2,FALSE)</f>
        <v>0.02</v>
      </c>
      <c r="M159" s="595"/>
      <c r="N159" s="612">
        <f>IF(L159*J159*H159&gt;H159,H159,L159*J159*H159)</f>
        <v>34.255000000000003</v>
      </c>
      <c r="O159" s="613"/>
      <c r="P159" s="612">
        <f>H159-N159</f>
        <v>186.745</v>
      </c>
      <c r="Q159" s="612"/>
      <c r="R159" s="614" t="str">
        <f>IF(N159=H159,"Yes","No")</f>
        <v>No</v>
      </c>
    </row>
    <row r="160" spans="1:18">
      <c r="F160" s="591" t="s">
        <v>298</v>
      </c>
      <c r="H160" s="338">
        <f>SUM(H158:H159)</f>
        <v>8470.36</v>
      </c>
      <c r="J160" s="790"/>
      <c r="N160" s="632">
        <f>SUM(N158:N159)</f>
        <v>1312.9058000000002</v>
      </c>
      <c r="P160" s="632">
        <f>SUM(P158:P159)</f>
        <v>7157.4542000000001</v>
      </c>
    </row>
    <row r="161" spans="1:18">
      <c r="H161" s="291"/>
      <c r="J161" s="790"/>
      <c r="N161" s="613"/>
      <c r="P161" s="613"/>
    </row>
    <row r="162" spans="1:18">
      <c r="A162" s="623" t="s">
        <v>515</v>
      </c>
      <c r="H162" s="291"/>
      <c r="J162" s="790"/>
      <c r="N162" s="613"/>
      <c r="P162" s="613"/>
    </row>
    <row r="163" spans="1:18">
      <c r="B163" s="592" t="s">
        <v>293</v>
      </c>
      <c r="C163" s="592"/>
      <c r="D163" s="624">
        <v>2007</v>
      </c>
      <c r="H163" s="579">
        <v>6646.02</v>
      </c>
      <c r="J163" s="611">
        <f>VLOOKUP(D163,$T$17:$V$51,2,FALSE)</f>
        <v>3.75</v>
      </c>
      <c r="K163" s="611"/>
      <c r="L163" s="595">
        <f>VLOOKUP(B163,$T$9:$U$13,2,FALSE)</f>
        <v>0.02</v>
      </c>
      <c r="M163" s="595"/>
      <c r="N163" s="612">
        <f>H163*J163*L163</f>
        <v>498.45150000000001</v>
      </c>
      <c r="O163" s="613"/>
      <c r="P163" s="612">
        <f>H163-N163</f>
        <v>6147.5685000000003</v>
      </c>
      <c r="Q163" s="612"/>
      <c r="R163" s="614" t="str">
        <f>IF(N163=H163,"Yes","No")</f>
        <v>No</v>
      </c>
    </row>
    <row r="164" spans="1:18">
      <c r="B164" s="592" t="s">
        <v>293</v>
      </c>
      <c r="C164" s="592"/>
      <c r="D164" s="624">
        <v>2007</v>
      </c>
      <c r="H164" s="579">
        <v>0</v>
      </c>
      <c r="J164" s="611">
        <f>VLOOKUP(D164,$T$17:$V$51,2,FALSE)</f>
        <v>3.75</v>
      </c>
      <c r="K164" s="611"/>
      <c r="L164" s="595">
        <f>VLOOKUP(B164,$T$9:$U$13,2,FALSE)</f>
        <v>0.02</v>
      </c>
      <c r="M164" s="595"/>
      <c r="N164" s="612">
        <f>IF(L164*J164*H164&gt;H164,H164,L164*J164*H164)</f>
        <v>0</v>
      </c>
      <c r="O164" s="613"/>
      <c r="P164" s="612">
        <f>H164-N164</f>
        <v>0</v>
      </c>
      <c r="Q164" s="612"/>
      <c r="R164" s="614" t="str">
        <f>IF(N164=H164,"Yes","No")</f>
        <v>Yes</v>
      </c>
    </row>
    <row r="165" spans="1:18">
      <c r="F165" s="591" t="s">
        <v>298</v>
      </c>
      <c r="H165" s="338">
        <f>SUM(H163:H164)</f>
        <v>6646.02</v>
      </c>
      <c r="J165" s="790"/>
      <c r="N165" s="632">
        <f>SUM(N163:N164)</f>
        <v>498.45150000000001</v>
      </c>
      <c r="P165" s="632">
        <f>SUM(P163:P164)</f>
        <v>6147.5685000000003</v>
      </c>
    </row>
    <row r="166" spans="1:18">
      <c r="H166" s="291"/>
      <c r="J166" s="790"/>
      <c r="N166" s="613"/>
      <c r="P166" s="613"/>
    </row>
    <row r="167" spans="1:18">
      <c r="A167" s="623" t="s">
        <v>516</v>
      </c>
      <c r="H167" s="291"/>
      <c r="J167" s="790"/>
      <c r="N167" s="613"/>
      <c r="P167" s="613"/>
    </row>
    <row r="168" spans="1:18">
      <c r="B168" s="592" t="s">
        <v>293</v>
      </c>
      <c r="C168" s="592"/>
      <c r="D168" s="624">
        <v>2008</v>
      </c>
      <c r="H168" s="579">
        <v>0</v>
      </c>
      <c r="J168" s="611">
        <f>VLOOKUP(D168,$T$17:$V$51,2,FALSE)</f>
        <v>2.75</v>
      </c>
      <c r="K168" s="611"/>
      <c r="L168" s="595">
        <f>VLOOKUP(B168,$T$9:$U$13,2,FALSE)</f>
        <v>0.02</v>
      </c>
      <c r="M168" s="595"/>
      <c r="N168" s="612">
        <f>H168*J168*L168</f>
        <v>0</v>
      </c>
      <c r="O168" s="613"/>
      <c r="P168" s="612">
        <f>H168-N168</f>
        <v>0</v>
      </c>
      <c r="Q168" s="612"/>
      <c r="R168" s="614" t="str">
        <f>IF(N168=H168,"Yes","No")</f>
        <v>Yes</v>
      </c>
    </row>
    <row r="169" spans="1:18">
      <c r="B169" s="592" t="s">
        <v>293</v>
      </c>
      <c r="C169" s="592"/>
      <c r="D169" s="624">
        <v>2008</v>
      </c>
      <c r="H169" s="579">
        <v>0</v>
      </c>
      <c r="J169" s="611">
        <f>VLOOKUP(D169,$T$17:$V$51,2,FALSE)</f>
        <v>2.75</v>
      </c>
      <c r="K169" s="611"/>
      <c r="L169" s="595">
        <f>VLOOKUP(B169,$T$9:$U$13,2,FALSE)</f>
        <v>0.02</v>
      </c>
      <c r="M169" s="595"/>
      <c r="N169" s="612">
        <f>IF(L169*J169*H169&gt;H169,H169,L169*J169*H169)</f>
        <v>0</v>
      </c>
      <c r="O169" s="613"/>
      <c r="P169" s="612">
        <f>H169-N169</f>
        <v>0</v>
      </c>
      <c r="Q169" s="612"/>
      <c r="R169" s="614" t="str">
        <f>IF(N169=H169,"Yes","No")</f>
        <v>Yes</v>
      </c>
    </row>
    <row r="170" spans="1:18">
      <c r="F170" s="591" t="s">
        <v>298</v>
      </c>
      <c r="H170" s="338">
        <f>SUM(H168:H169)</f>
        <v>0</v>
      </c>
      <c r="N170" s="632">
        <f>SUM(N168:N169)</f>
        <v>0</v>
      </c>
      <c r="P170" s="632">
        <f>SUM(P168:P169)</f>
        <v>0</v>
      </c>
    </row>
    <row r="171" spans="1:18">
      <c r="H171" s="291"/>
      <c r="J171" s="790"/>
      <c r="N171" s="613"/>
      <c r="P171" s="613"/>
    </row>
    <row r="172" spans="1:18">
      <c r="A172" s="623" t="s">
        <v>1756</v>
      </c>
      <c r="H172" s="291"/>
      <c r="J172" s="790"/>
      <c r="N172" s="613"/>
      <c r="P172" s="613"/>
    </row>
    <row r="173" spans="1:18">
      <c r="B173" s="592" t="s">
        <v>293</v>
      </c>
      <c r="C173" s="592"/>
      <c r="D173" s="624">
        <v>2009</v>
      </c>
      <c r="H173" s="579">
        <v>0</v>
      </c>
      <c r="J173" s="611">
        <f>VLOOKUP(D173,$T$17:$W$53,2,FALSE)</f>
        <v>1.75</v>
      </c>
      <c r="K173" s="611"/>
      <c r="L173" s="595">
        <f>VLOOKUP(B173,$T$9:$U$13,2,FALSE)</f>
        <v>0.02</v>
      </c>
      <c r="M173" s="595"/>
      <c r="N173" s="612">
        <f>H173*J173*L173</f>
        <v>0</v>
      </c>
      <c r="O173" s="613"/>
      <c r="P173" s="612">
        <f>H173-N173</f>
        <v>0</v>
      </c>
      <c r="Q173" s="612"/>
      <c r="R173" s="614" t="str">
        <f>IF(N173=H173,"Yes","No")</f>
        <v>Yes</v>
      </c>
    </row>
    <row r="174" spans="1:18">
      <c r="B174" s="592" t="s">
        <v>293</v>
      </c>
      <c r="C174" s="592"/>
      <c r="D174" s="624">
        <v>2009</v>
      </c>
      <c r="H174" s="579">
        <v>0</v>
      </c>
      <c r="J174" s="611">
        <f>VLOOKUP(D174,$T$17:$W$53,2,FALSE)</f>
        <v>1.75</v>
      </c>
      <c r="K174" s="611"/>
      <c r="L174" s="595">
        <f>VLOOKUP(B174,$T$9:$U$13,2,FALSE)</f>
        <v>0.02</v>
      </c>
      <c r="M174" s="595"/>
      <c r="N174" s="612">
        <f>IF(L174*J174*H174&gt;H174,H174,L174*J174*H174)</f>
        <v>0</v>
      </c>
      <c r="O174" s="613"/>
      <c r="P174" s="612">
        <f>H174-N174</f>
        <v>0</v>
      </c>
      <c r="Q174" s="612"/>
      <c r="R174" s="614" t="str">
        <f>IF(N174=H174,"Yes","No")</f>
        <v>Yes</v>
      </c>
    </row>
    <row r="175" spans="1:18">
      <c r="F175" s="591" t="s">
        <v>298</v>
      </c>
      <c r="H175" s="338">
        <f>SUM(H173:H174)</f>
        <v>0</v>
      </c>
      <c r="N175" s="632">
        <f>SUM(N173:N174)</f>
        <v>0</v>
      </c>
      <c r="P175" s="632">
        <f>SUM(P173:P174)</f>
        <v>0</v>
      </c>
    </row>
    <row r="176" spans="1:18">
      <c r="H176" s="291"/>
      <c r="N176" s="613"/>
      <c r="P176" s="613"/>
    </row>
    <row r="177" spans="1:18">
      <c r="A177" s="623" t="s">
        <v>1906</v>
      </c>
      <c r="H177" s="291"/>
      <c r="J177" s="790"/>
      <c r="N177" s="613"/>
      <c r="P177" s="613"/>
    </row>
    <row r="178" spans="1:18">
      <c r="B178" s="592" t="s">
        <v>293</v>
      </c>
      <c r="C178" s="592"/>
      <c r="D178" s="1354">
        <v>40451</v>
      </c>
      <c r="H178" s="579">
        <v>6445.25</v>
      </c>
      <c r="J178" s="611">
        <v>1.75</v>
      </c>
      <c r="K178" s="611"/>
      <c r="L178" s="595">
        <f>VLOOKUP(B178,$T$9:$U$13,2,FALSE)</f>
        <v>0.02</v>
      </c>
      <c r="M178" s="595"/>
      <c r="N178" s="612">
        <f>H178*J178*L178</f>
        <v>225.58375000000001</v>
      </c>
      <c r="O178" s="613"/>
      <c r="P178" s="612">
        <f>H178-N178</f>
        <v>6219.6662500000002</v>
      </c>
      <c r="Q178" s="612"/>
      <c r="R178" s="614" t="str">
        <f>IF(N178=H178,"Yes","No")</f>
        <v>No</v>
      </c>
    </row>
    <row r="179" spans="1:18">
      <c r="B179" s="592" t="s">
        <v>293</v>
      </c>
      <c r="C179" s="592"/>
      <c r="D179" s="1354">
        <v>40451</v>
      </c>
      <c r="H179" s="579">
        <v>0</v>
      </c>
      <c r="J179" s="611">
        <v>1.75</v>
      </c>
      <c r="K179" s="611"/>
      <c r="L179" s="595">
        <f>VLOOKUP(B179,$T$9:$U$13,2,FALSE)</f>
        <v>0.02</v>
      </c>
      <c r="M179" s="595"/>
      <c r="N179" s="612">
        <f>IF(L179*J179*H179&gt;H179,H179,L179*J179*H179)</f>
        <v>0</v>
      </c>
      <c r="O179" s="613"/>
      <c r="P179" s="612">
        <f>H179-N179</f>
        <v>0</v>
      </c>
      <c r="Q179" s="612"/>
      <c r="R179" s="614" t="str">
        <f>IF(N179=H179,"Yes","No")</f>
        <v>Yes</v>
      </c>
    </row>
    <row r="180" spans="1:18">
      <c r="F180" s="591" t="s">
        <v>298</v>
      </c>
      <c r="H180" s="338">
        <f>SUM(H178:H179)</f>
        <v>6445.25</v>
      </c>
      <c r="N180" s="632">
        <f>SUM(N178:N179)</f>
        <v>225.58375000000001</v>
      </c>
      <c r="P180" s="632">
        <f>SUM(P178:P179)</f>
        <v>6219.6662500000002</v>
      </c>
    </row>
    <row r="181" spans="1:18">
      <c r="H181" s="291"/>
      <c r="N181" s="613"/>
      <c r="P181" s="613"/>
    </row>
    <row r="182" spans="1:18">
      <c r="H182" s="291"/>
      <c r="N182" s="613"/>
      <c r="P182" s="613"/>
    </row>
    <row r="183" spans="1:18">
      <c r="H183" s="291"/>
      <c r="N183" s="613"/>
      <c r="P183" s="613"/>
    </row>
    <row r="185" spans="1:18" ht="15.75" thickBot="1">
      <c r="F185" s="591" t="s">
        <v>314</v>
      </c>
      <c r="H185" s="630">
        <f>H155+H160+H165+H170+H175+H180</f>
        <v>110834.98</v>
      </c>
      <c r="N185" s="630">
        <f>N155+N160+N165+N170+N175+N180</f>
        <v>35028.102900000005</v>
      </c>
      <c r="P185" s="630">
        <f>P155+P160+P165+P170+P175+P180</f>
        <v>75806.877099999983</v>
      </c>
    </row>
    <row r="186" spans="1:18" ht="15.75" thickTop="1"/>
  </sheetData>
  <pageMargins left="0.75" right="0.75" top="1" bottom="1" header="0.5" footer="0.5"/>
  <pageSetup scale="65" orientation="landscape" r:id="rId1"/>
  <headerFooter alignWithMargins="0"/>
  <rowBreaks count="3" manualBreakCount="3">
    <brk id="45" max="17" man="1"/>
    <brk id="126" max="17" man="1"/>
    <brk id="166" max="17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29"/>
  <sheetViews>
    <sheetView view="pageBreakPreview" zoomScale="75" zoomScaleNormal="100" zoomScaleSheetLayoutView="75" workbookViewId="0"/>
  </sheetViews>
  <sheetFormatPr defaultRowHeight="15"/>
  <cols>
    <col min="1" max="1" width="27.125" style="360" customWidth="1"/>
    <col min="2" max="2" width="1.625" style="360" customWidth="1"/>
    <col min="3" max="3" width="11.75" style="360" customWidth="1"/>
    <col min="4" max="4" width="1.625" style="360" customWidth="1"/>
    <col min="5" max="5" width="9" style="360"/>
    <col min="6" max="6" width="1.625" style="360" customWidth="1"/>
    <col min="7" max="7" width="9" style="360"/>
    <col min="8" max="8" width="1.625" style="360" customWidth="1"/>
    <col min="9" max="13" width="9" style="360"/>
    <col min="14" max="14" width="26.625" style="360" customWidth="1"/>
    <col min="15" max="16384" width="9" style="360"/>
  </cols>
  <sheetData>
    <row r="1" spans="1:10">
      <c r="A1" s="359" t="s">
        <v>280</v>
      </c>
      <c r="J1" s="376" t="s">
        <v>527</v>
      </c>
    </row>
    <row r="2" spans="1:10">
      <c r="A2" s="359" t="str">
        <f>'Sch.A-B.S'!D2</f>
        <v>Case No. 2015 - 00382</v>
      </c>
      <c r="J2" s="376"/>
    </row>
    <row r="3" spans="1:10">
      <c r="A3" s="359" t="s">
        <v>534</v>
      </c>
      <c r="C3" s="361"/>
    </row>
    <row r="4" spans="1:10">
      <c r="A4" s="37" t="str">
        <f>'Sch.B-I.S'!A4</f>
        <v>Test Year Ended 6/30/2015</v>
      </c>
    </row>
    <row r="7" spans="1:10">
      <c r="A7" s="367" t="s">
        <v>535</v>
      </c>
      <c r="B7" s="368"/>
      <c r="C7" s="366" t="s">
        <v>536</v>
      </c>
    </row>
    <row r="8" spans="1:10">
      <c r="A8" s="369"/>
      <c r="B8" s="368"/>
      <c r="C8" s="370"/>
    </row>
    <row r="9" spans="1:10">
      <c r="A9" s="2" t="s">
        <v>220</v>
      </c>
      <c r="C9" s="361">
        <f>-'wp-q(3) Clinton salary revised'!E27</f>
        <v>-44093.986410735</v>
      </c>
    </row>
    <row r="10" spans="1:10">
      <c r="A10" s="2" t="s">
        <v>221</v>
      </c>
      <c r="C10" s="362">
        <f>-'wp-q(3) Clinton salary revised'!M27</f>
        <v>-3673.1336000000001</v>
      </c>
    </row>
    <row r="11" spans="1:10">
      <c r="A11" s="2" t="s">
        <v>222</v>
      </c>
      <c r="C11" s="445">
        <f>-'wp-q(3) Clinton salary revised'!W27</f>
        <v>-11876.495785138106</v>
      </c>
    </row>
    <row r="12" spans="1:10">
      <c r="A12" s="360" t="s">
        <v>537</v>
      </c>
      <c r="C12" s="792">
        <f>-'wp-q(4) Clinton trans exp'!C15</f>
        <v>-2956.7496246925266</v>
      </c>
    </row>
    <row r="13" spans="1:10">
      <c r="A13" s="2" t="s">
        <v>1345</v>
      </c>
      <c r="C13" s="444">
        <v>-52068.799999999988</v>
      </c>
    </row>
    <row r="14" spans="1:10">
      <c r="A14" s="2" t="s">
        <v>226</v>
      </c>
      <c r="C14" s="411">
        <f>SUM(C9:C13)</f>
        <v>-114669.16542056562</v>
      </c>
    </row>
    <row r="15" spans="1:10">
      <c r="C15" s="411"/>
    </row>
    <row r="16" spans="1:10">
      <c r="A16" s="2" t="s">
        <v>223</v>
      </c>
      <c r="C16" s="411">
        <f>-'wp b3 - CSR'!F61</f>
        <v>-2681.4465072166058</v>
      </c>
    </row>
    <row r="17" spans="1:10">
      <c r="A17" s="2" t="s">
        <v>224</v>
      </c>
      <c r="C17" s="411">
        <f>-'wp b3 - CSR'!N61</f>
        <v>-258.17097218389597</v>
      </c>
    </row>
    <row r="18" spans="1:10">
      <c r="A18" s="2" t="s">
        <v>225</v>
      </c>
      <c r="C18" s="444">
        <f>-'wp b3 - CSR'!X61</f>
        <v>-822.13499524778638</v>
      </c>
    </row>
    <row r="19" spans="1:10">
      <c r="A19" s="2" t="s">
        <v>227</v>
      </c>
      <c r="C19" s="411">
        <f>SUM(C16:C18)</f>
        <v>-3761.7524746482882</v>
      </c>
    </row>
    <row r="20" spans="1:10">
      <c r="A20" s="2"/>
      <c r="C20" s="411"/>
    </row>
    <row r="21" spans="1:10">
      <c r="A21" s="360" t="s">
        <v>538</v>
      </c>
      <c r="C21" s="411">
        <f>-'wp-q(4) Clinton trans exp'!C19</f>
        <v>-4146.5193042227338</v>
      </c>
    </row>
    <row r="22" spans="1:10">
      <c r="A22" s="360" t="s">
        <v>539</v>
      </c>
      <c r="C22" s="364">
        <f>SUM(C14,C19,C21)</f>
        <v>-122577.43719943664</v>
      </c>
    </row>
    <row r="23" spans="1:10">
      <c r="C23" s="363"/>
    </row>
    <row r="24" spans="1:10">
      <c r="A24" s="60" t="s">
        <v>1470</v>
      </c>
      <c r="C24" s="937" t="s">
        <v>536</v>
      </c>
    </row>
    <row r="25" spans="1:10">
      <c r="A25" s="936"/>
      <c r="B25" s="374"/>
      <c r="C25" s="370"/>
      <c r="D25" s="374"/>
      <c r="E25" s="374"/>
      <c r="F25" s="374"/>
      <c r="G25" s="374"/>
      <c r="H25" s="374"/>
      <c r="I25" s="374"/>
      <c r="J25" s="374"/>
    </row>
    <row r="26" spans="1:10">
      <c r="A26" s="2" t="s">
        <v>1471</v>
      </c>
      <c r="B26" s="374"/>
      <c r="C26" s="793">
        <f>'wp-q(4) Clinton trans exp'!C24</f>
        <v>20732.596521113668</v>
      </c>
      <c r="D26" s="374"/>
      <c r="E26" s="374"/>
      <c r="F26" s="374"/>
      <c r="G26" s="374"/>
      <c r="H26" s="374"/>
      <c r="I26" s="374"/>
      <c r="J26" s="374"/>
    </row>
    <row r="27" spans="1:10">
      <c r="A27" s="2" t="s">
        <v>1472</v>
      </c>
      <c r="B27" s="374"/>
      <c r="C27" s="938">
        <f>'wp-q(4) Clinton trans exp'!C28</f>
        <v>-10692.59316206467</v>
      </c>
      <c r="D27" s="374"/>
      <c r="E27" s="374"/>
      <c r="F27" s="374"/>
      <c r="G27" s="374"/>
      <c r="H27" s="374"/>
      <c r="I27" s="374"/>
      <c r="J27" s="374"/>
    </row>
    <row r="28" spans="1:10">
      <c r="A28" s="2" t="s">
        <v>1473</v>
      </c>
      <c r="B28" s="374"/>
      <c r="C28" s="794">
        <f>SUM(C26:C27)</f>
        <v>10040.003359048998</v>
      </c>
      <c r="D28" s="374"/>
      <c r="E28" s="374"/>
      <c r="F28" s="374"/>
      <c r="G28" s="374"/>
      <c r="H28" s="374"/>
      <c r="I28" s="374"/>
      <c r="J28" s="374"/>
    </row>
    <row r="29" spans="1:10">
      <c r="C29" s="365"/>
    </row>
  </sheetData>
  <phoneticPr fontId="28" type="noConversion"/>
  <pageMargins left="0.75" right="0.75" top="1" bottom="1" header="0.5" footer="0.5"/>
  <pageSetup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view="pageBreakPreview" zoomScale="75" zoomScaleNormal="100" zoomScaleSheetLayoutView="75" workbookViewId="0"/>
  </sheetViews>
  <sheetFormatPr defaultRowHeight="15"/>
  <cols>
    <col min="1" max="1" width="47.25" style="2" bestFit="1" customWidth="1"/>
    <col min="2" max="2" width="1.625" style="2" customWidth="1"/>
    <col min="3" max="3" width="25" style="2" customWidth="1"/>
    <col min="4" max="4" width="1.625" style="2" customWidth="1"/>
    <col min="5" max="14" width="9" style="2"/>
    <col min="15" max="15" width="26.625" style="2" customWidth="1"/>
    <col min="16" max="16384" width="9" style="2"/>
  </cols>
  <sheetData>
    <row r="1" spans="1:3">
      <c r="A1" s="37" t="s">
        <v>280</v>
      </c>
      <c r="B1" s="37"/>
      <c r="C1" s="932" t="s">
        <v>1479</v>
      </c>
    </row>
    <row r="2" spans="1:3">
      <c r="A2" s="37" t="str">
        <f>'Sch.A-B.S'!D2</f>
        <v>Case No. 2015 - 00382</v>
      </c>
      <c r="B2" s="37"/>
      <c r="C2" s="932"/>
    </row>
    <row r="3" spans="1:3">
      <c r="A3" s="37" t="s">
        <v>58</v>
      </c>
      <c r="B3" s="37"/>
    </row>
    <row r="4" spans="1:3">
      <c r="A4" s="37" t="str">
        <f>'Sch.B-I.S'!A4</f>
        <v>Test Year Ended 6/30/2015</v>
      </c>
      <c r="B4" s="37"/>
    </row>
    <row r="7" spans="1:3" ht="48" customHeight="1">
      <c r="A7" s="933" t="s">
        <v>59</v>
      </c>
      <c r="B7" s="21"/>
      <c r="C7" s="440" t="s">
        <v>218</v>
      </c>
    </row>
    <row r="8" spans="1:3">
      <c r="A8" s="21"/>
      <c r="B8" s="21"/>
      <c r="C8" s="442"/>
    </row>
    <row r="9" spans="1:3">
      <c r="A9" s="37" t="s">
        <v>219</v>
      </c>
      <c r="B9" s="37"/>
      <c r="C9" s="442"/>
    </row>
    <row r="10" spans="1:3">
      <c r="A10" s="15" t="s">
        <v>398</v>
      </c>
      <c r="B10" s="15"/>
      <c r="C10" s="934">
        <f>GETPIVOTDATA("Percentage",'Operators allocation'!$A$3,"Name","Leonard, James R.","Home Business Unit",345103)/100</f>
        <v>8.4199999999999997E-2</v>
      </c>
    </row>
    <row r="11" spans="1:3">
      <c r="A11" s="15" t="s">
        <v>1724</v>
      </c>
      <c r="B11" s="15"/>
      <c r="C11" s="934">
        <f>GETPIVOTDATA("Percentage",'Operators allocation'!$A$3,"Name","Rushing, Ronald","Home Business Unit",345103)/100</f>
        <v>0.4758</v>
      </c>
    </row>
    <row r="12" spans="1:3">
      <c r="A12" s="15" t="s">
        <v>399</v>
      </c>
      <c r="B12" s="15"/>
      <c r="C12" s="934">
        <f>GETPIVOTDATA("Percentage",'Operators allocation'!$A$3,"Name","Turner, John R.","Home Business Unit",345103)/100</f>
        <v>0.4758</v>
      </c>
    </row>
    <row r="13" spans="1:3">
      <c r="A13" s="773" t="s">
        <v>1088</v>
      </c>
      <c r="B13" s="773"/>
      <c r="C13" s="934">
        <f>GETPIVOTDATA("Percentage",'Operators allocation'!$A$3,"Name","Vaughn, Stephen R.","Home Business Unit",345103)/100</f>
        <v>8.4199999999999997E-2</v>
      </c>
    </row>
    <row r="14" spans="1:3">
      <c r="A14" s="15"/>
      <c r="B14" s="15"/>
      <c r="C14" s="934"/>
    </row>
    <row r="15" spans="1:3">
      <c r="A15" s="441"/>
      <c r="B15" s="441"/>
    </row>
    <row r="16" spans="1:3">
      <c r="A16" s="15"/>
      <c r="B16" s="15"/>
      <c r="C16" s="934"/>
    </row>
    <row r="17" spans="1:3">
      <c r="A17" s="15"/>
      <c r="B17" s="15"/>
      <c r="C17" s="934"/>
    </row>
    <row r="18" spans="1:3">
      <c r="A18" s="15"/>
      <c r="B18" s="15"/>
      <c r="C18" s="934"/>
    </row>
    <row r="19" spans="1:3">
      <c r="A19" s="15"/>
      <c r="B19" s="15"/>
      <c r="C19" s="934"/>
    </row>
    <row r="20" spans="1:3">
      <c r="A20" s="15"/>
      <c r="B20" s="15"/>
      <c r="C20" s="934"/>
    </row>
  </sheetData>
  <phoneticPr fontId="28" type="noConversion"/>
  <pageMargins left="0.75" right="0.75" top="1" bottom="1" header="0.5" footer="0.5"/>
  <pageSetup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FFC000"/>
    <pageSetUpPr fitToPage="1"/>
  </sheetPr>
  <dimension ref="A1:BB220"/>
  <sheetViews>
    <sheetView showGridLines="0" view="pageBreakPreview" zoomScale="75" zoomScaleNormal="75" zoomScaleSheetLayoutView="75" workbookViewId="0">
      <pane xSplit="3" topLeftCell="D1" activePane="topRight" state="frozen"/>
      <selection pane="topRight"/>
    </sheetView>
  </sheetViews>
  <sheetFormatPr defaultColWidth="10.875" defaultRowHeight="15"/>
  <cols>
    <col min="1" max="1" width="4" style="29" customWidth="1"/>
    <col min="2" max="2" width="3.125" style="29" customWidth="1"/>
    <col min="3" max="3" width="37.125" style="29" customWidth="1"/>
    <col min="4" max="4" width="11" style="2" customWidth="1"/>
    <col min="5" max="5" width="11.875" style="29" customWidth="1"/>
    <col min="6" max="6" width="5.125" style="29" bestFit="1" customWidth="1"/>
    <col min="7" max="7" width="12.625" style="29" customWidth="1"/>
    <col min="8" max="8" width="5.125" style="29" bestFit="1" customWidth="1"/>
    <col min="9" max="9" width="11.25" style="29" bestFit="1" customWidth="1"/>
    <col min="10" max="10" width="2" style="29" customWidth="1"/>
    <col min="11" max="11" width="13.5" style="29" bestFit="1" customWidth="1"/>
    <col min="12" max="12" width="5.125" style="29" bestFit="1" customWidth="1"/>
    <col min="13" max="13" width="8" style="29" bestFit="1" customWidth="1"/>
    <col min="14" max="14" width="4.875" style="29" customWidth="1"/>
    <col min="15" max="15" width="11.5" style="29" bestFit="1" customWidth="1"/>
    <col min="16" max="16" width="2" style="29" customWidth="1"/>
    <col min="17" max="17" width="10.875" style="29" customWidth="1"/>
    <col min="18" max="18" width="2" style="29" customWidth="1"/>
    <col min="19" max="19" width="11.125" style="29" customWidth="1"/>
    <col min="20" max="20" width="2" style="29" customWidth="1"/>
    <col min="21" max="21" width="11.5" style="29" customWidth="1"/>
    <col min="22" max="22" width="2" style="29" customWidth="1"/>
    <col min="23" max="23" width="11.5" style="29" bestFit="1" customWidth="1"/>
    <col min="24" max="24" width="2" style="29" customWidth="1"/>
    <col min="25" max="25" width="10.125" style="108" bestFit="1" customWidth="1"/>
    <col min="26" max="26" width="2.125" style="108" customWidth="1"/>
    <col min="27" max="30" width="3.625" style="93" hidden="1" customWidth="1"/>
    <col min="31" max="31" width="11.625" style="93" customWidth="1"/>
    <col min="32" max="32" width="2.125" style="93" customWidth="1"/>
    <col min="33" max="33" width="9.125" style="93" customWidth="1"/>
    <col min="34" max="34" width="1.375" style="93" customWidth="1"/>
    <col min="35" max="35" width="13" style="93" bestFit="1" customWidth="1"/>
    <col min="36" max="36" width="4.5" style="93" customWidth="1"/>
    <col min="37" max="38" width="8.625" style="93" customWidth="1"/>
    <col min="39" max="39" width="11.875" style="99" customWidth="1"/>
    <col min="40" max="16384" width="10.875" style="29"/>
  </cols>
  <sheetData>
    <row r="1" spans="1:39" ht="15.75" thickBot="1">
      <c r="A1" s="66" t="s">
        <v>280</v>
      </c>
      <c r="C1" s="66"/>
      <c r="I1" s="67"/>
      <c r="J1" s="68"/>
      <c r="K1" s="68"/>
      <c r="W1" s="932" t="s">
        <v>1478</v>
      </c>
      <c r="Y1" s="93"/>
      <c r="Z1" s="93"/>
      <c r="AA1" s="94"/>
      <c r="AB1" s="94"/>
      <c r="AC1" s="94"/>
      <c r="AD1" s="94"/>
      <c r="AE1" s="94" t="s">
        <v>57</v>
      </c>
      <c r="AF1" s="94"/>
      <c r="AG1" s="409">
        <v>745.2</v>
      </c>
      <c r="AH1" s="95"/>
      <c r="AI1" s="1086">
        <f>AG1/AG4</f>
        <v>0.10121699445832882</v>
      </c>
      <c r="AJ1" s="96"/>
      <c r="AK1" s="97" t="s">
        <v>137</v>
      </c>
      <c r="AL1" s="98">
        <v>3.5000000000000003E-2</v>
      </c>
    </row>
    <row r="2" spans="1:39" ht="15.75" thickBot="1">
      <c r="A2" s="66" t="str">
        <f>'Sch.A-B.S'!D2</f>
        <v>Case No. 2015 - 00382</v>
      </c>
      <c r="C2" s="66"/>
      <c r="I2" s="67"/>
      <c r="J2" s="68"/>
      <c r="K2" s="68"/>
      <c r="W2" s="376"/>
      <c r="Y2" s="93"/>
      <c r="Z2" s="93"/>
      <c r="AA2" s="94"/>
      <c r="AB2" s="94"/>
      <c r="AC2" s="94"/>
      <c r="AD2" s="94"/>
      <c r="AE2" s="94"/>
      <c r="AF2" s="94"/>
      <c r="AG2" s="1019"/>
      <c r="AH2" s="95"/>
      <c r="AI2" s="347"/>
      <c r="AJ2" s="96"/>
      <c r="AK2" s="97"/>
      <c r="AL2" s="98"/>
    </row>
    <row r="3" spans="1:39" ht="14.1" customHeight="1" thickBot="1">
      <c r="A3" s="70" t="s">
        <v>60</v>
      </c>
      <c r="I3" s="71"/>
      <c r="J3" s="68"/>
      <c r="K3" s="68"/>
      <c r="Y3" s="100"/>
      <c r="Z3" s="93"/>
      <c r="AE3" s="93" t="s">
        <v>56</v>
      </c>
      <c r="AG3" s="410">
        <f>AG4-AG1</f>
        <v>6617.2</v>
      </c>
      <c r="AI3" s="347">
        <f>AG3/AG4</f>
        <v>0.89878300554167123</v>
      </c>
      <c r="AJ3" s="101" t="s">
        <v>146</v>
      </c>
      <c r="AK3" s="102">
        <v>9000</v>
      </c>
      <c r="AL3" s="103"/>
    </row>
    <row r="4" spans="1:39" ht="15.75" customHeight="1">
      <c r="A4" s="70" t="str">
        <f>'Sch.B-I.S'!A4</f>
        <v>Test Year Ended 6/30/2015</v>
      </c>
      <c r="I4" s="71"/>
      <c r="J4" s="68"/>
      <c r="K4" s="68"/>
      <c r="Y4" s="100"/>
      <c r="Z4" s="93"/>
      <c r="AG4" s="93">
        <f>'Allocation Calc'!F57</f>
        <v>7362.4</v>
      </c>
      <c r="AJ4" s="110"/>
      <c r="AK4" s="111"/>
      <c r="AL4" s="258"/>
    </row>
    <row r="5" spans="1:39" ht="12" customHeight="1">
      <c r="A5" s="70"/>
      <c r="I5" s="71"/>
      <c r="J5" s="68"/>
      <c r="K5" s="68"/>
      <c r="M5" s="70" t="s">
        <v>1483</v>
      </c>
      <c r="Y5" s="100"/>
      <c r="Z5" s="93"/>
      <c r="AG5" s="348">
        <v>0.25</v>
      </c>
      <c r="AJ5" s="110"/>
      <c r="AK5" s="111"/>
      <c r="AL5" s="258"/>
    </row>
    <row r="6" spans="1:39" ht="12" customHeight="1">
      <c r="I6" s="71"/>
      <c r="J6" s="68"/>
      <c r="K6" s="68"/>
      <c r="Y6" s="93"/>
      <c r="Z6" s="93"/>
      <c r="AJ6" s="110"/>
      <c r="AK6" s="111"/>
      <c r="AL6" s="258"/>
    </row>
    <row r="7" spans="1:39">
      <c r="B7" s="70"/>
      <c r="E7" s="72" t="s">
        <v>73</v>
      </c>
      <c r="I7" s="68"/>
      <c r="J7" s="68"/>
      <c r="K7" s="73"/>
      <c r="O7" s="74">
        <v>2012</v>
      </c>
      <c r="P7" s="30"/>
      <c r="Q7" s="30"/>
      <c r="R7" s="75"/>
      <c r="S7" s="30"/>
      <c r="T7" s="30"/>
      <c r="U7" s="30"/>
      <c r="V7" s="30"/>
      <c r="Y7" s="104" t="s">
        <v>325</v>
      </c>
      <c r="Z7" s="104"/>
      <c r="AA7" s="99"/>
      <c r="AB7" s="105"/>
      <c r="AC7" s="105"/>
      <c r="AD7" s="105"/>
      <c r="AE7" s="106"/>
      <c r="AF7" s="106"/>
      <c r="AG7" s="106"/>
      <c r="AH7" s="106"/>
      <c r="AI7" s="107" t="s">
        <v>73</v>
      </c>
      <c r="AJ7" s="108"/>
      <c r="AK7" s="108"/>
      <c r="AL7" s="108"/>
      <c r="AM7" s="109"/>
    </row>
    <row r="8" spans="1:39" s="76" customFormat="1">
      <c r="E8" s="72" t="s">
        <v>68</v>
      </c>
      <c r="G8" s="76" t="s">
        <v>326</v>
      </c>
      <c r="I8" s="77" t="s">
        <v>327</v>
      </c>
      <c r="J8" s="77"/>
      <c r="K8" s="77" t="s">
        <v>137</v>
      </c>
      <c r="M8" s="76" t="s">
        <v>314</v>
      </c>
      <c r="O8" s="76" t="s">
        <v>442</v>
      </c>
      <c r="Q8" s="76" t="s">
        <v>747</v>
      </c>
      <c r="S8" s="76" t="s">
        <v>636</v>
      </c>
      <c r="U8" s="74">
        <v>2012</v>
      </c>
      <c r="W8" s="76" t="s">
        <v>314</v>
      </c>
      <c r="Y8" s="104" t="s">
        <v>748</v>
      </c>
      <c r="Z8" s="104"/>
      <c r="AA8" s="104" t="s">
        <v>457</v>
      </c>
      <c r="AB8" s="104"/>
      <c r="AC8" s="104" t="s">
        <v>457</v>
      </c>
      <c r="AD8" s="104"/>
      <c r="AE8" s="107" t="s">
        <v>68</v>
      </c>
      <c r="AF8" s="107"/>
      <c r="AG8" s="257">
        <v>2012</v>
      </c>
      <c r="AH8" s="107"/>
      <c r="AI8" s="107" t="s">
        <v>68</v>
      </c>
      <c r="AJ8" s="110"/>
      <c r="AK8" s="111"/>
      <c r="AL8" s="112"/>
      <c r="AM8" s="113"/>
    </row>
    <row r="9" spans="1:39" s="76" customFormat="1">
      <c r="E9" s="78" t="s">
        <v>406</v>
      </c>
      <c r="G9" s="79" t="str">
        <f>"7.65%"</f>
        <v>7.65%</v>
      </c>
      <c r="I9" s="80" t="s">
        <v>279</v>
      </c>
      <c r="J9" s="77"/>
      <c r="K9" s="80" t="s">
        <v>1320</v>
      </c>
      <c r="M9" s="79" t="s">
        <v>755</v>
      </c>
      <c r="O9" s="79" t="s">
        <v>304</v>
      </c>
      <c r="Q9" s="79" t="s">
        <v>631</v>
      </c>
      <c r="S9" s="79" t="s">
        <v>632</v>
      </c>
      <c r="U9" s="79" t="s">
        <v>110</v>
      </c>
      <c r="W9" s="79" t="s">
        <v>64</v>
      </c>
      <c r="X9" s="75"/>
      <c r="Y9" s="114" t="s">
        <v>61</v>
      </c>
      <c r="Z9" s="114"/>
      <c r="AA9" s="115"/>
      <c r="AB9" s="105"/>
      <c r="AC9" s="116" t="s">
        <v>656</v>
      </c>
      <c r="AD9" s="105"/>
      <c r="AE9" s="116" t="s">
        <v>406</v>
      </c>
      <c r="AF9" s="105"/>
      <c r="AG9" s="116" t="s">
        <v>1332</v>
      </c>
      <c r="AH9" s="106"/>
      <c r="AI9" s="116" t="s">
        <v>406</v>
      </c>
      <c r="AJ9" s="107"/>
      <c r="AK9" s="107"/>
      <c r="AL9" s="107"/>
      <c r="AM9" s="117"/>
    </row>
    <row r="10" spans="1:39">
      <c r="B10" s="81" t="s">
        <v>677</v>
      </c>
      <c r="C10" s="30"/>
      <c r="E10" s="82"/>
      <c r="K10" s="83"/>
      <c r="Y10" s="93"/>
      <c r="Z10" s="93"/>
      <c r="AA10" s="118"/>
      <c r="AB10" s="119"/>
      <c r="AC10" s="105"/>
      <c r="AD10" s="119"/>
      <c r="AE10" s="119"/>
      <c r="AF10" s="119"/>
      <c r="AG10" s="120"/>
      <c r="AH10" s="120"/>
      <c r="AI10" s="120"/>
      <c r="AM10" s="109"/>
    </row>
    <row r="11" spans="1:39" s="68" customFormat="1" ht="15.75" thickBot="1">
      <c r="B11" s="48"/>
      <c r="C11" s="84" t="s">
        <v>641</v>
      </c>
      <c r="D11" s="15"/>
      <c r="E11" s="130">
        <f>AI11*1.035</f>
        <v>76232.717999999979</v>
      </c>
      <c r="F11" s="196"/>
      <c r="G11" s="196">
        <f>'Wp b - salary'!H15</f>
        <v>5635</v>
      </c>
      <c r="H11" s="196">
        <f>'Wp b - salary'!I15</f>
        <v>0</v>
      </c>
      <c r="I11" s="196">
        <f>'Wp b - salary'!J15</f>
        <v>56</v>
      </c>
      <c r="J11" s="196">
        <f>'Wp b - salary'!K15</f>
        <v>0</v>
      </c>
      <c r="K11" s="196">
        <f>'Wp b - salary'!L15</f>
        <v>306.90000000000003</v>
      </c>
      <c r="L11" s="196"/>
      <c r="M11" s="196">
        <f>'Wp b - salary'!N15</f>
        <v>5997.9</v>
      </c>
      <c r="N11" s="196">
        <f>'Wp b - salary'!O15</f>
        <v>0</v>
      </c>
      <c r="O11" s="196">
        <f>'Wp b - salary'!P15</f>
        <v>7481.8509443099274</v>
      </c>
      <c r="P11" s="196">
        <f>'Wp b - salary'!Q15</f>
        <v>0</v>
      </c>
      <c r="Q11" s="196">
        <f>'Wp b - salary'!R15</f>
        <v>2209.6439999999998</v>
      </c>
      <c r="R11" s="196">
        <f>'Wp b - salary'!S15</f>
        <v>0</v>
      </c>
      <c r="S11" s="196">
        <f>'Wp b - salary'!T15</f>
        <v>2946.1919999999996</v>
      </c>
      <c r="T11" s="196">
        <f>'Wp b - salary'!U15</f>
        <v>0</v>
      </c>
      <c r="U11" s="196">
        <f>'Wp b - salary'!V15</f>
        <v>453.52290556900732</v>
      </c>
      <c r="V11" s="196">
        <f>'Wp b - salary'!W15</f>
        <v>0</v>
      </c>
      <c r="W11" s="196">
        <f>'Wp b - salary'!X15</f>
        <v>13091.209849878933</v>
      </c>
      <c r="Y11" s="121">
        <f>'wp-q(2) salary allocation'!C10</f>
        <v>8.4199999999999997E-2</v>
      </c>
      <c r="Z11" s="100"/>
      <c r="AA11" s="122"/>
      <c r="AB11" s="120"/>
      <c r="AC11" s="107"/>
      <c r="AD11" s="93"/>
      <c r="AE11" s="264">
        <f>'Wp b - salary'!AF15</f>
        <v>73654.799999999988</v>
      </c>
      <c r="AF11" s="262"/>
      <c r="AG11" s="263"/>
      <c r="AH11" s="262"/>
      <c r="AI11" s="262">
        <f>+'Wp b - salary'!AL15</f>
        <v>73654.799999999988</v>
      </c>
      <c r="AJ11" s="110"/>
      <c r="AK11" s="111"/>
      <c r="AL11" s="112"/>
      <c r="AM11" s="123"/>
    </row>
    <row r="12" spans="1:39" s="68" customFormat="1" ht="15.75" thickBot="1">
      <c r="B12" s="48"/>
      <c r="C12" s="84" t="s">
        <v>1724</v>
      </c>
      <c r="E12" s="130">
        <f>AI12*1.035</f>
        <v>27798.319799999997</v>
      </c>
      <c r="F12" s="196"/>
      <c r="G12" s="196">
        <f>'Wp b - salary'!H19</f>
        <v>2055</v>
      </c>
      <c r="H12" s="196">
        <f>'Wp b - salary'!I19</f>
        <v>0</v>
      </c>
      <c r="I12" s="196">
        <f>'Wp b - salary'!J19</f>
        <v>56</v>
      </c>
      <c r="J12" s="196">
        <f>'Wp b - salary'!K19</f>
        <v>0</v>
      </c>
      <c r="K12" s="196">
        <f>'Wp b - salary'!L19</f>
        <v>306.90000000000003</v>
      </c>
      <c r="L12" s="196"/>
      <c r="M12" s="196">
        <f>'Wp b - salary'!N19</f>
        <v>2417.9</v>
      </c>
      <c r="N12" s="196">
        <f>'Wp b - salary'!O19</f>
        <v>0</v>
      </c>
      <c r="O12" s="196">
        <f>'Wp b - salary'!P19</f>
        <v>7481.8509443099274</v>
      </c>
      <c r="P12" s="196">
        <f>'Wp b - salary'!Q19</f>
        <v>0</v>
      </c>
      <c r="Q12" s="196">
        <f>'Wp b - salary'!R19</f>
        <v>805.74839999999995</v>
      </c>
      <c r="R12" s="196">
        <f>'Wp b - salary'!S19</f>
        <v>0</v>
      </c>
      <c r="S12" s="196">
        <f>'Wp b - salary'!T19</f>
        <v>1074.3312000000001</v>
      </c>
      <c r="T12" s="196">
        <f>'Wp b - salary'!U19</f>
        <v>0</v>
      </c>
      <c r="U12" s="196">
        <f>'Wp b - salary'!V19</f>
        <v>453.52290556900732</v>
      </c>
      <c r="V12" s="196">
        <f>'Wp b - salary'!W19</f>
        <v>0</v>
      </c>
      <c r="W12" s="196">
        <f>'Wp b - salary'!X19</f>
        <v>9815.4534498789344</v>
      </c>
      <c r="Y12" s="121">
        <f>'wp-q(2) salary allocation'!C11</f>
        <v>0.4758</v>
      </c>
      <c r="Z12" s="100"/>
      <c r="AA12" s="124"/>
      <c r="AB12" s="119"/>
      <c r="AC12" s="104"/>
      <c r="AD12" s="93"/>
      <c r="AE12" s="264">
        <f>'Wp b - salary'!AF19</f>
        <v>25708.799999999999</v>
      </c>
      <c r="AF12" s="264">
        <f>'Wp b - salary'!AI19</f>
        <v>0</v>
      </c>
      <c r="AG12" s="264">
        <f>'Wp b - salary'!AJ19</f>
        <v>1149.48</v>
      </c>
      <c r="AH12" s="262"/>
      <c r="AI12" s="262">
        <f>+'Wp b - salary'!AL19</f>
        <v>26858.28</v>
      </c>
      <c r="AJ12" s="110"/>
      <c r="AK12" s="111"/>
      <c r="AL12" s="112"/>
      <c r="AM12" s="123"/>
    </row>
    <row r="13" spans="1:39" s="68" customFormat="1" ht="15.75" thickBot="1">
      <c r="B13" s="48"/>
      <c r="C13" s="84" t="s">
        <v>301</v>
      </c>
      <c r="E13" s="130">
        <f>AI13*1.035</f>
        <v>44470.120499999997</v>
      </c>
      <c r="F13" s="196"/>
      <c r="G13" s="196">
        <f>'Wp b - salary'!H21</f>
        <v>3287</v>
      </c>
      <c r="H13" s="196">
        <f>'Wp b - salary'!I20</f>
        <v>0</v>
      </c>
      <c r="I13" s="196">
        <f>'Wp b - salary'!J21</f>
        <v>56</v>
      </c>
      <c r="J13" s="196">
        <f>'Wp b - salary'!K20</f>
        <v>0</v>
      </c>
      <c r="K13" s="196">
        <f>'Wp b - salary'!L21</f>
        <v>306.90000000000003</v>
      </c>
      <c r="L13" s="196"/>
      <c r="M13" s="196">
        <f>'Wp b - salary'!N21</f>
        <v>3649.9</v>
      </c>
      <c r="N13" s="196">
        <f>'Wp b - salary'!O20</f>
        <v>0</v>
      </c>
      <c r="O13" s="196">
        <f>'Wp b - salary'!P21</f>
        <v>7481.8509443099274</v>
      </c>
      <c r="P13" s="196">
        <f>'Wp b - salary'!Q20</f>
        <v>0</v>
      </c>
      <c r="Q13" s="196">
        <f>'Wp b - salary'!R21</f>
        <v>1288.989</v>
      </c>
      <c r="R13" s="196">
        <f>'Wp b - salary'!S20</f>
        <v>0</v>
      </c>
      <c r="S13" s="196">
        <f>'Wp b - salary'!T21</f>
        <v>1718.652</v>
      </c>
      <c r="T13" s="196">
        <f>'Wp b - salary'!U20</f>
        <v>0</v>
      </c>
      <c r="U13" s="196">
        <f>'Wp b - salary'!V21</f>
        <v>453.52290556900732</v>
      </c>
      <c r="V13" s="196">
        <f>'Wp b - salary'!W20</f>
        <v>0</v>
      </c>
      <c r="W13" s="196">
        <f>'Wp b - salary'!X21</f>
        <v>10943.014849878935</v>
      </c>
      <c r="Y13" s="121">
        <f>'wp-q(2) salary allocation'!C12</f>
        <v>0.4758</v>
      </c>
      <c r="Z13" s="100"/>
      <c r="AA13" s="124"/>
      <c r="AB13" s="119"/>
      <c r="AC13" s="104"/>
      <c r="AD13" s="93"/>
      <c r="AE13" s="264">
        <f>'Wp b - salary'!AF21</f>
        <v>37315.200000000004</v>
      </c>
      <c r="AF13" s="264">
        <f>'Wp b - salary'!AI20</f>
        <v>0</v>
      </c>
      <c r="AG13" s="264">
        <f>'Wp b - salary'!AJ21</f>
        <v>5651.1</v>
      </c>
      <c r="AH13" s="264">
        <f>'Wp b - salary'!AK20</f>
        <v>0</v>
      </c>
      <c r="AI13" s="262">
        <f>+'Wp b - salary'!AL21</f>
        <v>42966.3</v>
      </c>
      <c r="AJ13" s="110"/>
      <c r="AK13" s="111"/>
      <c r="AL13" s="112"/>
      <c r="AM13" s="123"/>
    </row>
    <row r="14" spans="1:39" ht="15.75" thickBot="1">
      <c r="C14" s="84" t="str">
        <f>+'Wp b - salary'!D22</f>
        <v>Vaughn, Stephen R.</v>
      </c>
      <c r="D14" s="15"/>
      <c r="E14" s="130">
        <f>AI14*1.035</f>
        <v>39072.062474999999</v>
      </c>
      <c r="F14" s="196"/>
      <c r="G14" s="196">
        <f>'Wp b - salary'!H22</f>
        <v>2975</v>
      </c>
      <c r="H14" s="196">
        <f>'Wp b - salary'!I21</f>
        <v>0</v>
      </c>
      <c r="I14" s="196">
        <f>'Wp b - salary'!J22</f>
        <v>56</v>
      </c>
      <c r="J14" s="196">
        <f>'Wp b - salary'!K21</f>
        <v>0</v>
      </c>
      <c r="K14" s="196">
        <f>'Wp b - salary'!L22</f>
        <v>306.90000000000003</v>
      </c>
      <c r="L14" s="196"/>
      <c r="M14" s="196">
        <f>'Wp b - salary'!N22</f>
        <v>3337.9</v>
      </c>
      <c r="N14" s="196">
        <f>'Wp b - salary'!O21</f>
        <v>0</v>
      </c>
      <c r="O14" s="196">
        <f>'Wp b - salary'!P22</f>
        <v>7481.8509443099274</v>
      </c>
      <c r="P14" s="196">
        <f>'Wp b - salary'!Q21</f>
        <v>0</v>
      </c>
      <c r="Q14" s="196">
        <f>'Wp b - salary'!R22</f>
        <v>1166.4992565</v>
      </c>
      <c r="R14" s="196">
        <f>'Wp b - salary'!S21</f>
        <v>0</v>
      </c>
      <c r="S14" s="196">
        <f>'Wp b - salary'!T22</f>
        <v>1555.3323420000002</v>
      </c>
      <c r="T14" s="196">
        <f>'Wp b - salary'!U21</f>
        <v>0</v>
      </c>
      <c r="U14" s="196">
        <f>'Wp b - salary'!V22</f>
        <v>453.52290556900732</v>
      </c>
      <c r="V14" s="196">
        <f>'Wp b - salary'!W21</f>
        <v>0</v>
      </c>
      <c r="W14" s="196">
        <f>'Wp b - salary'!X22</f>
        <v>10657.205448378934</v>
      </c>
      <c r="X14" s="68"/>
      <c r="Y14" s="121">
        <f>'wp-q(2) salary allocation'!C13</f>
        <v>8.4199999999999997E-2</v>
      </c>
      <c r="Z14" s="100"/>
      <c r="AA14" s="124"/>
      <c r="AB14" s="119"/>
      <c r="AC14" s="104"/>
      <c r="AE14" s="264">
        <f>'Wp b - salary'!AF22</f>
        <v>35318.400000000001</v>
      </c>
      <c r="AF14" s="264">
        <f>'Wp b - salary'!AI21</f>
        <v>0</v>
      </c>
      <c r="AG14" s="264">
        <f>'Wp b - salary'!AJ22</f>
        <v>2432.3850000000002</v>
      </c>
      <c r="AH14" s="264">
        <f>'Wp b - salary'!AK21</f>
        <v>0</v>
      </c>
      <c r="AI14" s="262">
        <f>+'Wp b - salary'!AL22</f>
        <v>37750.785000000003</v>
      </c>
      <c r="AJ14" s="125"/>
      <c r="AK14" s="125"/>
      <c r="AM14" s="109"/>
    </row>
    <row r="15" spans="1:39" s="68" customFormat="1">
      <c r="B15" s="48"/>
      <c r="C15" s="84"/>
      <c r="D15" s="15"/>
      <c r="E15" s="256"/>
      <c r="F15" s="196"/>
      <c r="G15" s="196"/>
      <c r="H15" s="196"/>
      <c r="I15" s="196"/>
      <c r="J15" s="196"/>
      <c r="K15" s="130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Y15" s="100"/>
      <c r="Z15" s="100"/>
      <c r="AA15" s="122"/>
      <c r="AB15" s="120"/>
      <c r="AC15" s="107"/>
      <c r="AD15" s="93"/>
      <c r="AE15" s="262"/>
      <c r="AF15" s="262"/>
      <c r="AG15" s="263"/>
      <c r="AH15" s="262"/>
      <c r="AI15" s="262"/>
      <c r="AJ15" s="110"/>
      <c r="AK15" s="111"/>
      <c r="AL15" s="112"/>
      <c r="AM15" s="126"/>
    </row>
    <row r="16" spans="1:39" s="68" customFormat="1">
      <c r="E16" s="130"/>
      <c r="F16" s="196"/>
      <c r="G16" s="259"/>
      <c r="H16" s="196"/>
      <c r="I16" s="259"/>
      <c r="J16" s="196"/>
      <c r="K16" s="259"/>
      <c r="L16" s="196"/>
      <c r="M16" s="259"/>
      <c r="N16" s="196"/>
      <c r="O16" s="259"/>
      <c r="P16" s="196"/>
      <c r="Q16" s="259"/>
      <c r="R16" s="196"/>
      <c r="S16" s="259"/>
      <c r="T16" s="196"/>
      <c r="U16" s="259"/>
      <c r="V16" s="196"/>
      <c r="W16" s="259"/>
      <c r="X16" s="85"/>
      <c r="Y16" s="108"/>
      <c r="Z16" s="108"/>
      <c r="AA16" s="122"/>
      <c r="AB16" s="120"/>
      <c r="AC16" s="106"/>
      <c r="AD16" s="119"/>
      <c r="AE16" s="262"/>
      <c r="AF16" s="262"/>
      <c r="AG16" s="265"/>
      <c r="AH16" s="265"/>
      <c r="AI16" s="265"/>
      <c r="AJ16" s="127"/>
      <c r="AK16" s="108"/>
      <c r="AL16" s="93"/>
      <c r="AM16" s="99"/>
    </row>
    <row r="17" spans="2:39" s="68" customFormat="1" ht="15.75" thickBot="1">
      <c r="B17" s="67" t="s">
        <v>91</v>
      </c>
      <c r="E17" s="260">
        <f>SUM(E11:E15)</f>
        <v>187573.22077499999</v>
      </c>
      <c r="F17" s="196"/>
      <c r="G17" s="260">
        <f>SUM(G11:G15)</f>
        <v>13952</v>
      </c>
      <c r="H17" s="196"/>
      <c r="I17" s="260">
        <f>SUM(I11:I15)</f>
        <v>224</v>
      </c>
      <c r="J17" s="196"/>
      <c r="K17" s="260">
        <f>SUM(K11:K15)</f>
        <v>1227.6000000000001</v>
      </c>
      <c r="L17" s="196"/>
      <c r="M17" s="260">
        <f>SUM(M11:M15)</f>
        <v>15403.599999999999</v>
      </c>
      <c r="N17" s="196"/>
      <c r="O17" s="260">
        <f>SUM(O11:O15)</f>
        <v>29927.40377723971</v>
      </c>
      <c r="P17" s="196"/>
      <c r="Q17" s="260">
        <f>SUM(Q11:Q15)</f>
        <v>5470.8806565000004</v>
      </c>
      <c r="R17" s="196"/>
      <c r="S17" s="260">
        <f>SUM(S11:S15)</f>
        <v>7294.5075419999994</v>
      </c>
      <c r="T17" s="196"/>
      <c r="U17" s="260">
        <f>SUM(U11:U15)</f>
        <v>1814.0916222760293</v>
      </c>
      <c r="V17" s="196"/>
      <c r="W17" s="260">
        <f>SUM(W11:W15)</f>
        <v>44506.883598015738</v>
      </c>
      <c r="X17" s="85"/>
      <c r="Y17" s="108"/>
      <c r="Z17" s="108"/>
      <c r="AA17" s="108"/>
      <c r="AB17" s="120"/>
      <c r="AC17" s="108"/>
      <c r="AD17" s="119"/>
      <c r="AE17" s="266">
        <f>SUM(AE11:AE15)</f>
        <v>171997.19999999998</v>
      </c>
      <c r="AF17" s="262"/>
      <c r="AG17" s="266">
        <f>SUM(AG11:AG15)</f>
        <v>9232.9650000000001</v>
      </c>
      <c r="AH17" s="265"/>
      <c r="AI17" s="266">
        <f>SUM(AI11:AI15)</f>
        <v>181230.16500000001</v>
      </c>
      <c r="AJ17" s="125"/>
      <c r="AK17" s="93"/>
      <c r="AL17" s="93"/>
      <c r="AM17" s="99"/>
    </row>
    <row r="18" spans="2:39" ht="15.75" thickTop="1">
      <c r="B18" s="70"/>
      <c r="E18" s="261"/>
      <c r="F18" s="198"/>
      <c r="G18" s="252"/>
      <c r="H18" s="198"/>
      <c r="I18" s="252"/>
      <c r="J18" s="198"/>
      <c r="K18" s="252"/>
      <c r="L18" s="198"/>
      <c r="M18" s="252"/>
      <c r="N18" s="198"/>
      <c r="O18" s="252"/>
      <c r="P18" s="198"/>
      <c r="Q18" s="252"/>
      <c r="R18" s="198"/>
      <c r="S18" s="252"/>
      <c r="T18" s="198"/>
      <c r="U18" s="252"/>
      <c r="V18" s="198"/>
      <c r="W18" s="252"/>
      <c r="X18" s="30"/>
      <c r="AE18" s="262"/>
      <c r="AF18" s="262"/>
      <c r="AG18" s="262"/>
      <c r="AH18" s="262"/>
      <c r="AI18" s="267"/>
      <c r="AJ18" s="128"/>
      <c r="AK18" s="128"/>
    </row>
    <row r="19" spans="2:39" s="68" customFormat="1">
      <c r="B19" s="85"/>
      <c r="C19" s="85"/>
      <c r="D19" s="15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85"/>
      <c r="Y19" s="85"/>
      <c r="Z19" s="85"/>
      <c r="AA19" s="85"/>
      <c r="AB19" s="85"/>
      <c r="AC19" s="85"/>
      <c r="AD19" s="85"/>
      <c r="AE19" s="130"/>
      <c r="AF19" s="130"/>
      <c r="AG19" s="130"/>
      <c r="AH19" s="130"/>
      <c r="AI19" s="130"/>
      <c r="AM19" s="85"/>
    </row>
    <row r="20" spans="2:39" s="68" customFormat="1">
      <c r="B20" s="86" t="s">
        <v>424</v>
      </c>
      <c r="C20" s="85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85"/>
      <c r="Y20" s="108"/>
      <c r="Z20" s="108"/>
      <c r="AA20" s="108"/>
      <c r="AB20" s="108"/>
      <c r="AC20" s="108"/>
      <c r="AD20" s="108"/>
      <c r="AE20" s="265"/>
      <c r="AF20" s="265"/>
      <c r="AG20" s="265"/>
      <c r="AH20" s="265"/>
      <c r="AI20" s="265"/>
      <c r="AJ20" s="93"/>
      <c r="AK20" s="93"/>
      <c r="AL20" s="93"/>
      <c r="AM20" s="99"/>
    </row>
    <row r="21" spans="2:39" s="68" customFormat="1">
      <c r="B21" s="86"/>
      <c r="C21" s="85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85"/>
      <c r="Y21" s="108"/>
      <c r="Z21" s="108"/>
      <c r="AA21" s="108"/>
      <c r="AB21" s="108"/>
      <c r="AC21" s="108"/>
      <c r="AD21" s="108"/>
      <c r="AE21" s="265"/>
      <c r="AF21" s="265"/>
      <c r="AG21" s="265"/>
      <c r="AH21" s="265"/>
      <c r="AI21" s="265"/>
      <c r="AJ21" s="93"/>
      <c r="AK21" s="93"/>
      <c r="AL21" s="93"/>
      <c r="AM21" s="99"/>
    </row>
    <row r="22" spans="2:39" s="68" customFormat="1" ht="12.75" customHeight="1">
      <c r="B22" s="84" t="s">
        <v>641</v>
      </c>
      <c r="C22" s="29"/>
      <c r="E22" s="130">
        <f>E11*Y11</f>
        <v>6418.7948555999983</v>
      </c>
      <c r="F22" s="130"/>
      <c r="G22" s="130">
        <f>$Y11*G11</f>
        <v>474.46699999999998</v>
      </c>
      <c r="H22" s="130"/>
      <c r="I22" s="130">
        <f>$Y11*I11</f>
        <v>4.7151999999999994</v>
      </c>
      <c r="J22" s="130"/>
      <c r="K22" s="130">
        <f>$Y11*K11</f>
        <v>25.840980000000002</v>
      </c>
      <c r="L22" s="130"/>
      <c r="M22" s="130">
        <f>SUM(G22:K22)</f>
        <v>505.02317999999997</v>
      </c>
      <c r="N22" s="130"/>
      <c r="O22" s="130">
        <f>$Y11*O11</f>
        <v>629.97184951089582</v>
      </c>
      <c r="P22" s="130"/>
      <c r="Q22" s="196">
        <f>$Y11*Q11</f>
        <v>186.05202479999997</v>
      </c>
      <c r="R22" s="130"/>
      <c r="S22" s="130">
        <f>$Y11*S11</f>
        <v>248.06936639999995</v>
      </c>
      <c r="T22" s="130"/>
      <c r="U22" s="130">
        <f>$Y11*U11</f>
        <v>38.186628648910414</v>
      </c>
      <c r="V22" s="130"/>
      <c r="W22" s="198">
        <f>SUM(O22:U22)</f>
        <v>1102.2798693598061</v>
      </c>
      <c r="X22" s="85"/>
      <c r="Y22" s="108"/>
      <c r="Z22" s="108"/>
      <c r="AA22" s="108"/>
      <c r="AB22" s="108"/>
      <c r="AC22" s="108"/>
      <c r="AD22" s="108"/>
      <c r="AE22" s="265"/>
      <c r="AF22" s="265"/>
      <c r="AG22" s="265"/>
      <c r="AH22" s="265"/>
      <c r="AI22" s="265"/>
      <c r="AJ22" s="93"/>
      <c r="AK22" s="93"/>
      <c r="AL22" s="93"/>
      <c r="AM22" s="99"/>
    </row>
    <row r="23" spans="2:39" s="68" customFormat="1" ht="12.75" customHeight="1">
      <c r="B23" s="84" t="s">
        <v>642</v>
      </c>
      <c r="C23" s="29"/>
      <c r="E23" s="130">
        <f>E12*Y12</f>
        <v>13226.440560839999</v>
      </c>
      <c r="F23" s="130"/>
      <c r="G23" s="130">
        <f>$Y12*G12</f>
        <v>977.76900000000001</v>
      </c>
      <c r="H23" s="130"/>
      <c r="I23" s="130">
        <f>$Y12*I12</f>
        <v>26.6448</v>
      </c>
      <c r="J23" s="130"/>
      <c r="K23" s="130">
        <f>$Y12*K12</f>
        <v>146.02302</v>
      </c>
      <c r="L23" s="130"/>
      <c r="M23" s="130">
        <f>SUM(G23:K23)</f>
        <v>1150.4368200000001</v>
      </c>
      <c r="N23" s="130"/>
      <c r="O23" s="130">
        <f>$Y12*O12</f>
        <v>3559.8646793026633</v>
      </c>
      <c r="P23" s="130"/>
      <c r="Q23" s="196">
        <f>$Y12*Q12</f>
        <v>383.37508871999995</v>
      </c>
      <c r="R23" s="130"/>
      <c r="S23" s="130">
        <f>$Y12*S12</f>
        <v>511.16678496000003</v>
      </c>
      <c r="T23" s="130"/>
      <c r="U23" s="130">
        <f>$Y12*U12</f>
        <v>215.78619846973368</v>
      </c>
      <c r="V23" s="130"/>
      <c r="W23" s="198">
        <f>SUM(O23:U23)</f>
        <v>4670.1927514523968</v>
      </c>
      <c r="X23" s="85"/>
      <c r="Y23" s="108"/>
      <c r="Z23" s="108"/>
      <c r="AA23" s="108"/>
      <c r="AB23" s="108"/>
      <c r="AC23" s="108"/>
      <c r="AD23" s="108"/>
      <c r="AE23" s="265"/>
      <c r="AF23" s="265"/>
      <c r="AG23" s="265"/>
      <c r="AH23" s="265"/>
      <c r="AI23" s="265"/>
      <c r="AJ23" s="93"/>
      <c r="AK23" s="93"/>
      <c r="AL23" s="93"/>
      <c r="AM23" s="99"/>
    </row>
    <row r="24" spans="2:39" s="68" customFormat="1" ht="12.75" customHeight="1">
      <c r="B24" s="84" t="s">
        <v>301</v>
      </c>
      <c r="C24" s="29"/>
      <c r="E24" s="130">
        <f>Y13*E13</f>
        <v>21158.883333899998</v>
      </c>
      <c r="F24" s="130"/>
      <c r="G24" s="130">
        <f>$Y13*G13</f>
        <v>1563.9546</v>
      </c>
      <c r="H24" s="130"/>
      <c r="I24" s="130">
        <f>$Y13*I13</f>
        <v>26.6448</v>
      </c>
      <c r="J24" s="130"/>
      <c r="K24" s="130">
        <f>$Y13*K13</f>
        <v>146.02302</v>
      </c>
      <c r="L24" s="130"/>
      <c r="M24" s="130">
        <f>SUM(G24:K24)</f>
        <v>1736.6224200000001</v>
      </c>
      <c r="N24" s="130"/>
      <c r="O24" s="130">
        <f>$Y13*O13</f>
        <v>3559.8646793026633</v>
      </c>
      <c r="P24" s="130"/>
      <c r="Q24" s="196">
        <f>$Y13*Q13</f>
        <v>613.30096620000006</v>
      </c>
      <c r="R24" s="130"/>
      <c r="S24" s="130">
        <f>$Y13*S13</f>
        <v>817.73462159999997</v>
      </c>
      <c r="T24" s="130"/>
      <c r="U24" s="130">
        <f>$Y13*U13</f>
        <v>215.78619846973368</v>
      </c>
      <c r="V24" s="130"/>
      <c r="W24" s="198">
        <f>SUM(O24:U24)</f>
        <v>5206.6864655723966</v>
      </c>
      <c r="X24" s="85"/>
      <c r="Y24" s="108"/>
      <c r="Z24" s="108"/>
      <c r="AA24" s="108"/>
      <c r="AB24" s="108"/>
      <c r="AC24" s="108"/>
      <c r="AD24" s="108"/>
      <c r="AE24" s="265"/>
      <c r="AF24" s="265"/>
      <c r="AG24" s="265"/>
      <c r="AH24" s="265"/>
      <c r="AI24" s="265"/>
      <c r="AJ24" s="93"/>
      <c r="AK24" s="93"/>
      <c r="AL24" s="93"/>
      <c r="AM24" s="99"/>
    </row>
    <row r="25" spans="2:39" s="68" customFormat="1" ht="12.75" customHeight="1">
      <c r="B25" s="84" t="str">
        <f>+C14</f>
        <v>Vaughn, Stephen R.</v>
      </c>
      <c r="C25" s="29"/>
      <c r="E25" s="130">
        <f>Y14*E14</f>
        <v>3289.8676603949998</v>
      </c>
      <c r="F25" s="130"/>
      <c r="G25" s="130">
        <f>$Y14*G14</f>
        <v>250.495</v>
      </c>
      <c r="H25" s="130"/>
      <c r="I25" s="130">
        <f>$Y14*I14</f>
        <v>4.7151999999999994</v>
      </c>
      <c r="J25" s="130"/>
      <c r="K25" s="130">
        <f>$Y14*K14</f>
        <v>25.840980000000002</v>
      </c>
      <c r="L25" s="130"/>
      <c r="M25" s="130">
        <f>SUM(G25:K25)</f>
        <v>281.05118000000004</v>
      </c>
      <c r="N25" s="130"/>
      <c r="O25" s="130">
        <f>$Y14*O14</f>
        <v>629.97184951089582</v>
      </c>
      <c r="P25" s="130"/>
      <c r="Q25" s="196">
        <f>$Y14*Q14</f>
        <v>98.219237397299992</v>
      </c>
      <c r="R25" s="130"/>
      <c r="S25" s="130">
        <f>$Y14*S14</f>
        <v>130.9589831964</v>
      </c>
      <c r="T25" s="130"/>
      <c r="U25" s="130">
        <f>$Y14*U14</f>
        <v>38.186628648910414</v>
      </c>
      <c r="V25" s="130"/>
      <c r="W25" s="198">
        <f>SUM(O25:U25)</f>
        <v>897.3366987535062</v>
      </c>
      <c r="X25" s="85"/>
      <c r="Y25" s="108"/>
      <c r="Z25" s="108"/>
      <c r="AA25" s="108"/>
      <c r="AB25" s="108"/>
      <c r="AC25" s="108"/>
      <c r="AD25" s="108"/>
      <c r="AE25" s="265"/>
      <c r="AF25" s="265"/>
      <c r="AG25" s="265"/>
      <c r="AH25" s="265"/>
      <c r="AI25" s="265"/>
      <c r="AJ25" s="93"/>
      <c r="AK25" s="93"/>
      <c r="AL25" s="93"/>
      <c r="AM25" s="99"/>
    </row>
    <row r="26" spans="2:39" s="68" customFormat="1" ht="12" customHeight="1">
      <c r="B26" s="84"/>
      <c r="C26" s="29"/>
      <c r="E26" s="130"/>
      <c r="F26" s="130"/>
      <c r="G26" s="130"/>
      <c r="H26" s="130"/>
      <c r="I26" s="130"/>
      <c r="J26" s="130"/>
      <c r="K26" s="130"/>
      <c r="L26" s="130"/>
      <c r="M26" s="196"/>
      <c r="N26" s="130"/>
      <c r="O26" s="130"/>
      <c r="P26" s="130"/>
      <c r="Q26" s="130"/>
      <c r="R26" s="130"/>
      <c r="S26" s="130"/>
      <c r="T26" s="130"/>
      <c r="U26" s="130"/>
      <c r="V26" s="130"/>
      <c r="W26" s="198"/>
      <c r="X26" s="85"/>
      <c r="Y26" s="108"/>
      <c r="Z26" s="108"/>
      <c r="AA26" s="108"/>
      <c r="AB26" s="108"/>
      <c r="AC26" s="108"/>
      <c r="AD26" s="108"/>
      <c r="AE26" s="265"/>
      <c r="AF26" s="265"/>
      <c r="AG26" s="265"/>
      <c r="AH26" s="265"/>
      <c r="AI26" s="265"/>
      <c r="AJ26" s="93"/>
      <c r="AK26" s="93"/>
      <c r="AL26" s="93"/>
      <c r="AM26" s="99"/>
    </row>
    <row r="27" spans="2:39" s="68" customFormat="1">
      <c r="B27" s="70" t="s">
        <v>65</v>
      </c>
      <c r="C27" s="29"/>
      <c r="E27" s="259">
        <f>SUM(E22:E26)</f>
        <v>44093.986410735</v>
      </c>
      <c r="F27" s="259">
        <f t="shared" ref="F27:W27" si="0">SUM(F22:F26)</f>
        <v>0</v>
      </c>
      <c r="G27" s="259">
        <f t="shared" si="0"/>
        <v>3266.6855999999998</v>
      </c>
      <c r="H27" s="259">
        <f t="shared" si="0"/>
        <v>0</v>
      </c>
      <c r="I27" s="259">
        <f t="shared" si="0"/>
        <v>62.72</v>
      </c>
      <c r="J27" s="259">
        <f t="shared" si="0"/>
        <v>0</v>
      </c>
      <c r="K27" s="259">
        <f t="shared" si="0"/>
        <v>343.72800000000001</v>
      </c>
      <c r="L27" s="259">
        <f t="shared" si="0"/>
        <v>0</v>
      </c>
      <c r="M27" s="259">
        <f t="shared" si="0"/>
        <v>3673.1336000000001</v>
      </c>
      <c r="N27" s="259">
        <f t="shared" si="0"/>
        <v>0</v>
      </c>
      <c r="O27" s="259">
        <f t="shared" si="0"/>
        <v>8379.6730576271184</v>
      </c>
      <c r="P27" s="259">
        <f t="shared" si="0"/>
        <v>0</v>
      </c>
      <c r="Q27" s="259">
        <f t="shared" si="0"/>
        <v>1280.9473171173001</v>
      </c>
      <c r="R27" s="259">
        <f t="shared" si="0"/>
        <v>0</v>
      </c>
      <c r="S27" s="259">
        <f t="shared" si="0"/>
        <v>1707.9297561563999</v>
      </c>
      <c r="T27" s="259">
        <f t="shared" si="0"/>
        <v>0</v>
      </c>
      <c r="U27" s="259">
        <f t="shared" si="0"/>
        <v>507.94565423728818</v>
      </c>
      <c r="V27" s="259">
        <f t="shared" si="0"/>
        <v>0</v>
      </c>
      <c r="W27" s="259">
        <f t="shared" si="0"/>
        <v>11876.495785138106</v>
      </c>
      <c r="X27" s="443"/>
      <c r="Y27" s="108"/>
      <c r="Z27" s="108"/>
      <c r="AA27" s="108"/>
      <c r="AB27" s="108"/>
      <c r="AC27" s="108"/>
      <c r="AD27" s="108"/>
      <c r="AE27" s="265"/>
      <c r="AF27" s="265"/>
      <c r="AG27" s="265"/>
      <c r="AH27" s="265"/>
      <c r="AI27" s="265"/>
      <c r="AJ27" s="93"/>
      <c r="AK27" s="93"/>
      <c r="AL27" s="93"/>
      <c r="AM27" s="99"/>
    </row>
    <row r="28" spans="2:39" s="68" customFormat="1">
      <c r="B28" s="85"/>
      <c r="C28" s="85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85"/>
      <c r="Y28" s="108"/>
      <c r="Z28" s="108"/>
      <c r="AA28" s="108"/>
      <c r="AB28" s="108"/>
      <c r="AC28" s="108"/>
      <c r="AD28" s="108"/>
      <c r="AE28" s="265"/>
      <c r="AF28" s="265"/>
      <c r="AG28" s="265"/>
      <c r="AH28" s="265"/>
      <c r="AI28" s="265"/>
      <c r="AJ28" s="93"/>
      <c r="AK28" s="93"/>
      <c r="AL28" s="93"/>
      <c r="AM28" s="99"/>
    </row>
    <row r="29" spans="2:39" s="85" customFormat="1">
      <c r="E29" s="130"/>
      <c r="F29" s="130"/>
      <c r="G29" s="252"/>
      <c r="H29" s="130"/>
      <c r="I29" s="130"/>
      <c r="J29" s="130"/>
      <c r="K29" s="130"/>
      <c r="L29" s="130"/>
      <c r="M29" s="252"/>
      <c r="N29" s="130"/>
      <c r="O29" s="130"/>
      <c r="P29" s="130"/>
      <c r="Q29" s="130"/>
      <c r="R29" s="252"/>
      <c r="S29" s="130"/>
      <c r="T29" s="130"/>
      <c r="U29" s="130"/>
      <c r="V29" s="130"/>
      <c r="W29" s="252"/>
      <c r="Y29" s="100"/>
      <c r="Z29" s="100"/>
      <c r="AA29" s="122"/>
      <c r="AB29" s="120"/>
      <c r="AC29" s="107"/>
      <c r="AD29" s="108"/>
      <c r="AE29" s="265"/>
      <c r="AF29" s="265"/>
      <c r="AG29" s="349"/>
      <c r="AH29" s="265"/>
      <c r="AI29" s="265"/>
      <c r="AJ29" s="108"/>
      <c r="AK29" s="108"/>
      <c r="AL29" s="108"/>
      <c r="AM29" s="109"/>
    </row>
    <row r="30" spans="2:39" s="85" customFormat="1">
      <c r="E30" s="289"/>
      <c r="F30" s="130"/>
      <c r="G30" s="252"/>
      <c r="H30" s="130"/>
      <c r="I30" s="130"/>
      <c r="J30" s="130"/>
      <c r="K30" s="130"/>
      <c r="L30" s="130"/>
      <c r="M30" s="252"/>
      <c r="N30" s="130"/>
      <c r="O30" s="130"/>
      <c r="P30" s="130"/>
      <c r="Q30" s="130"/>
      <c r="R30" s="252"/>
      <c r="S30" s="130"/>
      <c r="T30" s="130"/>
      <c r="U30" s="130"/>
      <c r="V30" s="130"/>
      <c r="W30" s="252"/>
      <c r="Y30" s="100"/>
      <c r="Z30" s="100"/>
      <c r="AA30" s="122"/>
      <c r="AB30" s="120"/>
      <c r="AC30" s="107"/>
      <c r="AD30" s="108"/>
      <c r="AE30" s="265"/>
      <c r="AF30" s="265"/>
      <c r="AG30" s="349"/>
      <c r="AH30" s="265"/>
      <c r="AI30" s="265"/>
      <c r="AJ30" s="108"/>
      <c r="AK30" s="108"/>
      <c r="AL30" s="108"/>
      <c r="AM30" s="109"/>
    </row>
    <row r="31" spans="2:39" s="85" customFormat="1">
      <c r="E31" s="130"/>
      <c r="F31" s="130"/>
      <c r="G31" s="252"/>
      <c r="H31" s="130"/>
      <c r="I31" s="130"/>
      <c r="J31" s="130"/>
      <c r="K31" s="130"/>
      <c r="L31" s="130"/>
      <c r="M31" s="252"/>
      <c r="N31" s="130"/>
      <c r="O31" s="130"/>
      <c r="P31" s="130"/>
      <c r="Q31" s="130"/>
      <c r="R31" s="252"/>
      <c r="S31" s="130"/>
      <c r="T31" s="130"/>
      <c r="U31" s="130"/>
      <c r="V31" s="130"/>
      <c r="W31" s="252"/>
      <c r="Y31" s="100"/>
      <c r="Z31" s="100"/>
      <c r="AA31" s="122"/>
      <c r="AB31" s="120"/>
      <c r="AC31" s="107"/>
      <c r="AD31" s="108"/>
      <c r="AE31" s="265"/>
      <c r="AF31" s="265"/>
      <c r="AG31" s="349"/>
      <c r="AH31" s="265"/>
      <c r="AI31" s="265"/>
      <c r="AJ31" s="108"/>
      <c r="AK31" s="108"/>
      <c r="AL31" s="108"/>
      <c r="AM31" s="109"/>
    </row>
    <row r="32" spans="2:39" s="85" customFormat="1">
      <c r="B32" s="86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Y32" s="108"/>
      <c r="Z32" s="108"/>
      <c r="AA32" s="108"/>
      <c r="AB32" s="108"/>
      <c r="AC32" s="108"/>
      <c r="AD32" s="108"/>
      <c r="AE32" s="265"/>
      <c r="AF32" s="265"/>
      <c r="AG32" s="265"/>
      <c r="AH32" s="265"/>
      <c r="AI32" s="265"/>
      <c r="AJ32" s="108"/>
      <c r="AK32" s="108"/>
      <c r="AL32" s="108"/>
      <c r="AM32" s="109"/>
    </row>
    <row r="33" spans="2:54" s="85" customFormat="1">
      <c r="B33" s="86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9"/>
    </row>
    <row r="34" spans="2:54" s="85" customFormat="1">
      <c r="B34" s="86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Y34" s="100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9"/>
    </row>
    <row r="35" spans="2:54" s="85" customFormat="1"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9"/>
    </row>
    <row r="36" spans="2:54" s="88" customFormat="1">
      <c r="C36" s="350"/>
      <c r="W36" s="351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352"/>
    </row>
    <row r="37" spans="2:54" s="85" customFormat="1">
      <c r="C37" s="353"/>
      <c r="M37" s="30"/>
      <c r="W37" s="30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9"/>
    </row>
    <row r="38" spans="2:54" s="30" customFormat="1"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</row>
    <row r="39" spans="2:54" s="85" customFormat="1">
      <c r="D39" s="89"/>
      <c r="H39" s="90"/>
      <c r="L39" s="90"/>
      <c r="P39" s="90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</row>
    <row r="40" spans="2:54" s="30" customFormat="1">
      <c r="D40" s="354"/>
      <c r="E40" s="354"/>
      <c r="G40" s="354"/>
      <c r="H40" s="354"/>
      <c r="I40" s="354"/>
      <c r="K40" s="354"/>
      <c r="L40" s="354"/>
      <c r="M40" s="354"/>
      <c r="N40" s="85"/>
      <c r="O40" s="354"/>
      <c r="P40" s="354"/>
      <c r="Q40" s="354"/>
      <c r="R40" s="85"/>
      <c r="S40" s="85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9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</row>
    <row r="41" spans="2:54" s="30" customFormat="1">
      <c r="D41" s="252"/>
      <c r="E41" s="252"/>
      <c r="F41" s="252"/>
      <c r="G41" s="252"/>
      <c r="H41" s="252"/>
      <c r="I41" s="252"/>
      <c r="J41" s="252"/>
      <c r="K41" s="130"/>
      <c r="L41" s="130"/>
      <c r="M41" s="130"/>
      <c r="N41" s="130"/>
      <c r="O41" s="130"/>
      <c r="P41" s="130"/>
      <c r="Q41" s="130"/>
      <c r="R41" s="85"/>
      <c r="S41" s="355"/>
      <c r="T41" s="81"/>
      <c r="U41" s="85"/>
      <c r="V41" s="85"/>
      <c r="W41" s="356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9"/>
    </row>
    <row r="42" spans="2:54" s="30" customFormat="1">
      <c r="D42" s="252"/>
      <c r="E42" s="252"/>
      <c r="F42" s="252"/>
      <c r="G42" s="252"/>
      <c r="H42" s="252"/>
      <c r="I42" s="252"/>
      <c r="J42" s="252"/>
      <c r="K42" s="130"/>
      <c r="L42" s="130"/>
      <c r="M42" s="130"/>
      <c r="N42" s="130"/>
      <c r="O42" s="130"/>
      <c r="P42" s="130"/>
      <c r="Q42" s="130"/>
      <c r="R42" s="85"/>
      <c r="S42" s="355"/>
      <c r="T42" s="81"/>
      <c r="U42" s="291"/>
      <c r="V42" s="85"/>
      <c r="W42" s="356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9"/>
    </row>
    <row r="43" spans="2:54" s="30" customFormat="1">
      <c r="D43" s="252"/>
      <c r="E43" s="252"/>
      <c r="F43" s="252"/>
      <c r="G43" s="252"/>
      <c r="H43" s="252"/>
      <c r="I43" s="252"/>
      <c r="J43" s="252"/>
      <c r="K43" s="130"/>
      <c r="L43" s="130"/>
      <c r="M43" s="130"/>
      <c r="N43" s="130"/>
      <c r="O43" s="130"/>
      <c r="P43" s="130"/>
      <c r="Q43" s="130"/>
      <c r="R43" s="85"/>
      <c r="S43" s="355"/>
      <c r="T43" s="81"/>
      <c r="U43" s="85"/>
      <c r="V43" s="85"/>
      <c r="W43" s="356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9"/>
    </row>
    <row r="44" spans="2:54" s="30" customFormat="1">
      <c r="D44" s="252"/>
      <c r="E44" s="252"/>
      <c r="F44" s="252"/>
      <c r="G44" s="252"/>
      <c r="H44" s="252"/>
      <c r="I44" s="252"/>
      <c r="J44" s="252"/>
      <c r="K44" s="130"/>
      <c r="L44" s="130"/>
      <c r="M44" s="130"/>
      <c r="N44" s="130"/>
      <c r="O44" s="130"/>
      <c r="P44" s="130"/>
      <c r="Q44" s="130"/>
      <c r="R44" s="85"/>
      <c r="S44" s="355"/>
      <c r="T44" s="81"/>
      <c r="U44" s="85"/>
      <c r="V44" s="85"/>
      <c r="W44" s="356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9"/>
    </row>
    <row r="45" spans="2:54" s="85" customFormat="1">
      <c r="D45" s="130"/>
      <c r="E45" s="130"/>
      <c r="F45" s="130"/>
      <c r="G45" s="130"/>
      <c r="H45" s="130"/>
      <c r="I45" s="252"/>
      <c r="J45" s="130"/>
      <c r="K45" s="130"/>
      <c r="L45" s="130"/>
      <c r="M45" s="130"/>
      <c r="N45" s="130"/>
      <c r="O45" s="130"/>
      <c r="P45" s="130"/>
      <c r="Q45" s="252"/>
      <c r="S45" s="355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9"/>
    </row>
    <row r="46" spans="2:54" s="30" customFormat="1"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9"/>
    </row>
    <row r="47" spans="2:54" s="30" customFormat="1">
      <c r="D47" s="252"/>
      <c r="E47" s="252"/>
      <c r="F47" s="252"/>
      <c r="G47" s="252"/>
      <c r="H47" s="252"/>
      <c r="I47" s="252"/>
      <c r="J47" s="252"/>
      <c r="K47" s="252"/>
      <c r="L47" s="130"/>
      <c r="M47" s="252"/>
      <c r="N47" s="130"/>
      <c r="O47" s="252"/>
      <c r="P47" s="130"/>
      <c r="Q47" s="252"/>
      <c r="R47" s="130"/>
      <c r="S47" s="130"/>
      <c r="U47" s="85"/>
      <c r="V47" s="85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9"/>
    </row>
    <row r="48" spans="2:54" s="30" customFormat="1">
      <c r="D48" s="252"/>
      <c r="E48" s="252"/>
      <c r="F48" s="252"/>
      <c r="G48" s="252"/>
      <c r="H48" s="252"/>
      <c r="I48" s="252"/>
      <c r="J48" s="252"/>
      <c r="K48" s="130"/>
      <c r="L48" s="130"/>
      <c r="M48" s="130"/>
      <c r="N48" s="130"/>
      <c r="O48" s="130"/>
      <c r="P48" s="130"/>
      <c r="Q48" s="130"/>
      <c r="R48" s="130"/>
      <c r="S48" s="130"/>
      <c r="U48" s="85"/>
      <c r="V48" s="85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9"/>
    </row>
    <row r="49" spans="4:39" s="30" customFormat="1">
      <c r="D49" s="252"/>
      <c r="E49" s="252"/>
      <c r="F49" s="252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U49" s="85"/>
      <c r="V49" s="85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9"/>
    </row>
    <row r="50" spans="4:39" s="30" customFormat="1">
      <c r="D50" s="252"/>
      <c r="E50" s="252"/>
      <c r="F50" s="252"/>
      <c r="G50" s="252"/>
      <c r="H50" s="252"/>
      <c r="I50" s="252"/>
      <c r="J50" s="252"/>
      <c r="K50" s="130"/>
      <c r="L50" s="130"/>
      <c r="M50" s="130"/>
      <c r="N50" s="130"/>
      <c r="O50" s="130"/>
      <c r="P50" s="130"/>
      <c r="Q50" s="130"/>
      <c r="R50" s="130"/>
      <c r="S50" s="130"/>
      <c r="U50" s="85"/>
      <c r="V50" s="85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9"/>
    </row>
    <row r="51" spans="4:39" s="81" customFormat="1" ht="14.25">
      <c r="D51" s="290"/>
      <c r="E51" s="290"/>
      <c r="F51" s="290"/>
      <c r="G51" s="290"/>
      <c r="H51" s="290"/>
      <c r="I51" s="290"/>
      <c r="J51" s="290"/>
      <c r="K51" s="357"/>
      <c r="L51" s="357"/>
      <c r="M51" s="357"/>
      <c r="N51" s="357"/>
      <c r="O51" s="357"/>
      <c r="P51" s="357"/>
      <c r="Q51" s="357"/>
      <c r="R51" s="357"/>
      <c r="S51" s="357"/>
      <c r="U51" s="86"/>
      <c r="V51" s="86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358"/>
    </row>
    <row r="52" spans="4:39" s="30" customFormat="1">
      <c r="D52" s="31"/>
      <c r="E52" s="75"/>
      <c r="G52" s="75"/>
      <c r="H52" s="75"/>
      <c r="I52" s="75"/>
      <c r="K52" s="75"/>
      <c r="L52" s="75"/>
      <c r="M52" s="75"/>
      <c r="N52" s="85"/>
      <c r="O52" s="75"/>
      <c r="P52" s="75"/>
      <c r="Q52" s="75"/>
      <c r="R52" s="85"/>
      <c r="S52" s="85"/>
      <c r="V52" s="85"/>
      <c r="W52" s="85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9"/>
    </row>
    <row r="53" spans="4:39" s="30" customFormat="1">
      <c r="D53" s="19"/>
      <c r="P53" s="81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9"/>
    </row>
    <row r="54" spans="4:39" s="30" customFormat="1">
      <c r="D54" s="19"/>
      <c r="W54" s="85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9"/>
    </row>
    <row r="55" spans="4:39" s="30" customFormat="1">
      <c r="D55" s="19"/>
      <c r="W55" s="85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9"/>
    </row>
    <row r="56" spans="4:39" s="30" customFormat="1">
      <c r="D56" s="19"/>
      <c r="W56" s="85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9"/>
    </row>
    <row r="57" spans="4:39" s="30" customFormat="1">
      <c r="D57" s="19"/>
      <c r="W57" s="85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9"/>
    </row>
    <row r="58" spans="4:39" s="30" customFormat="1">
      <c r="D58" s="19"/>
      <c r="W58" s="85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9"/>
    </row>
    <row r="59" spans="4:39" s="30" customFormat="1">
      <c r="D59" s="19"/>
      <c r="W59" s="85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9"/>
    </row>
    <row r="60" spans="4:39" s="30" customFormat="1">
      <c r="D60" s="19"/>
      <c r="W60" s="85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9"/>
    </row>
    <row r="61" spans="4:39" s="30" customFormat="1">
      <c r="D61" s="19"/>
      <c r="W61" s="85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9"/>
    </row>
    <row r="62" spans="4:39" s="30" customFormat="1">
      <c r="D62" s="19"/>
      <c r="K62" s="289"/>
      <c r="W62" s="85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9"/>
    </row>
    <row r="63" spans="4:39" s="30" customFormat="1">
      <c r="D63" s="19"/>
      <c r="W63" s="85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9"/>
    </row>
    <row r="64" spans="4:39" s="30" customFormat="1">
      <c r="D64" s="19"/>
      <c r="W64" s="85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9"/>
    </row>
    <row r="65" spans="4:39" s="30" customFormat="1">
      <c r="D65" s="19"/>
      <c r="W65" s="85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9"/>
    </row>
    <row r="66" spans="4:39" s="30" customFormat="1">
      <c r="D66" s="19"/>
      <c r="W66" s="85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9"/>
    </row>
    <row r="67" spans="4:39" s="30" customFormat="1">
      <c r="D67" s="19"/>
      <c r="W67" s="85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9"/>
    </row>
    <row r="68" spans="4:39" s="30" customFormat="1">
      <c r="D68" s="19"/>
      <c r="W68" s="85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9"/>
    </row>
    <row r="69" spans="4:39" s="30" customFormat="1">
      <c r="D69" s="19"/>
      <c r="W69" s="85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9"/>
    </row>
    <row r="70" spans="4:39" s="30" customFormat="1">
      <c r="D70" s="19"/>
      <c r="E70" s="91"/>
      <c r="F70" s="92"/>
      <c r="G70" s="92"/>
      <c r="H70" s="75"/>
      <c r="I70" s="92"/>
      <c r="W70" s="85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9"/>
    </row>
    <row r="71" spans="4:39" s="30" customFormat="1"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9"/>
    </row>
    <row r="72" spans="4:39" s="30" customFormat="1"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9"/>
    </row>
    <row r="73" spans="4:39" s="30" customFormat="1">
      <c r="D73" s="19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9"/>
    </row>
    <row r="74" spans="4:39" s="30" customFormat="1">
      <c r="D74" s="19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9"/>
    </row>
    <row r="75" spans="4:39" s="30" customFormat="1">
      <c r="D75" s="19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9"/>
    </row>
    <row r="76" spans="4:39" s="30" customFormat="1">
      <c r="G76" s="289"/>
      <c r="S76" s="289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9"/>
    </row>
    <row r="77" spans="4:39" s="30" customFormat="1">
      <c r="D77" s="19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9"/>
    </row>
    <row r="78" spans="4:39" s="30" customFormat="1">
      <c r="D78" s="19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9"/>
    </row>
    <row r="79" spans="4:39" s="30" customFormat="1">
      <c r="D79" s="19"/>
      <c r="G79" s="289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9"/>
    </row>
    <row r="80" spans="4:39" s="30" customFormat="1">
      <c r="D80" s="19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9"/>
    </row>
    <row r="81" spans="4:39" s="30" customFormat="1">
      <c r="D81" s="19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9"/>
    </row>
    <row r="82" spans="4:39" s="30" customFormat="1">
      <c r="D82" s="19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9"/>
    </row>
    <row r="83" spans="4:39" s="30" customFormat="1">
      <c r="D83" s="19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9"/>
    </row>
    <row r="84" spans="4:39" s="30" customFormat="1">
      <c r="D84" s="19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9"/>
    </row>
    <row r="85" spans="4:39" s="30" customFormat="1">
      <c r="D85" s="19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9"/>
    </row>
    <row r="86" spans="4:39" s="30" customFormat="1">
      <c r="D86" s="19"/>
      <c r="I86" s="81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9"/>
    </row>
    <row r="87" spans="4:39" s="30" customFormat="1">
      <c r="D87" s="19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9"/>
    </row>
    <row r="88" spans="4:39" s="30" customFormat="1">
      <c r="D88" s="19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9"/>
    </row>
    <row r="89" spans="4:39" s="30" customFormat="1">
      <c r="D89" s="19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9"/>
    </row>
    <row r="90" spans="4:39" s="30" customFormat="1">
      <c r="D90" s="19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9"/>
    </row>
    <row r="91" spans="4:39" s="30" customFormat="1">
      <c r="D91" s="19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9"/>
    </row>
    <row r="92" spans="4:39" s="30" customFormat="1">
      <c r="D92" s="19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9"/>
    </row>
    <row r="93" spans="4:39" s="30" customFormat="1">
      <c r="D93" s="19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9"/>
    </row>
    <row r="94" spans="4:39" s="30" customFormat="1">
      <c r="D94" s="19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9"/>
    </row>
    <row r="95" spans="4:39" s="30" customFormat="1">
      <c r="D95" s="19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9"/>
    </row>
    <row r="96" spans="4:39" s="30" customFormat="1">
      <c r="D96" s="19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9"/>
    </row>
    <row r="97" spans="4:39" s="30" customFormat="1">
      <c r="D97" s="19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9"/>
    </row>
    <row r="98" spans="4:39" s="30" customFormat="1">
      <c r="D98" s="19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9"/>
    </row>
    <row r="99" spans="4:39" s="30" customFormat="1">
      <c r="D99" s="19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9"/>
    </row>
    <row r="100" spans="4:39" s="30" customFormat="1">
      <c r="D100" s="19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4:39" s="30" customFormat="1">
      <c r="D101" s="19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9"/>
    </row>
    <row r="102" spans="4:39" s="30" customFormat="1">
      <c r="D102" s="19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9"/>
    </row>
    <row r="103" spans="4:39" s="30" customFormat="1">
      <c r="D103" s="19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9"/>
    </row>
    <row r="104" spans="4:39" s="30" customFormat="1">
      <c r="D104" s="19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9"/>
    </row>
    <row r="105" spans="4:39" s="30" customFormat="1">
      <c r="D105" s="19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9"/>
    </row>
    <row r="106" spans="4:39" s="30" customFormat="1">
      <c r="D106" s="19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9"/>
    </row>
    <row r="107" spans="4:39" s="30" customFormat="1">
      <c r="D107" s="19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9"/>
    </row>
    <row r="108" spans="4:39" s="30" customFormat="1">
      <c r="D108" s="19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9"/>
    </row>
    <row r="109" spans="4:39" s="30" customFormat="1">
      <c r="D109" s="19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9"/>
    </row>
    <row r="110" spans="4:39" s="30" customFormat="1">
      <c r="D110" s="19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9"/>
    </row>
    <row r="111" spans="4:39" s="30" customFormat="1">
      <c r="D111" s="19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9"/>
    </row>
    <row r="112" spans="4:39" s="30" customFormat="1">
      <c r="D112" s="19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9"/>
    </row>
    <row r="113" spans="4:39" s="30" customFormat="1">
      <c r="D113" s="19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9"/>
    </row>
    <row r="114" spans="4:39" s="30" customFormat="1">
      <c r="D114" s="19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9"/>
    </row>
    <row r="115" spans="4:39" s="30" customFormat="1">
      <c r="D115" s="19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9"/>
    </row>
    <row r="116" spans="4:39" s="30" customFormat="1">
      <c r="D116" s="19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9"/>
    </row>
    <row r="117" spans="4:39" s="30" customFormat="1">
      <c r="D117" s="19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9"/>
    </row>
    <row r="118" spans="4:39" s="30" customFormat="1">
      <c r="D118" s="19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9"/>
    </row>
    <row r="119" spans="4:39" s="30" customFormat="1">
      <c r="D119" s="19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9"/>
    </row>
    <row r="120" spans="4:39" s="30" customFormat="1">
      <c r="D120" s="19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9"/>
    </row>
    <row r="121" spans="4:39" s="30" customFormat="1">
      <c r="D121" s="19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9"/>
    </row>
    <row r="122" spans="4:39" s="30" customFormat="1">
      <c r="D122" s="19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9"/>
    </row>
    <row r="123" spans="4:39" s="30" customFormat="1">
      <c r="D123" s="19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9"/>
    </row>
    <row r="124" spans="4:39" s="30" customFormat="1">
      <c r="D124" s="19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9"/>
    </row>
    <row r="125" spans="4:39" s="30" customFormat="1">
      <c r="D125" s="19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9"/>
    </row>
    <row r="126" spans="4:39" s="30" customFormat="1">
      <c r="D126" s="19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9"/>
    </row>
    <row r="127" spans="4:39" s="30" customFormat="1">
      <c r="D127" s="19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9"/>
    </row>
    <row r="128" spans="4:39" s="30" customFormat="1">
      <c r="D128" s="19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9"/>
    </row>
    <row r="129" spans="4:39" s="30" customFormat="1">
      <c r="D129" s="19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9"/>
    </row>
    <row r="130" spans="4:39" s="30" customFormat="1">
      <c r="D130" s="19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9"/>
    </row>
    <row r="131" spans="4:39" s="30" customFormat="1">
      <c r="D131" s="19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9"/>
    </row>
    <row r="132" spans="4:39" s="30" customFormat="1">
      <c r="D132" s="19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9"/>
    </row>
    <row r="133" spans="4:39" s="30" customFormat="1">
      <c r="D133" s="19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9"/>
    </row>
    <row r="134" spans="4:39" s="30" customFormat="1">
      <c r="D134" s="19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9"/>
    </row>
    <row r="135" spans="4:39" s="30" customFormat="1">
      <c r="D135" s="19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9"/>
    </row>
    <row r="136" spans="4:39" s="30" customFormat="1">
      <c r="D136" s="19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9"/>
    </row>
    <row r="137" spans="4:39" s="30" customFormat="1">
      <c r="D137" s="19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9"/>
    </row>
    <row r="138" spans="4:39" s="30" customFormat="1">
      <c r="D138" s="19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9"/>
    </row>
    <row r="139" spans="4:39" s="30" customFormat="1">
      <c r="D139" s="19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9"/>
    </row>
    <row r="140" spans="4:39" s="30" customFormat="1">
      <c r="D140" s="19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9"/>
    </row>
    <row r="141" spans="4:39" s="30" customFormat="1">
      <c r="D141" s="19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9"/>
    </row>
    <row r="142" spans="4:39" s="30" customFormat="1">
      <c r="D142" s="19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9"/>
    </row>
    <row r="143" spans="4:39" s="30" customFormat="1">
      <c r="D143" s="19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9"/>
    </row>
    <row r="144" spans="4:39" s="30" customFormat="1">
      <c r="D144" s="19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9"/>
    </row>
    <row r="145" spans="4:39" s="30" customFormat="1">
      <c r="D145" s="19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9"/>
    </row>
    <row r="146" spans="4:39" s="30" customFormat="1">
      <c r="D146" s="19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9"/>
    </row>
    <row r="147" spans="4:39" s="30" customFormat="1">
      <c r="D147" s="19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9"/>
    </row>
    <row r="148" spans="4:39" s="30" customFormat="1">
      <c r="D148" s="19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9"/>
    </row>
    <row r="149" spans="4:39" s="30" customFormat="1">
      <c r="D149" s="19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9"/>
    </row>
    <row r="150" spans="4:39" s="30" customFormat="1">
      <c r="D150" s="19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9"/>
    </row>
    <row r="151" spans="4:39" s="30" customFormat="1">
      <c r="D151" s="19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9"/>
    </row>
    <row r="152" spans="4:39" s="30" customFormat="1">
      <c r="D152" s="19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9"/>
    </row>
    <row r="153" spans="4:39" s="30" customFormat="1">
      <c r="D153" s="19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9"/>
    </row>
    <row r="154" spans="4:39" s="30" customFormat="1">
      <c r="D154" s="19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9"/>
    </row>
    <row r="155" spans="4:39" s="30" customFormat="1">
      <c r="D155" s="19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9"/>
    </row>
    <row r="156" spans="4:39" s="30" customFormat="1">
      <c r="D156" s="19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9"/>
    </row>
    <row r="157" spans="4:39" s="30" customFormat="1">
      <c r="D157" s="19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9"/>
    </row>
    <row r="158" spans="4:39" s="30" customFormat="1">
      <c r="D158" s="19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9"/>
    </row>
    <row r="159" spans="4:39" s="30" customFormat="1">
      <c r="D159" s="19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9"/>
    </row>
    <row r="160" spans="4:39" s="30" customFormat="1">
      <c r="D160" s="19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9"/>
    </row>
    <row r="161" spans="4:39" s="30" customFormat="1">
      <c r="D161" s="19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9"/>
    </row>
    <row r="162" spans="4:39" s="30" customFormat="1">
      <c r="D162" s="19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9"/>
    </row>
    <row r="163" spans="4:39" s="30" customFormat="1">
      <c r="D163" s="19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9"/>
    </row>
    <row r="164" spans="4:39" s="30" customFormat="1">
      <c r="D164" s="19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9"/>
    </row>
    <row r="165" spans="4:39" s="30" customFormat="1">
      <c r="D165" s="19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9"/>
    </row>
    <row r="166" spans="4:39" s="30" customFormat="1">
      <c r="D166" s="19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9"/>
    </row>
    <row r="167" spans="4:39" s="30" customFormat="1">
      <c r="D167" s="19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9"/>
    </row>
    <row r="168" spans="4:39" s="30" customFormat="1">
      <c r="D168" s="19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9"/>
    </row>
    <row r="169" spans="4:39" s="30" customFormat="1">
      <c r="D169" s="19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9"/>
    </row>
    <row r="170" spans="4:39" s="30" customFormat="1">
      <c r="D170" s="19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9"/>
    </row>
    <row r="171" spans="4:39" s="30" customFormat="1">
      <c r="D171" s="19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9"/>
    </row>
    <row r="172" spans="4:39" s="30" customFormat="1">
      <c r="D172" s="19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9"/>
    </row>
    <row r="173" spans="4:39" s="30" customFormat="1">
      <c r="D173" s="19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9"/>
    </row>
    <row r="174" spans="4:39" s="30" customFormat="1">
      <c r="D174" s="19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9"/>
    </row>
    <row r="175" spans="4:39" s="30" customFormat="1">
      <c r="D175" s="19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9"/>
    </row>
    <row r="176" spans="4:39" s="30" customFormat="1">
      <c r="D176" s="19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9"/>
    </row>
    <row r="177" spans="4:39" s="30" customFormat="1">
      <c r="D177" s="19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9"/>
    </row>
    <row r="178" spans="4:39" s="30" customFormat="1">
      <c r="D178" s="19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9"/>
    </row>
    <row r="179" spans="4:39" s="30" customFormat="1">
      <c r="D179" s="19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9"/>
    </row>
    <row r="180" spans="4:39" s="30" customFormat="1">
      <c r="D180" s="19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9"/>
    </row>
    <row r="181" spans="4:39" s="30" customFormat="1">
      <c r="D181" s="19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9"/>
    </row>
    <row r="182" spans="4:39" s="30" customFormat="1">
      <c r="D182" s="19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9"/>
    </row>
    <row r="183" spans="4:39" s="30" customFormat="1">
      <c r="D183" s="19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9"/>
    </row>
    <row r="184" spans="4:39" s="30" customFormat="1">
      <c r="D184" s="19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9"/>
    </row>
    <row r="185" spans="4:39" s="30" customFormat="1">
      <c r="D185" s="19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9"/>
    </row>
    <row r="186" spans="4:39" s="30" customFormat="1">
      <c r="D186" s="19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9"/>
    </row>
    <row r="187" spans="4:39" s="30" customFormat="1">
      <c r="D187" s="19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9"/>
    </row>
    <row r="188" spans="4:39" s="30" customFormat="1">
      <c r="D188" s="19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9"/>
    </row>
    <row r="189" spans="4:39" s="30" customFormat="1">
      <c r="D189" s="19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9"/>
    </row>
    <row r="190" spans="4:39" s="30" customFormat="1">
      <c r="D190" s="19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9"/>
    </row>
    <row r="191" spans="4:39" s="30" customFormat="1">
      <c r="D191" s="19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9"/>
    </row>
    <row r="192" spans="4:39" s="30" customFormat="1">
      <c r="D192" s="19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9"/>
    </row>
    <row r="193" spans="4:39" s="30" customFormat="1">
      <c r="D193" s="19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9"/>
    </row>
    <row r="194" spans="4:39" s="30" customFormat="1">
      <c r="D194" s="19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9"/>
    </row>
    <row r="195" spans="4:39" s="30" customFormat="1">
      <c r="D195" s="19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9"/>
    </row>
    <row r="196" spans="4:39" s="30" customFormat="1">
      <c r="D196" s="19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9"/>
    </row>
    <row r="197" spans="4:39" s="30" customFormat="1">
      <c r="D197" s="19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9"/>
    </row>
    <row r="198" spans="4:39" s="30" customFormat="1">
      <c r="D198" s="19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9"/>
    </row>
    <row r="199" spans="4:39" s="30" customFormat="1">
      <c r="D199" s="19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9"/>
    </row>
    <row r="200" spans="4:39" s="30" customFormat="1">
      <c r="D200" s="19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9"/>
    </row>
    <row r="201" spans="4:39" s="30" customFormat="1">
      <c r="D201" s="19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9"/>
    </row>
    <row r="202" spans="4:39" s="30" customFormat="1">
      <c r="D202" s="19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9"/>
    </row>
    <row r="203" spans="4:39" s="30" customFormat="1">
      <c r="D203" s="19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9"/>
    </row>
    <row r="204" spans="4:39" s="30" customFormat="1">
      <c r="D204" s="19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9"/>
    </row>
    <row r="205" spans="4:39" s="30" customFormat="1">
      <c r="D205" s="19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9"/>
    </row>
    <row r="206" spans="4:39" s="30" customFormat="1">
      <c r="D206" s="19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9"/>
    </row>
    <row r="207" spans="4:39" s="30" customFormat="1">
      <c r="D207" s="19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9"/>
    </row>
    <row r="208" spans="4:39" s="30" customFormat="1">
      <c r="D208" s="19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9"/>
    </row>
    <row r="209" spans="4:39" s="30" customFormat="1">
      <c r="D209" s="19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9"/>
    </row>
    <row r="210" spans="4:39" s="30" customFormat="1">
      <c r="D210" s="19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9"/>
    </row>
    <row r="211" spans="4:39" s="30" customFormat="1">
      <c r="D211" s="19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9"/>
    </row>
    <row r="212" spans="4:39" s="30" customFormat="1">
      <c r="D212" s="19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9"/>
    </row>
    <row r="213" spans="4:39" s="30" customFormat="1">
      <c r="D213" s="19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9"/>
    </row>
    <row r="214" spans="4:39" s="30" customFormat="1">
      <c r="D214" s="19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9"/>
    </row>
    <row r="215" spans="4:39" s="30" customFormat="1">
      <c r="D215" s="19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9"/>
    </row>
    <row r="216" spans="4:39" s="30" customFormat="1">
      <c r="D216" s="19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9"/>
    </row>
    <row r="217" spans="4:39" s="30" customFormat="1">
      <c r="D217" s="19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9"/>
    </row>
    <row r="218" spans="4:39" s="30" customFormat="1">
      <c r="D218" s="19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9"/>
    </row>
    <row r="219" spans="4:39" s="30" customFormat="1">
      <c r="D219" s="19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9"/>
    </row>
    <row r="220" spans="4:39" s="30" customFormat="1">
      <c r="D220" s="19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9"/>
    </row>
  </sheetData>
  <phoneticPr fontId="28" type="noConversion"/>
  <pageMargins left="0.5" right="0" top="0.25" bottom="0" header="0.5" footer="0.5"/>
  <pageSetup scale="67" orientation="landscape" horizontalDpi="4294967292" verticalDpi="4294967292" r:id="rId1"/>
  <headerFooter alignWithMargins="0"/>
  <rowBreaks count="1" manualBreakCount="1">
    <brk id="37" max="22" man="1"/>
  </rowBreaks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29"/>
  <sheetViews>
    <sheetView view="pageBreakPreview" zoomScale="75" zoomScaleNormal="100" zoomScaleSheetLayoutView="75" workbookViewId="0"/>
  </sheetViews>
  <sheetFormatPr defaultRowHeight="15"/>
  <cols>
    <col min="1" max="1" width="79" style="360" bestFit="1" customWidth="1"/>
    <col min="2" max="2" width="1.625" style="360" customWidth="1"/>
    <col min="3" max="3" width="14" style="538" bestFit="1" customWidth="1"/>
    <col min="4" max="4" width="1.625" style="360" customWidth="1"/>
    <col min="5" max="5" width="9" style="360"/>
    <col min="6" max="6" width="1.625" style="360" customWidth="1"/>
    <col min="7" max="7" width="9" style="360"/>
    <col min="8" max="8" width="1.625" style="360" customWidth="1"/>
    <col min="9" max="9" width="9" style="360"/>
    <col min="10" max="10" width="1.625" style="360" customWidth="1"/>
    <col min="11" max="13" width="9" style="360"/>
    <col min="14" max="14" width="26.625" style="360" customWidth="1"/>
    <col min="15" max="16384" width="9" style="360"/>
  </cols>
  <sheetData>
    <row r="1" spans="1:9">
      <c r="A1" s="359" t="s">
        <v>280</v>
      </c>
      <c r="E1" s="932" t="s">
        <v>1480</v>
      </c>
    </row>
    <row r="2" spans="1:9">
      <c r="A2" s="359" t="str">
        <f>'Sch.A-B.S'!D2</f>
        <v>Case No. 2015 - 00382</v>
      </c>
      <c r="E2" s="376"/>
    </row>
    <row r="3" spans="1:9">
      <c r="A3" s="359" t="s">
        <v>685</v>
      </c>
    </row>
    <row r="4" spans="1:9">
      <c r="A4" s="37" t="str">
        <f>'Sch.B-I.S'!A4</f>
        <v>Test Year Ended 6/30/2015</v>
      </c>
    </row>
    <row r="6" spans="1:9">
      <c r="G6" s="374"/>
      <c r="H6" s="374"/>
      <c r="I6" s="374"/>
    </row>
    <row r="7" spans="1:9" ht="30">
      <c r="A7" s="371"/>
      <c r="C7" s="539" t="s">
        <v>536</v>
      </c>
      <c r="E7" s="366" t="s">
        <v>540</v>
      </c>
      <c r="G7" s="375"/>
      <c r="H7" s="374"/>
      <c r="I7" s="375"/>
    </row>
    <row r="8" spans="1:9">
      <c r="A8" s="371"/>
      <c r="C8" s="540"/>
      <c r="E8" s="370"/>
      <c r="G8" s="375"/>
      <c r="H8" s="374"/>
      <c r="I8" s="375"/>
    </row>
    <row r="9" spans="1:9">
      <c r="A9" s="360" t="s">
        <v>686</v>
      </c>
      <c r="C9" s="412">
        <f>+'Sch.B-I.S'!N18</f>
        <v>538161.00780000002</v>
      </c>
      <c r="E9" s="372">
        <f>C9/C11</f>
        <v>0.92427031652943448</v>
      </c>
    </row>
    <row r="10" spans="1:9">
      <c r="A10" s="360" t="s">
        <v>687</v>
      </c>
      <c r="C10" s="541">
        <f>'wp-q(3) Clinton salary revised'!E27</f>
        <v>44093.986410735</v>
      </c>
      <c r="E10" s="373">
        <f>C10/C11</f>
        <v>7.5729683470565662E-2</v>
      </c>
    </row>
    <row r="11" spans="1:9">
      <c r="C11" s="542">
        <f>SUM(C9:C10)</f>
        <v>582254.99421073496</v>
      </c>
      <c r="E11" s="372">
        <f>SUM(E9:E10)</f>
        <v>1.0000000000000002</v>
      </c>
    </row>
    <row r="13" spans="1:9">
      <c r="A13" s="360" t="s">
        <v>688</v>
      </c>
      <c r="C13" s="412">
        <f>+'Linked TB'!E516+'Linked TB'!E517+'Linked TB'!E518+'Linked TB'!E519</f>
        <v>39043.47</v>
      </c>
    </row>
    <row r="14" spans="1:9">
      <c r="A14" s="360" t="s">
        <v>689</v>
      </c>
      <c r="C14" s="543">
        <f>E10</f>
        <v>7.5729683470565662E-2</v>
      </c>
    </row>
    <row r="15" spans="1:9" ht="15.75" thickBot="1">
      <c r="A15" s="360" t="s">
        <v>690</v>
      </c>
      <c r="C15" s="1034">
        <f>C14*C13</f>
        <v>2956.7496246925266</v>
      </c>
    </row>
    <row r="16" spans="1:9" ht="15.75" thickTop="1"/>
    <row r="17" spans="1:3">
      <c r="A17" s="360" t="s">
        <v>691</v>
      </c>
      <c r="C17" s="412">
        <f>+'wp-f-depr'!G24</f>
        <v>54754.214123110498</v>
      </c>
    </row>
    <row r="18" spans="1:3">
      <c r="A18" s="360" t="s">
        <v>689</v>
      </c>
      <c r="C18" s="543">
        <f>E10</f>
        <v>7.5729683470565662E-2</v>
      </c>
    </row>
    <row r="19" spans="1:3" ht="15.75" thickBot="1">
      <c r="A19" s="360" t="s">
        <v>690</v>
      </c>
      <c r="C19" s="1034">
        <f>C18*C17</f>
        <v>4146.5193042227338</v>
      </c>
    </row>
    <row r="20" spans="1:3" ht="15.75" thickTop="1"/>
    <row r="22" spans="1:3">
      <c r="A22" s="360" t="s">
        <v>692</v>
      </c>
      <c r="C22" s="412">
        <f>SUM('wp-p-Vehicles'!N16:N20,'wp-p-Vehicles'!N24:N28)</f>
        <v>273771.07061555248</v>
      </c>
    </row>
    <row r="23" spans="1:3">
      <c r="A23" s="360" t="s">
        <v>689</v>
      </c>
      <c r="C23" s="543">
        <f>E10</f>
        <v>7.5729683470565662E-2</v>
      </c>
    </row>
    <row r="24" spans="1:3" ht="15.75" thickBot="1">
      <c r="A24" s="360" t="s">
        <v>693</v>
      </c>
      <c r="C24" s="1034">
        <f>C23*C22</f>
        <v>20732.596521113668</v>
      </c>
    </row>
    <row r="25" spans="1:3" ht="15.75" thickTop="1"/>
    <row r="26" spans="1:3">
      <c r="A26" s="360" t="s">
        <v>694</v>
      </c>
      <c r="C26" s="412">
        <f>SUM('wp-p-Vehicles'!O16:O20,'wp-p-Vehicles'!O24:O28)</f>
        <v>-141194.21436933152</v>
      </c>
    </row>
    <row r="27" spans="1:3">
      <c r="A27" s="360" t="s">
        <v>689</v>
      </c>
      <c r="C27" s="543">
        <f>E10</f>
        <v>7.5729683470565662E-2</v>
      </c>
    </row>
    <row r="28" spans="1:3" ht="15.75" thickBot="1">
      <c r="A28" s="360" t="s">
        <v>695</v>
      </c>
      <c r="C28" s="1034">
        <f>C27*C26</f>
        <v>-10692.59316206467</v>
      </c>
    </row>
    <row r="29" spans="1:3" ht="15.75" thickTop="1"/>
  </sheetData>
  <phoneticPr fontId="28" type="noConversion"/>
  <pageMargins left="0.75" right="0.75" top="1" bottom="1" header="0.5" footer="0.5"/>
  <pageSetup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13"/>
  <sheetViews>
    <sheetView view="pageBreakPreview" zoomScale="85" zoomScaleNormal="100" zoomScaleSheetLayoutView="85" workbookViewId="0"/>
  </sheetViews>
  <sheetFormatPr defaultRowHeight="12"/>
  <cols>
    <col min="1" max="1" width="42.875" bestFit="1" customWidth="1"/>
    <col min="2" max="2" width="15.75" bestFit="1" customWidth="1"/>
    <col min="3" max="3" width="9.875" style="1047" bestFit="1" customWidth="1"/>
    <col min="4" max="4" width="14.5" bestFit="1" customWidth="1"/>
  </cols>
  <sheetData>
    <row r="1" spans="1:4" ht="15">
      <c r="A1" s="1156" t="s">
        <v>1775</v>
      </c>
      <c r="D1" s="932" t="s">
        <v>2351</v>
      </c>
    </row>
    <row r="2" spans="1:4" ht="15">
      <c r="A2" s="1156" t="s">
        <v>1776</v>
      </c>
    </row>
    <row r="3" spans="1:4" ht="15">
      <c r="A3" s="1156" t="s">
        <v>1777</v>
      </c>
    </row>
    <row r="6" spans="1:4" ht="15">
      <c r="A6" s="1344" t="s">
        <v>1769</v>
      </c>
      <c r="B6" s="1345"/>
      <c r="C6" s="1346"/>
      <c r="D6" s="1345"/>
    </row>
    <row r="7" spans="1:4" ht="15">
      <c r="A7" s="1347" t="s">
        <v>1778</v>
      </c>
      <c r="B7" s="1348">
        <v>8000.79</v>
      </c>
      <c r="C7" s="1349">
        <f>+'Input Schedule'!D7</f>
        <v>1</v>
      </c>
      <c r="D7" s="1348">
        <f>+B7*C7</f>
        <v>8000.79</v>
      </c>
    </row>
    <row r="8" spans="1:4" ht="15">
      <c r="A8" s="1347" t="s">
        <v>1779</v>
      </c>
      <c r="B8" s="1348">
        <v>1263.45</v>
      </c>
      <c r="C8" s="1349">
        <f>+'Input Schedule'!D16</f>
        <v>0.20766448079556102</v>
      </c>
      <c r="D8" s="1348">
        <f t="shared" ref="D8:D12" si="0">+B8*C8</f>
        <v>262.37368826115159</v>
      </c>
    </row>
    <row r="9" spans="1:4" ht="15">
      <c r="A9" s="1347" t="s">
        <v>1780</v>
      </c>
      <c r="B9" s="1348">
        <v>110.05</v>
      </c>
      <c r="C9" s="1349">
        <f>+'Input Schedule'!D7</f>
        <v>1</v>
      </c>
      <c r="D9" s="1348">
        <f t="shared" si="0"/>
        <v>110.05</v>
      </c>
    </row>
    <row r="10" spans="1:4" ht="15">
      <c r="A10" s="1350" t="s">
        <v>1781</v>
      </c>
      <c r="B10" s="1348">
        <v>21317.570000000003</v>
      </c>
      <c r="C10" s="1349">
        <v>0</v>
      </c>
      <c r="D10" s="1348">
        <f t="shared" si="0"/>
        <v>0</v>
      </c>
    </row>
    <row r="11" spans="1:4" ht="15">
      <c r="A11" s="1350" t="s">
        <v>1782</v>
      </c>
      <c r="B11" s="1348">
        <v>9622.8599999999969</v>
      </c>
      <c r="C11" s="1349">
        <f>+'Input Schedule'!D15</f>
        <v>0.13938541487301429</v>
      </c>
      <c r="D11" s="1348">
        <f t="shared" si="0"/>
        <v>1341.2863333649339</v>
      </c>
    </row>
    <row r="12" spans="1:4" ht="15">
      <c r="A12" s="1347" t="s">
        <v>1783</v>
      </c>
      <c r="B12" s="1352">
        <v>140127.93999999997</v>
      </c>
      <c r="C12" s="1351">
        <f>+'Input Schedule'!D17</f>
        <v>2.6393242386234281E-2</v>
      </c>
      <c r="D12" s="1352">
        <f t="shared" si="0"/>
        <v>3698.4306855036934</v>
      </c>
    </row>
    <row r="13" spans="1:4" ht="15">
      <c r="A13" s="1345"/>
      <c r="B13" s="1348">
        <f>SUM(B7:B12)</f>
        <v>180442.65999999997</v>
      </c>
      <c r="C13" s="1349"/>
      <c r="D13" s="1348">
        <f>SUM(D7:D12)</f>
        <v>13412.930707129779</v>
      </c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4:J112"/>
  <sheetViews>
    <sheetView workbookViewId="0">
      <pane ySplit="1" topLeftCell="A80" activePane="bottomLeft" state="frozen"/>
      <selection pane="bottomLeft"/>
    </sheetView>
  </sheetViews>
  <sheetFormatPr defaultRowHeight="12"/>
  <cols>
    <col min="1" max="1" width="14.625" bestFit="1" customWidth="1"/>
    <col min="2" max="2" width="31.25" bestFit="1" customWidth="1"/>
    <col min="3" max="3" width="20.125" bestFit="1" customWidth="1"/>
    <col min="4" max="4" width="10.375" bestFit="1" customWidth="1"/>
    <col min="5" max="5" width="27.375" bestFit="1" customWidth="1"/>
    <col min="6" max="6" width="25.375" bestFit="1" customWidth="1"/>
    <col min="7" max="8" width="7.875" bestFit="1" customWidth="1"/>
    <col min="9" max="9" width="8.875" bestFit="1" customWidth="1"/>
    <col min="10" max="10" width="7.875" bestFit="1" customWidth="1"/>
    <col min="11" max="11" width="8.75" bestFit="1" customWidth="1"/>
    <col min="12" max="12" width="10.625" bestFit="1" customWidth="1"/>
    <col min="13" max="13" width="9.875" customWidth="1"/>
    <col min="14" max="14" width="10.625" bestFit="1" customWidth="1"/>
    <col min="15" max="15" width="9.875" bestFit="1" customWidth="1"/>
  </cols>
  <sheetData>
    <row r="4" spans="1:10">
      <c r="A4" s="1051" t="s">
        <v>1528</v>
      </c>
      <c r="B4" s="1051" t="s">
        <v>1085</v>
      </c>
      <c r="C4" s="1051" t="s">
        <v>1529</v>
      </c>
      <c r="D4" s="1051" t="s">
        <v>1063</v>
      </c>
      <c r="E4" s="1051" t="s">
        <v>1530</v>
      </c>
      <c r="F4" t="s">
        <v>1531</v>
      </c>
      <c r="G4" s="1047" t="s">
        <v>1532</v>
      </c>
      <c r="H4" s="1047" t="s">
        <v>1533</v>
      </c>
      <c r="I4" s="1047" t="s">
        <v>1534</v>
      </c>
      <c r="J4" s="1047" t="s">
        <v>1535</v>
      </c>
    </row>
    <row r="5" spans="1:10">
      <c r="A5" s="1045" t="s">
        <v>726</v>
      </c>
      <c r="B5" s="1045" t="s">
        <v>1536</v>
      </c>
      <c r="C5" s="1045" t="s">
        <v>1537</v>
      </c>
      <c r="D5" s="1045" t="s">
        <v>1538</v>
      </c>
      <c r="E5" s="1045" t="s">
        <v>1539</v>
      </c>
      <c r="F5" s="1048">
        <v>930.8</v>
      </c>
      <c r="G5" s="1047">
        <v>3.5087654487176855E-3</v>
      </c>
      <c r="H5" s="1047">
        <v>8.8213449252957758E-3</v>
      </c>
      <c r="I5" s="1047">
        <v>1.3008322783054353E-2</v>
      </c>
      <c r="J5" s="1047">
        <v>0.20196584720203095</v>
      </c>
    </row>
    <row r="6" spans="1:10">
      <c r="E6" s="1045" t="s">
        <v>1540</v>
      </c>
      <c r="F6" s="1048">
        <v>2199.8999999999996</v>
      </c>
      <c r="G6" s="1047">
        <v>8.2927944892931191E-3</v>
      </c>
      <c r="H6" s="1047">
        <v>2.0848814676792192E-2</v>
      </c>
      <c r="I6" s="1047">
        <v>3.0744530823422076E-2</v>
      </c>
      <c r="J6" s="1047">
        <v>0.47733634213552623</v>
      </c>
    </row>
    <row r="7" spans="1:10">
      <c r="E7" s="1045" t="s">
        <v>1541</v>
      </c>
      <c r="F7" s="1048">
        <v>1478</v>
      </c>
      <c r="G7" s="1047">
        <v>5.5715033661417482E-3</v>
      </c>
      <c r="H7" s="1047">
        <v>1.4007249462384139E-2</v>
      </c>
      <c r="I7" s="1047">
        <v>2.0655673692903238E-2</v>
      </c>
      <c r="J7" s="1047">
        <v>0.32069781066244279</v>
      </c>
    </row>
    <row r="8" spans="1:10">
      <c r="D8" s="1045" t="s">
        <v>1542</v>
      </c>
      <c r="F8" s="1048">
        <v>4608.7</v>
      </c>
      <c r="G8" s="1047">
        <v>1.7373063304152551E-2</v>
      </c>
      <c r="H8" s="1047">
        <v>4.3677409064472109E-2</v>
      </c>
      <c r="I8" s="1047">
        <v>6.4408527299379667E-2</v>
      </c>
      <c r="J8" s="1047">
        <v>1</v>
      </c>
    </row>
    <row r="9" spans="1:10">
      <c r="D9" s="1045" t="s">
        <v>1078</v>
      </c>
      <c r="E9" s="1045" t="s">
        <v>1543</v>
      </c>
      <c r="F9" s="1048">
        <v>2457.69</v>
      </c>
      <c r="G9" s="1047">
        <v>9.2645657022550152E-3</v>
      </c>
      <c r="H9" s="1047">
        <v>2.3291932971046599E-2</v>
      </c>
      <c r="I9" s="1047">
        <v>3.4347254856773583E-2</v>
      </c>
      <c r="J9" s="1047">
        <v>4.5813629092826061E-2</v>
      </c>
    </row>
    <row r="10" spans="1:10">
      <c r="E10" s="1045" t="s">
        <v>1544</v>
      </c>
      <c r="F10" s="1048">
        <v>3056.4</v>
      </c>
      <c r="G10" s="1047">
        <v>1.1521476920348876E-2</v>
      </c>
      <c r="H10" s="1047">
        <v>2.8966006263079082E-2</v>
      </c>
      <c r="I10" s="1047">
        <v>4.2714479753037521E-2</v>
      </c>
      <c r="J10" s="1047">
        <v>5.697414074163689E-2</v>
      </c>
    </row>
    <row r="11" spans="1:10">
      <c r="E11" s="1045" t="s">
        <v>1545</v>
      </c>
      <c r="F11" s="1048">
        <v>31571.699999999997</v>
      </c>
      <c r="G11" s="1047">
        <v>0.11901341869067483</v>
      </c>
      <c r="H11" s="1047">
        <v>0.29921020152337841</v>
      </c>
      <c r="I11" s="1047">
        <v>0.44122783026402779</v>
      </c>
      <c r="J11" s="1047">
        <v>0.5885258733322658</v>
      </c>
    </row>
    <row r="12" spans="1:10">
      <c r="E12" s="1045" t="s">
        <v>1546</v>
      </c>
      <c r="F12" s="1048">
        <v>12853</v>
      </c>
      <c r="G12" s="1047">
        <v>4.8450969394465415E-2</v>
      </c>
      <c r="H12" s="1047">
        <v>0.12180999820028643</v>
      </c>
      <c r="I12" s="1047">
        <v>0.17962609876514568</v>
      </c>
      <c r="J12" s="1047">
        <v>0.23959188291855088</v>
      </c>
    </row>
    <row r="13" spans="1:10">
      <c r="E13" s="1045" t="s">
        <v>1547</v>
      </c>
      <c r="F13" s="1048">
        <v>374.79999999999995</v>
      </c>
      <c r="G13" s="1047">
        <v>1.4128548454870953E-3</v>
      </c>
      <c r="H13" s="1047">
        <v>3.5520413386343538E-3</v>
      </c>
      <c r="I13" s="1047">
        <v>5.2379881597429852E-3</v>
      </c>
      <c r="J13" s="1047">
        <v>6.9866208447734272E-3</v>
      </c>
    </row>
    <row r="14" spans="1:10">
      <c r="E14" s="1045" t="s">
        <v>1548</v>
      </c>
      <c r="F14" s="1048">
        <v>105</v>
      </c>
      <c r="G14" s="1047">
        <v>3.9581045564606463E-4</v>
      </c>
      <c r="H14" s="1047">
        <v>9.9510229604217503E-4</v>
      </c>
      <c r="I14" s="1047">
        <v>1.4674193083591611E-3</v>
      </c>
      <c r="J14" s="1047">
        <v>1.9572977286585109E-3</v>
      </c>
    </row>
    <row r="15" spans="1:10">
      <c r="E15" s="1045" t="s">
        <v>1549</v>
      </c>
      <c r="F15" s="1048">
        <v>0</v>
      </c>
      <c r="G15" s="1047">
        <v>0</v>
      </c>
      <c r="H15" s="1047">
        <v>0</v>
      </c>
      <c r="I15" s="1047">
        <v>0</v>
      </c>
      <c r="J15" s="1047">
        <v>0</v>
      </c>
    </row>
    <row r="16" spans="1:10">
      <c r="E16" s="1045" t="s">
        <v>1550</v>
      </c>
      <c r="F16" s="1048">
        <v>3226.8</v>
      </c>
      <c r="G16" s="1047">
        <v>1.2163820745511634E-2</v>
      </c>
      <c r="H16" s="1047">
        <v>3.058091513208467E-2</v>
      </c>
      <c r="I16" s="1047">
        <v>4.5095891659174679E-2</v>
      </c>
      <c r="J16" s="1047">
        <v>6.0150555341288416E-2</v>
      </c>
    </row>
    <row r="17" spans="3:10">
      <c r="D17" s="1045" t="s">
        <v>1551</v>
      </c>
      <c r="F17" s="1048">
        <v>53645.39</v>
      </c>
      <c r="G17" s="1047">
        <v>0.20222291675438894</v>
      </c>
      <c r="H17" s="1047">
        <v>0.50840619772455176</v>
      </c>
      <c r="I17" s="1047">
        <v>0.74971696276626143</v>
      </c>
      <c r="J17" s="1047">
        <v>1</v>
      </c>
    </row>
    <row r="18" spans="3:10">
      <c r="D18" s="1045" t="s">
        <v>1552</v>
      </c>
      <c r="E18" s="1045" t="s">
        <v>1553</v>
      </c>
      <c r="F18" s="1048">
        <v>969.59999999999991</v>
      </c>
      <c r="G18" s="1047">
        <v>3.6550268361373738E-3</v>
      </c>
      <c r="H18" s="1047">
        <v>9.1890589165951695E-3</v>
      </c>
      <c r="I18" s="1047">
        <v>1.3550569156048024E-2</v>
      </c>
      <c r="J18" s="1047">
        <v>1</v>
      </c>
    </row>
    <row r="19" spans="3:10">
      <c r="D19" s="1045" t="s">
        <v>1554</v>
      </c>
      <c r="F19" s="1048">
        <v>969.59999999999991</v>
      </c>
      <c r="G19" s="1047">
        <v>3.6550268361373738E-3</v>
      </c>
      <c r="H19" s="1047">
        <v>9.1890589165951695E-3</v>
      </c>
      <c r="I19" s="1047">
        <v>1.3550569156048024E-2</v>
      </c>
      <c r="J19" s="1047">
        <v>1</v>
      </c>
    </row>
    <row r="20" spans="3:10">
      <c r="D20" s="1045" t="s">
        <v>1555</v>
      </c>
      <c r="E20" s="1045" t="s">
        <v>1556</v>
      </c>
      <c r="F20" s="1048">
        <v>3205</v>
      </c>
      <c r="G20" s="1047">
        <v>1.2081642955672735E-2</v>
      </c>
      <c r="H20" s="1047">
        <v>3.0374312941096864E-2</v>
      </c>
      <c r="I20" s="1047">
        <v>4.4791227459915345E-2</v>
      </c>
      <c r="J20" s="1047">
        <v>0.50548064032804985</v>
      </c>
    </row>
    <row r="21" spans="3:10">
      <c r="E21" s="1045" t="s">
        <v>1557</v>
      </c>
      <c r="F21" s="1048">
        <v>2358</v>
      </c>
      <c r="G21" s="1047">
        <v>8.8887719467944798E-3</v>
      </c>
      <c r="H21" s="1047">
        <v>2.2347154419689985E-2</v>
      </c>
      <c r="I21" s="1047">
        <v>3.2954045039151447E-2</v>
      </c>
      <c r="J21" s="1047">
        <v>0.37189496096522356</v>
      </c>
    </row>
    <row r="22" spans="3:10">
      <c r="E22" s="1045" t="s">
        <v>1558</v>
      </c>
      <c r="F22" s="1048">
        <v>777.5</v>
      </c>
      <c r="G22" s="1047">
        <v>2.9308821834744311E-3</v>
      </c>
      <c r="H22" s="1047">
        <v>7.3684955730742002E-3</v>
      </c>
      <c r="I22" s="1047">
        <v>1.0865890592849979E-2</v>
      </c>
      <c r="J22" s="1047">
        <v>0.1226243987067266</v>
      </c>
    </row>
    <row r="23" spans="3:10">
      <c r="D23" s="1045" t="s">
        <v>1559</v>
      </c>
      <c r="F23" s="1048">
        <v>6340.5</v>
      </c>
      <c r="G23" s="1047">
        <v>2.3901297085941648E-2</v>
      </c>
      <c r="H23" s="1047">
        <v>6.0089962933861048E-2</v>
      </c>
      <c r="I23" s="1047">
        <v>8.8611163091916773E-2</v>
      </c>
      <c r="J23" s="1047">
        <v>1</v>
      </c>
    </row>
    <row r="24" spans="3:10">
      <c r="D24" s="1045" t="s">
        <v>1340</v>
      </c>
      <c r="E24" s="1045" t="s">
        <v>1560</v>
      </c>
      <c r="F24" s="1048">
        <v>169</v>
      </c>
      <c r="G24" s="1047">
        <v>6.3706635242080883E-4</v>
      </c>
      <c r="H24" s="1047">
        <v>1.601640838391691E-3</v>
      </c>
      <c r="I24" s="1047">
        <v>2.3618463153590305E-3</v>
      </c>
      <c r="J24" s="1047">
        <v>2.8213689482470786E-2</v>
      </c>
    </row>
    <row r="25" spans="3:10">
      <c r="E25" s="1045" t="s">
        <v>1561</v>
      </c>
      <c r="F25" s="1048">
        <v>5821</v>
      </c>
      <c r="G25" s="1047">
        <v>2.1942977736340404E-2</v>
      </c>
      <c r="H25" s="1047">
        <v>5.5166575859633339E-2</v>
      </c>
      <c r="I25" s="1047">
        <v>8.135093137103501E-2</v>
      </c>
      <c r="J25" s="1047">
        <v>0.97178631051752917</v>
      </c>
    </row>
    <row r="26" spans="3:10">
      <c r="D26" s="1045" t="s">
        <v>1562</v>
      </c>
      <c r="F26" s="1048">
        <v>5990</v>
      </c>
      <c r="G26" s="1047">
        <v>2.2580044088761211E-2</v>
      </c>
      <c r="H26" s="1047">
        <v>5.676821669802503E-2</v>
      </c>
      <c r="I26" s="1047">
        <v>8.3712777686394041E-2</v>
      </c>
      <c r="J26" s="1047">
        <v>1</v>
      </c>
    </row>
    <row r="27" spans="3:10">
      <c r="C27" s="1045" t="s">
        <v>1563</v>
      </c>
      <c r="F27" s="1048">
        <v>71554.19</v>
      </c>
      <c r="G27" s="1047">
        <v>0.26973234806938173</v>
      </c>
      <c r="H27" s="1047">
        <v>0.67813084533750512</v>
      </c>
      <c r="I27" s="1047">
        <v>1</v>
      </c>
    </row>
    <row r="28" spans="3:10">
      <c r="C28" s="1045" t="s">
        <v>1564</v>
      </c>
      <c r="D28" s="1045" t="s">
        <v>1565</v>
      </c>
      <c r="E28" s="1045" t="s">
        <v>1566</v>
      </c>
      <c r="F28" s="1048">
        <v>2665.5</v>
      </c>
      <c r="G28" s="1047">
        <v>1.0047931138329384E-2</v>
      </c>
      <c r="H28" s="1047">
        <v>2.5261382572384927E-2</v>
      </c>
      <c r="I28" s="1047">
        <v>7.8483390553137855E-2</v>
      </c>
      <c r="J28" s="1047">
        <v>0.15066387062859984</v>
      </c>
    </row>
    <row r="29" spans="3:10">
      <c r="E29" s="1045" t="s">
        <v>1567</v>
      </c>
      <c r="F29" s="1048">
        <v>426</v>
      </c>
      <c r="G29" s="1047">
        <v>1.6058595629068909E-3</v>
      </c>
      <c r="H29" s="1047">
        <v>4.0372721725139673E-3</v>
      </c>
      <c r="I29" s="1047">
        <v>1.2543209294930304E-2</v>
      </c>
      <c r="J29" s="1047">
        <v>2.4079087933889902E-2</v>
      </c>
    </row>
    <row r="30" spans="3:10">
      <c r="E30" s="1045" t="s">
        <v>1568</v>
      </c>
      <c r="F30" s="1048">
        <v>109</v>
      </c>
      <c r="G30" s="1047">
        <v>4.1088894919448618E-4</v>
      </c>
      <c r="H30" s="1047">
        <v>1.0330109549390198E-3</v>
      </c>
      <c r="I30" s="1047">
        <v>3.2094127069187866E-3</v>
      </c>
      <c r="J30" s="1047">
        <v>6.16108118496244E-3</v>
      </c>
    </row>
    <row r="31" spans="3:10">
      <c r="E31" s="1045" t="s">
        <v>1569</v>
      </c>
      <c r="F31" s="1048">
        <v>51</v>
      </c>
      <c r="G31" s="1047">
        <v>1.9225079274237425E-4</v>
      </c>
      <c r="H31" s="1047">
        <v>4.8333540093477067E-4</v>
      </c>
      <c r="I31" s="1047">
        <v>1.5016518169986984E-3</v>
      </c>
      <c r="J31" s="1047">
        <v>2.8827077103952699E-3</v>
      </c>
    </row>
    <row r="32" spans="3:10">
      <c r="E32" s="1045" t="s">
        <v>1570</v>
      </c>
      <c r="F32" s="1048">
        <v>257.60000000000002</v>
      </c>
      <c r="G32" s="1047">
        <v>9.7105498451834538E-4</v>
      </c>
      <c r="H32" s="1047">
        <v>2.441317632956803E-3</v>
      </c>
      <c r="I32" s="1047">
        <v>7.5848138835071513E-3</v>
      </c>
      <c r="J32" s="1047">
        <v>1.4560500121525913E-2</v>
      </c>
    </row>
    <row r="33" spans="5:10">
      <c r="E33" s="1045" t="s">
        <v>1571</v>
      </c>
      <c r="F33" s="1048">
        <v>305.5</v>
      </c>
      <c r="G33" s="1047">
        <v>1.1516199447606928E-3</v>
      </c>
      <c r="H33" s="1047">
        <v>2.8952738232465186E-3</v>
      </c>
      <c r="I33" s="1047">
        <v>8.995188825354947E-3</v>
      </c>
      <c r="J33" s="1047">
        <v>1.7267984422073626E-2</v>
      </c>
    </row>
    <row r="34" spans="5:10">
      <c r="E34" s="1045" t="s">
        <v>1572</v>
      </c>
      <c r="F34" s="1048">
        <v>84.5</v>
      </c>
      <c r="G34" s="1047">
        <v>3.1853317621040442E-4</v>
      </c>
      <c r="H34" s="1047">
        <v>8.0082041919584551E-4</v>
      </c>
      <c r="I34" s="1047">
        <v>2.4880309516939216E-3</v>
      </c>
      <c r="J34" s="1047">
        <v>4.7762510103607908E-3</v>
      </c>
    </row>
    <row r="35" spans="5:10">
      <c r="E35" s="1045" t="s">
        <v>1573</v>
      </c>
      <c r="F35" s="1048">
        <v>752</v>
      </c>
      <c r="G35" s="1047">
        <v>2.834756787103244E-3</v>
      </c>
      <c r="H35" s="1047">
        <v>7.1268278726068146E-3</v>
      </c>
      <c r="I35" s="1047">
        <v>2.2142003262412179E-2</v>
      </c>
      <c r="J35" s="1047">
        <v>4.2505807808181237E-2</v>
      </c>
    </row>
    <row r="36" spans="5:10">
      <c r="E36" s="1045" t="s">
        <v>1574</v>
      </c>
      <c r="F36" s="1048">
        <v>3067.1000000000004</v>
      </c>
      <c r="G36" s="1047">
        <v>1.1561811890590905E-2</v>
      </c>
      <c r="H36" s="1047">
        <v>2.9067411925628145E-2</v>
      </c>
      <c r="I36" s="1047">
        <v>9.0308162508170753E-2</v>
      </c>
      <c r="J36" s="1047">
        <v>0.17336378075594772</v>
      </c>
    </row>
    <row r="37" spans="5:10">
      <c r="E37" s="1045" t="s">
        <v>1575</v>
      </c>
      <c r="F37" s="1048">
        <v>355</v>
      </c>
      <c r="G37" s="1047">
        <v>1.3382163024224091E-3</v>
      </c>
      <c r="H37" s="1047">
        <v>3.3643934770949723E-3</v>
      </c>
      <c r="I37" s="1047">
        <v>1.0452674412441919E-2</v>
      </c>
      <c r="J37" s="1047">
        <v>2.0065906611574917E-2</v>
      </c>
    </row>
    <row r="38" spans="5:10">
      <c r="E38" s="1045" t="s">
        <v>1576</v>
      </c>
      <c r="F38" s="1048">
        <v>627</v>
      </c>
      <c r="G38" s="1047">
        <v>2.3635538637150717E-3</v>
      </c>
      <c r="H38" s="1047">
        <v>5.9421822820804162E-3</v>
      </c>
      <c r="I38" s="1047">
        <v>1.8461484103101646E-2</v>
      </c>
      <c r="J38" s="1047">
        <v>3.5440347733683028E-2</v>
      </c>
    </row>
    <row r="39" spans="5:10">
      <c r="E39" s="1045" t="s">
        <v>1577</v>
      </c>
      <c r="F39" s="1048">
        <v>245</v>
      </c>
      <c r="G39" s="1047">
        <v>9.2355772984081754E-4</v>
      </c>
      <c r="H39" s="1047">
        <v>2.3219053574317417E-3</v>
      </c>
      <c r="I39" s="1047">
        <v>7.2138175522486487E-3</v>
      </c>
      <c r="J39" s="1047">
        <v>1.3848301746016494E-2</v>
      </c>
    </row>
    <row r="40" spans="5:10">
      <c r="E40" s="1045" t="s">
        <v>1578</v>
      </c>
      <c r="F40" s="1048">
        <v>339</v>
      </c>
      <c r="G40" s="1047">
        <v>1.2779023282287231E-3</v>
      </c>
      <c r="H40" s="1047">
        <v>3.2127588415075932E-3</v>
      </c>
      <c r="I40" s="1047">
        <v>9.9815679600501715E-3</v>
      </c>
      <c r="J40" s="1047">
        <v>1.9161527722039148E-2</v>
      </c>
    </row>
    <row r="41" spans="5:10">
      <c r="E41" s="1045" t="s">
        <v>1579</v>
      </c>
      <c r="F41" s="1048">
        <v>2042.5</v>
      </c>
      <c r="G41" s="1047">
        <v>7.699455768162734E-3</v>
      </c>
      <c r="H41" s="1047">
        <v>1.9357108949201354E-2</v>
      </c>
      <c r="I41" s="1047">
        <v>6.0139683063134143E-2</v>
      </c>
      <c r="J41" s="1047">
        <v>0.11544961761730076</v>
      </c>
    </row>
    <row r="42" spans="5:10">
      <c r="E42" s="1045" t="s">
        <v>1580</v>
      </c>
      <c r="F42" s="1048">
        <v>288</v>
      </c>
      <c r="G42" s="1047">
        <v>1.0856515354863488E-3</v>
      </c>
      <c r="H42" s="1047">
        <v>2.7294234405728229E-3</v>
      </c>
      <c r="I42" s="1047">
        <v>8.4799161430514722E-3</v>
      </c>
      <c r="J42" s="1047">
        <v>1.6278820011643876E-2</v>
      </c>
    </row>
    <row r="43" spans="5:10">
      <c r="E43" s="1045" t="s">
        <v>1581</v>
      </c>
      <c r="F43" s="1048">
        <v>1422.5</v>
      </c>
      <c r="G43" s="1047">
        <v>5.3622892681573992E-3</v>
      </c>
      <c r="H43" s="1047">
        <v>1.3481266820190418E-2</v>
      </c>
      <c r="I43" s="1047">
        <v>4.1884308032953892E-2</v>
      </c>
      <c r="J43" s="1047">
        <v>8.0404935647789638E-2</v>
      </c>
    </row>
    <row r="44" spans="5:10">
      <c r="E44" s="1045" t="s">
        <v>1582</v>
      </c>
      <c r="F44" s="1048">
        <v>454.2</v>
      </c>
      <c r="G44" s="1047">
        <v>1.7121629424232624E-3</v>
      </c>
      <c r="H44" s="1047">
        <v>4.3045282177367221E-3</v>
      </c>
      <c r="I44" s="1047">
        <v>1.3373534417270761E-2</v>
      </c>
      <c r="J44" s="1047">
        <v>2.56730557266967E-2</v>
      </c>
    </row>
    <row r="45" spans="5:10">
      <c r="E45" s="1045" t="s">
        <v>1583</v>
      </c>
      <c r="F45" s="1048">
        <v>352</v>
      </c>
      <c r="G45" s="1047">
        <v>1.3269074322610928E-3</v>
      </c>
      <c r="H45" s="1047">
        <v>3.3359619829223387E-3</v>
      </c>
      <c r="I45" s="1047">
        <v>1.0364341952618468E-2</v>
      </c>
      <c r="J45" s="1047">
        <v>1.9896335569786962E-2</v>
      </c>
    </row>
    <row r="46" spans="5:10">
      <c r="E46" s="1045" t="s">
        <v>1584</v>
      </c>
      <c r="F46" s="1048">
        <v>69</v>
      </c>
      <c r="G46" s="1047">
        <v>2.6010401371027108E-4</v>
      </c>
      <c r="H46" s="1047">
        <v>6.5392436597057216E-4</v>
      </c>
      <c r="I46" s="1047">
        <v>2.0316465759394153E-3</v>
      </c>
      <c r="J46" s="1047">
        <v>3.9001339611230124E-3</v>
      </c>
    </row>
    <row r="47" spans="5:10">
      <c r="E47" s="1045" t="s">
        <v>1585</v>
      </c>
      <c r="F47" s="1048">
        <v>218</v>
      </c>
      <c r="G47" s="1047">
        <v>8.2177789838897236E-4</v>
      </c>
      <c r="H47" s="1047">
        <v>2.0660219098780396E-3</v>
      </c>
      <c r="I47" s="1047">
        <v>6.4188254138375731E-3</v>
      </c>
      <c r="J47" s="1047">
        <v>1.232216236992488E-2</v>
      </c>
    </row>
    <row r="48" spans="5:10">
      <c r="E48" s="1045" t="s">
        <v>1586</v>
      </c>
      <c r="F48" s="1048">
        <v>997.8</v>
      </c>
      <c r="G48" s="1047">
        <v>3.7613302156537455E-3</v>
      </c>
      <c r="H48" s="1047">
        <v>9.4563149618179243E-3</v>
      </c>
      <c r="I48" s="1047">
        <v>2.9379376137280415E-2</v>
      </c>
      <c r="J48" s="1047">
        <v>5.6399328498674517E-2</v>
      </c>
    </row>
    <row r="49" spans="2:10">
      <c r="E49" s="1045" t="s">
        <v>1587</v>
      </c>
      <c r="F49" s="1048">
        <v>2369.5</v>
      </c>
      <c r="G49" s="1047">
        <v>8.9321226157461926E-3</v>
      </c>
      <c r="H49" s="1047">
        <v>2.2456141814018414E-2</v>
      </c>
      <c r="I49" s="1047">
        <v>6.9767921183890497E-2</v>
      </c>
      <c r="J49" s="1047">
        <v>0.13393286117218808</v>
      </c>
    </row>
    <row r="50" spans="2:10">
      <c r="E50" s="1045" t="s">
        <v>1588</v>
      </c>
      <c r="F50" s="1048">
        <v>194</v>
      </c>
      <c r="G50" s="1047">
        <v>7.3130693709844326E-4</v>
      </c>
      <c r="H50" s="1047">
        <v>1.8385699564969708E-3</v>
      </c>
      <c r="I50" s="1047">
        <v>5.7121657352499503E-3</v>
      </c>
      <c r="J50" s="1047">
        <v>1.0965594035621223E-2</v>
      </c>
    </row>
    <row r="51" spans="2:10">
      <c r="D51" s="1045" t="s">
        <v>1589</v>
      </c>
      <c r="F51" s="1048">
        <v>17691.7</v>
      </c>
      <c r="G51" s="1047">
        <v>6.6691046077652208E-2</v>
      </c>
      <c r="H51" s="1047">
        <v>0.16766715515132713</v>
      </c>
      <c r="I51" s="1047">
        <v>0.52091712648619359</v>
      </c>
      <c r="J51" s="1047">
        <v>1</v>
      </c>
    </row>
    <row r="52" spans="2:10">
      <c r="D52" s="1045" t="s">
        <v>1590</v>
      </c>
      <c r="E52" s="1045" t="s">
        <v>1591</v>
      </c>
      <c r="F52" s="1048">
        <v>1809.7</v>
      </c>
      <c r="G52" s="1047">
        <v>6.8218874436446024E-3</v>
      </c>
      <c r="H52" s="1047">
        <v>1.7150825001404992E-2</v>
      </c>
      <c r="I52" s="1047">
        <v>5.3285084180834205E-2</v>
      </c>
      <c r="J52" s="1047">
        <v>0.21669161228521824</v>
      </c>
    </row>
    <row r="53" spans="2:10">
      <c r="E53" s="1045" t="s">
        <v>1592</v>
      </c>
      <c r="F53" s="1048">
        <v>6157.4</v>
      </c>
      <c r="G53" s="1047">
        <v>2.3211079043762652E-2</v>
      </c>
      <c r="H53" s="1047">
        <v>5.8354694072857975E-2</v>
      </c>
      <c r="I53" s="1047">
        <v>0.1812994293723095</v>
      </c>
      <c r="J53" s="1047">
        <v>0.73728072801293176</v>
      </c>
    </row>
    <row r="54" spans="2:10">
      <c r="E54" s="1045" t="s">
        <v>1593</v>
      </c>
      <c r="F54" s="1048">
        <v>384.4</v>
      </c>
      <c r="G54" s="1047">
        <v>1.4490432300033071E-3</v>
      </c>
      <c r="H54" s="1047">
        <v>3.6430221199867815E-3</v>
      </c>
      <c r="I54" s="1047">
        <v>1.1318332518711756E-2</v>
      </c>
      <c r="J54" s="1047">
        <v>4.6027659701849966E-2</v>
      </c>
    </row>
    <row r="55" spans="2:10">
      <c r="D55" s="1045" t="s">
        <v>1594</v>
      </c>
      <c r="F55" s="1048">
        <v>8351.5</v>
      </c>
      <c r="G55" s="1047">
        <v>3.148200971741056E-2</v>
      </c>
      <c r="H55" s="1047">
        <v>7.9148541194249758E-2</v>
      </c>
      <c r="I55" s="1047">
        <v>0.24590284607185547</v>
      </c>
      <c r="J55" s="1047">
        <v>1</v>
      </c>
    </row>
    <row r="56" spans="2:10">
      <c r="D56" s="1045" t="s">
        <v>146</v>
      </c>
      <c r="E56" s="1045" t="s">
        <v>1595</v>
      </c>
      <c r="F56" s="1052">
        <v>7204.4000000000005</v>
      </c>
      <c r="G56" s="1047">
        <v>2.775347522522463E-2</v>
      </c>
      <c r="H56" s="1047">
        <v>6.9774677565532461E-2</v>
      </c>
      <c r="I56" s="1047">
        <v>0.21677963406806305</v>
      </c>
      <c r="J56" s="1047">
        <v>1</v>
      </c>
    </row>
    <row r="57" spans="2:10">
      <c r="D57" s="1045" t="s">
        <v>1596</v>
      </c>
      <c r="F57" s="1048">
        <v>7362.4</v>
      </c>
      <c r="G57" s="1047">
        <v>2.775347522522463E-2</v>
      </c>
      <c r="H57" s="1047">
        <v>6.9774677565532461E-2</v>
      </c>
      <c r="I57" s="1047">
        <v>0.21677963406806305</v>
      </c>
      <c r="J57" s="1047">
        <v>1</v>
      </c>
    </row>
    <row r="58" spans="2:10">
      <c r="D58" s="1045" t="s">
        <v>1597</v>
      </c>
      <c r="E58" s="1045" t="s">
        <v>1598</v>
      </c>
      <c r="F58" s="1048">
        <v>557</v>
      </c>
      <c r="G58" s="1047">
        <v>2.0996802266176951E-3</v>
      </c>
      <c r="H58" s="1047">
        <v>5.2787807513856328E-3</v>
      </c>
      <c r="I58" s="1047">
        <v>1.6400393373887743E-2</v>
      </c>
      <c r="J58" s="1049">
        <v>1</v>
      </c>
    </row>
    <row r="59" spans="2:10">
      <c r="D59" s="1045" t="s">
        <v>1599</v>
      </c>
      <c r="F59" s="1048">
        <v>557</v>
      </c>
      <c r="G59" s="1047">
        <v>2.0996802266176951E-3</v>
      </c>
      <c r="H59" s="1047">
        <v>5.2787807513856328E-3</v>
      </c>
      <c r="I59" s="1047">
        <v>1.6400393373887743E-2</v>
      </c>
      <c r="J59" s="1049">
        <v>1</v>
      </c>
    </row>
    <row r="60" spans="2:10">
      <c r="C60" s="1045" t="s">
        <v>1600</v>
      </c>
      <c r="F60" s="1052">
        <v>33962.600000000006</v>
      </c>
      <c r="G60" s="1047">
        <v>0.12802621124690511</v>
      </c>
      <c r="H60" s="1047">
        <v>0.32186915466249499</v>
      </c>
      <c r="I60" s="1047">
        <v>1</v>
      </c>
    </row>
    <row r="61" spans="2:10">
      <c r="B61" s="1045" t="s">
        <v>1601</v>
      </c>
      <c r="F61" s="1052">
        <v>105516.79</v>
      </c>
      <c r="G61" s="1047">
        <v>0.39775855931628679</v>
      </c>
      <c r="H61" s="1047">
        <v>1</v>
      </c>
      <c r="I61" s="1047"/>
    </row>
    <row r="62" spans="2:10">
      <c r="B62" s="1045" t="s">
        <v>1602</v>
      </c>
      <c r="C62" s="1045" t="s">
        <v>1603</v>
      </c>
      <c r="D62" s="1045" t="s">
        <v>1604</v>
      </c>
      <c r="E62" s="1045" t="s">
        <v>1605</v>
      </c>
      <c r="F62" s="1048">
        <v>10223.5</v>
      </c>
      <c r="G62" s="1047">
        <v>3.8538744698071829E-2</v>
      </c>
      <c r="H62" s="1047">
        <v>6.4298256868501616E-2</v>
      </c>
      <c r="I62" s="1047">
        <v>0.28491525140318708</v>
      </c>
      <c r="J62" s="1047">
        <v>0.83100995732574678</v>
      </c>
    </row>
    <row r="63" spans="2:10">
      <c r="E63" s="1045" t="s">
        <v>1606</v>
      </c>
      <c r="F63" s="1048">
        <v>2079</v>
      </c>
      <c r="G63" s="1047">
        <v>7.8370470217920801E-3</v>
      </c>
      <c r="H63" s="1047">
        <v>1.3075373016052707E-2</v>
      </c>
      <c r="I63" s="1047">
        <v>5.7938945338409147E-2</v>
      </c>
      <c r="J63" s="1047">
        <v>0.16899004267425319</v>
      </c>
    </row>
    <row r="64" spans="2:10">
      <c r="D64" s="1045" t="s">
        <v>1607</v>
      </c>
      <c r="F64" s="1048">
        <v>12302.5</v>
      </c>
      <c r="G64" s="1047">
        <v>4.6375791719863911E-2</v>
      </c>
      <c r="H64" s="1047">
        <v>7.7373629884554318E-2</v>
      </c>
      <c r="I64" s="1047">
        <v>0.34285419674159623</v>
      </c>
      <c r="J64" s="1047">
        <v>1</v>
      </c>
    </row>
    <row r="65" spans="3:10">
      <c r="D65" s="1045" t="s">
        <v>1608</v>
      </c>
      <c r="E65" s="1045" t="s">
        <v>1609</v>
      </c>
      <c r="F65" s="1048">
        <v>10186.700000000001</v>
      </c>
      <c r="G65" s="1047">
        <v>3.8400022557426354E-2</v>
      </c>
      <c r="H65" s="1047">
        <v>6.4066812074374285E-2</v>
      </c>
      <c r="I65" s="1047">
        <v>0.28388968469397424</v>
      </c>
      <c r="J65" s="1047">
        <v>0.43200410515646676</v>
      </c>
    </row>
    <row r="66" spans="3:10">
      <c r="E66" s="1045" t="s">
        <v>1610</v>
      </c>
      <c r="F66" s="1048">
        <v>13393.399999999998</v>
      </c>
      <c r="G66" s="1047">
        <v>5.0488073872857156E-2</v>
      </c>
      <c r="H66" s="1047">
        <v>8.4234584393073741E-2</v>
      </c>
      <c r="I66" s="1047">
        <v>0.37325611856442953</v>
      </c>
      <c r="J66" s="1047">
        <v>0.5679958948435333</v>
      </c>
    </row>
    <row r="67" spans="3:10">
      <c r="D67" s="1045" t="s">
        <v>1611</v>
      </c>
      <c r="F67" s="1048">
        <v>23580.1</v>
      </c>
      <c r="G67" s="1047">
        <v>8.8888096430283503E-2</v>
      </c>
      <c r="H67" s="1047">
        <v>0.14830139646744803</v>
      </c>
      <c r="I67" s="1047">
        <v>0.65714580325840377</v>
      </c>
      <c r="J67" s="1047">
        <v>1</v>
      </c>
    </row>
    <row r="68" spans="3:10">
      <c r="C68" s="1045" t="s">
        <v>1612</v>
      </c>
      <c r="F68" s="1048">
        <v>35882.6</v>
      </c>
      <c r="G68" s="1047">
        <v>0.13526388815014742</v>
      </c>
      <c r="H68" s="1047">
        <v>0.22567502635200234</v>
      </c>
      <c r="I68" s="1047">
        <v>1</v>
      </c>
    </row>
    <row r="69" spans="3:10">
      <c r="C69" s="1045" t="s">
        <v>1613</v>
      </c>
      <c r="D69" s="1045" t="s">
        <v>1068</v>
      </c>
      <c r="E69" s="1045" t="s">
        <v>1614</v>
      </c>
      <c r="F69" s="1048">
        <v>0</v>
      </c>
      <c r="G69" s="1047">
        <v>0</v>
      </c>
      <c r="H69" s="1047">
        <v>0</v>
      </c>
      <c r="I69" s="1047">
        <v>0</v>
      </c>
      <c r="J69" s="1047">
        <v>0</v>
      </c>
    </row>
    <row r="70" spans="3:10">
      <c r="E70" s="1045" t="s">
        <v>1615</v>
      </c>
      <c r="F70" s="1048">
        <v>0</v>
      </c>
      <c r="G70" s="1047">
        <v>0</v>
      </c>
      <c r="H70" s="1047">
        <v>0</v>
      </c>
      <c r="I70" s="1047">
        <v>0</v>
      </c>
      <c r="J70" s="1047">
        <v>0</v>
      </c>
    </row>
    <row r="71" spans="3:10">
      <c r="E71" s="1045" t="s">
        <v>1616</v>
      </c>
      <c r="F71" s="1048">
        <v>2424.8999999999996</v>
      </c>
      <c r="G71" s="1047">
        <v>9.1409597513918295E-3</v>
      </c>
      <c r="H71" s="1047">
        <v>1.5250828295635501E-2</v>
      </c>
      <c r="I71" s="1047">
        <v>2.5810455102325377E-2</v>
      </c>
      <c r="J71" s="1047">
        <v>3.9398390204750097E-2</v>
      </c>
    </row>
    <row r="72" spans="3:10">
      <c r="E72" s="1045" t="s">
        <v>1617</v>
      </c>
      <c r="F72" s="1048">
        <v>0</v>
      </c>
      <c r="G72" s="1047">
        <v>0</v>
      </c>
      <c r="H72" s="1047">
        <v>0</v>
      </c>
      <c r="I72" s="1047">
        <v>0</v>
      </c>
      <c r="J72" s="1047">
        <v>0</v>
      </c>
    </row>
    <row r="73" spans="3:10">
      <c r="E73" s="1045" t="s">
        <v>1618</v>
      </c>
      <c r="F73" s="1048">
        <v>1516.8</v>
      </c>
      <c r="G73" s="1047">
        <v>5.7177647535614365E-3</v>
      </c>
      <c r="H73" s="1047">
        <v>9.5395506449007916E-3</v>
      </c>
      <c r="I73" s="1047">
        <v>1.6144706296839926E-2</v>
      </c>
      <c r="J73" s="1047">
        <v>2.464410007116374E-2</v>
      </c>
    </row>
    <row r="74" spans="3:10">
      <c r="E74" s="1045" t="s">
        <v>1619</v>
      </c>
      <c r="F74" s="1048">
        <v>249.2</v>
      </c>
      <c r="G74" s="1047">
        <v>9.3939014806666008E-4</v>
      </c>
      <c r="H74" s="1047">
        <v>1.56728376892753E-3</v>
      </c>
      <c r="I74" s="1047">
        <v>2.6524662507730152E-3</v>
      </c>
      <c r="J74" s="1047">
        <v>4.0488592680208357E-3</v>
      </c>
    </row>
    <row r="75" spans="3:10">
      <c r="E75" s="1045" t="s">
        <v>1620</v>
      </c>
      <c r="F75" s="1048">
        <v>13289.5</v>
      </c>
      <c r="G75" s="1047">
        <v>5.0096410002936916E-2</v>
      </c>
      <c r="H75" s="1047">
        <v>8.3581130205306622E-2</v>
      </c>
      <c r="I75" s="1047">
        <v>0.14145244879473512</v>
      </c>
      <c r="J75" s="1047">
        <v>0.21592020562745948</v>
      </c>
    </row>
    <row r="76" spans="3:10">
      <c r="E76" s="1045" t="s">
        <v>1621</v>
      </c>
      <c r="F76" s="1048">
        <v>3355</v>
      </c>
      <c r="G76" s="1047">
        <v>1.2647086463738542E-2</v>
      </c>
      <c r="H76" s="1047">
        <v>2.1100469681989819E-2</v>
      </c>
      <c r="I76" s="1047">
        <v>3.5710370270238628E-2</v>
      </c>
      <c r="J76" s="1047">
        <v>5.4510123772912936E-2</v>
      </c>
    </row>
    <row r="77" spans="3:10">
      <c r="E77" s="1045" t="s">
        <v>1622</v>
      </c>
      <c r="F77" s="1048">
        <v>0</v>
      </c>
      <c r="G77" s="1047">
        <v>0</v>
      </c>
      <c r="H77" s="1047">
        <v>0</v>
      </c>
      <c r="I77" s="1047">
        <v>0</v>
      </c>
      <c r="J77" s="1047">
        <v>0</v>
      </c>
    </row>
    <row r="78" spans="3:10">
      <c r="E78" s="1045" t="s">
        <v>1623</v>
      </c>
      <c r="F78" s="1048">
        <v>0</v>
      </c>
      <c r="G78" s="1047">
        <v>0</v>
      </c>
      <c r="H78" s="1047">
        <v>0</v>
      </c>
      <c r="I78" s="1047">
        <v>0</v>
      </c>
      <c r="J78" s="1047">
        <v>0</v>
      </c>
    </row>
    <row r="79" spans="3:10">
      <c r="E79" s="1045" t="s">
        <v>1624</v>
      </c>
      <c r="F79" s="1048">
        <v>0</v>
      </c>
      <c r="G79" s="1047">
        <v>0</v>
      </c>
      <c r="H79" s="1047">
        <v>0</v>
      </c>
      <c r="I79" s="1047">
        <v>0</v>
      </c>
      <c r="J79" s="1047">
        <v>0</v>
      </c>
    </row>
    <row r="80" spans="3:10">
      <c r="E80" s="1045" t="s">
        <v>1625</v>
      </c>
      <c r="F80" s="1048">
        <v>21082.1</v>
      </c>
      <c r="G80" s="1047">
        <v>7.9471577209294278E-2</v>
      </c>
      <c r="H80" s="1047">
        <v>0.13259082321391283</v>
      </c>
      <c r="I80" s="1047">
        <v>0.22439630315177281</v>
      </c>
      <c r="J80" s="1047">
        <v>0.34252991964021695</v>
      </c>
    </row>
    <row r="81" spans="4:10">
      <c r="E81" s="1045" t="s">
        <v>1626</v>
      </c>
      <c r="F81" s="1048">
        <v>0</v>
      </c>
      <c r="G81" s="1047">
        <v>0</v>
      </c>
      <c r="H81" s="1047">
        <v>0</v>
      </c>
      <c r="I81" s="1047">
        <v>0</v>
      </c>
      <c r="J81" s="1047">
        <v>0</v>
      </c>
    </row>
    <row r="82" spans="4:10">
      <c r="E82" s="1045" t="s">
        <v>1627</v>
      </c>
      <c r="F82" s="1048">
        <v>2094.1999999999998</v>
      </c>
      <c r="G82" s="1047">
        <v>7.894345297276081E-3</v>
      </c>
      <c r="H82" s="1047">
        <v>1.3170969778844435E-2</v>
      </c>
      <c r="I82" s="1047">
        <v>2.2290508918013034E-2</v>
      </c>
      <c r="J82" s="1047">
        <v>3.4025365485911854E-2</v>
      </c>
    </row>
    <row r="83" spans="4:10">
      <c r="E83" s="1045" t="s">
        <v>1628</v>
      </c>
      <c r="F83" s="1048">
        <v>0</v>
      </c>
      <c r="G83" s="1047">
        <v>0</v>
      </c>
      <c r="H83" s="1047">
        <v>0</v>
      </c>
      <c r="I83" s="1047">
        <v>0</v>
      </c>
      <c r="J83" s="1047">
        <v>0</v>
      </c>
    </row>
    <row r="84" spans="4:10">
      <c r="E84" s="1045" t="s">
        <v>1629</v>
      </c>
      <c r="F84" s="1048">
        <v>2499.6</v>
      </c>
      <c r="G84" s="1047">
        <v>9.4225506184086021E-3</v>
      </c>
      <c r="H84" s="1047">
        <v>1.5720636070671163E-2</v>
      </c>
      <c r="I84" s="1047">
        <v>2.6605556342023391E-2</v>
      </c>
      <c r="J84" s="1047">
        <v>4.0612073139425685E-2</v>
      </c>
    </row>
    <row r="85" spans="4:10">
      <c r="E85" s="1045" t="s">
        <v>1630</v>
      </c>
      <c r="F85" s="1048">
        <v>9396.4</v>
      </c>
      <c r="G85" s="1047">
        <v>3.5420889194596968E-2</v>
      </c>
      <c r="H85" s="1047">
        <v>5.9096409335275449E-2</v>
      </c>
      <c r="I85" s="1047">
        <v>0.10001458217802392</v>
      </c>
      <c r="J85" s="1047">
        <v>0.15266734039338276</v>
      </c>
    </row>
    <row r="86" spans="4:10">
      <c r="E86" s="1045" t="s">
        <v>1631</v>
      </c>
      <c r="F86" s="1048">
        <v>1688.5</v>
      </c>
      <c r="G86" s="1047">
        <v>6.3650090891274299E-3</v>
      </c>
      <c r="H86" s="1047">
        <v>1.0619416708804712E-2</v>
      </c>
      <c r="I86" s="1047">
        <v>1.7972268316333213E-2</v>
      </c>
      <c r="J86" s="1047">
        <v>2.743378360374471E-2</v>
      </c>
    </row>
    <row r="87" spans="4:10">
      <c r="E87" s="1045" t="s">
        <v>1632</v>
      </c>
      <c r="F87" s="1048">
        <v>2711</v>
      </c>
      <c r="G87" s="1047">
        <v>1.0219449002442678E-2</v>
      </c>
      <c r="H87" s="1047">
        <v>1.7050185784761373E-2</v>
      </c>
      <c r="I87" s="1047">
        <v>2.8855682206443196E-2</v>
      </c>
      <c r="J87" s="1047">
        <v>4.4046779597128757E-2</v>
      </c>
    </row>
    <row r="88" spans="4:10">
      <c r="E88" s="1045" t="s">
        <v>1633</v>
      </c>
      <c r="F88" s="1048">
        <v>1241</v>
      </c>
      <c r="G88" s="1047">
        <v>4.6781026233977735E-3</v>
      </c>
      <c r="H88" s="1047">
        <v>7.80497254108774E-3</v>
      </c>
      <c r="I88" s="1047">
        <v>1.3209111626040578E-2</v>
      </c>
      <c r="J88" s="1047">
        <v>2.0163059195882252E-2</v>
      </c>
    </row>
    <row r="89" spans="4:10">
      <c r="E89" s="1045" t="s">
        <v>1634</v>
      </c>
      <c r="F89" s="1048">
        <v>0</v>
      </c>
      <c r="G89" s="1047">
        <v>0</v>
      </c>
      <c r="H89" s="1047">
        <v>0</v>
      </c>
      <c r="I89" s="1047">
        <v>0</v>
      </c>
      <c r="J89" s="1047">
        <v>0</v>
      </c>
    </row>
    <row r="90" spans="4:10">
      <c r="D90" s="1045" t="s">
        <v>1635</v>
      </c>
      <c r="F90" s="1048">
        <v>61548.2</v>
      </c>
      <c r="G90" s="1047">
        <v>0.2320135341542392</v>
      </c>
      <c r="H90" s="1047">
        <v>0.38709267603011799</v>
      </c>
      <c r="I90" s="1047">
        <v>0.65511445945356217</v>
      </c>
      <c r="J90" s="1047">
        <v>1</v>
      </c>
    </row>
    <row r="91" spans="4:10">
      <c r="D91" s="1045" t="s">
        <v>1636</v>
      </c>
      <c r="E91" s="1045" t="s">
        <v>1637</v>
      </c>
      <c r="F91" s="1048">
        <v>20963.2</v>
      </c>
      <c r="G91" s="1047">
        <v>7.9023368988567461E-2</v>
      </c>
      <c r="H91" s="1047">
        <v>0.13184303011549597</v>
      </c>
      <c r="I91" s="1047">
        <v>0.22313074040210626</v>
      </c>
      <c r="J91" s="1047">
        <v>0.64697041241154118</v>
      </c>
    </row>
    <row r="92" spans="4:10">
      <c r="E92" s="1045" t="s">
        <v>1638</v>
      </c>
      <c r="F92" s="1048">
        <v>174</v>
      </c>
      <c r="G92" s="1047">
        <v>6.5591446935633565E-4</v>
      </c>
      <c r="H92" s="1047">
        <v>1.0943313635368788E-3</v>
      </c>
      <c r="I92" s="1047">
        <v>1.8520430482925549E-3</v>
      </c>
      <c r="J92" s="1047">
        <v>5.370022313368578E-3</v>
      </c>
    </row>
    <row r="93" spans="4:10">
      <c r="E93" s="1045" t="s">
        <v>1639</v>
      </c>
      <c r="F93" s="1048">
        <v>3463.5</v>
      </c>
      <c r="G93" s="1047">
        <v>1.3056090601239476E-2</v>
      </c>
      <c r="H93" s="1047">
        <v>2.1782854469022873E-2</v>
      </c>
      <c r="I93" s="1047">
        <v>3.6865236194030253E-2</v>
      </c>
      <c r="J93" s="1047">
        <v>0.10689122001351764</v>
      </c>
    </row>
    <row r="94" spans="4:10">
      <c r="E94" s="1045" t="s">
        <v>1640</v>
      </c>
      <c r="F94" s="1048">
        <v>1082.5</v>
      </c>
      <c r="G94" s="1047">
        <v>4.0806173165415715E-3</v>
      </c>
      <c r="H94" s="1047">
        <v>6.8081247185555827E-3</v>
      </c>
      <c r="I94" s="1047">
        <v>1.152204942400397E-2</v>
      </c>
      <c r="J94" s="1047">
        <v>3.3408328472537274E-2</v>
      </c>
    </row>
    <row r="95" spans="4:10">
      <c r="E95" s="1045" t="s">
        <v>1641</v>
      </c>
      <c r="F95" s="1048">
        <v>6718.9000000000005</v>
      </c>
      <c r="G95" s="1047">
        <v>2.5327722575622325E-2</v>
      </c>
      <c r="H95" s="1047">
        <v>4.225691378429848E-2</v>
      </c>
      <c r="I95" s="1047">
        <v>7.1515471478004869E-2</v>
      </c>
      <c r="J95" s="1047">
        <v>0.20736001678903529</v>
      </c>
    </row>
    <row r="96" spans="4:10">
      <c r="D96" s="1045" t="s">
        <v>1642</v>
      </c>
      <c r="F96" s="1048">
        <v>32402.100000000002</v>
      </c>
      <c r="G96" s="1047">
        <v>0.12214371395132716</v>
      </c>
      <c r="H96" s="1047">
        <v>0.20378525445090981</v>
      </c>
      <c r="I96" s="1047">
        <v>0.34488554054643794</v>
      </c>
      <c r="J96" s="1047">
        <v>1</v>
      </c>
    </row>
    <row r="97" spans="1:10">
      <c r="C97" s="1045" t="s">
        <v>1643</v>
      </c>
      <c r="F97" s="1048">
        <v>93950.299999999988</v>
      </c>
      <c r="G97" s="1047">
        <v>0.35415724810556631</v>
      </c>
      <c r="H97" s="1047">
        <v>0.59087793048102766</v>
      </c>
      <c r="I97" s="1047">
        <v>1</v>
      </c>
    </row>
    <row r="98" spans="1:10">
      <c r="C98" s="1045" t="s">
        <v>1644</v>
      </c>
      <c r="D98" s="1045" t="s">
        <v>1645</v>
      </c>
      <c r="E98" s="1045" t="s">
        <v>1646</v>
      </c>
      <c r="F98" s="1048">
        <v>8525.9</v>
      </c>
      <c r="G98" s="1047">
        <v>3.213943203612174E-2</v>
      </c>
      <c r="H98" s="1047">
        <v>5.3621607887236064E-2</v>
      </c>
      <c r="I98" s="1047">
        <v>0.29230020261722484</v>
      </c>
      <c r="J98" s="1047">
        <v>1</v>
      </c>
    </row>
    <row r="99" spans="1:10">
      <c r="D99" s="1045" t="s">
        <v>1647</v>
      </c>
      <c r="F99" s="1048">
        <v>8525.9</v>
      </c>
      <c r="G99" s="1047">
        <v>3.213943203612174E-2</v>
      </c>
      <c r="H99" s="1047">
        <v>5.3621607887236064E-2</v>
      </c>
      <c r="I99" s="1047">
        <v>0.29230020261722484</v>
      </c>
      <c r="J99" s="1047">
        <v>1</v>
      </c>
    </row>
    <row r="100" spans="1:10">
      <c r="D100" s="1045" t="s">
        <v>1075</v>
      </c>
      <c r="E100" s="1045" t="s">
        <v>1648</v>
      </c>
      <c r="F100" s="1048">
        <v>587</v>
      </c>
      <c r="G100" s="1047">
        <v>2.2127689282308567E-3</v>
      </c>
      <c r="H100" s="1047">
        <v>3.6917960367594707E-3</v>
      </c>
      <c r="I100" s="1047">
        <v>2.0124587308824993E-2</v>
      </c>
      <c r="J100" s="1047">
        <v>2.8436615897376272E-2</v>
      </c>
    </row>
    <row r="101" spans="1:10">
      <c r="E101" s="1045" t="s">
        <v>1649</v>
      </c>
      <c r="F101" s="1048">
        <v>4932.7</v>
      </c>
      <c r="G101" s="1047">
        <v>1.8594421281574694E-2</v>
      </c>
      <c r="H101" s="1047">
        <v>3.1023036304128518E-2</v>
      </c>
      <c r="I101" s="1047">
        <v>0.16911167260347706</v>
      </c>
      <c r="J101" s="1047">
        <v>0.23895961709878694</v>
      </c>
    </row>
    <row r="102" spans="1:10">
      <c r="E102" s="1045" t="s">
        <v>1650</v>
      </c>
      <c r="F102" s="1048">
        <v>11715.2</v>
      </c>
      <c r="G102" s="1047">
        <v>4.4161891904616925E-2</v>
      </c>
      <c r="H102" s="1047">
        <v>7.3679947069581864E-2</v>
      </c>
      <c r="I102" s="1047">
        <v>0.40164150807554783</v>
      </c>
      <c r="J102" s="1047">
        <v>0.56753090725884592</v>
      </c>
    </row>
    <row r="103" spans="1:10">
      <c r="E103" s="1045" t="s">
        <v>1651</v>
      </c>
      <c r="F103" s="1048">
        <v>3407.5</v>
      </c>
      <c r="G103" s="1047">
        <v>1.2844991691561574E-2</v>
      </c>
      <c r="H103" s="1047">
        <v>2.1430655869263879E-2</v>
      </c>
      <c r="I103" s="1047">
        <v>0.11682202939492532</v>
      </c>
      <c r="J103" s="1047">
        <v>0.16507285974499089</v>
      </c>
    </row>
    <row r="104" spans="1:10">
      <c r="D104" s="1045" t="s">
        <v>1652</v>
      </c>
      <c r="F104" s="1048">
        <v>20642.400000000001</v>
      </c>
      <c r="G104" s="1047">
        <v>7.7814073805984055E-2</v>
      </c>
      <c r="H104" s="1047">
        <v>0.12982543527973373</v>
      </c>
      <c r="I104" s="1047">
        <v>0.70769979738277522</v>
      </c>
      <c r="J104" s="1047">
        <v>1</v>
      </c>
    </row>
    <row r="105" spans="1:10">
      <c r="C105" s="1045" t="s">
        <v>1653</v>
      </c>
      <c r="F105" s="1048">
        <v>29168.3</v>
      </c>
      <c r="G105" s="1047">
        <v>0.10995350584210578</v>
      </c>
      <c r="H105" s="1047">
        <v>0.1834470431669698</v>
      </c>
      <c r="I105" s="1047">
        <v>1</v>
      </c>
      <c r="J105" s="1047"/>
    </row>
    <row r="106" spans="1:10">
      <c r="B106" s="1045" t="s">
        <v>1654</v>
      </c>
      <c r="F106" s="1048">
        <v>159001.20000000001</v>
      </c>
      <c r="G106" s="1047">
        <v>0.59937464209781965</v>
      </c>
      <c r="H106" s="1047">
        <v>1</v>
      </c>
      <c r="I106" s="1047"/>
    </row>
    <row r="107" spans="1:10">
      <c r="B107" s="1045" t="s">
        <v>1655</v>
      </c>
      <c r="C107" s="1045" t="s">
        <v>1656</v>
      </c>
      <c r="D107" s="1045" t="s">
        <v>1068</v>
      </c>
      <c r="E107" s="1045" t="s">
        <v>1657</v>
      </c>
      <c r="F107" s="1048">
        <v>760.5</v>
      </c>
      <c r="G107" s="1047">
        <v>2.8667985858936399E-3</v>
      </c>
      <c r="H107" s="1047">
        <v>1</v>
      </c>
      <c r="I107" s="1047">
        <v>1</v>
      </c>
      <c r="J107" s="1050">
        <v>1</v>
      </c>
    </row>
    <row r="108" spans="1:10">
      <c r="D108" s="1045" t="s">
        <v>1635</v>
      </c>
      <c r="F108" s="1048">
        <v>760.5</v>
      </c>
      <c r="G108" s="1047">
        <v>2.8667985858936399E-3</v>
      </c>
      <c r="H108" s="1047">
        <v>1</v>
      </c>
      <c r="I108" s="1047">
        <v>1</v>
      </c>
      <c r="J108" s="1050">
        <v>1</v>
      </c>
    </row>
    <row r="109" spans="1:10">
      <c r="C109" s="1045" t="s">
        <v>1658</v>
      </c>
      <c r="F109" s="1048">
        <v>760.5</v>
      </c>
      <c r="G109" s="1047">
        <v>2.8667985858936399E-3</v>
      </c>
      <c r="H109" s="1047">
        <v>1</v>
      </c>
      <c r="I109" s="1047">
        <v>1</v>
      </c>
    </row>
    <row r="110" spans="1:10">
      <c r="B110" s="1045" t="s">
        <v>1659</v>
      </c>
      <c r="F110" s="1048">
        <v>760.5</v>
      </c>
      <c r="G110" s="1047">
        <v>2.8667985858936399E-3</v>
      </c>
      <c r="H110" s="1047">
        <v>1</v>
      </c>
    </row>
    <row r="111" spans="1:10">
      <c r="A111" s="1045" t="s">
        <v>1660</v>
      </c>
      <c r="F111" s="1048">
        <v>265278.49</v>
      </c>
      <c r="G111" s="1047">
        <v>1</v>
      </c>
      <c r="H111" s="1047"/>
    </row>
    <row r="112" spans="1:10">
      <c r="A112" s="1045" t="s">
        <v>1661</v>
      </c>
      <c r="F112" s="1052">
        <v>265278.49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tabColor theme="5" tint="0.79998168889431442"/>
    <pageSetUpPr fitToPage="1"/>
  </sheetPr>
  <dimension ref="A1:S108"/>
  <sheetViews>
    <sheetView view="pageBreakPreview" zoomScale="85" zoomScaleNormal="85" zoomScaleSheetLayoutView="85" workbookViewId="0"/>
  </sheetViews>
  <sheetFormatPr defaultColWidth="11.625" defaultRowHeight="13.5"/>
  <cols>
    <col min="1" max="1" width="6.625" style="1760" customWidth="1"/>
    <col min="2" max="2" width="44.5" style="1760" bestFit="1" customWidth="1"/>
    <col min="3" max="3" width="13.25" style="1760" bestFit="1" customWidth="1"/>
    <col min="4" max="4" width="13" style="1760" bestFit="1" customWidth="1"/>
    <col min="5" max="5" width="13.875" style="1760" bestFit="1" customWidth="1"/>
    <col min="6" max="6" width="11.25" style="1760" customWidth="1"/>
    <col min="7" max="7" width="12.875" style="1760" customWidth="1"/>
    <col min="8" max="8" width="10.125" style="1760" bestFit="1" customWidth="1"/>
    <col min="9" max="9" width="10" style="1760" customWidth="1"/>
    <col min="10" max="10" width="12.375" style="1760" customWidth="1"/>
    <col min="11" max="11" width="7.625" style="1760" customWidth="1"/>
    <col min="12" max="16384" width="11.625" style="1760"/>
  </cols>
  <sheetData>
    <row r="1" spans="1:14" ht="15">
      <c r="A1" s="1827" t="str">
        <f>Company_Name</f>
        <v>WATER SERVICE CORPORATION OF KENTUCKY</v>
      </c>
      <c r="C1" s="1763"/>
      <c r="D1" s="1763"/>
      <c r="G1" s="1781"/>
      <c r="K1" s="1764" t="s">
        <v>3710</v>
      </c>
    </row>
    <row r="2" spans="1:14" ht="15">
      <c r="A2" s="1827" t="str">
        <f>Docket</f>
        <v>Case No. 2015 - 00382</v>
      </c>
      <c r="C2" s="1763"/>
      <c r="D2" s="1763"/>
      <c r="G2" s="1781"/>
      <c r="K2" s="1764"/>
    </row>
    <row r="3" spans="1:14" ht="15">
      <c r="A3" s="1759" t="s">
        <v>3612</v>
      </c>
      <c r="C3" s="1763"/>
      <c r="D3" s="1763"/>
      <c r="G3" s="1781"/>
    </row>
    <row r="4" spans="1:14" ht="15">
      <c r="A4" s="1767" t="s">
        <v>3711</v>
      </c>
      <c r="C4" s="1763"/>
      <c r="D4" s="1763"/>
      <c r="G4" s="1781"/>
    </row>
    <row r="5" spans="1:14" ht="15">
      <c r="A5" s="2115" t="str">
        <f>TestYearEnded</f>
        <v>Test Year Ended 6/30/2015</v>
      </c>
      <c r="B5" s="2115"/>
      <c r="C5" s="1768"/>
      <c r="D5" s="1768"/>
      <c r="E5" s="1768"/>
      <c r="G5" s="1828"/>
    </row>
    <row r="6" spans="1:14" ht="15">
      <c r="A6" s="1770"/>
      <c r="B6" s="1770"/>
      <c r="C6" s="1768"/>
      <c r="D6" s="1768"/>
      <c r="E6" s="1768"/>
      <c r="G6" s="1828"/>
    </row>
    <row r="7" spans="1:14" s="1791" customFormat="1" ht="15">
      <c r="A7" s="1771"/>
      <c r="B7" s="1771" t="s">
        <v>235</v>
      </c>
      <c r="C7" s="1771" t="s">
        <v>236</v>
      </c>
      <c r="D7" s="1771" t="s">
        <v>237</v>
      </c>
      <c r="E7" s="1771" t="s">
        <v>238</v>
      </c>
      <c r="F7" s="1791" t="s">
        <v>239</v>
      </c>
      <c r="G7" s="1831" t="s">
        <v>869</v>
      </c>
      <c r="H7" s="1791" t="s">
        <v>870</v>
      </c>
      <c r="I7" s="1791" t="s">
        <v>871</v>
      </c>
      <c r="J7" s="1791" t="s">
        <v>872</v>
      </c>
      <c r="K7" s="1791" t="s">
        <v>873</v>
      </c>
    </row>
    <row r="8" spans="1:14">
      <c r="B8" s="1851"/>
      <c r="C8" s="1773"/>
      <c r="D8" s="1773"/>
      <c r="E8" s="1773"/>
      <c r="F8" s="1773"/>
      <c r="G8" s="1773"/>
      <c r="H8" s="1773"/>
      <c r="I8" s="1773"/>
      <c r="J8" s="1773"/>
      <c r="K8" s="1773"/>
    </row>
    <row r="9" spans="1:14">
      <c r="A9" s="1853"/>
      <c r="B9" s="1853"/>
      <c r="C9" s="1836"/>
      <c r="D9" s="1765"/>
      <c r="E9" s="1881" t="s">
        <v>3712</v>
      </c>
      <c r="F9" s="1882" t="s">
        <v>3679</v>
      </c>
      <c r="G9" s="1857"/>
      <c r="H9" s="1857"/>
      <c r="I9" s="1857"/>
      <c r="J9" s="1858"/>
      <c r="K9" s="1776"/>
    </row>
    <row r="10" spans="1:14">
      <c r="A10" s="1860" t="s">
        <v>3617</v>
      </c>
      <c r="B10" s="1860" t="s">
        <v>3680</v>
      </c>
      <c r="C10" s="1860" t="s">
        <v>3713</v>
      </c>
      <c r="D10" s="1773" t="s">
        <v>3714</v>
      </c>
      <c r="E10" s="1883" t="s">
        <v>3715</v>
      </c>
      <c r="F10" s="1788" t="s">
        <v>3682</v>
      </c>
      <c r="G10" s="1788" t="s">
        <v>3683</v>
      </c>
      <c r="H10" s="1788" t="s">
        <v>3716</v>
      </c>
      <c r="I10" s="1788" t="s">
        <v>1990</v>
      </c>
      <c r="J10" s="1788" t="s">
        <v>3684</v>
      </c>
      <c r="K10" s="1861" t="s">
        <v>3685</v>
      </c>
    </row>
    <row r="11" spans="1:14">
      <c r="C11" s="1836"/>
      <c r="E11" s="1836"/>
      <c r="F11" s="1776"/>
      <c r="G11" s="1776"/>
      <c r="H11" s="1776"/>
      <c r="I11" s="1776"/>
      <c r="J11" s="1776"/>
      <c r="K11" s="1865"/>
    </row>
    <row r="12" spans="1:14">
      <c r="A12" s="1765">
        <v>1</v>
      </c>
      <c r="B12" s="1862" t="s">
        <v>3717</v>
      </c>
      <c r="C12" s="2090">
        <v>0</v>
      </c>
      <c r="D12" s="2097">
        <v>0</v>
      </c>
      <c r="E12" s="2094">
        <f>C12+D12</f>
        <v>0</v>
      </c>
      <c r="F12" s="2091">
        <f>E12</f>
        <v>0</v>
      </c>
      <c r="G12" s="2091"/>
      <c r="H12" s="2091"/>
      <c r="I12" s="2091"/>
      <c r="J12" s="2091"/>
      <c r="K12" s="1884" t="s">
        <v>3718</v>
      </c>
      <c r="L12" s="1863">
        <f t="shared" ref="L12:L29" si="0">SUM(F12:J12)</f>
        <v>0</v>
      </c>
      <c r="M12" s="1885">
        <f>L12-E12</f>
        <v>0</v>
      </c>
      <c r="N12" s="1816"/>
    </row>
    <row r="13" spans="1:14">
      <c r="A13" s="1765">
        <v>2</v>
      </c>
      <c r="B13" s="1862" t="s">
        <v>3719</v>
      </c>
      <c r="C13" s="2090"/>
      <c r="D13" s="2097"/>
      <c r="E13" s="2093"/>
      <c r="F13" s="2091"/>
      <c r="G13" s="2091"/>
      <c r="H13" s="2091"/>
      <c r="I13" s="2091"/>
      <c r="J13" s="2091"/>
      <c r="K13" s="1886"/>
      <c r="L13" s="1863">
        <f t="shared" si="0"/>
        <v>0</v>
      </c>
      <c r="M13" s="1885">
        <f t="shared" ref="M13:M31" si="1">L13-E13</f>
        <v>0</v>
      </c>
      <c r="N13" s="1816"/>
    </row>
    <row r="14" spans="1:14">
      <c r="A14" s="1765">
        <v>3</v>
      </c>
      <c r="B14" s="1862" t="s">
        <v>3720</v>
      </c>
      <c r="C14" s="2090">
        <f>'wp - t-7 WSCKY Summary'!C30</f>
        <v>123204</v>
      </c>
      <c r="D14" s="2097">
        <v>0</v>
      </c>
      <c r="E14" s="2094">
        <f>C14+D14</f>
        <v>123204</v>
      </c>
      <c r="F14" s="2091">
        <f>E14*$E$42</f>
        <v>73922.399999999994</v>
      </c>
      <c r="G14" s="2091"/>
      <c r="H14" s="2091"/>
      <c r="I14" s="2091"/>
      <c r="J14" s="2091">
        <f>E14*$E$41</f>
        <v>49281.600000000006</v>
      </c>
      <c r="K14" s="1884" t="s">
        <v>3721</v>
      </c>
      <c r="L14" s="1863">
        <f t="shared" si="0"/>
        <v>123204</v>
      </c>
      <c r="M14" s="1885">
        <f t="shared" si="1"/>
        <v>0</v>
      </c>
      <c r="N14" s="1816"/>
    </row>
    <row r="15" spans="1:14">
      <c r="A15" s="1765">
        <v>4</v>
      </c>
      <c r="B15" s="1862" t="s">
        <v>3722</v>
      </c>
      <c r="C15" s="2090">
        <f>'wp - t-7 WSCKY Summary'!C31</f>
        <v>0</v>
      </c>
      <c r="D15" s="2097">
        <v>0</v>
      </c>
      <c r="E15" s="2094">
        <f>C15+D15</f>
        <v>0</v>
      </c>
      <c r="F15" s="2091">
        <f>E15</f>
        <v>0</v>
      </c>
      <c r="G15" s="2091"/>
      <c r="H15" s="2091"/>
      <c r="I15" s="2091"/>
      <c r="J15" s="2091"/>
      <c r="K15" s="1884" t="s">
        <v>3718</v>
      </c>
      <c r="L15" s="1863">
        <f t="shared" si="0"/>
        <v>0</v>
      </c>
      <c r="M15" s="1885">
        <f t="shared" si="1"/>
        <v>0</v>
      </c>
      <c r="N15" s="1816"/>
    </row>
    <row r="16" spans="1:14">
      <c r="A16" s="1765">
        <v>5</v>
      </c>
      <c r="B16" s="1862" t="s">
        <v>3723</v>
      </c>
      <c r="C16" s="2090"/>
      <c r="D16" s="2097"/>
      <c r="E16" s="2093"/>
      <c r="F16" s="2091"/>
      <c r="G16" s="2091"/>
      <c r="H16" s="2091"/>
      <c r="I16" s="2091"/>
      <c r="J16" s="2091"/>
      <c r="K16" s="1884"/>
      <c r="L16" s="1863">
        <f t="shared" si="0"/>
        <v>0</v>
      </c>
      <c r="M16" s="1885">
        <f t="shared" si="1"/>
        <v>0</v>
      </c>
      <c r="N16" s="1816"/>
    </row>
    <row r="17" spans="1:14">
      <c r="A17" s="1765">
        <v>6</v>
      </c>
      <c r="B17" s="1862" t="s">
        <v>3724</v>
      </c>
      <c r="C17" s="2090">
        <f>'wp - t-7 WSCKY Summary'!C33</f>
        <v>114307.69200000001</v>
      </c>
      <c r="D17" s="2097">
        <v>0</v>
      </c>
      <c r="E17" s="2094">
        <f>C17+D17</f>
        <v>114307.69200000001</v>
      </c>
      <c r="F17" s="2091">
        <f>E17*$E$42</f>
        <v>68584.6152</v>
      </c>
      <c r="G17" s="2091"/>
      <c r="H17" s="2091"/>
      <c r="I17" s="2091"/>
      <c r="J17" s="2091">
        <f>E17*$E$41</f>
        <v>45723.07680000001</v>
      </c>
      <c r="K17" s="1884" t="s">
        <v>3721</v>
      </c>
      <c r="L17" s="1863">
        <f t="shared" si="0"/>
        <v>114307.69200000001</v>
      </c>
      <c r="M17" s="1885">
        <f t="shared" si="1"/>
        <v>0</v>
      </c>
      <c r="N17" s="1816"/>
    </row>
    <row r="18" spans="1:14">
      <c r="A18" s="1765">
        <v>7</v>
      </c>
      <c r="B18" s="1862" t="s">
        <v>3725</v>
      </c>
      <c r="C18" s="2090">
        <f>'wp - t-7 WSCKY Summary'!C34</f>
        <v>37602.36</v>
      </c>
      <c r="D18" s="2097">
        <v>0</v>
      </c>
      <c r="E18" s="2094">
        <f>C18+D18</f>
        <v>37602.36</v>
      </c>
      <c r="F18" s="2091">
        <f>E18*$E$42</f>
        <v>22561.416000000001</v>
      </c>
      <c r="G18" s="2091"/>
      <c r="H18" s="2091"/>
      <c r="I18" s="2091"/>
      <c r="J18" s="2091">
        <f>E18*$E$41</f>
        <v>15040.944000000001</v>
      </c>
      <c r="K18" s="1884" t="s">
        <v>3721</v>
      </c>
      <c r="L18" s="1863">
        <f t="shared" si="0"/>
        <v>37602.36</v>
      </c>
      <c r="M18" s="1885">
        <f t="shared" si="1"/>
        <v>0</v>
      </c>
      <c r="N18" s="1816"/>
    </row>
    <row r="19" spans="1:14">
      <c r="A19" s="1765">
        <v>8</v>
      </c>
      <c r="B19" s="1862" t="s">
        <v>3726</v>
      </c>
      <c r="C19" s="2090"/>
      <c r="D19" s="2097"/>
      <c r="E19" s="2094"/>
      <c r="F19" s="2091"/>
      <c r="G19" s="2091"/>
      <c r="H19" s="2091"/>
      <c r="I19" s="2091"/>
      <c r="J19" s="2091"/>
      <c r="K19" s="1886"/>
      <c r="L19" s="1863">
        <f t="shared" si="0"/>
        <v>0</v>
      </c>
      <c r="M19" s="1885">
        <f t="shared" si="1"/>
        <v>0</v>
      </c>
      <c r="N19" s="1816"/>
    </row>
    <row r="20" spans="1:14">
      <c r="A20" s="1765">
        <v>9</v>
      </c>
      <c r="B20" s="1862" t="s">
        <v>3727</v>
      </c>
      <c r="C20" s="2090">
        <f>'wp - t-7 WSCKY Summary'!C36</f>
        <v>768839.06904691597</v>
      </c>
      <c r="D20" s="2097">
        <v>0</v>
      </c>
      <c r="E20" s="2094">
        <f t="shared" ref="E20:E25" si="2">C20+D20</f>
        <v>768839.06904691597</v>
      </c>
      <c r="F20" s="2091">
        <f>E20*'wp - t-3 COSS'!E31</f>
        <v>353666.16746488021</v>
      </c>
      <c r="G20" s="2091"/>
      <c r="H20" s="2091"/>
      <c r="I20" s="2091">
        <f>E20*'wp - t-3 COSS'!G31</f>
        <v>108180.3487670661</v>
      </c>
      <c r="J20" s="2091">
        <f>E20*'wp - t-3 COSS'!H31</f>
        <v>306992.55281496985</v>
      </c>
      <c r="K20" s="1884" t="s">
        <v>3700</v>
      </c>
      <c r="L20" s="1863">
        <f t="shared" si="0"/>
        <v>768839.06904691621</v>
      </c>
      <c r="M20" s="1885">
        <f t="shared" si="1"/>
        <v>0</v>
      </c>
    </row>
    <row r="21" spans="1:14">
      <c r="A21" s="1765">
        <v>10</v>
      </c>
      <c r="B21" s="1862" t="s">
        <v>3728</v>
      </c>
      <c r="C21" s="2090">
        <f>'wp - t-7 WSCKY Summary'!C37</f>
        <v>115608.1965278429</v>
      </c>
      <c r="D21" s="2097">
        <v>0</v>
      </c>
      <c r="E21" s="2094">
        <f t="shared" si="2"/>
        <v>115608.1965278429</v>
      </c>
      <c r="F21" s="2076">
        <f>E21*$E$42</f>
        <v>69364.91791670573</v>
      </c>
      <c r="G21" s="2076"/>
      <c r="H21" s="2091"/>
      <c r="I21" s="2091"/>
      <c r="J21" s="2091">
        <f>E21*$E$41</f>
        <v>46243.278611137161</v>
      </c>
      <c r="K21" s="1884" t="s">
        <v>3687</v>
      </c>
      <c r="L21" s="1863">
        <f t="shared" si="0"/>
        <v>115608.1965278429</v>
      </c>
      <c r="M21" s="1885">
        <f t="shared" si="1"/>
        <v>0</v>
      </c>
      <c r="N21" s="1816"/>
    </row>
    <row r="22" spans="1:14">
      <c r="A22" s="1765">
        <v>11</v>
      </c>
      <c r="B22" s="1862" t="s">
        <v>3729</v>
      </c>
      <c r="C22" s="2090">
        <f>'wp - t-7 WSCKY Summary'!C38+'wp - t-7 WSCKY Summary'!C39</f>
        <v>0</v>
      </c>
      <c r="D22" s="2097">
        <v>0</v>
      </c>
      <c r="E22" s="2094">
        <f t="shared" si="2"/>
        <v>0</v>
      </c>
      <c r="F22" s="2076">
        <f>E22*'wp - t-2 COSS'!I40</f>
        <v>0</v>
      </c>
      <c r="G22" s="2076"/>
      <c r="H22" s="2091"/>
      <c r="I22" s="2091"/>
      <c r="J22" s="2091"/>
      <c r="K22" s="1884" t="s">
        <v>3730</v>
      </c>
      <c r="L22" s="1863">
        <f t="shared" si="0"/>
        <v>0</v>
      </c>
      <c r="M22" s="1885">
        <f t="shared" si="1"/>
        <v>0</v>
      </c>
      <c r="N22" s="1816"/>
    </row>
    <row r="23" spans="1:14">
      <c r="A23" s="1765">
        <v>12</v>
      </c>
      <c r="B23" s="1862" t="s">
        <v>3731</v>
      </c>
      <c r="C23" s="2090">
        <f>'wp - t-7 WSCKY Summary'!C40</f>
        <v>0</v>
      </c>
      <c r="D23" s="2097">
        <v>0</v>
      </c>
      <c r="E23" s="2094">
        <f t="shared" si="2"/>
        <v>0</v>
      </c>
      <c r="F23" s="2091"/>
      <c r="G23" s="2091"/>
      <c r="H23" s="2091"/>
      <c r="I23" s="2091">
        <f>E23</f>
        <v>0</v>
      </c>
      <c r="J23" s="2091"/>
      <c r="K23" s="1884" t="s">
        <v>3694</v>
      </c>
      <c r="L23" s="1863">
        <f t="shared" si="0"/>
        <v>0</v>
      </c>
      <c r="M23" s="1885">
        <f t="shared" si="1"/>
        <v>0</v>
      </c>
      <c r="N23" s="1816"/>
    </row>
    <row r="24" spans="1:14">
      <c r="A24" s="1765">
        <v>13</v>
      </c>
      <c r="B24" s="1862" t="s">
        <v>3732</v>
      </c>
      <c r="C24" s="2090">
        <f>'wp - t-7 WSCKY Summary'!C41</f>
        <v>0</v>
      </c>
      <c r="D24" s="2097">
        <v>0</v>
      </c>
      <c r="E24" s="2094">
        <f t="shared" si="2"/>
        <v>0</v>
      </c>
      <c r="F24" s="2091"/>
      <c r="G24" s="2091"/>
      <c r="H24" s="2091"/>
      <c r="I24" s="2091"/>
      <c r="J24" s="2091">
        <f>E24-G24</f>
        <v>0</v>
      </c>
      <c r="K24" s="1884" t="s">
        <v>3696</v>
      </c>
      <c r="L24" s="1863">
        <f t="shared" si="0"/>
        <v>0</v>
      </c>
      <c r="M24" s="1885">
        <f t="shared" si="1"/>
        <v>0</v>
      </c>
      <c r="N24" s="1816"/>
    </row>
    <row r="25" spans="1:14">
      <c r="A25" s="1765">
        <v>14</v>
      </c>
      <c r="B25" s="1862" t="s">
        <v>3733</v>
      </c>
      <c r="C25" s="2090">
        <f>'wp - t-7 WSCKY Summary'!C42</f>
        <v>419114.33649559517</v>
      </c>
      <c r="D25" s="2097">
        <v>0</v>
      </c>
      <c r="E25" s="2094">
        <f t="shared" si="2"/>
        <v>419114.33649559517</v>
      </c>
      <c r="F25" s="2091">
        <f>E25*'wp - t-3 COSS'!E31</f>
        <v>192792.70147097358</v>
      </c>
      <c r="G25" s="2091"/>
      <c r="H25" s="2091">
        <v>0</v>
      </c>
      <c r="I25" s="2091">
        <f>E25*'wp - t-3 COSS'!G31</f>
        <v>58971.944742059226</v>
      </c>
      <c r="J25" s="2091">
        <f>E25*'wp - t-3 COSS'!H31</f>
        <v>167349.69028256246</v>
      </c>
      <c r="K25" s="1884" t="s">
        <v>3700</v>
      </c>
      <c r="L25" s="1863">
        <f t="shared" si="0"/>
        <v>419114.33649559529</v>
      </c>
      <c r="M25" s="1885">
        <f t="shared" si="1"/>
        <v>0</v>
      </c>
      <c r="N25" s="1816"/>
    </row>
    <row r="26" spans="1:14">
      <c r="A26" s="1765">
        <v>15</v>
      </c>
      <c r="B26" s="1862" t="s">
        <v>3734</v>
      </c>
      <c r="C26" s="2090"/>
      <c r="D26" s="2097"/>
      <c r="E26" s="2093"/>
      <c r="F26" s="2091"/>
      <c r="G26" s="2091"/>
      <c r="H26" s="2091"/>
      <c r="I26" s="2091"/>
      <c r="J26" s="2091"/>
      <c r="K26" s="1884"/>
      <c r="L26" s="1863">
        <f t="shared" si="0"/>
        <v>0</v>
      </c>
      <c r="M26" s="1885">
        <f t="shared" si="1"/>
        <v>0</v>
      </c>
      <c r="N26" s="1816"/>
    </row>
    <row r="27" spans="1:14">
      <c r="A27" s="1765">
        <v>16</v>
      </c>
      <c r="B27" s="1862" t="s">
        <v>3735</v>
      </c>
      <c r="C27" s="2090">
        <f>'wp - t-7 WSCKY Summary'!C45</f>
        <v>0</v>
      </c>
      <c r="D27" s="2097">
        <v>0</v>
      </c>
      <c r="E27" s="2094">
        <f t="shared" ref="E27:E37" si="3">C27+D27</f>
        <v>0</v>
      </c>
      <c r="F27" s="2091">
        <v>0</v>
      </c>
      <c r="G27" s="2091"/>
      <c r="H27" s="2091">
        <f t="shared" ref="H27:J27" si="4">$E27*SUM(H12:H26,H28)/SUM($E12:$E26,$E$28)</f>
        <v>0</v>
      </c>
      <c r="I27" s="2091">
        <f t="shared" si="4"/>
        <v>0</v>
      </c>
      <c r="J27" s="2091">
        <f t="shared" si="4"/>
        <v>0</v>
      </c>
      <c r="K27" s="1884" t="s">
        <v>3736</v>
      </c>
      <c r="L27" s="1863">
        <f t="shared" si="0"/>
        <v>0</v>
      </c>
      <c r="M27" s="1885">
        <f t="shared" si="1"/>
        <v>0</v>
      </c>
      <c r="N27" s="1816"/>
    </row>
    <row r="28" spans="1:14">
      <c r="A28" s="1765">
        <v>17</v>
      </c>
      <c r="B28" s="1862" t="s">
        <v>3737</v>
      </c>
      <c r="C28" s="2090">
        <f>'wp - t-7 WSCKY Summary'!C46</f>
        <v>-68682.060099444512</v>
      </c>
      <c r="D28" s="2097">
        <v>0</v>
      </c>
      <c r="E28" s="2094">
        <f t="shared" si="3"/>
        <v>-68682.060099444512</v>
      </c>
      <c r="F28" s="2091"/>
      <c r="G28" s="2091"/>
      <c r="H28" s="2091">
        <f>E28</f>
        <v>-68682.060099444512</v>
      </c>
      <c r="I28" s="2091"/>
      <c r="J28" s="2091"/>
      <c r="K28" s="1884" t="s">
        <v>3738</v>
      </c>
      <c r="L28" s="1863">
        <f t="shared" si="0"/>
        <v>-68682.060099444512</v>
      </c>
      <c r="M28" s="1885">
        <f t="shared" si="1"/>
        <v>0</v>
      </c>
      <c r="N28" s="1816"/>
    </row>
    <row r="29" spans="1:14">
      <c r="A29" s="1765">
        <v>18</v>
      </c>
      <c r="B29" s="1862" t="s">
        <v>3739</v>
      </c>
      <c r="C29" s="2090">
        <v>0</v>
      </c>
      <c r="D29" s="2097">
        <v>0</v>
      </c>
      <c r="E29" s="2094">
        <f t="shared" si="3"/>
        <v>0</v>
      </c>
      <c r="F29" s="2091">
        <f ca="1">$E29*SUM(F12:F28,F30)/SUM($E12:$E28,$E$30)</f>
        <v>0</v>
      </c>
      <c r="G29" s="2091"/>
      <c r="H29" s="2091">
        <f ca="1">$E29*SUM(H12:H28,H30)/SUM($E12:$E28,$E$30)</f>
        <v>0</v>
      </c>
      <c r="I29" s="2091">
        <f ca="1">$E29*SUM(I12:I28,I30)/SUM($E12:$E28,$E$30)</f>
        <v>0</v>
      </c>
      <c r="J29" s="2091">
        <f ca="1">$E29*SUM(J12:J28,J30)/SUM($E12:$E28,$E$30)</f>
        <v>0</v>
      </c>
      <c r="K29" s="1884" t="s">
        <v>3740</v>
      </c>
      <c r="L29" s="1863">
        <f t="shared" ca="1" si="0"/>
        <v>0</v>
      </c>
      <c r="M29" s="1885">
        <f t="shared" ca="1" si="1"/>
        <v>0</v>
      </c>
    </row>
    <row r="30" spans="1:14">
      <c r="A30" s="1765">
        <v>19</v>
      </c>
      <c r="B30" s="1862" t="s">
        <v>3741</v>
      </c>
      <c r="C30" s="2090">
        <f ca="1">'wp - t-7 WSCKY Summary'!C48</f>
        <v>51939.358424737628</v>
      </c>
      <c r="D30" s="2097">
        <v>0</v>
      </c>
      <c r="E30" s="2094">
        <f t="shared" ca="1" si="3"/>
        <v>51939.358424737628</v>
      </c>
      <c r="F30" s="2091">
        <f ca="1">$E30*SUM(F12:F28)/SUM($E$12:$E$28)</f>
        <v>26860.405876199795</v>
      </c>
      <c r="G30" s="2091"/>
      <c r="H30" s="2091">
        <f ca="1">$E30*SUM(H12:H28)/SUM($E$12:$E$28)</f>
        <v>-2362.4617687769769</v>
      </c>
      <c r="I30" s="2091">
        <f ca="1">$E30*SUM(I12:I28)/SUM($E$12:$E$28)</f>
        <v>5749.5494807077066</v>
      </c>
      <c r="J30" s="2091">
        <f ca="1">$E30*SUM(J12:J28)/SUM($E$12:$E$28)</f>
        <v>21691.864836607117</v>
      </c>
      <c r="K30" s="1884" t="s">
        <v>3742</v>
      </c>
      <c r="L30" s="1863">
        <f ca="1">SUM(F30:J30)</f>
        <v>51939.358424737642</v>
      </c>
      <c r="M30" s="1885">
        <f t="shared" ca="1" si="1"/>
        <v>0</v>
      </c>
      <c r="N30" s="1816"/>
    </row>
    <row r="31" spans="1:14">
      <c r="A31" s="1765">
        <v>20</v>
      </c>
      <c r="B31" s="1862" t="s">
        <v>3743</v>
      </c>
      <c r="C31" s="2096">
        <f t="shared" ref="C31:J31" ca="1" si="5">SUM(C12:C30)</f>
        <v>1561932.9523956471</v>
      </c>
      <c r="D31" s="2097"/>
      <c r="E31" s="2094">
        <f ca="1">SUM(E12:E30)</f>
        <v>1561932.9523956471</v>
      </c>
      <c r="F31" s="2091">
        <f t="shared" ca="1" si="5"/>
        <v>807752.62392875936</v>
      </c>
      <c r="G31" s="2091"/>
      <c r="H31" s="2091">
        <f t="shared" ca="1" si="5"/>
        <v>-71044.521868221491</v>
      </c>
      <c r="I31" s="2091">
        <f t="shared" ca="1" si="5"/>
        <v>172901.84298983304</v>
      </c>
      <c r="J31" s="2091">
        <f t="shared" ca="1" si="5"/>
        <v>652323.00734527665</v>
      </c>
      <c r="K31" s="1886"/>
      <c r="L31" s="1863">
        <f ca="1">SUM(F31:J31)</f>
        <v>1561932.9523956475</v>
      </c>
      <c r="M31" s="1885">
        <f t="shared" ca="1" si="1"/>
        <v>0</v>
      </c>
    </row>
    <row r="32" spans="1:14" ht="14.25" thickBot="1">
      <c r="A32" s="1765">
        <v>21</v>
      </c>
      <c r="B32" s="1862" t="s">
        <v>3702</v>
      </c>
      <c r="C32" s="2096">
        <f ca="1">C33-C31</f>
        <v>0</v>
      </c>
      <c r="D32" s="2097">
        <v>0</v>
      </c>
      <c r="E32" s="2094">
        <f t="shared" ca="1" si="3"/>
        <v>0</v>
      </c>
      <c r="F32" s="2091">
        <f ca="1">(F31/$E$31)*$E$32</f>
        <v>0</v>
      </c>
      <c r="G32" s="2091"/>
      <c r="H32" s="2091">
        <f ca="1">(H31/$E$31)*$E$32</f>
        <v>0</v>
      </c>
      <c r="I32" s="2091">
        <f ca="1">(I31/$E$31)*$E$32</f>
        <v>0</v>
      </c>
      <c r="J32" s="2091">
        <f ca="1">(J31/$E$31)*$E$32</f>
        <v>0</v>
      </c>
      <c r="K32" s="1884"/>
      <c r="L32" s="1885"/>
      <c r="M32" s="1885"/>
    </row>
    <row r="33" spans="1:18" ht="14.25" thickBot="1">
      <c r="A33" s="1765">
        <v>22</v>
      </c>
      <c r="B33" s="1862" t="s">
        <v>3744</v>
      </c>
      <c r="C33" s="2095">
        <f ca="1">SUM('wp - t-8 Pro Forma Proposed'!H61:U61)</f>
        <v>1561932.9523956471</v>
      </c>
      <c r="D33" s="2098"/>
      <c r="E33" s="2094">
        <f ca="1">C33+D33</f>
        <v>1561932.9523956471</v>
      </c>
      <c r="F33" s="2091">
        <f ca="1">F31+F32</f>
        <v>807752.62392875936</v>
      </c>
      <c r="G33" s="2091"/>
      <c r="H33" s="2091">
        <f ca="1">H31+H32</f>
        <v>-71044.521868221491</v>
      </c>
      <c r="I33" s="2091">
        <f ca="1">I31+I32</f>
        <v>172901.84298983304</v>
      </c>
      <c r="J33" s="2091">
        <f ca="1">J31+J32</f>
        <v>652323.00734527665</v>
      </c>
      <c r="K33" s="1886"/>
      <c r="L33" s="1885"/>
      <c r="M33" s="1885"/>
    </row>
    <row r="34" spans="1:18">
      <c r="A34" s="1765">
        <v>23</v>
      </c>
      <c r="B34" s="1862" t="s">
        <v>3745</v>
      </c>
      <c r="C34" s="2090">
        <f>'wp - t-7 WSCKY Summary'!C54</f>
        <v>346602.31314332318</v>
      </c>
      <c r="D34" s="2097">
        <v>0</v>
      </c>
      <c r="E34" s="2094">
        <f t="shared" si="3"/>
        <v>346602.31314332318</v>
      </c>
      <c r="F34" s="2091">
        <f>E34*'wp - t-3 COSS'!E27</f>
        <v>159437.1522714349</v>
      </c>
      <c r="G34" s="2091"/>
      <c r="H34" s="2091">
        <v>0</v>
      </c>
      <c r="I34" s="2091">
        <f>E34*'wp - t-3 COSS'!G27</f>
        <v>48769.06056009559</v>
      </c>
      <c r="J34" s="2091">
        <f>E34*'wp - t-3 COSS'!H27</f>
        <v>138396.10031179278</v>
      </c>
      <c r="K34" s="1884" t="s">
        <v>3704</v>
      </c>
      <c r="L34" s="1885"/>
      <c r="M34" s="1885"/>
    </row>
    <row r="35" spans="1:18">
      <c r="A35" s="1765">
        <v>24</v>
      </c>
      <c r="B35" s="1862" t="s">
        <v>3746</v>
      </c>
      <c r="C35" s="2090">
        <f ca="1">'wp - t-7 WSCKY Summary'!C55</f>
        <v>143272.40947644127</v>
      </c>
      <c r="D35" s="2097">
        <v>0</v>
      </c>
      <c r="E35" s="2094">
        <f t="shared" ca="1" si="3"/>
        <v>143272.40947644127</v>
      </c>
      <c r="F35" s="2091">
        <f ca="1">E35*'wp - t-3 COSS'!E27</f>
        <v>65905.344828281566</v>
      </c>
      <c r="G35" s="2091"/>
      <c r="H35" s="2091">
        <v>0</v>
      </c>
      <c r="I35" s="2091">
        <f ca="1">E35*'wp - t-3 COSS'!G27</f>
        <v>20159.302316768099</v>
      </c>
      <c r="J35" s="2091">
        <f ca="1">E35*'wp - t-3 COSS'!H27</f>
        <v>57207.762331391648</v>
      </c>
      <c r="K35" s="1884" t="s">
        <v>3704</v>
      </c>
      <c r="L35" s="1885"/>
      <c r="M35" s="1885"/>
      <c r="R35" s="1809"/>
    </row>
    <row r="36" spans="1:18">
      <c r="A36" s="1765">
        <v>25</v>
      </c>
      <c r="B36" s="1862" t="s">
        <v>3747</v>
      </c>
      <c r="C36" s="2090">
        <f ca="1">'wp - t-7 WSCKY Summary'!C56</f>
        <v>167681.52030033706</v>
      </c>
      <c r="D36" s="2097">
        <v>0</v>
      </c>
      <c r="E36" s="2094">
        <f t="shared" ca="1" si="3"/>
        <v>167681.52030033706</v>
      </c>
      <c r="F36" s="2091">
        <f ca="1">E36*'wp - t-3 COSS'!E27</f>
        <v>77133.54202046401</v>
      </c>
      <c r="G36" s="2091"/>
      <c r="H36" s="2091">
        <v>0</v>
      </c>
      <c r="I36" s="2091">
        <f ca="1">E36*'wp - t-3 COSS'!G27</f>
        <v>23593.813163487157</v>
      </c>
      <c r="J36" s="2091">
        <f ca="1">E36*'wp - t-3 COSS'!H27</f>
        <v>66954.165116385935</v>
      </c>
      <c r="K36" s="1884" t="s">
        <v>3704</v>
      </c>
      <c r="L36" s="1885"/>
      <c r="M36" s="1885"/>
    </row>
    <row r="37" spans="1:18">
      <c r="A37" s="1765">
        <v>26</v>
      </c>
      <c r="B37" s="1862" t="s">
        <v>3748</v>
      </c>
      <c r="C37" s="2090">
        <f ca="1">'wp - t-7 WSCKY Summary'!C57</f>
        <v>465260.14416977158</v>
      </c>
      <c r="D37" s="2097">
        <v>0</v>
      </c>
      <c r="E37" s="2094">
        <f t="shared" ca="1" si="3"/>
        <v>465260.14416977158</v>
      </c>
      <c r="F37" s="2091">
        <f ca="1">E37*'wp - t-3 COSS'!E27</f>
        <v>214019.78474722881</v>
      </c>
      <c r="G37" s="2091"/>
      <c r="H37" s="2091">
        <v>0</v>
      </c>
      <c r="I37" s="2091">
        <f ca="1">E37*'wp - t-3 COSS'!G27</f>
        <v>65464.941481310168</v>
      </c>
      <c r="J37" s="2091">
        <f ca="1">E37*'wp - t-3 COSS'!H27</f>
        <v>185775.41794123271</v>
      </c>
      <c r="K37" s="1884" t="s">
        <v>3704</v>
      </c>
      <c r="L37" s="1885"/>
      <c r="M37" s="1885"/>
    </row>
    <row r="38" spans="1:18">
      <c r="A38" s="1765">
        <v>27</v>
      </c>
      <c r="B38" s="1862" t="s">
        <v>3749</v>
      </c>
      <c r="C38" s="2082">
        <f ca="1">SUM(C33:C37)</f>
        <v>2684749.33948552</v>
      </c>
      <c r="D38" s="2082">
        <f t="shared" ref="D38:J38" si="6">SUM(D33:D37)</f>
        <v>0</v>
      </c>
      <c r="E38" s="2082">
        <f t="shared" ca="1" si="6"/>
        <v>2684749.33948552</v>
      </c>
      <c r="F38" s="2083">
        <f t="shared" ca="1" si="6"/>
        <v>1324248.4477961685</v>
      </c>
      <c r="G38" s="2083"/>
      <c r="H38" s="2083">
        <f t="shared" ca="1" si="6"/>
        <v>-71044.521868221491</v>
      </c>
      <c r="I38" s="2083">
        <f ca="1">SUM(I33:I37)</f>
        <v>330888.96051149408</v>
      </c>
      <c r="J38" s="2083">
        <f t="shared" ca="1" si="6"/>
        <v>1100656.4530460797</v>
      </c>
      <c r="K38" s="1887"/>
      <c r="L38" s="1863">
        <f ca="1">SUM(F38:J38)</f>
        <v>2684749.339485521</v>
      </c>
      <c r="M38" s="1885"/>
    </row>
    <row r="39" spans="1:18">
      <c r="A39" s="1765">
        <v>28</v>
      </c>
      <c r="B39" s="1763"/>
      <c r="F39" s="1804"/>
      <c r="H39" s="1804"/>
      <c r="I39" s="1804"/>
      <c r="J39" s="1804"/>
    </row>
    <row r="40" spans="1:18" ht="14.25" thickBot="1">
      <c r="A40" s="1765">
        <v>29</v>
      </c>
      <c r="B40" s="1763"/>
      <c r="E40" s="1804"/>
    </row>
    <row r="41" spans="1:18">
      <c r="A41" s="1765">
        <v>30</v>
      </c>
      <c r="B41" s="1763"/>
      <c r="C41" s="1871" t="s">
        <v>400</v>
      </c>
      <c r="D41" s="1872" t="s">
        <v>3708</v>
      </c>
      <c r="E41" s="1873">
        <f>'wp - t-3 COSS'!E33</f>
        <v>0.4</v>
      </c>
      <c r="F41" s="1804"/>
      <c r="H41" s="1804"/>
      <c r="I41" s="1804"/>
      <c r="J41" s="1804"/>
    </row>
    <row r="42" spans="1:18">
      <c r="A42" s="1765">
        <v>31</v>
      </c>
      <c r="B42" s="1763"/>
      <c r="C42" s="1874"/>
      <c r="D42" s="1875" t="s">
        <v>3709</v>
      </c>
      <c r="E42" s="1876">
        <f>'wp - t-3 COSS'!E34</f>
        <v>0.6</v>
      </c>
      <c r="F42" s="1804"/>
      <c r="H42" s="1804"/>
      <c r="I42" s="1804"/>
      <c r="J42" s="1804"/>
    </row>
    <row r="43" spans="1:18" ht="14.25" thickBot="1">
      <c r="A43" s="1765">
        <v>32</v>
      </c>
      <c r="B43" s="1763"/>
      <c r="C43" s="1877"/>
      <c r="D43" s="1878"/>
      <c r="E43" s="1879">
        <f>SUM(E41:E42)</f>
        <v>1</v>
      </c>
      <c r="F43" s="1804"/>
      <c r="H43" s="1804"/>
      <c r="I43" s="1804"/>
      <c r="J43" s="1804"/>
    </row>
    <row r="44" spans="1:18">
      <c r="B44" s="1763"/>
      <c r="E44" s="1804"/>
    </row>
    <row r="45" spans="1:18">
      <c r="B45" s="1763"/>
      <c r="E45" s="1804"/>
      <c r="F45" s="1804"/>
      <c r="H45" s="1804"/>
      <c r="I45" s="1804"/>
      <c r="J45" s="1804"/>
    </row>
    <row r="46" spans="1:18">
      <c r="E46" s="1807"/>
      <c r="F46" s="1804"/>
      <c r="H46" s="1804"/>
      <c r="I46" s="1804"/>
      <c r="J46" s="1804"/>
    </row>
    <row r="47" spans="1:18">
      <c r="E47" s="1807"/>
      <c r="F47" s="1804"/>
      <c r="H47" s="1804"/>
      <c r="I47" s="1804"/>
      <c r="J47" s="1804"/>
    </row>
    <row r="48" spans="1:18">
      <c r="F48" s="1804"/>
      <c r="H48" s="1804"/>
      <c r="I48" s="1804"/>
      <c r="J48" s="1804"/>
    </row>
    <row r="49" spans="5:19">
      <c r="E49" s="1804"/>
      <c r="F49" s="1888">
        <f ca="1">F31/$E$31</f>
        <v>0.517149358229399</v>
      </c>
      <c r="G49" s="1888">
        <f ca="1">G31/$E$31</f>
        <v>0</v>
      </c>
      <c r="H49" s="1888">
        <f ca="1">H31/$E$31</f>
        <v>-4.5485000978598651E-2</v>
      </c>
      <c r="I49" s="1888">
        <f ca="1">I31/$E$31</f>
        <v>0.1106973527414485</v>
      </c>
      <c r="J49" s="1888">
        <f ca="1">J31/$E$31</f>
        <v>0.41763829000775143</v>
      </c>
      <c r="K49" s="1888">
        <f ca="1">SUM(F49:J49)</f>
        <v>1.0000000000000004</v>
      </c>
    </row>
    <row r="55" spans="5:19">
      <c r="P55" s="1817"/>
      <c r="Q55" s="1817"/>
      <c r="R55" s="1817"/>
      <c r="S55" s="1817"/>
    </row>
    <row r="61" spans="5:19">
      <c r="K61" s="1817"/>
      <c r="L61" s="1817"/>
      <c r="M61" s="1817"/>
      <c r="N61" s="1817"/>
      <c r="O61" s="1817"/>
      <c r="P61" s="1817"/>
      <c r="Q61" s="1817"/>
      <c r="R61" s="1817"/>
      <c r="S61" s="1817"/>
    </row>
    <row r="62" spans="5:19">
      <c r="K62" s="1817"/>
      <c r="L62" s="1817"/>
      <c r="M62" s="1817"/>
      <c r="N62" s="1817"/>
      <c r="O62" s="1817"/>
      <c r="P62" s="1817"/>
      <c r="Q62" s="1817"/>
      <c r="R62" s="1817"/>
      <c r="S62" s="1817"/>
    </row>
    <row r="63" spans="5:19">
      <c r="K63" s="1817"/>
      <c r="L63" s="1817"/>
      <c r="M63" s="1817"/>
      <c r="N63" s="1817"/>
      <c r="O63" s="1817"/>
      <c r="P63" s="1817"/>
      <c r="Q63" s="1817"/>
      <c r="R63" s="1817"/>
      <c r="S63" s="1817"/>
    </row>
    <row r="64" spans="5:19">
      <c r="K64" s="1817"/>
      <c r="L64" s="1817"/>
      <c r="M64" s="1817"/>
      <c r="N64" s="1817"/>
      <c r="O64" s="1817"/>
      <c r="P64" s="1817"/>
      <c r="Q64" s="1817"/>
      <c r="R64" s="1817"/>
      <c r="S64" s="1817"/>
    </row>
    <row r="65" spans="16:19">
      <c r="Q65" s="1817"/>
      <c r="R65" s="1817"/>
      <c r="S65" s="1817"/>
    </row>
    <row r="66" spans="16:19">
      <c r="P66" s="1817"/>
      <c r="Q66" s="1817"/>
      <c r="R66" s="1817"/>
      <c r="S66" s="1817"/>
    </row>
    <row r="67" spans="16:19">
      <c r="P67" s="1817"/>
      <c r="Q67" s="1817"/>
      <c r="R67" s="1817"/>
      <c r="S67" s="1817"/>
    </row>
    <row r="68" spans="16:19">
      <c r="P68" s="1817"/>
      <c r="Q68" s="1817"/>
      <c r="R68" s="1817"/>
      <c r="S68" s="1817"/>
    </row>
    <row r="69" spans="16:19">
      <c r="P69" s="1817"/>
      <c r="Q69" s="1817"/>
      <c r="R69" s="1817"/>
      <c r="S69" s="1817"/>
    </row>
    <row r="70" spans="16:19">
      <c r="P70" s="1817"/>
      <c r="Q70" s="1817"/>
      <c r="R70" s="1817"/>
      <c r="S70" s="1817"/>
    </row>
    <row r="71" spans="16:19">
      <c r="P71" s="1817"/>
      <c r="Q71" s="1817"/>
      <c r="R71" s="1817"/>
      <c r="S71" s="1817"/>
    </row>
    <row r="72" spans="16:19">
      <c r="P72" s="1817"/>
      <c r="Q72" s="1817"/>
      <c r="R72" s="1817"/>
      <c r="S72" s="1817"/>
    </row>
    <row r="73" spans="16:19">
      <c r="P73" s="1817"/>
      <c r="Q73" s="1817"/>
      <c r="R73" s="1817"/>
      <c r="S73" s="1817"/>
    </row>
    <row r="74" spans="16:19">
      <c r="P74" s="1817"/>
      <c r="Q74" s="1817"/>
      <c r="R74" s="1817"/>
      <c r="S74" s="1817"/>
    </row>
    <row r="75" spans="16:19">
      <c r="P75" s="1817"/>
      <c r="Q75" s="1817"/>
      <c r="R75" s="1817"/>
      <c r="S75" s="1817"/>
    </row>
    <row r="76" spans="16:19">
      <c r="P76" s="1817"/>
      <c r="R76" s="1817"/>
      <c r="S76" s="1817"/>
    </row>
    <row r="77" spans="16:19">
      <c r="P77" s="1817"/>
      <c r="R77" s="1817"/>
      <c r="S77" s="1817"/>
    </row>
    <row r="78" spans="16:19">
      <c r="P78" s="1817"/>
    </row>
    <row r="108" spans="6:6">
      <c r="F108" s="1804"/>
    </row>
  </sheetData>
  <mergeCells count="1">
    <mergeCell ref="A5:B5"/>
  </mergeCells>
  <printOptions horizontalCentered="1"/>
  <pageMargins left="0.5" right="0.5" top="0.5" bottom="0.5" header="0.25" footer="0.25"/>
  <pageSetup scale="8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3"/>
  <sheetViews>
    <sheetView view="pageBreakPreview" zoomScale="75" zoomScaleNormal="100" zoomScaleSheetLayoutView="75" workbookViewId="0"/>
  </sheetViews>
  <sheetFormatPr defaultColWidth="10.875" defaultRowHeight="15"/>
  <cols>
    <col min="1" max="1" width="14.125" style="2" customWidth="1"/>
    <col min="2" max="2" width="3.875" style="2" customWidth="1"/>
    <col min="3" max="3" width="35" style="2" bestFit="1" customWidth="1"/>
    <col min="4" max="4" width="3.875" style="2" customWidth="1"/>
    <col min="5" max="5" width="15.875" style="2" bestFit="1" customWidth="1"/>
    <col min="6" max="6" width="3.875" style="2" customWidth="1"/>
    <col min="7" max="7" width="24.75" style="2" bestFit="1" customWidth="1"/>
    <col min="8" max="8" width="3.875" style="2" customWidth="1"/>
    <col min="9" max="9" width="19.5" style="2" bestFit="1" customWidth="1"/>
    <col min="10" max="10" width="3.875" style="2" customWidth="1"/>
    <col min="11" max="13" width="10.875" style="2"/>
    <col min="14" max="14" width="26.625" style="2" customWidth="1"/>
    <col min="15" max="16384" width="10.875" style="2"/>
  </cols>
  <sheetData>
    <row r="1" spans="1:9">
      <c r="A1" s="36" t="e">
        <f>#REF!</f>
        <v>#REF!</v>
      </c>
      <c r="I1" s="237" t="s">
        <v>144</v>
      </c>
    </row>
    <row r="2" spans="1:9">
      <c r="A2" s="37" t="s">
        <v>284</v>
      </c>
      <c r="G2" s="62">
        <f>+I28*2%</f>
        <v>0</v>
      </c>
    </row>
    <row r="6" spans="1:9">
      <c r="E6" s="31" t="s">
        <v>407</v>
      </c>
      <c r="G6" s="5" t="s">
        <v>305</v>
      </c>
      <c r="H6" s="5"/>
      <c r="I6" s="5" t="s">
        <v>470</v>
      </c>
    </row>
    <row r="7" spans="1:9">
      <c r="A7" s="60" t="s">
        <v>437</v>
      </c>
      <c r="B7" s="5"/>
      <c r="C7" s="60" t="s">
        <v>679</v>
      </c>
      <c r="D7" s="5"/>
      <c r="E7" s="60" t="s">
        <v>517</v>
      </c>
      <c r="F7" s="5"/>
      <c r="G7" s="60" t="s">
        <v>518</v>
      </c>
      <c r="H7" s="31"/>
      <c r="I7" s="60" t="s">
        <v>117</v>
      </c>
    </row>
    <row r="9" spans="1:9">
      <c r="A9" s="2">
        <v>1045</v>
      </c>
      <c r="E9" s="198"/>
      <c r="F9" s="198"/>
      <c r="G9" s="198"/>
      <c r="H9" s="198"/>
      <c r="I9" s="252"/>
    </row>
    <row r="10" spans="1:9">
      <c r="A10" s="11">
        <v>1080</v>
      </c>
      <c r="B10" s="1"/>
      <c r="C10" s="11"/>
      <c r="E10" s="198"/>
      <c r="F10" s="198"/>
      <c r="G10" s="198"/>
      <c r="H10" s="198"/>
      <c r="I10" s="252"/>
    </row>
    <row r="11" spans="1:9">
      <c r="A11" s="11">
        <v>1090</v>
      </c>
      <c r="B11" s="1"/>
      <c r="C11" s="11"/>
      <c r="E11" s="198"/>
      <c r="F11" s="198"/>
      <c r="G11" s="198"/>
      <c r="H11" s="198"/>
      <c r="I11" s="252"/>
    </row>
    <row r="12" spans="1:9">
      <c r="A12" s="11">
        <v>1105</v>
      </c>
      <c r="B12" s="1"/>
      <c r="C12" s="11"/>
      <c r="E12" s="198"/>
      <c r="F12" s="198"/>
      <c r="G12" s="198"/>
      <c r="H12" s="198"/>
      <c r="I12" s="252"/>
    </row>
    <row r="13" spans="1:9">
      <c r="A13" s="11">
        <v>1110</v>
      </c>
      <c r="B13" s="1"/>
      <c r="C13" s="11"/>
      <c r="E13" s="198"/>
      <c r="F13" s="198"/>
      <c r="G13" s="198"/>
      <c r="H13" s="198"/>
      <c r="I13" s="252"/>
    </row>
    <row r="14" spans="1:9">
      <c r="A14" s="11">
        <v>1115</v>
      </c>
      <c r="B14" s="1"/>
      <c r="C14" s="11"/>
      <c r="E14" s="198"/>
      <c r="F14" s="198"/>
      <c r="G14" s="198"/>
      <c r="H14" s="198"/>
      <c r="I14" s="252"/>
    </row>
    <row r="15" spans="1:9">
      <c r="A15" s="11">
        <v>1120</v>
      </c>
      <c r="B15" s="1"/>
      <c r="C15" s="11"/>
      <c r="E15" s="198"/>
      <c r="F15" s="198"/>
      <c r="G15" s="198"/>
      <c r="H15" s="198"/>
      <c r="I15" s="252"/>
    </row>
    <row r="16" spans="1:9">
      <c r="A16" s="11">
        <v>1125</v>
      </c>
      <c r="B16" s="1"/>
      <c r="C16" s="11"/>
      <c r="E16" s="198"/>
      <c r="F16" s="198"/>
      <c r="G16" s="198"/>
      <c r="H16" s="198"/>
      <c r="I16" s="252"/>
    </row>
    <row r="17" spans="1:10">
      <c r="A17" s="11">
        <v>1130</v>
      </c>
      <c r="B17" s="1"/>
      <c r="C17" s="11"/>
      <c r="E17" s="198"/>
      <c r="F17" s="198"/>
      <c r="G17" s="198"/>
      <c r="H17" s="198"/>
      <c r="I17" s="252"/>
    </row>
    <row r="18" spans="1:10">
      <c r="A18" s="11">
        <v>1135</v>
      </c>
      <c r="B18" s="1"/>
      <c r="C18" s="11"/>
      <c r="E18" s="198"/>
      <c r="F18" s="198"/>
      <c r="G18" s="198"/>
      <c r="H18" s="198"/>
      <c r="I18" s="252"/>
    </row>
    <row r="19" spans="1:10">
      <c r="A19" s="11">
        <v>1140</v>
      </c>
      <c r="B19" s="1"/>
      <c r="C19" s="11"/>
      <c r="E19" s="198"/>
      <c r="F19" s="198"/>
      <c r="G19" s="198"/>
      <c r="H19" s="198"/>
      <c r="I19" s="252"/>
    </row>
    <row r="20" spans="1:10">
      <c r="A20" s="11">
        <v>1145</v>
      </c>
      <c r="B20" s="1"/>
      <c r="C20" s="11"/>
      <c r="E20" s="198"/>
      <c r="F20" s="198"/>
      <c r="G20" s="198"/>
      <c r="H20" s="198"/>
      <c r="I20" s="252"/>
    </row>
    <row r="21" spans="1:10">
      <c r="A21" s="11">
        <v>1175</v>
      </c>
      <c r="B21" s="1"/>
      <c r="E21" s="198"/>
      <c r="F21" s="198"/>
      <c r="G21" s="198"/>
      <c r="H21" s="198"/>
      <c r="I21" s="252"/>
    </row>
    <row r="22" spans="1:10">
      <c r="A22" s="11">
        <v>1180</v>
      </c>
      <c r="B22" s="1"/>
      <c r="C22" s="11"/>
      <c r="E22" s="198"/>
      <c r="F22" s="198"/>
      <c r="G22" s="198"/>
      <c r="H22" s="198"/>
      <c r="I22" s="252"/>
    </row>
    <row r="23" spans="1:10">
      <c r="A23" s="11">
        <v>1190</v>
      </c>
      <c r="B23" s="1"/>
      <c r="C23" s="11"/>
      <c r="E23" s="198"/>
      <c r="F23" s="198"/>
      <c r="G23" s="198"/>
      <c r="H23" s="198"/>
      <c r="I23" s="252"/>
    </row>
    <row r="24" spans="1:10">
      <c r="A24" s="11">
        <v>1205</v>
      </c>
      <c r="B24" s="1"/>
      <c r="E24" s="198"/>
      <c r="F24" s="198"/>
      <c r="G24" s="198"/>
      <c r="H24" s="198"/>
      <c r="I24" s="252"/>
    </row>
    <row r="25" spans="1:10">
      <c r="A25" s="11"/>
      <c r="B25" s="1"/>
      <c r="C25"/>
      <c r="E25" s="198"/>
      <c r="F25" s="198"/>
      <c r="G25" s="198"/>
      <c r="H25" s="198"/>
      <c r="I25" s="252"/>
    </row>
    <row r="26" spans="1:10">
      <c r="A26" s="11"/>
      <c r="B26" s="1"/>
      <c r="C26" s="11"/>
      <c r="E26" s="197"/>
      <c r="G26" s="197"/>
      <c r="H26" s="197"/>
      <c r="I26" s="32"/>
    </row>
    <row r="27" spans="1:10">
      <c r="A27" s="11"/>
      <c r="E27" s="296"/>
      <c r="G27" s="296"/>
      <c r="H27" s="197"/>
      <c r="I27" s="296"/>
    </row>
    <row r="28" spans="1:10" ht="15.75" thickBot="1">
      <c r="A28" s="11"/>
      <c r="C28" s="2" t="s">
        <v>314</v>
      </c>
      <c r="E28" s="633">
        <f>SUM(E9:E26)</f>
        <v>0</v>
      </c>
      <c r="F28" s="281"/>
      <c r="G28" s="633">
        <f>SUM(G9:G26)</f>
        <v>0</v>
      </c>
      <c r="H28" s="252"/>
      <c r="I28" s="633">
        <f>SUM(I9:I26)</f>
        <v>0</v>
      </c>
    </row>
    <row r="29" spans="1:10" ht="15.75" thickTop="1">
      <c r="A29" s="11"/>
      <c r="E29" s="197"/>
      <c r="G29" s="197"/>
      <c r="H29" s="197"/>
      <c r="I29" s="197"/>
      <c r="J29" s="197"/>
    </row>
    <row r="30" spans="1:10">
      <c r="A30" s="11"/>
      <c r="E30" s="197"/>
    </row>
    <row r="31" spans="1:10">
      <c r="A31" s="11"/>
      <c r="E31" s="197"/>
    </row>
    <row r="32" spans="1:10">
      <c r="A32" s="268"/>
      <c r="E32" s="197"/>
    </row>
    <row r="33" spans="1:5">
      <c r="A33" s="5"/>
      <c r="E33" s="197"/>
    </row>
    <row r="34" spans="1:5">
      <c r="A34" s="5"/>
      <c r="E34" s="197"/>
    </row>
    <row r="35" spans="1:5">
      <c r="A35" s="5"/>
      <c r="E35" s="197"/>
    </row>
    <row r="36" spans="1:5">
      <c r="A36" s="5"/>
      <c r="E36" s="197"/>
    </row>
    <row r="37" spans="1:5">
      <c r="A37" s="5"/>
      <c r="E37" s="197"/>
    </row>
    <row r="38" spans="1:5">
      <c r="A38" s="5"/>
      <c r="E38" s="197"/>
    </row>
    <row r="39" spans="1:5">
      <c r="A39" s="5"/>
    </row>
    <row r="40" spans="1:5">
      <c r="A40" s="5"/>
    </row>
    <row r="41" spans="1:5">
      <c r="A41" s="5"/>
    </row>
    <row r="42" spans="1:5">
      <c r="A42" s="5"/>
    </row>
    <row r="43" spans="1:5">
      <c r="A43" s="5"/>
    </row>
  </sheetData>
  <phoneticPr fontId="28" type="noConversion"/>
  <pageMargins left="0.75" right="0.75" top="1" bottom="1" header="0.5" footer="0.5"/>
  <pageSetup scale="75" orientation="landscape" horizontalDpi="4294967292" verticalDpi="4294967292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</sheetPr>
  <dimension ref="A1:O62"/>
  <sheetViews>
    <sheetView view="pageBreakPreview" zoomScale="75" zoomScaleNormal="100" zoomScaleSheetLayoutView="75" workbookViewId="0"/>
  </sheetViews>
  <sheetFormatPr defaultColWidth="10.875" defaultRowHeight="15"/>
  <cols>
    <col min="1" max="1" width="47.25" style="230" bestFit="1" customWidth="1"/>
    <col min="2" max="2" width="2.125" style="212" customWidth="1"/>
    <col min="3" max="3" width="9" style="243" bestFit="1" customWidth="1"/>
    <col min="4" max="4" width="2.125" style="214" customWidth="1"/>
    <col min="5" max="5" width="9.625" style="243" bestFit="1" customWidth="1"/>
    <col min="6" max="6" width="2.125" style="231" customWidth="1"/>
    <col min="7" max="7" width="9" style="229" bestFit="1" customWidth="1"/>
    <col min="8" max="8" width="2.125" style="229" customWidth="1"/>
    <col min="9" max="9" width="9.125" style="229" bestFit="1" customWidth="1"/>
    <col min="10" max="10" width="2.125" style="229" customWidth="1"/>
    <col min="11" max="11" width="8.125" style="212" bestFit="1" customWidth="1"/>
    <col min="12" max="12" width="2.125" style="229" customWidth="1"/>
    <col min="13" max="13" width="18" style="229" bestFit="1" customWidth="1"/>
    <col min="14" max="14" width="26.625" style="229" customWidth="1"/>
    <col min="15" max="15" width="41.125" style="229" customWidth="1"/>
    <col min="16" max="16384" width="10.875" style="229"/>
  </cols>
  <sheetData>
    <row r="1" spans="1:15" s="212" customFormat="1">
      <c r="A1" s="211" t="e">
        <f>#REF!</f>
        <v>#REF!</v>
      </c>
      <c r="B1" s="213"/>
      <c r="C1" s="243"/>
      <c r="D1" s="214"/>
      <c r="E1" s="245"/>
      <c r="F1" s="136"/>
      <c r="H1" s="213"/>
      <c r="M1" s="237" t="s">
        <v>142</v>
      </c>
    </row>
    <row r="2" spans="1:15" s="212" customFormat="1">
      <c r="A2" s="227" t="s">
        <v>944</v>
      </c>
      <c r="C2" s="243"/>
      <c r="D2" s="214"/>
      <c r="E2" s="246"/>
      <c r="F2" s="136"/>
      <c r="I2" s="236"/>
    </row>
    <row r="3" spans="1:15" s="212" customFormat="1">
      <c r="A3" s="215"/>
      <c r="C3" s="243"/>
      <c r="D3" s="214"/>
      <c r="E3" s="247"/>
    </row>
    <row r="4" spans="1:15" s="212" customFormat="1">
      <c r="A4" s="215"/>
      <c r="C4" s="243"/>
      <c r="D4" s="214"/>
      <c r="E4" s="248"/>
      <c r="F4" s="210"/>
    </row>
    <row r="5" spans="1:15" s="212" customFormat="1">
      <c r="A5" s="40"/>
      <c r="B5" s="15"/>
      <c r="C5" s="243"/>
      <c r="D5" s="214"/>
      <c r="E5" s="243"/>
      <c r="F5" s="218"/>
      <c r="G5" s="218"/>
    </row>
    <row r="6" spans="1:15" s="219" customFormat="1">
      <c r="C6" s="244"/>
      <c r="D6" s="220"/>
      <c r="E6" s="238" t="s">
        <v>746</v>
      </c>
      <c r="F6" s="220"/>
      <c r="G6" s="220" t="s">
        <v>314</v>
      </c>
      <c r="I6" s="219" t="s">
        <v>75</v>
      </c>
    </row>
    <row r="7" spans="1:15" s="219" customFormat="1">
      <c r="A7" s="219" t="s">
        <v>76</v>
      </c>
      <c r="C7" s="238" t="s">
        <v>709</v>
      </c>
      <c r="D7" s="220"/>
      <c r="E7" s="238" t="s">
        <v>440</v>
      </c>
      <c r="F7" s="220"/>
      <c r="G7" s="220" t="s">
        <v>441</v>
      </c>
      <c r="H7" s="216"/>
      <c r="I7" s="216" t="s">
        <v>729</v>
      </c>
      <c r="J7" s="216"/>
      <c r="K7" s="216" t="s">
        <v>751</v>
      </c>
      <c r="L7" s="216"/>
      <c r="M7" s="219" t="s">
        <v>76</v>
      </c>
    </row>
    <row r="8" spans="1:15" s="219" customFormat="1">
      <c r="A8" s="221" t="s">
        <v>679</v>
      </c>
      <c r="C8" s="284" t="s">
        <v>4</v>
      </c>
      <c r="D8" s="220"/>
      <c r="E8" s="239" t="s">
        <v>739</v>
      </c>
      <c r="F8" s="220"/>
      <c r="G8" s="222" t="s">
        <v>76</v>
      </c>
      <c r="H8" s="216"/>
      <c r="I8" s="221" t="s">
        <v>744</v>
      </c>
      <c r="J8" s="216"/>
      <c r="K8" s="221" t="s">
        <v>653</v>
      </c>
      <c r="L8" s="216"/>
      <c r="M8" s="221" t="s">
        <v>950</v>
      </c>
      <c r="O8" s="221" t="s">
        <v>451</v>
      </c>
    </row>
    <row r="9" spans="1:15" s="212" customFormat="1">
      <c r="C9" s="236"/>
      <c r="D9" s="218"/>
      <c r="E9" s="243"/>
      <c r="F9" s="218"/>
      <c r="G9" s="218"/>
      <c r="H9" s="218"/>
      <c r="I9" s="223"/>
      <c r="J9" s="223"/>
      <c r="K9" s="218"/>
      <c r="L9" s="218"/>
    </row>
    <row r="10" spans="1:15" s="212" customFormat="1">
      <c r="C10" s="236"/>
      <c r="D10" s="218"/>
      <c r="E10" s="243"/>
      <c r="F10" s="218"/>
      <c r="G10" s="218"/>
      <c r="H10" s="218"/>
      <c r="I10" s="223"/>
      <c r="J10" s="223"/>
      <c r="K10" s="458"/>
      <c r="L10" s="218"/>
    </row>
    <row r="11" spans="1:15" s="212" customFormat="1">
      <c r="A11" s="232"/>
      <c r="C11" s="236"/>
      <c r="D11" s="218"/>
      <c r="E11" s="236"/>
      <c r="F11" s="218"/>
      <c r="G11" s="214"/>
      <c r="H11" s="224"/>
      <c r="I11" s="223"/>
      <c r="J11" s="223"/>
      <c r="K11" s="218"/>
      <c r="L11" s="218"/>
    </row>
    <row r="12" spans="1:15" s="212" customFormat="1">
      <c r="A12" s="232"/>
      <c r="C12" s="241"/>
      <c r="D12" s="218"/>
      <c r="E12" s="241"/>
      <c r="F12" s="218"/>
      <c r="G12" s="225"/>
      <c r="H12" s="214"/>
      <c r="I12" s="226"/>
      <c r="J12" s="226"/>
      <c r="K12" s="214"/>
      <c r="L12" s="214"/>
    </row>
    <row r="13" spans="1:15" s="227" customFormat="1" thickBot="1">
      <c r="A13" s="233"/>
      <c r="C13" s="242">
        <f>SUM(C10)</f>
        <v>0</v>
      </c>
      <c r="D13" s="211"/>
      <c r="E13" s="242">
        <f>SUM(E10)</f>
        <v>0</v>
      </c>
      <c r="F13" s="249"/>
      <c r="G13" s="242">
        <f>SUM(G10)</f>
        <v>0</v>
      </c>
      <c r="H13" s="228"/>
      <c r="I13" s="217"/>
      <c r="J13" s="217"/>
      <c r="K13" s="228"/>
      <c r="L13" s="228"/>
    </row>
    <row r="14" spans="1:15" ht="15.75" customHeight="1" thickTop="1">
      <c r="A14" s="234"/>
      <c r="F14" s="250"/>
    </row>
    <row r="15" spans="1:15" ht="15.75" customHeight="1">
      <c r="A15" s="234"/>
      <c r="F15" s="250"/>
    </row>
    <row r="16" spans="1:15">
      <c r="A16" s="234"/>
    </row>
    <row r="17" spans="1:1">
      <c r="A17" s="234"/>
    </row>
    <row r="18" spans="1:1">
      <c r="A18" s="234"/>
    </row>
    <row r="19" spans="1:1">
      <c r="A19" s="234"/>
    </row>
    <row r="20" spans="1:1">
      <c r="A20" s="234"/>
    </row>
    <row r="21" spans="1:1">
      <c r="A21" s="234"/>
    </row>
    <row r="22" spans="1:1">
      <c r="A22" s="234"/>
    </row>
    <row r="23" spans="1:1">
      <c r="A23" s="234"/>
    </row>
    <row r="24" spans="1:1">
      <c r="A24" s="234"/>
    </row>
    <row r="25" spans="1:1">
      <c r="A25" s="234"/>
    </row>
    <row r="26" spans="1:1">
      <c r="A26" s="234"/>
    </row>
    <row r="27" spans="1:1">
      <c r="A27" s="234"/>
    </row>
    <row r="28" spans="1:1">
      <c r="A28" s="234"/>
    </row>
    <row r="29" spans="1:1">
      <c r="A29" s="234"/>
    </row>
    <row r="30" spans="1:1">
      <c r="A30" s="234"/>
    </row>
    <row r="31" spans="1:1">
      <c r="A31" s="234"/>
    </row>
    <row r="32" spans="1:1">
      <c r="A32" s="234"/>
    </row>
    <row r="33" spans="1:1">
      <c r="A33" s="234"/>
    </row>
    <row r="34" spans="1:1">
      <c r="A34" s="234"/>
    </row>
    <row r="35" spans="1:1">
      <c r="A35" s="234"/>
    </row>
    <row r="36" spans="1:1">
      <c r="A36" s="234"/>
    </row>
    <row r="37" spans="1:1">
      <c r="A37" s="234"/>
    </row>
    <row r="38" spans="1:1">
      <c r="A38" s="234"/>
    </row>
    <row r="39" spans="1:1">
      <c r="A39" s="234"/>
    </row>
    <row r="40" spans="1:1">
      <c r="A40" s="234"/>
    </row>
    <row r="41" spans="1:1">
      <c r="A41" s="234"/>
    </row>
    <row r="42" spans="1:1">
      <c r="A42" s="234"/>
    </row>
    <row r="43" spans="1:1">
      <c r="A43" s="234"/>
    </row>
    <row r="44" spans="1:1">
      <c r="A44" s="234"/>
    </row>
    <row r="45" spans="1:1">
      <c r="A45" s="234"/>
    </row>
    <row r="46" spans="1:1">
      <c r="A46" s="234"/>
    </row>
    <row r="47" spans="1:1">
      <c r="A47" s="234"/>
    </row>
    <row r="48" spans="1:1">
      <c r="A48" s="234"/>
    </row>
    <row r="49" spans="1:1">
      <c r="A49" s="234"/>
    </row>
    <row r="50" spans="1:1">
      <c r="A50" s="234"/>
    </row>
    <row r="51" spans="1:1">
      <c r="A51" s="234"/>
    </row>
    <row r="52" spans="1:1">
      <c r="A52" s="234"/>
    </row>
    <row r="53" spans="1:1">
      <c r="A53" s="234"/>
    </row>
    <row r="54" spans="1:1">
      <c r="A54" s="234"/>
    </row>
    <row r="55" spans="1:1">
      <c r="A55" s="234"/>
    </row>
    <row r="56" spans="1:1">
      <c r="A56" s="234"/>
    </row>
    <row r="57" spans="1:1">
      <c r="A57" s="234"/>
    </row>
    <row r="58" spans="1:1">
      <c r="A58" s="234"/>
    </row>
    <row r="59" spans="1:1">
      <c r="A59" s="234"/>
    </row>
    <row r="60" spans="1:1">
      <c r="A60" s="234"/>
    </row>
    <row r="61" spans="1:1">
      <c r="A61" s="234"/>
    </row>
    <row r="62" spans="1:1">
      <c r="A62" s="234"/>
    </row>
  </sheetData>
  <phoneticPr fontId="28" type="noConversion"/>
  <pageMargins left="0.25" right="0" top="0.25" bottom="0" header="0.5" footer="0.5"/>
  <pageSetup scale="80" orientation="landscape" horizontalDpi="4294967292" verticalDpi="4294967292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6"/>
  <sheetViews>
    <sheetView zoomScaleNormal="100" zoomScaleSheetLayoutView="100" workbookViewId="0"/>
  </sheetViews>
  <sheetFormatPr defaultColWidth="11" defaultRowHeight="12"/>
  <cols>
    <col min="1" max="1" width="51.625" style="346" bestFit="1" customWidth="1"/>
    <col min="2" max="2" width="2.875" customWidth="1"/>
    <col min="3" max="3" width="11.625" bestFit="1" customWidth="1"/>
    <col min="4" max="4" width="2.875" customWidth="1"/>
    <col min="5" max="5" width="11.5" bestFit="1" customWidth="1"/>
    <col min="6" max="8" width="11" customWidth="1"/>
    <col min="9" max="13" width="0" hidden="1" customWidth="1"/>
  </cols>
  <sheetData>
    <row r="1" spans="1:5" ht="15">
      <c r="A1" s="341" t="e">
        <f>#REF!</f>
        <v>#REF!</v>
      </c>
      <c r="B1" s="213"/>
      <c r="C1" s="212"/>
      <c r="E1" s="237" t="s">
        <v>143</v>
      </c>
    </row>
    <row r="2" spans="1:5" ht="15">
      <c r="A2" s="342" t="s">
        <v>404</v>
      </c>
      <c r="B2" s="212"/>
      <c r="C2" s="212"/>
    </row>
    <row r="6" spans="1:5" s="219" customFormat="1" ht="15">
      <c r="C6" s="220" t="s">
        <v>314</v>
      </c>
    </row>
    <row r="7" spans="1:5" s="219" customFormat="1" ht="15">
      <c r="A7" s="219" t="s">
        <v>76</v>
      </c>
      <c r="C7" s="220" t="s">
        <v>441</v>
      </c>
      <c r="E7" s="251" t="s">
        <v>318</v>
      </c>
    </row>
    <row r="8" spans="1:5" s="219" customFormat="1" ht="15">
      <c r="A8" s="221" t="s">
        <v>679</v>
      </c>
      <c r="C8" s="222" t="s">
        <v>76</v>
      </c>
      <c r="E8" s="221" t="s">
        <v>321</v>
      </c>
    </row>
    <row r="9" spans="1:5" s="212" customFormat="1" ht="15">
      <c r="A9" s="343"/>
      <c r="C9" s="218"/>
    </row>
    <row r="10" spans="1:5" s="212" customFormat="1" ht="15">
      <c r="A10" s="344"/>
      <c r="C10" s="287"/>
      <c r="D10" s="218"/>
      <c r="E10" s="196"/>
    </row>
    <row r="11" spans="1:5" s="212" customFormat="1" ht="15">
      <c r="A11" s="344"/>
      <c r="C11" s="287"/>
      <c r="D11" s="196"/>
      <c r="E11" s="196"/>
    </row>
    <row r="12" spans="1:5" s="212" customFormat="1" ht="15">
      <c r="A12" s="344"/>
      <c r="C12" s="198"/>
      <c r="D12" s="196"/>
      <c r="E12" s="196"/>
    </row>
    <row r="13" spans="1:5" s="212" customFormat="1" ht="15">
      <c r="A13" s="345"/>
      <c r="C13" s="256"/>
      <c r="D13" s="196"/>
      <c r="E13" s="256"/>
    </row>
    <row r="14" spans="1:5" s="212" customFormat="1" ht="15">
      <c r="A14" s="344"/>
      <c r="C14" s="196"/>
      <c r="D14" s="196"/>
      <c r="E14" s="196"/>
    </row>
    <row r="15" spans="1:5" s="212" customFormat="1" ht="15.75" thickBot="1">
      <c r="A15" s="344"/>
      <c r="C15" s="288">
        <f>SUM(C10:C12)</f>
        <v>0</v>
      </c>
      <c r="E15" s="288">
        <f>SUM(E10:E14)</f>
        <v>0</v>
      </c>
    </row>
    <row r="16" spans="1:5" s="212" customFormat="1" ht="15.75" thickTop="1">
      <c r="A16" s="344"/>
      <c r="C16" s="41"/>
      <c r="E16" s="236"/>
    </row>
  </sheetData>
  <phoneticPr fontId="28" type="noConversion"/>
  <pageMargins left="0.75" right="0.75" top="1" bottom="1" header="0.5" footer="0.5"/>
  <pageSetup scale="71" orientation="portrait" horizontalDpi="4294967292" verticalDpi="4294967292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08"/>
  <sheetViews>
    <sheetView view="pageBreakPreview" zoomScaleNormal="100" zoomScaleSheetLayoutView="100" workbookViewId="0"/>
  </sheetViews>
  <sheetFormatPr defaultRowHeight="12.75"/>
  <cols>
    <col min="1" max="1" width="6.5" style="896" customWidth="1"/>
    <col min="2" max="2" width="34.625" style="896" bestFit="1" customWidth="1"/>
    <col min="3" max="3" width="1.25" style="896" customWidth="1"/>
    <col min="4" max="4" width="10.875" style="882" bestFit="1" customWidth="1"/>
    <col min="5" max="5" width="1.5" style="882" customWidth="1"/>
    <col min="6" max="6" width="9.875" style="882" bestFit="1" customWidth="1"/>
    <col min="7" max="7" width="1.125" style="882" customWidth="1"/>
    <col min="8" max="8" width="11.625" style="882" bestFit="1" customWidth="1"/>
    <col min="9" max="9" width="9" style="882"/>
    <col min="10" max="10" width="12.5" style="954" bestFit="1" customWidth="1"/>
    <col min="11" max="16384" width="9" style="896"/>
  </cols>
  <sheetData>
    <row r="1" spans="1:10">
      <c r="A1" s="994" t="str">
        <f>Company_Name</f>
        <v>WATER SERVICE CORPORATION OF KENTUCKY</v>
      </c>
      <c r="D1" s="1031" t="s">
        <v>83</v>
      </c>
      <c r="G1" s="896"/>
      <c r="H1" s="896"/>
      <c r="I1" s="896"/>
      <c r="J1" s="896"/>
    </row>
    <row r="2" spans="1:10">
      <c r="A2" s="994" t="str">
        <f>Docket</f>
        <v>Case No. 2015 - 00382</v>
      </c>
      <c r="G2" s="896"/>
      <c r="H2" s="896"/>
      <c r="I2" s="896"/>
      <c r="J2" s="896"/>
    </row>
    <row r="3" spans="1:10">
      <c r="A3" s="994" t="s">
        <v>1046</v>
      </c>
      <c r="G3" s="896"/>
      <c r="H3" s="896"/>
      <c r="I3" s="896"/>
      <c r="J3" s="896"/>
    </row>
    <row r="4" spans="1:10">
      <c r="A4" s="994" t="s">
        <v>1047</v>
      </c>
      <c r="G4" s="896"/>
      <c r="H4" s="896"/>
      <c r="I4" s="896"/>
      <c r="J4" s="896"/>
    </row>
    <row r="5" spans="1:10">
      <c r="A5" s="994" t="str">
        <f>TestYearEnded</f>
        <v>Test Year Ended 6/30/2015</v>
      </c>
      <c r="G5" s="896"/>
      <c r="H5" s="896"/>
      <c r="I5" s="896"/>
      <c r="J5" s="896"/>
    </row>
    <row r="7" spans="1:10" s="1485" customFormat="1">
      <c r="B7" s="1485" t="s">
        <v>235</v>
      </c>
      <c r="D7" s="1538" t="s">
        <v>236</v>
      </c>
      <c r="E7" s="1538"/>
      <c r="F7" s="1538"/>
      <c r="G7" s="1538"/>
      <c r="H7" s="1538"/>
      <c r="I7" s="1538"/>
      <c r="J7" s="1539"/>
    </row>
    <row r="9" spans="1:10">
      <c r="A9" s="1486" t="s">
        <v>1786</v>
      </c>
    </row>
    <row r="10" spans="1:10">
      <c r="A10" s="1488">
        <v>1</v>
      </c>
      <c r="B10" s="896" t="s">
        <v>1089</v>
      </c>
      <c r="D10" s="995">
        <f>'Sch.B-I.S'!J11+'Sch.B-I.S'!J13</f>
        <v>2167760.1542871878</v>
      </c>
      <c r="G10" s="896"/>
      <c r="H10" s="896"/>
      <c r="I10" s="896"/>
      <c r="J10" s="896"/>
    </row>
    <row r="11" spans="1:10">
      <c r="A11" s="1488">
        <v>2</v>
      </c>
      <c r="B11" s="896" t="s">
        <v>1090</v>
      </c>
      <c r="D11" s="996">
        <f>'Sch.B-I.S'!J29+'Sch.B-I.S'!J42+'Sch.B-I.S'!J44+'Sch.B-I.S'!J46+'Sch.B-I.S'!J47+'Sch.B-I.S'!J50-'Linked TB'!E641</f>
        <v>2032685.590583628</v>
      </c>
      <c r="G11" s="896"/>
      <c r="H11" s="896"/>
      <c r="I11" s="896"/>
      <c r="J11" s="896"/>
    </row>
    <row r="12" spans="1:10" ht="13.5" thickBot="1">
      <c r="A12" s="1488">
        <v>3</v>
      </c>
      <c r="B12" s="896" t="s">
        <v>1091</v>
      </c>
      <c r="D12" s="997">
        <f>+D10/D11</f>
        <v>1.0664512821507122</v>
      </c>
      <c r="G12" s="896"/>
      <c r="H12" s="896"/>
      <c r="I12" s="896"/>
      <c r="J12" s="896"/>
    </row>
    <row r="13" spans="1:10" ht="13.5" thickTop="1">
      <c r="A13" s="1488">
        <v>4</v>
      </c>
      <c r="D13" s="886"/>
      <c r="G13" s="896"/>
      <c r="H13" s="896"/>
      <c r="I13" s="896"/>
      <c r="J13" s="896"/>
    </row>
    <row r="14" spans="1:10">
      <c r="A14" s="1488">
        <v>5</v>
      </c>
      <c r="B14" s="896" t="s">
        <v>1092</v>
      </c>
      <c r="D14" s="886"/>
      <c r="F14" s="882">
        <f>D14*0.12</f>
        <v>0</v>
      </c>
      <c r="G14" s="896"/>
      <c r="H14" s="896"/>
      <c r="I14" s="896"/>
      <c r="J14" s="896"/>
    </row>
    <row r="15" spans="1:10">
      <c r="A15" s="1488">
        <v>6</v>
      </c>
      <c r="B15" s="896" t="s">
        <v>1457</v>
      </c>
      <c r="D15" s="886">
        <f>'Sch.B-I.S'!N91</f>
        <v>961363.7503775059</v>
      </c>
      <c r="G15" s="896"/>
      <c r="H15" s="896"/>
      <c r="I15" s="896"/>
      <c r="J15" s="896"/>
    </row>
    <row r="16" spans="1:10">
      <c r="A16" s="1488">
        <v>7</v>
      </c>
      <c r="B16" s="896" t="s">
        <v>1458</v>
      </c>
      <c r="D16" s="886">
        <f ca="1">'Sch.B-I.S'!N104</f>
        <v>754913.22201814118</v>
      </c>
      <c r="G16" s="896"/>
      <c r="H16" s="896"/>
      <c r="I16" s="896"/>
      <c r="J16" s="896"/>
    </row>
    <row r="17" spans="1:10">
      <c r="A17" s="1488">
        <v>8</v>
      </c>
      <c r="B17" s="896" t="s">
        <v>1459</v>
      </c>
      <c r="D17" s="886">
        <f>'Sch.B-I.S'!N106</f>
        <v>355954.53467107523</v>
      </c>
      <c r="G17" s="896"/>
      <c r="H17" s="896"/>
      <c r="I17" s="896"/>
      <c r="J17" s="896"/>
    </row>
    <row r="18" spans="1:10">
      <c r="A18" s="1488">
        <v>9</v>
      </c>
      <c r="B18" s="896" t="s">
        <v>1460</v>
      </c>
      <c r="D18" s="886">
        <f>'Sch.B-I.S'!N112</f>
        <v>-9352.2215277520809</v>
      </c>
      <c r="G18" s="896"/>
      <c r="H18" s="896"/>
      <c r="I18" s="896"/>
      <c r="J18" s="896"/>
    </row>
    <row r="19" spans="1:10">
      <c r="A19" s="1488">
        <v>10</v>
      </c>
      <c r="B19" s="896" t="s">
        <v>1464</v>
      </c>
      <c r="D19" s="886">
        <f>'Sch.B-I.S'!N109</f>
        <v>-154344.02000000002</v>
      </c>
      <c r="G19" s="896"/>
      <c r="H19" s="896"/>
      <c r="I19" s="896"/>
      <c r="J19" s="896"/>
    </row>
    <row r="20" spans="1:10">
      <c r="A20" s="1488">
        <v>11</v>
      </c>
      <c r="B20" s="896" t="s">
        <v>1461</v>
      </c>
      <c r="D20" s="886">
        <f>SUM('Linked TB'!E636:E640)</f>
        <v>76791.350000000006</v>
      </c>
    </row>
    <row r="21" spans="1:10">
      <c r="A21" s="1488">
        <v>12</v>
      </c>
      <c r="B21" s="896" t="s">
        <v>1462</v>
      </c>
      <c r="D21" s="886">
        <f>'Wp b - salary'!N81</f>
        <v>58825.384053526519</v>
      </c>
    </row>
    <row r="22" spans="1:10">
      <c r="A22" s="1488">
        <v>13</v>
      </c>
      <c r="B22" s="896" t="s">
        <v>1463</v>
      </c>
      <c r="D22" s="998">
        <f ca="1">SUM(D15:D21)</f>
        <v>2044151.9995924968</v>
      </c>
    </row>
    <row r="23" spans="1:10">
      <c r="A23" s="1488">
        <v>14</v>
      </c>
      <c r="B23" s="896" t="s">
        <v>1093</v>
      </c>
      <c r="D23" s="999">
        <v>0.88</v>
      </c>
    </row>
    <row r="24" spans="1:10">
      <c r="A24" s="1488">
        <v>15</v>
      </c>
      <c r="D24" s="1000"/>
    </row>
    <row r="25" spans="1:10">
      <c r="A25" s="1488">
        <v>16</v>
      </c>
      <c r="B25" s="896" t="s">
        <v>298</v>
      </c>
      <c r="D25" s="886">
        <f ca="1">D22/D23</f>
        <v>2322899.9995369283</v>
      </c>
    </row>
    <row r="26" spans="1:10">
      <c r="A26" s="1488">
        <v>17</v>
      </c>
      <c r="B26" s="896" t="s">
        <v>1452</v>
      </c>
      <c r="D26" s="886">
        <f>D11</f>
        <v>2032685.590583628</v>
      </c>
    </row>
    <row r="27" spans="1:10" ht="13.5" thickBot="1">
      <c r="A27" s="1488">
        <v>18</v>
      </c>
      <c r="B27" s="1001" t="s">
        <v>1453</v>
      </c>
      <c r="D27" s="1002">
        <f ca="1">D25-D26</f>
        <v>290214.40895330021</v>
      </c>
    </row>
    <row r="28" spans="1:10" ht="13.5" thickTop="1">
      <c r="B28" s="1001"/>
      <c r="D28" s="886"/>
    </row>
    <row r="30" spans="1:10">
      <c r="A30" s="923"/>
      <c r="B30" s="923"/>
      <c r="C30" s="923"/>
      <c r="D30" s="1003"/>
      <c r="E30" s="1003"/>
      <c r="F30" s="1003"/>
      <c r="G30" s="1003"/>
      <c r="H30" s="1003"/>
      <c r="I30" s="1003"/>
      <c r="J30" s="964"/>
    </row>
    <row r="31" spans="1:10">
      <c r="A31" s="923"/>
      <c r="B31" s="923"/>
      <c r="C31" s="923"/>
      <c r="D31" s="1003"/>
      <c r="E31" s="1003"/>
      <c r="F31" s="1003"/>
      <c r="G31" s="1003"/>
      <c r="H31" s="1003"/>
      <c r="I31" s="1003"/>
      <c r="J31" s="964"/>
    </row>
    <row r="32" spans="1:10">
      <c r="A32" s="923"/>
      <c r="B32" s="923"/>
      <c r="C32" s="923"/>
      <c r="D32" s="1003"/>
      <c r="E32" s="1003"/>
      <c r="F32" s="1003"/>
      <c r="G32" s="1003"/>
      <c r="H32" s="1003"/>
      <c r="I32" s="1003"/>
      <c r="J32" s="964"/>
    </row>
    <row r="33" spans="1:10">
      <c r="A33" s="923"/>
      <c r="B33" s="923"/>
      <c r="C33" s="923"/>
      <c r="D33" s="1003"/>
      <c r="E33" s="1003"/>
      <c r="F33" s="1003"/>
      <c r="G33" s="1003"/>
      <c r="H33" s="1003"/>
      <c r="I33" s="1003"/>
      <c r="J33" s="964"/>
    </row>
    <row r="34" spans="1:10">
      <c r="A34" s="923"/>
      <c r="B34" s="923"/>
      <c r="C34" s="923"/>
      <c r="D34" s="1003"/>
      <c r="E34" s="1003"/>
      <c r="F34" s="1003"/>
      <c r="G34" s="1003"/>
      <c r="H34" s="1003"/>
      <c r="I34" s="1003"/>
      <c r="J34" s="964"/>
    </row>
    <row r="35" spans="1:10">
      <c r="A35" s="923"/>
      <c r="B35" s="923"/>
      <c r="C35" s="923"/>
      <c r="D35" s="1003"/>
      <c r="E35" s="1003"/>
      <c r="F35" s="1003"/>
      <c r="G35" s="1003"/>
      <c r="H35" s="1003"/>
      <c r="I35" s="1003"/>
      <c r="J35" s="964"/>
    </row>
    <row r="36" spans="1:10">
      <c r="A36" s="923"/>
      <c r="B36" s="923"/>
      <c r="C36" s="923"/>
      <c r="D36" s="1004"/>
      <c r="E36" s="1003"/>
      <c r="F36" s="1003"/>
      <c r="G36" s="1003"/>
      <c r="H36" s="1004"/>
      <c r="I36" s="1003"/>
      <c r="J36" s="964"/>
    </row>
    <row r="37" spans="1:10">
      <c r="A37" s="923"/>
      <c r="B37" s="923"/>
      <c r="C37" s="923"/>
      <c r="D37" s="1004"/>
      <c r="E37" s="1003"/>
      <c r="F37" s="1004"/>
      <c r="G37" s="1003"/>
      <c r="H37" s="1004"/>
      <c r="I37" s="1003"/>
      <c r="J37" s="964"/>
    </row>
    <row r="38" spans="1:10">
      <c r="A38" s="923"/>
      <c r="B38" s="1005"/>
      <c r="C38" s="923"/>
      <c r="D38" s="1003"/>
      <c r="E38" s="1003"/>
      <c r="F38" s="1003"/>
      <c r="G38" s="1003"/>
      <c r="H38" s="1003"/>
      <c r="I38" s="1003"/>
      <c r="J38" s="964"/>
    </row>
    <row r="39" spans="1:10">
      <c r="A39" s="923"/>
      <c r="B39" s="1006"/>
      <c r="C39" s="923"/>
      <c r="D39" s="1003"/>
      <c r="E39" s="1003"/>
      <c r="F39" s="1003"/>
      <c r="G39" s="1003"/>
      <c r="H39" s="1003"/>
      <c r="I39" s="1003"/>
      <c r="J39" s="964"/>
    </row>
    <row r="40" spans="1:10">
      <c r="A40" s="923"/>
      <c r="B40" s="1006"/>
      <c r="C40" s="923"/>
      <c r="D40" s="1003"/>
      <c r="E40" s="1003"/>
      <c r="F40" s="1003"/>
      <c r="G40" s="1003"/>
      <c r="H40" s="1003"/>
      <c r="I40" s="1003"/>
      <c r="J40" s="964"/>
    </row>
    <row r="41" spans="1:10">
      <c r="A41" s="923"/>
      <c r="B41" s="1006"/>
      <c r="C41" s="923"/>
      <c r="D41" s="1003"/>
      <c r="E41" s="1003"/>
      <c r="F41" s="1003"/>
      <c r="G41" s="1003"/>
      <c r="H41" s="1003"/>
      <c r="I41" s="1003"/>
      <c r="J41" s="964"/>
    </row>
    <row r="42" spans="1:10">
      <c r="A42" s="923"/>
      <c r="B42" s="1006"/>
      <c r="C42" s="923"/>
      <c r="D42" s="1003"/>
      <c r="E42" s="1003"/>
      <c r="F42" s="1003"/>
      <c r="G42" s="1003"/>
      <c r="H42" s="1003"/>
      <c r="I42" s="1003"/>
      <c r="J42" s="964"/>
    </row>
    <row r="43" spans="1:10">
      <c r="A43" s="923"/>
      <c r="B43" s="1005"/>
      <c r="C43" s="923"/>
      <c r="D43" s="1007"/>
      <c r="E43" s="1003"/>
      <c r="F43" s="1003"/>
      <c r="G43" s="1003"/>
      <c r="H43" s="1003"/>
      <c r="I43" s="1003"/>
      <c r="J43" s="964"/>
    </row>
    <row r="44" spans="1:10">
      <c r="A44" s="923"/>
      <c r="B44" s="923"/>
      <c r="C44" s="923"/>
      <c r="D44" s="1003"/>
      <c r="E44" s="1003"/>
      <c r="F44" s="1003"/>
      <c r="G44" s="1003"/>
      <c r="H44" s="1003"/>
      <c r="I44" s="1003"/>
      <c r="J44" s="1008"/>
    </row>
    <row r="45" spans="1:10">
      <c r="A45" s="923"/>
      <c r="B45" s="1005"/>
      <c r="C45" s="923"/>
      <c r="D45" s="1009"/>
      <c r="E45" s="1003"/>
      <c r="F45" s="1003"/>
      <c r="G45" s="1003"/>
      <c r="H45" s="1003"/>
      <c r="I45" s="1003"/>
      <c r="J45" s="1008"/>
    </row>
    <row r="46" spans="1:10">
      <c r="A46" s="923"/>
      <c r="B46" s="923"/>
      <c r="C46" s="923"/>
      <c r="D46" s="1003"/>
      <c r="E46" s="1003"/>
      <c r="F46" s="1003"/>
      <c r="G46" s="1003"/>
      <c r="H46" s="1003"/>
      <c r="I46" s="1003"/>
      <c r="J46" s="964"/>
    </row>
    <row r="47" spans="1:10">
      <c r="A47" s="923"/>
      <c r="B47" s="923"/>
      <c r="C47" s="923"/>
      <c r="D47" s="923"/>
      <c r="E47" s="923"/>
      <c r="F47" s="923"/>
      <c r="G47" s="1003"/>
      <c r="H47" s="1003"/>
      <c r="I47" s="1003"/>
      <c r="J47" s="964"/>
    </row>
    <row r="48" spans="1:10">
      <c r="A48" s="923"/>
      <c r="B48" s="923"/>
      <c r="C48" s="923"/>
      <c r="D48" s="1003"/>
      <c r="E48" s="1003"/>
      <c r="F48" s="1003"/>
      <c r="G48" s="1003"/>
      <c r="H48" s="1003"/>
      <c r="I48" s="1003"/>
      <c r="J48" s="964"/>
    </row>
    <row r="49" spans="1:10">
      <c r="A49" s="923"/>
      <c r="B49" s="923"/>
      <c r="C49" s="923"/>
      <c r="D49" s="1003"/>
      <c r="E49" s="1003"/>
      <c r="F49" s="1003"/>
      <c r="G49" s="1003"/>
      <c r="H49" s="1003"/>
      <c r="I49" s="1003"/>
      <c r="J49" s="964"/>
    </row>
    <row r="50" spans="1:10">
      <c r="A50" s="923"/>
      <c r="B50" s="923"/>
      <c r="C50" s="923"/>
      <c r="D50" s="1003"/>
      <c r="E50" s="1003"/>
      <c r="F50" s="1003"/>
      <c r="G50" s="1003"/>
      <c r="H50" s="1003"/>
      <c r="I50" s="1003"/>
      <c r="J50" s="964"/>
    </row>
    <row r="51" spans="1:10">
      <c r="A51" s="923"/>
      <c r="B51" s="923"/>
      <c r="C51" s="923"/>
      <c r="D51" s="1003"/>
      <c r="E51" s="1003"/>
      <c r="F51" s="1003"/>
      <c r="G51" s="1003"/>
      <c r="H51" s="1003"/>
      <c r="I51" s="1003"/>
      <c r="J51" s="964"/>
    </row>
    <row r="52" spans="1:10">
      <c r="A52" s="923"/>
      <c r="B52" s="923"/>
      <c r="C52" s="923"/>
      <c r="D52" s="1003"/>
      <c r="E52" s="1003"/>
      <c r="F52" s="1003"/>
      <c r="G52" s="1003"/>
      <c r="H52" s="1003"/>
      <c r="I52" s="1003"/>
      <c r="J52" s="964"/>
    </row>
    <row r="53" spans="1:10">
      <c r="A53" s="923"/>
      <c r="B53" s="923"/>
      <c r="C53" s="923"/>
      <c r="D53" s="1003"/>
      <c r="E53" s="1003"/>
      <c r="F53" s="1003"/>
      <c r="G53" s="1003"/>
      <c r="H53" s="1003"/>
      <c r="I53" s="1003"/>
      <c r="J53" s="964"/>
    </row>
    <row r="54" spans="1:10">
      <c r="A54" s="923"/>
      <c r="B54" s="923"/>
      <c r="C54" s="923"/>
      <c r="D54" s="1003"/>
      <c r="E54" s="1003"/>
      <c r="F54" s="1003"/>
      <c r="G54" s="1003"/>
      <c r="H54" s="1003"/>
      <c r="I54" s="1003"/>
      <c r="J54" s="964"/>
    </row>
    <row r="55" spans="1:10">
      <c r="A55" s="1010"/>
      <c r="B55" s="923"/>
      <c r="C55" s="923"/>
      <c r="D55" s="1003"/>
      <c r="E55" s="1003"/>
      <c r="F55" s="1003"/>
      <c r="G55" s="1003"/>
      <c r="H55" s="1003"/>
      <c r="I55" s="1003"/>
      <c r="J55" s="964"/>
    </row>
    <row r="56" spans="1:10">
      <c r="A56" s="1010"/>
      <c r="B56" s="923"/>
      <c r="C56" s="923"/>
      <c r="D56" s="1003"/>
      <c r="E56" s="1003"/>
      <c r="F56" s="1003"/>
      <c r="G56" s="1003"/>
      <c r="H56" s="1003"/>
      <c r="I56" s="1003"/>
      <c r="J56" s="1011"/>
    </row>
    <row r="57" spans="1:10">
      <c r="A57" s="1010"/>
      <c r="B57" s="923"/>
      <c r="C57" s="923"/>
      <c r="D57" s="1003"/>
      <c r="E57" s="1003"/>
      <c r="F57" s="1003"/>
      <c r="G57" s="1003"/>
      <c r="H57" s="1003"/>
      <c r="I57" s="1003"/>
      <c r="J57" s="964"/>
    </row>
    <row r="58" spans="1:10">
      <c r="A58" s="923"/>
      <c r="B58" s="923"/>
      <c r="C58" s="923"/>
      <c r="D58" s="1003"/>
      <c r="E58" s="1003"/>
      <c r="F58" s="1003"/>
      <c r="G58" s="1003"/>
      <c r="H58" s="1003"/>
      <c r="I58" s="1003"/>
      <c r="J58" s="964"/>
    </row>
    <row r="59" spans="1:10">
      <c r="A59" s="923"/>
      <c r="B59" s="923"/>
      <c r="C59" s="923"/>
      <c r="D59" s="1003"/>
      <c r="E59" s="1003"/>
      <c r="F59" s="1003"/>
      <c r="G59" s="1003"/>
      <c r="H59" s="1003"/>
      <c r="I59" s="1003"/>
      <c r="J59" s="964"/>
    </row>
    <row r="60" spans="1:10">
      <c r="A60" s="923"/>
      <c r="B60" s="923"/>
      <c r="C60" s="923"/>
      <c r="D60" s="1003"/>
      <c r="E60" s="1003"/>
      <c r="F60" s="1003"/>
      <c r="G60" s="1003"/>
      <c r="H60" s="1003"/>
      <c r="I60" s="1003"/>
      <c r="J60" s="964"/>
    </row>
    <row r="61" spans="1:10">
      <c r="A61" s="923"/>
      <c r="B61" s="923"/>
      <c r="C61" s="923"/>
      <c r="D61" s="1004"/>
      <c r="E61" s="1003"/>
      <c r="F61" s="1003"/>
      <c r="G61" s="1003"/>
      <c r="H61" s="1004"/>
      <c r="I61" s="1003"/>
      <c r="J61" s="964"/>
    </row>
    <row r="62" spans="1:10">
      <c r="A62" s="923"/>
      <c r="B62" s="923"/>
      <c r="C62" s="923"/>
      <c r="D62" s="1004"/>
      <c r="E62" s="1003"/>
      <c r="F62" s="1004"/>
      <c r="G62" s="1003"/>
      <c r="H62" s="1004"/>
      <c r="I62" s="1003"/>
      <c r="J62" s="964"/>
    </row>
    <row r="63" spans="1:10">
      <c r="A63" s="923"/>
      <c r="B63" s="1005"/>
      <c r="C63" s="923"/>
      <c r="D63" s="1003"/>
      <c r="E63" s="1003"/>
      <c r="F63" s="1003"/>
      <c r="G63" s="1003"/>
      <c r="H63" s="1003"/>
      <c r="I63" s="1003"/>
      <c r="J63" s="964"/>
    </row>
    <row r="64" spans="1:10">
      <c r="A64" s="923"/>
      <c r="B64" s="1006"/>
      <c r="C64" s="923"/>
      <c r="D64" s="1003"/>
      <c r="E64" s="1003"/>
      <c r="F64" s="1003"/>
      <c r="G64" s="1003"/>
      <c r="H64" s="1003"/>
      <c r="I64" s="1003"/>
      <c r="J64" s="964"/>
    </row>
    <row r="65" spans="1:10">
      <c r="A65" s="923"/>
      <c r="B65" s="1006"/>
      <c r="C65" s="923"/>
      <c r="D65" s="1003"/>
      <c r="E65" s="1003"/>
      <c r="F65" s="1003"/>
      <c r="G65" s="1003"/>
      <c r="H65" s="1003"/>
      <c r="I65" s="1003"/>
      <c r="J65" s="964"/>
    </row>
    <row r="66" spans="1:10">
      <c r="A66" s="923"/>
      <c r="B66" s="1006"/>
      <c r="C66" s="923"/>
      <c r="D66" s="1003"/>
      <c r="E66" s="1003"/>
      <c r="F66" s="1003"/>
      <c r="G66" s="1003"/>
      <c r="H66" s="1003"/>
      <c r="I66" s="1003"/>
      <c r="J66" s="964"/>
    </row>
    <row r="67" spans="1:10">
      <c r="A67" s="923"/>
      <c r="B67" s="1006"/>
      <c r="C67" s="923"/>
      <c r="D67" s="1003"/>
      <c r="E67" s="1003"/>
      <c r="F67" s="1003"/>
      <c r="G67" s="1003"/>
      <c r="H67" s="1003"/>
      <c r="I67" s="1003"/>
      <c r="J67" s="964"/>
    </row>
    <row r="68" spans="1:10">
      <c r="A68" s="923"/>
      <c r="B68" s="1005"/>
      <c r="C68" s="923"/>
      <c r="D68" s="1007"/>
      <c r="E68" s="1003"/>
      <c r="F68" s="1003"/>
      <c r="G68" s="1003"/>
      <c r="H68" s="1003"/>
      <c r="I68" s="1003"/>
      <c r="J68" s="964"/>
    </row>
    <row r="69" spans="1:10">
      <c r="A69" s="923"/>
      <c r="B69" s="923"/>
      <c r="C69" s="923"/>
      <c r="D69" s="1003"/>
      <c r="E69" s="1003"/>
      <c r="F69" s="1003"/>
      <c r="G69" s="1003"/>
      <c r="H69" s="1003"/>
      <c r="I69" s="1003"/>
      <c r="J69" s="964"/>
    </row>
    <row r="70" spans="1:10">
      <c r="A70" s="923"/>
      <c r="B70" s="1005"/>
      <c r="C70" s="923"/>
      <c r="D70" s="1009"/>
      <c r="E70" s="1003"/>
      <c r="F70" s="1003"/>
      <c r="G70" s="1003"/>
      <c r="H70" s="1003"/>
      <c r="I70" s="1003"/>
      <c r="J70" s="964"/>
    </row>
    <row r="71" spans="1:10">
      <c r="A71" s="923"/>
      <c r="B71" s="923"/>
      <c r="C71" s="923"/>
      <c r="D71" s="1003"/>
      <c r="E71" s="1003"/>
      <c r="F71" s="1003"/>
      <c r="G71" s="1003"/>
      <c r="H71" s="1003"/>
      <c r="I71" s="1003"/>
      <c r="J71" s="964"/>
    </row>
    <row r="72" spans="1:10">
      <c r="A72" s="923"/>
      <c r="B72" s="923"/>
      <c r="C72" s="923"/>
      <c r="D72" s="923"/>
      <c r="E72" s="923"/>
      <c r="F72" s="923"/>
      <c r="G72" s="1003"/>
      <c r="H72" s="1003"/>
      <c r="I72" s="1003"/>
      <c r="J72" s="964"/>
    </row>
    <row r="73" spans="1:10">
      <c r="A73" s="923"/>
      <c r="B73" s="923"/>
      <c r="C73" s="923"/>
      <c r="D73" s="1003"/>
      <c r="E73" s="1003"/>
      <c r="F73" s="1003"/>
      <c r="G73" s="1003"/>
      <c r="H73" s="1003"/>
      <c r="I73" s="1003"/>
      <c r="J73" s="964"/>
    </row>
    <row r="74" spans="1:10">
      <c r="A74" s="923"/>
      <c r="B74" s="923"/>
      <c r="C74" s="923"/>
      <c r="D74" s="1003"/>
      <c r="E74" s="1003"/>
      <c r="F74" s="1003"/>
      <c r="G74" s="1003"/>
      <c r="H74" s="1003"/>
      <c r="I74" s="1003"/>
      <c r="J74" s="964"/>
    </row>
    <row r="75" spans="1:10">
      <c r="A75" s="923"/>
      <c r="B75" s="923"/>
      <c r="C75" s="923"/>
      <c r="D75" s="1003"/>
      <c r="E75" s="1003"/>
      <c r="F75" s="1003"/>
      <c r="G75" s="1003"/>
      <c r="H75" s="1003"/>
      <c r="I75" s="1003"/>
      <c r="J75" s="964"/>
    </row>
    <row r="76" spans="1:10">
      <c r="A76" s="923"/>
      <c r="B76" s="923"/>
      <c r="C76" s="923"/>
      <c r="D76" s="1003"/>
      <c r="E76" s="1003"/>
      <c r="F76" s="1003"/>
      <c r="G76" s="1003"/>
      <c r="H76" s="1003"/>
      <c r="I76" s="1012"/>
      <c r="J76" s="964"/>
    </row>
    <row r="77" spans="1:10">
      <c r="A77" s="923"/>
      <c r="B77" s="923"/>
      <c r="C77" s="923"/>
      <c r="D77" s="1003"/>
      <c r="E77" s="1003"/>
      <c r="F77" s="1003"/>
      <c r="G77" s="1003"/>
      <c r="H77" s="1003"/>
      <c r="I77" s="1003"/>
      <c r="J77" s="964"/>
    </row>
    <row r="78" spans="1:10">
      <c r="A78" s="923"/>
      <c r="B78" s="923"/>
      <c r="C78" s="923"/>
      <c r="D78" s="1003"/>
      <c r="E78" s="1003"/>
      <c r="F78" s="1003"/>
      <c r="G78" s="1003"/>
      <c r="H78" s="1003"/>
      <c r="I78" s="1003"/>
      <c r="J78" s="964"/>
    </row>
    <row r="79" spans="1:10">
      <c r="A79" s="1010"/>
      <c r="B79" s="923"/>
      <c r="C79" s="923"/>
      <c r="D79" s="1003"/>
      <c r="E79" s="1003"/>
      <c r="F79" s="1003"/>
      <c r="G79" s="1003"/>
      <c r="H79" s="1003"/>
      <c r="I79" s="1003"/>
      <c r="J79" s="964"/>
    </row>
    <row r="80" spans="1:10">
      <c r="A80" s="1010"/>
      <c r="B80" s="923"/>
      <c r="C80" s="923"/>
      <c r="D80" s="1003"/>
      <c r="E80" s="1003"/>
      <c r="F80" s="1003"/>
      <c r="G80" s="1003"/>
      <c r="H80" s="1003"/>
      <c r="I80" s="1003"/>
      <c r="J80" s="964"/>
    </row>
    <row r="81" spans="1:10">
      <c r="A81" s="1010"/>
      <c r="B81" s="923"/>
      <c r="C81" s="923"/>
      <c r="D81" s="1003"/>
      <c r="E81" s="1003"/>
      <c r="F81" s="1003"/>
      <c r="G81" s="1003"/>
      <c r="H81" s="1003"/>
      <c r="I81" s="1003"/>
      <c r="J81" s="964"/>
    </row>
    <row r="82" spans="1:10">
      <c r="A82" s="923"/>
      <c r="B82" s="923"/>
      <c r="C82" s="923"/>
      <c r="D82" s="1003"/>
      <c r="E82" s="1003"/>
      <c r="F82" s="1003"/>
      <c r="G82" s="1003"/>
      <c r="H82" s="1003"/>
      <c r="I82" s="1003"/>
      <c r="J82" s="964"/>
    </row>
    <row r="83" spans="1:10">
      <c r="A83" s="923"/>
      <c r="B83" s="923"/>
      <c r="C83" s="923"/>
      <c r="D83" s="1003"/>
      <c r="E83" s="1003"/>
      <c r="F83" s="1003"/>
      <c r="G83" s="1003"/>
      <c r="H83" s="1003"/>
      <c r="I83" s="1003"/>
      <c r="J83" s="964"/>
    </row>
    <row r="84" spans="1:10">
      <c r="A84" s="923"/>
      <c r="B84" s="923"/>
      <c r="C84" s="923"/>
      <c r="D84" s="1003"/>
      <c r="E84" s="1003"/>
      <c r="F84" s="1003"/>
      <c r="G84" s="1003"/>
      <c r="H84" s="1003"/>
      <c r="I84" s="1003"/>
      <c r="J84" s="964"/>
    </row>
    <row r="85" spans="1:10">
      <c r="A85" s="923"/>
      <c r="B85" s="923"/>
      <c r="C85" s="923"/>
      <c r="D85" s="1003"/>
      <c r="E85" s="1003"/>
      <c r="F85" s="1003"/>
      <c r="G85" s="1003"/>
      <c r="H85" s="1003"/>
      <c r="I85" s="1003"/>
      <c r="J85" s="964"/>
    </row>
    <row r="86" spans="1:10">
      <c r="A86" s="923"/>
      <c r="B86" s="923"/>
      <c r="C86" s="923"/>
      <c r="D86" s="1004"/>
      <c r="E86" s="1003"/>
      <c r="F86" s="1003"/>
      <c r="G86" s="1003"/>
      <c r="H86" s="1004"/>
      <c r="I86" s="1003"/>
      <c r="J86" s="964"/>
    </row>
    <row r="87" spans="1:10">
      <c r="A87" s="923"/>
      <c r="B87" s="923"/>
      <c r="C87" s="923"/>
      <c r="D87" s="1004"/>
      <c r="E87" s="1003"/>
      <c r="F87" s="1004"/>
      <c r="G87" s="1003"/>
      <c r="H87" s="1004"/>
      <c r="I87" s="1003"/>
      <c r="J87" s="964"/>
    </row>
    <row r="88" spans="1:10">
      <c r="A88" s="923"/>
      <c r="B88" s="1005"/>
      <c r="C88" s="923"/>
      <c r="D88" s="1003"/>
      <c r="E88" s="1003"/>
      <c r="F88" s="1003"/>
      <c r="G88" s="1003"/>
      <c r="H88" s="1003"/>
      <c r="I88" s="1003"/>
      <c r="J88" s="964"/>
    </row>
    <row r="89" spans="1:10">
      <c r="A89" s="923"/>
      <c r="B89" s="1006"/>
      <c r="C89" s="923"/>
      <c r="D89" s="1003"/>
      <c r="E89" s="1003"/>
      <c r="F89" s="1003"/>
      <c r="G89" s="1003"/>
      <c r="H89" s="1003"/>
      <c r="I89" s="1003"/>
      <c r="J89" s="964"/>
    </row>
    <row r="90" spans="1:10">
      <c r="A90" s="923"/>
      <c r="B90" s="1006"/>
      <c r="C90" s="923"/>
      <c r="D90" s="1003"/>
      <c r="E90" s="1003"/>
      <c r="F90" s="1003"/>
      <c r="G90" s="1003"/>
      <c r="H90" s="1003"/>
      <c r="I90" s="1003"/>
      <c r="J90" s="964"/>
    </row>
    <row r="91" spans="1:10">
      <c r="A91" s="923"/>
      <c r="B91" s="1006"/>
      <c r="C91" s="923"/>
      <c r="D91" s="1003"/>
      <c r="E91" s="1003"/>
      <c r="F91" s="1003"/>
      <c r="G91" s="1003"/>
      <c r="H91" s="1003"/>
      <c r="I91" s="1003"/>
      <c r="J91" s="964"/>
    </row>
    <row r="92" spans="1:10">
      <c r="A92" s="923"/>
      <c r="B92" s="1006"/>
      <c r="C92" s="923"/>
      <c r="D92" s="1003"/>
      <c r="E92" s="1003"/>
      <c r="F92" s="1003"/>
      <c r="G92" s="1003"/>
      <c r="H92" s="1003"/>
      <c r="I92" s="1003"/>
      <c r="J92" s="964"/>
    </row>
    <row r="93" spans="1:10">
      <c r="A93" s="923"/>
      <c r="B93" s="1005"/>
      <c r="C93" s="923"/>
      <c r="D93" s="1007"/>
      <c r="E93" s="1003"/>
      <c r="F93" s="1003"/>
      <c r="G93" s="1003"/>
      <c r="H93" s="1003"/>
      <c r="I93" s="1003"/>
      <c r="J93" s="964"/>
    </row>
    <row r="94" spans="1:10">
      <c r="A94" s="923"/>
      <c r="B94" s="923"/>
      <c r="C94" s="923"/>
      <c r="D94" s="1003"/>
      <c r="E94" s="1003"/>
      <c r="F94" s="1003"/>
      <c r="G94" s="1003"/>
      <c r="H94" s="1003"/>
      <c r="I94" s="1003"/>
      <c r="J94" s="964"/>
    </row>
    <row r="95" spans="1:10">
      <c r="A95" s="923"/>
      <c r="B95" s="1005"/>
      <c r="C95" s="923"/>
      <c r="D95" s="1009"/>
      <c r="E95" s="1003"/>
      <c r="F95" s="1003"/>
      <c r="G95" s="1003"/>
      <c r="H95" s="1003"/>
      <c r="I95" s="1003"/>
      <c r="J95" s="964"/>
    </row>
    <row r="96" spans="1:10">
      <c r="A96" s="923"/>
      <c r="B96" s="923"/>
      <c r="C96" s="923"/>
      <c r="D96" s="1003"/>
      <c r="E96" s="1003"/>
      <c r="F96" s="1003"/>
      <c r="G96" s="1003"/>
      <c r="H96" s="1003"/>
      <c r="I96" s="1003"/>
      <c r="J96" s="964"/>
    </row>
    <row r="97" spans="1:10">
      <c r="A97" s="923"/>
      <c r="B97" s="923"/>
      <c r="C97" s="923"/>
      <c r="D97" s="923"/>
      <c r="E97" s="923"/>
      <c r="F97" s="923"/>
      <c r="G97" s="1003"/>
      <c r="H97" s="1003"/>
      <c r="I97" s="1003"/>
      <c r="J97" s="964"/>
    </row>
    <row r="98" spans="1:10">
      <c r="A98" s="923"/>
      <c r="B98" s="923"/>
      <c r="C98" s="923"/>
      <c r="D98" s="1003"/>
      <c r="E98" s="1003"/>
      <c r="F98" s="1003"/>
      <c r="G98" s="1003"/>
      <c r="H98" s="1003"/>
      <c r="I98" s="1003"/>
      <c r="J98" s="964"/>
    </row>
    <row r="99" spans="1:10">
      <c r="A99" s="923"/>
      <c r="B99" s="923"/>
      <c r="C99" s="923"/>
      <c r="D99" s="1003"/>
      <c r="E99" s="1003"/>
      <c r="F99" s="1003"/>
      <c r="G99" s="1003"/>
      <c r="H99" s="1003"/>
      <c r="I99" s="1003"/>
      <c r="J99" s="964"/>
    </row>
    <row r="100" spans="1:10">
      <c r="A100" s="923"/>
      <c r="B100" s="923"/>
      <c r="C100" s="923"/>
      <c r="D100" s="1003"/>
      <c r="E100" s="1003"/>
      <c r="F100" s="1003"/>
      <c r="G100" s="1003"/>
      <c r="H100" s="1003"/>
      <c r="I100" s="1003"/>
      <c r="J100" s="964"/>
    </row>
    <row r="101" spans="1:10">
      <c r="A101" s="923"/>
      <c r="B101" s="923"/>
      <c r="C101" s="923"/>
      <c r="D101" s="1003"/>
      <c r="E101" s="1003"/>
      <c r="F101" s="1003"/>
      <c r="G101" s="1003"/>
      <c r="H101" s="1003"/>
      <c r="I101" s="1003"/>
      <c r="J101" s="964"/>
    </row>
    <row r="102" spans="1:10">
      <c r="A102" s="923"/>
      <c r="B102" s="923"/>
      <c r="C102" s="923"/>
      <c r="D102" s="1003"/>
      <c r="E102" s="1003"/>
      <c r="F102" s="1003"/>
      <c r="G102" s="1003"/>
      <c r="H102" s="1003"/>
      <c r="I102" s="1012"/>
      <c r="J102" s="964"/>
    </row>
    <row r="103" spans="1:10">
      <c r="A103" s="923"/>
      <c r="B103" s="923"/>
      <c r="C103" s="923"/>
      <c r="D103" s="1003"/>
      <c r="E103" s="1003"/>
      <c r="F103" s="1003"/>
      <c r="G103" s="1003"/>
      <c r="H103" s="1003"/>
      <c r="I103" s="1003"/>
      <c r="J103" s="964"/>
    </row>
    <row r="104" spans="1:10">
      <c r="A104" s="923"/>
      <c r="B104" s="923"/>
      <c r="C104" s="923"/>
      <c r="D104" s="1003"/>
      <c r="E104" s="1003"/>
      <c r="F104" s="1003"/>
      <c r="G104" s="1003"/>
      <c r="H104" s="1003"/>
      <c r="I104" s="1003"/>
      <c r="J104" s="964"/>
    </row>
    <row r="105" spans="1:10">
      <c r="A105" s="923"/>
      <c r="B105" s="923"/>
      <c r="C105" s="923"/>
      <c r="D105" s="1003"/>
      <c r="E105" s="1003"/>
      <c r="F105" s="1003"/>
      <c r="G105" s="1003"/>
      <c r="H105" s="1003"/>
      <c r="I105" s="1003"/>
      <c r="J105" s="964"/>
    </row>
    <row r="106" spans="1:10">
      <c r="A106" s="923"/>
      <c r="B106" s="923"/>
      <c r="C106" s="923"/>
      <c r="D106" s="1003"/>
      <c r="E106" s="1003"/>
      <c r="F106" s="1003"/>
      <c r="G106" s="1003"/>
      <c r="H106" s="1003"/>
      <c r="I106" s="1003"/>
      <c r="J106" s="964"/>
    </row>
    <row r="107" spans="1:10">
      <c r="A107" s="923"/>
      <c r="B107" s="923"/>
      <c r="C107" s="923"/>
      <c r="D107" s="1003"/>
      <c r="E107" s="1003"/>
      <c r="F107" s="1003"/>
      <c r="G107" s="1003"/>
      <c r="H107" s="1003"/>
      <c r="I107" s="1003"/>
      <c r="J107" s="964"/>
    </row>
    <row r="108" spans="1:10">
      <c r="A108" s="923"/>
      <c r="B108" s="923"/>
      <c r="C108" s="923"/>
      <c r="D108" s="1003"/>
      <c r="E108" s="1003"/>
      <c r="F108" s="1003"/>
      <c r="G108" s="1003"/>
      <c r="H108" s="1003"/>
      <c r="I108" s="1003"/>
      <c r="J108" s="964"/>
    </row>
  </sheetData>
  <pageMargins left="0.7" right="0.7" top="0.75" bottom="0.75" header="0.3" footer="0.3"/>
  <pageSetup scale="90" orientation="portrait" r:id="rId1"/>
  <rowBreaks count="2" manualBreakCount="2">
    <brk id="33" max="16383" man="1"/>
    <brk id="58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513"/>
  <sheetViews>
    <sheetView view="pageBreakPreview" zoomScale="60" zoomScaleNormal="100" workbookViewId="0"/>
  </sheetViews>
  <sheetFormatPr defaultRowHeight="12"/>
  <cols>
    <col min="1" max="1" width="12.625" bestFit="1" customWidth="1"/>
    <col min="2" max="2" width="43.875" bestFit="1" customWidth="1"/>
    <col min="3" max="3" width="15.75" bestFit="1" customWidth="1"/>
    <col min="4" max="4" width="15" bestFit="1" customWidth="1"/>
    <col min="5" max="5" width="10.5" bestFit="1" customWidth="1"/>
    <col min="6" max="6" width="13" bestFit="1" customWidth="1"/>
    <col min="12" max="12" width="13" bestFit="1" customWidth="1"/>
  </cols>
  <sheetData>
    <row r="1" spans="1:6" ht="13.5" thickBot="1">
      <c r="A1" t="s">
        <v>153</v>
      </c>
      <c r="B1" t="s">
        <v>154</v>
      </c>
      <c r="C1" s="426"/>
      <c r="D1" s="427" t="s">
        <v>155</v>
      </c>
      <c r="E1" s="428" t="s">
        <v>314</v>
      </c>
    </row>
    <row r="2" spans="1:6" ht="12.75">
      <c r="B2" t="s">
        <v>156</v>
      </c>
      <c r="C2" s="429" t="s">
        <v>157</v>
      </c>
      <c r="D2" s="430">
        <v>7374.7</v>
      </c>
      <c r="E2" s="431">
        <v>294248.2</v>
      </c>
    </row>
    <row r="3" spans="1:6" ht="13.5" thickBot="1">
      <c r="C3" s="432" t="s">
        <v>158</v>
      </c>
      <c r="D3" s="433">
        <f>D2/E2</f>
        <v>2.5062855099878264E-2</v>
      </c>
      <c r="E3" s="434">
        <f>SUM(D3:D3)</f>
        <v>2.5062855099878264E-2</v>
      </c>
    </row>
    <row r="4" spans="1:6">
      <c r="B4" t="s">
        <v>159</v>
      </c>
    </row>
    <row r="5" spans="1:6" ht="26.25">
      <c r="A5" s="435" t="s">
        <v>160</v>
      </c>
      <c r="B5" s="435" t="s">
        <v>679</v>
      </c>
      <c r="C5" s="435" t="s">
        <v>161</v>
      </c>
      <c r="D5" s="436" t="s">
        <v>162</v>
      </c>
      <c r="E5" s="436" t="s">
        <v>163</v>
      </c>
      <c r="F5" s="437" t="s">
        <v>80</v>
      </c>
    </row>
    <row r="6" spans="1:6">
      <c r="B6" t="s">
        <v>164</v>
      </c>
      <c r="C6" s="425"/>
      <c r="D6" s="424">
        <f t="shared" ref="D6:D69" si="0">C6</f>
        <v>0</v>
      </c>
      <c r="E6" s="438">
        <f t="shared" ref="E6:E69" si="1">E$3</f>
        <v>2.5062855099878264E-2</v>
      </c>
      <c r="F6" s="424">
        <f t="shared" ref="F6:F69" si="2">E6*D6</f>
        <v>0</v>
      </c>
    </row>
    <row r="7" spans="1:6">
      <c r="B7" t="s">
        <v>165</v>
      </c>
      <c r="C7" s="425"/>
      <c r="D7" s="424">
        <f t="shared" si="0"/>
        <v>0</v>
      </c>
      <c r="E7" s="438">
        <f t="shared" si="1"/>
        <v>2.5062855099878264E-2</v>
      </c>
      <c r="F7" s="424">
        <f t="shared" si="2"/>
        <v>0</v>
      </c>
    </row>
    <row r="8" spans="1:6">
      <c r="B8" t="s">
        <v>166</v>
      </c>
      <c r="C8" s="425"/>
      <c r="D8" s="424">
        <f t="shared" si="0"/>
        <v>0</v>
      </c>
      <c r="E8" s="438">
        <f t="shared" si="1"/>
        <v>2.5062855099878264E-2</v>
      </c>
      <c r="F8" s="424">
        <f t="shared" si="2"/>
        <v>0</v>
      </c>
    </row>
    <row r="9" spans="1:6">
      <c r="B9" t="s">
        <v>167</v>
      </c>
      <c r="C9" s="425"/>
      <c r="D9" s="424">
        <f t="shared" si="0"/>
        <v>0</v>
      </c>
      <c r="E9" s="438">
        <f t="shared" si="1"/>
        <v>2.5062855099878264E-2</v>
      </c>
      <c r="F9" s="424">
        <f t="shared" si="2"/>
        <v>0</v>
      </c>
    </row>
    <row r="10" spans="1:6">
      <c r="A10">
        <v>5430</v>
      </c>
      <c r="B10" t="s">
        <v>762</v>
      </c>
      <c r="C10" s="425"/>
      <c r="D10" s="424">
        <f t="shared" si="0"/>
        <v>0</v>
      </c>
      <c r="E10" s="438">
        <f t="shared" si="1"/>
        <v>2.5062855099878264E-2</v>
      </c>
      <c r="F10" s="424">
        <f t="shared" si="2"/>
        <v>0</v>
      </c>
    </row>
    <row r="11" spans="1:6">
      <c r="A11">
        <v>5435</v>
      </c>
      <c r="B11" t="s">
        <v>763</v>
      </c>
      <c r="C11" s="425"/>
      <c r="D11" s="424">
        <f t="shared" si="0"/>
        <v>0</v>
      </c>
      <c r="E11" s="438">
        <f t="shared" si="1"/>
        <v>2.5062855099878264E-2</v>
      </c>
      <c r="F11" s="424">
        <f t="shared" si="2"/>
        <v>0</v>
      </c>
    </row>
    <row r="12" spans="1:6">
      <c r="A12">
        <v>5440</v>
      </c>
      <c r="B12" t="s">
        <v>764</v>
      </c>
      <c r="C12" s="425"/>
      <c r="D12" s="424">
        <f t="shared" si="0"/>
        <v>0</v>
      </c>
      <c r="E12" s="438">
        <f t="shared" si="1"/>
        <v>2.5062855099878264E-2</v>
      </c>
      <c r="F12" s="424">
        <f t="shared" si="2"/>
        <v>0</v>
      </c>
    </row>
    <row r="13" spans="1:6">
      <c r="A13">
        <v>5445</v>
      </c>
      <c r="B13" t="s">
        <v>765</v>
      </c>
      <c r="C13" s="425"/>
      <c r="D13" s="424">
        <f t="shared" si="0"/>
        <v>0</v>
      </c>
      <c r="E13" s="438">
        <f t="shared" si="1"/>
        <v>2.5062855099878264E-2</v>
      </c>
      <c r="F13" s="424">
        <f t="shared" si="2"/>
        <v>0</v>
      </c>
    </row>
    <row r="14" spans="1:6">
      <c r="B14" t="s">
        <v>167</v>
      </c>
      <c r="C14" s="425"/>
      <c r="D14" s="424">
        <f t="shared" si="0"/>
        <v>0</v>
      </c>
      <c r="E14" s="438">
        <f t="shared" si="1"/>
        <v>2.5062855099878264E-2</v>
      </c>
      <c r="F14" s="424">
        <f t="shared" si="2"/>
        <v>0</v>
      </c>
    </row>
    <row r="15" spans="1:6">
      <c r="B15" t="s">
        <v>168</v>
      </c>
      <c r="C15" s="425"/>
      <c r="D15" s="424">
        <f t="shared" si="0"/>
        <v>0</v>
      </c>
      <c r="E15" s="438">
        <f t="shared" si="1"/>
        <v>2.5062855099878264E-2</v>
      </c>
      <c r="F15" s="424">
        <f t="shared" si="2"/>
        <v>0</v>
      </c>
    </row>
    <row r="16" spans="1:6">
      <c r="A16">
        <v>5455</v>
      </c>
      <c r="B16" t="s">
        <v>766</v>
      </c>
      <c r="C16" s="425"/>
      <c r="D16" s="424">
        <f t="shared" si="0"/>
        <v>0</v>
      </c>
      <c r="E16" s="438">
        <f t="shared" si="1"/>
        <v>2.5062855099878264E-2</v>
      </c>
      <c r="F16" s="424">
        <f t="shared" si="2"/>
        <v>0</v>
      </c>
    </row>
    <row r="17" spans="1:6">
      <c r="A17">
        <v>5460</v>
      </c>
      <c r="B17" t="s">
        <v>767</v>
      </c>
      <c r="C17" s="425"/>
      <c r="D17" s="424">
        <f t="shared" si="0"/>
        <v>0</v>
      </c>
      <c r="E17" s="438">
        <f t="shared" si="1"/>
        <v>2.5062855099878264E-2</v>
      </c>
      <c r="F17" s="424">
        <f t="shared" si="2"/>
        <v>0</v>
      </c>
    </row>
    <row r="18" spans="1:6">
      <c r="B18" t="s">
        <v>168</v>
      </c>
      <c r="C18" s="425"/>
      <c r="D18" s="424">
        <f t="shared" si="0"/>
        <v>0</v>
      </c>
      <c r="E18" s="438">
        <f t="shared" si="1"/>
        <v>2.5062855099878264E-2</v>
      </c>
      <c r="F18" s="424">
        <f t="shared" si="2"/>
        <v>0</v>
      </c>
    </row>
    <row r="19" spans="1:6">
      <c r="B19" t="s">
        <v>169</v>
      </c>
      <c r="C19" s="425"/>
      <c r="D19" s="424">
        <f t="shared" si="0"/>
        <v>0</v>
      </c>
      <c r="E19" s="438">
        <f t="shared" si="1"/>
        <v>2.5062855099878264E-2</v>
      </c>
      <c r="F19" s="424">
        <f t="shared" si="2"/>
        <v>0</v>
      </c>
    </row>
    <row r="20" spans="1:6">
      <c r="A20">
        <v>5465</v>
      </c>
      <c r="B20" t="s">
        <v>768</v>
      </c>
      <c r="C20" s="425"/>
      <c r="D20" s="424">
        <f t="shared" si="0"/>
        <v>0</v>
      </c>
      <c r="E20" s="438">
        <f t="shared" si="1"/>
        <v>2.5062855099878264E-2</v>
      </c>
      <c r="F20" s="424">
        <f t="shared" si="2"/>
        <v>0</v>
      </c>
    </row>
    <row r="21" spans="1:6">
      <c r="A21">
        <v>5465</v>
      </c>
      <c r="B21" t="s">
        <v>769</v>
      </c>
      <c r="C21" s="425"/>
      <c r="D21" s="424">
        <f t="shared" si="0"/>
        <v>0</v>
      </c>
      <c r="E21" s="438">
        <f t="shared" si="1"/>
        <v>2.5062855099878264E-2</v>
      </c>
      <c r="F21" s="424">
        <f t="shared" si="2"/>
        <v>0</v>
      </c>
    </row>
    <row r="22" spans="1:6">
      <c r="A22">
        <v>5465</v>
      </c>
      <c r="B22" t="s">
        <v>770</v>
      </c>
      <c r="C22" s="425"/>
      <c r="D22" s="424">
        <f t="shared" si="0"/>
        <v>0</v>
      </c>
      <c r="E22" s="438">
        <f t="shared" si="1"/>
        <v>2.5062855099878264E-2</v>
      </c>
      <c r="F22" s="424">
        <f t="shared" si="2"/>
        <v>0</v>
      </c>
    </row>
    <row r="23" spans="1:6">
      <c r="A23">
        <v>5465</v>
      </c>
      <c r="B23" t="s">
        <v>771</v>
      </c>
      <c r="C23" s="425"/>
      <c r="D23" s="424">
        <f t="shared" si="0"/>
        <v>0</v>
      </c>
      <c r="E23" s="438">
        <f t="shared" si="1"/>
        <v>2.5062855099878264E-2</v>
      </c>
      <c r="F23" s="424">
        <f t="shared" si="2"/>
        <v>0</v>
      </c>
    </row>
    <row r="24" spans="1:6">
      <c r="B24" t="s">
        <v>169</v>
      </c>
      <c r="C24" s="425"/>
      <c r="D24" s="424">
        <f t="shared" si="0"/>
        <v>0</v>
      </c>
      <c r="E24" s="438">
        <f t="shared" si="1"/>
        <v>2.5062855099878264E-2</v>
      </c>
      <c r="F24" s="424">
        <f t="shared" si="2"/>
        <v>0</v>
      </c>
    </row>
    <row r="25" spans="1:6">
      <c r="B25" t="s">
        <v>170</v>
      </c>
      <c r="C25" s="425"/>
      <c r="D25" s="424">
        <f t="shared" si="0"/>
        <v>0</v>
      </c>
      <c r="E25" s="438">
        <f t="shared" si="1"/>
        <v>2.5062855099878264E-2</v>
      </c>
      <c r="F25" s="424">
        <f t="shared" si="2"/>
        <v>0</v>
      </c>
    </row>
    <row r="26" spans="1:6">
      <c r="A26">
        <v>5470</v>
      </c>
      <c r="B26" t="s">
        <v>772</v>
      </c>
      <c r="C26" s="425"/>
      <c r="D26" s="424">
        <f t="shared" si="0"/>
        <v>0</v>
      </c>
      <c r="E26" s="438">
        <f t="shared" si="1"/>
        <v>2.5062855099878264E-2</v>
      </c>
      <c r="F26" s="424">
        <f t="shared" si="2"/>
        <v>0</v>
      </c>
    </row>
    <row r="27" spans="1:6">
      <c r="A27">
        <v>5470</v>
      </c>
      <c r="B27" t="s">
        <v>773</v>
      </c>
      <c r="C27" s="425"/>
      <c r="D27" s="424">
        <f t="shared" si="0"/>
        <v>0</v>
      </c>
      <c r="E27" s="438">
        <f t="shared" si="1"/>
        <v>2.5062855099878264E-2</v>
      </c>
      <c r="F27" s="424">
        <f t="shared" si="2"/>
        <v>0</v>
      </c>
    </row>
    <row r="28" spans="1:6">
      <c r="A28">
        <v>5470</v>
      </c>
      <c r="B28" t="s">
        <v>774</v>
      </c>
      <c r="C28" s="425"/>
      <c r="D28" s="424">
        <f t="shared" si="0"/>
        <v>0</v>
      </c>
      <c r="E28" s="438">
        <f t="shared" si="1"/>
        <v>2.5062855099878264E-2</v>
      </c>
      <c r="F28" s="424">
        <f t="shared" si="2"/>
        <v>0</v>
      </c>
    </row>
    <row r="29" spans="1:6">
      <c r="A29">
        <v>5470</v>
      </c>
      <c r="B29" t="s">
        <v>775</v>
      </c>
      <c r="C29" s="425"/>
      <c r="D29" s="424">
        <f t="shared" si="0"/>
        <v>0</v>
      </c>
      <c r="E29" s="438">
        <f t="shared" si="1"/>
        <v>2.5062855099878264E-2</v>
      </c>
      <c r="F29" s="424">
        <f t="shared" si="2"/>
        <v>0</v>
      </c>
    </row>
    <row r="30" spans="1:6">
      <c r="A30">
        <v>5470</v>
      </c>
      <c r="B30" t="s">
        <v>776</v>
      </c>
      <c r="C30" s="425"/>
      <c r="D30" s="424">
        <f t="shared" si="0"/>
        <v>0</v>
      </c>
      <c r="E30" s="438">
        <f t="shared" si="1"/>
        <v>2.5062855099878264E-2</v>
      </c>
      <c r="F30" s="424">
        <f t="shared" si="2"/>
        <v>0</v>
      </c>
    </row>
    <row r="31" spans="1:6">
      <c r="A31">
        <v>5470</v>
      </c>
      <c r="B31" t="s">
        <v>776</v>
      </c>
      <c r="C31" s="425"/>
      <c r="D31" s="424">
        <f t="shared" si="0"/>
        <v>0</v>
      </c>
      <c r="E31" s="438">
        <f t="shared" si="1"/>
        <v>2.5062855099878264E-2</v>
      </c>
      <c r="F31" s="424">
        <f t="shared" si="2"/>
        <v>0</v>
      </c>
    </row>
    <row r="32" spans="1:6">
      <c r="B32" t="s">
        <v>170</v>
      </c>
      <c r="C32" s="425"/>
      <c r="D32" s="424">
        <f t="shared" si="0"/>
        <v>0</v>
      </c>
      <c r="E32" s="438">
        <f t="shared" si="1"/>
        <v>2.5062855099878264E-2</v>
      </c>
      <c r="F32" s="424">
        <f t="shared" si="2"/>
        <v>0</v>
      </c>
    </row>
    <row r="33" spans="1:6">
      <c r="B33" t="s">
        <v>171</v>
      </c>
      <c r="C33" s="425"/>
      <c r="D33" s="424">
        <f t="shared" si="0"/>
        <v>0</v>
      </c>
      <c r="E33" s="438">
        <f t="shared" si="1"/>
        <v>2.5062855099878264E-2</v>
      </c>
      <c r="F33" s="424">
        <f t="shared" si="2"/>
        <v>0</v>
      </c>
    </row>
    <row r="34" spans="1:6">
      <c r="A34">
        <v>5480</v>
      </c>
      <c r="B34" t="s">
        <v>777</v>
      </c>
      <c r="C34" s="425"/>
      <c r="D34" s="424">
        <f t="shared" si="0"/>
        <v>0</v>
      </c>
      <c r="E34" s="438">
        <f t="shared" si="1"/>
        <v>2.5062855099878264E-2</v>
      </c>
      <c r="F34" s="424">
        <f t="shared" si="2"/>
        <v>0</v>
      </c>
    </row>
    <row r="35" spans="1:6">
      <c r="A35">
        <v>5485</v>
      </c>
      <c r="B35" t="s">
        <v>778</v>
      </c>
      <c r="C35" s="425"/>
      <c r="D35" s="424">
        <f t="shared" si="0"/>
        <v>0</v>
      </c>
      <c r="E35" s="438">
        <f t="shared" si="1"/>
        <v>2.5062855099878264E-2</v>
      </c>
      <c r="F35" s="424">
        <f t="shared" si="2"/>
        <v>0</v>
      </c>
    </row>
    <row r="36" spans="1:6">
      <c r="A36">
        <v>5490</v>
      </c>
      <c r="B36" t="s">
        <v>779</v>
      </c>
      <c r="C36" s="425"/>
      <c r="D36" s="424">
        <f t="shared" si="0"/>
        <v>0</v>
      </c>
      <c r="E36" s="438">
        <f t="shared" si="1"/>
        <v>2.5062855099878264E-2</v>
      </c>
      <c r="F36" s="424">
        <f t="shared" si="2"/>
        <v>0</v>
      </c>
    </row>
    <row r="37" spans="1:6">
      <c r="B37" t="s">
        <v>171</v>
      </c>
      <c r="C37" s="425"/>
      <c r="D37" s="424">
        <f t="shared" si="0"/>
        <v>0</v>
      </c>
      <c r="E37" s="438">
        <f t="shared" si="1"/>
        <v>2.5062855099878264E-2</v>
      </c>
      <c r="F37" s="424">
        <f t="shared" si="2"/>
        <v>0</v>
      </c>
    </row>
    <row r="38" spans="1:6">
      <c r="A38">
        <v>5495</v>
      </c>
      <c r="B38" t="s">
        <v>780</v>
      </c>
      <c r="C38" s="425"/>
      <c r="D38" s="424">
        <f t="shared" si="0"/>
        <v>0</v>
      </c>
      <c r="E38" s="438">
        <f t="shared" si="1"/>
        <v>2.5062855099878264E-2</v>
      </c>
      <c r="F38" s="424">
        <f t="shared" si="2"/>
        <v>0</v>
      </c>
    </row>
    <row r="39" spans="1:6">
      <c r="B39" t="s">
        <v>172</v>
      </c>
      <c r="C39" s="425"/>
      <c r="D39" s="424">
        <f t="shared" si="0"/>
        <v>0</v>
      </c>
      <c r="E39" s="438">
        <f t="shared" si="1"/>
        <v>2.5062855099878264E-2</v>
      </c>
      <c r="F39" s="424">
        <f t="shared" si="2"/>
        <v>0</v>
      </c>
    </row>
    <row r="40" spans="1:6">
      <c r="A40">
        <v>5505</v>
      </c>
      <c r="B40" t="s">
        <v>781</v>
      </c>
      <c r="C40" s="425">
        <v>589.16</v>
      </c>
      <c r="D40" s="424">
        <f t="shared" si="0"/>
        <v>589.16</v>
      </c>
      <c r="E40" s="438">
        <f t="shared" si="1"/>
        <v>2.5062855099878264E-2</v>
      </c>
      <c r="F40" s="424">
        <f t="shared" si="2"/>
        <v>14.766031710644278</v>
      </c>
    </row>
    <row r="41" spans="1:6">
      <c r="A41">
        <v>5510</v>
      </c>
      <c r="B41" t="s">
        <v>782</v>
      </c>
      <c r="C41" s="425"/>
      <c r="D41" s="424">
        <f t="shared" si="0"/>
        <v>0</v>
      </c>
      <c r="E41" s="438">
        <f t="shared" si="1"/>
        <v>2.5062855099878264E-2</v>
      </c>
      <c r="F41" s="424">
        <f t="shared" si="2"/>
        <v>0</v>
      </c>
    </row>
    <row r="42" spans="1:6">
      <c r="A42">
        <v>5515</v>
      </c>
      <c r="B42" t="s">
        <v>783</v>
      </c>
      <c r="C42" s="425"/>
      <c r="D42" s="424">
        <f t="shared" si="0"/>
        <v>0</v>
      </c>
      <c r="E42" s="438">
        <f t="shared" si="1"/>
        <v>2.5062855099878264E-2</v>
      </c>
      <c r="F42" s="424">
        <f t="shared" si="2"/>
        <v>0</v>
      </c>
    </row>
    <row r="43" spans="1:6">
      <c r="B43" t="s">
        <v>172</v>
      </c>
      <c r="C43" s="425">
        <v>589.16</v>
      </c>
      <c r="D43" s="424">
        <f t="shared" si="0"/>
        <v>589.16</v>
      </c>
      <c r="E43" s="438">
        <f t="shared" si="1"/>
        <v>2.5062855099878264E-2</v>
      </c>
      <c r="F43" s="424">
        <f t="shared" si="2"/>
        <v>14.766031710644278</v>
      </c>
    </row>
    <row r="44" spans="1:6">
      <c r="B44" t="s">
        <v>173</v>
      </c>
      <c r="C44" s="425"/>
      <c r="D44" s="424">
        <f t="shared" si="0"/>
        <v>0</v>
      </c>
      <c r="E44" s="438">
        <f t="shared" si="1"/>
        <v>2.5062855099878264E-2</v>
      </c>
      <c r="F44" s="424">
        <f t="shared" si="2"/>
        <v>0</v>
      </c>
    </row>
    <row r="45" spans="1:6">
      <c r="A45">
        <v>5525</v>
      </c>
      <c r="B45" t="s">
        <v>784</v>
      </c>
      <c r="C45" s="425">
        <v>13691.69</v>
      </c>
      <c r="D45" s="424">
        <f t="shared" si="0"/>
        <v>13691.69</v>
      </c>
      <c r="E45" s="438">
        <f t="shared" si="1"/>
        <v>2.5062855099878264E-2</v>
      </c>
      <c r="F45" s="424">
        <f t="shared" si="2"/>
        <v>343.15284254245222</v>
      </c>
    </row>
    <row r="46" spans="1:6">
      <c r="A46">
        <v>5530</v>
      </c>
      <c r="B46" t="s">
        <v>785</v>
      </c>
      <c r="C46" s="425">
        <v>3321.85</v>
      </c>
      <c r="D46" s="424">
        <f t="shared" si="0"/>
        <v>3321.85</v>
      </c>
      <c r="E46" s="438">
        <f t="shared" si="1"/>
        <v>2.5062855099878264E-2</v>
      </c>
      <c r="F46" s="424">
        <f t="shared" si="2"/>
        <v>83.255045213530607</v>
      </c>
    </row>
    <row r="47" spans="1:6">
      <c r="A47">
        <v>5535</v>
      </c>
      <c r="B47" t="s">
        <v>786</v>
      </c>
      <c r="C47" s="425">
        <v>21476.47</v>
      </c>
      <c r="D47" s="424">
        <f t="shared" si="0"/>
        <v>21476.47</v>
      </c>
      <c r="E47" s="438">
        <f t="shared" si="1"/>
        <v>2.5062855099878264E-2</v>
      </c>
      <c r="F47" s="424">
        <f t="shared" si="2"/>
        <v>538.26165566688258</v>
      </c>
    </row>
    <row r="48" spans="1:6">
      <c r="A48">
        <v>5540</v>
      </c>
      <c r="B48" t="s">
        <v>787</v>
      </c>
      <c r="C48" s="425">
        <v>225785.32</v>
      </c>
      <c r="D48" s="424">
        <f t="shared" si="0"/>
        <v>225785.32</v>
      </c>
      <c r="E48" s="438">
        <f t="shared" si="1"/>
        <v>2.5062855099878264E-2</v>
      </c>
      <c r="F48" s="424">
        <f t="shared" si="2"/>
        <v>5658.8247588396462</v>
      </c>
    </row>
    <row r="49" spans="1:6">
      <c r="A49">
        <v>5545</v>
      </c>
      <c r="B49" t="s">
        <v>788</v>
      </c>
      <c r="C49" s="425">
        <v>778.87</v>
      </c>
      <c r="D49" s="424">
        <f t="shared" si="0"/>
        <v>778.87</v>
      </c>
      <c r="E49" s="438">
        <f t="shared" si="1"/>
        <v>2.5062855099878264E-2</v>
      </c>
      <c r="F49" s="424">
        <f t="shared" si="2"/>
        <v>19.520705951642185</v>
      </c>
    </row>
    <row r="50" spans="1:6">
      <c r="B50" t="s">
        <v>173</v>
      </c>
      <c r="C50" s="425">
        <v>265054.2</v>
      </c>
      <c r="D50" s="424">
        <f t="shared" si="0"/>
        <v>265054.2</v>
      </c>
      <c r="E50" s="438">
        <f t="shared" si="1"/>
        <v>2.5062855099878264E-2</v>
      </c>
      <c r="F50" s="424">
        <f t="shared" si="2"/>
        <v>6643.0150082141536</v>
      </c>
    </row>
    <row r="51" spans="1:6">
      <c r="B51" t="s">
        <v>174</v>
      </c>
      <c r="C51" s="425"/>
      <c r="D51" s="424">
        <f t="shared" si="0"/>
        <v>0</v>
      </c>
      <c r="E51" s="438">
        <f t="shared" si="1"/>
        <v>2.5062855099878264E-2</v>
      </c>
      <c r="F51" s="424">
        <f t="shared" si="2"/>
        <v>0</v>
      </c>
    </row>
    <row r="52" spans="1:6">
      <c r="A52">
        <v>5625</v>
      </c>
      <c r="B52" t="s">
        <v>789</v>
      </c>
      <c r="C52" s="425">
        <v>168387</v>
      </c>
      <c r="D52" s="424">
        <f t="shared" si="0"/>
        <v>168387</v>
      </c>
      <c r="E52" s="438">
        <f t="shared" si="1"/>
        <v>2.5062855099878264E-2</v>
      </c>
      <c r="F52" s="424">
        <f t="shared" si="2"/>
        <v>4220.2589817032012</v>
      </c>
    </row>
    <row r="53" spans="1:6">
      <c r="A53">
        <v>5630</v>
      </c>
      <c r="B53" t="s">
        <v>790</v>
      </c>
      <c r="C53" s="425">
        <v>8831.4</v>
      </c>
      <c r="D53" s="424">
        <f t="shared" si="0"/>
        <v>8831.4</v>
      </c>
      <c r="E53" s="438">
        <f t="shared" si="1"/>
        <v>2.5062855099878264E-2</v>
      </c>
      <c r="F53" s="424">
        <f t="shared" si="2"/>
        <v>221.3400985290649</v>
      </c>
    </row>
    <row r="54" spans="1:6">
      <c r="A54">
        <v>5635</v>
      </c>
      <c r="B54" t="s">
        <v>791</v>
      </c>
      <c r="C54" s="425">
        <v>76878.080000000002</v>
      </c>
      <c r="D54" s="424">
        <f t="shared" si="0"/>
        <v>76878.080000000002</v>
      </c>
      <c r="E54" s="438">
        <f t="shared" si="1"/>
        <v>2.5062855099878264E-2</v>
      </c>
      <c r="F54" s="424">
        <f t="shared" si="2"/>
        <v>1926.7841793968491</v>
      </c>
    </row>
    <row r="55" spans="1:6">
      <c r="A55">
        <v>5640</v>
      </c>
      <c r="B55" t="s">
        <v>792</v>
      </c>
      <c r="C55" s="425"/>
      <c r="D55" s="424">
        <f t="shared" si="0"/>
        <v>0</v>
      </c>
      <c r="E55" s="438">
        <f t="shared" si="1"/>
        <v>2.5062855099878264E-2</v>
      </c>
      <c r="F55" s="424">
        <f t="shared" si="2"/>
        <v>0</v>
      </c>
    </row>
    <row r="56" spans="1:6">
      <c r="A56">
        <v>5645</v>
      </c>
      <c r="B56" t="s">
        <v>392</v>
      </c>
      <c r="C56" s="425">
        <v>-217116.72</v>
      </c>
      <c r="D56" s="424">
        <f t="shared" si="0"/>
        <v>-217116.72</v>
      </c>
      <c r="E56" s="438">
        <f t="shared" si="1"/>
        <v>2.5062855099878264E-2</v>
      </c>
      <c r="F56" s="424">
        <f t="shared" si="2"/>
        <v>-5441.5648931208407</v>
      </c>
    </row>
    <row r="57" spans="1:6">
      <c r="A57">
        <v>5650</v>
      </c>
      <c r="B57" t="s">
        <v>393</v>
      </c>
      <c r="C57" s="425">
        <v>12371.29</v>
      </c>
      <c r="D57" s="424">
        <f t="shared" si="0"/>
        <v>12371.29</v>
      </c>
      <c r="E57" s="438">
        <f t="shared" si="1"/>
        <v>2.5062855099878264E-2</v>
      </c>
      <c r="F57" s="424">
        <f t="shared" si="2"/>
        <v>310.05984866857301</v>
      </c>
    </row>
    <row r="58" spans="1:6">
      <c r="A58">
        <v>5655</v>
      </c>
      <c r="B58" t="s">
        <v>394</v>
      </c>
      <c r="C58" s="425">
        <v>1020813.47</v>
      </c>
      <c r="D58" s="424">
        <f t="shared" si="0"/>
        <v>1020813.47</v>
      </c>
      <c r="E58" s="438">
        <f t="shared" si="1"/>
        <v>2.5062855099878264E-2</v>
      </c>
      <c r="F58" s="424">
        <f t="shared" si="2"/>
        <v>25584.500082613926</v>
      </c>
    </row>
    <row r="59" spans="1:6">
      <c r="A59">
        <v>5660</v>
      </c>
      <c r="B59" t="s">
        <v>395</v>
      </c>
      <c r="C59" s="425">
        <v>175361.27</v>
      </c>
      <c r="D59" s="424">
        <f t="shared" si="0"/>
        <v>175361.27</v>
      </c>
      <c r="E59" s="438">
        <f t="shared" si="1"/>
        <v>2.5062855099878264E-2</v>
      </c>
      <c r="F59" s="424">
        <f t="shared" si="2"/>
        <v>4395.0541001406291</v>
      </c>
    </row>
    <row r="60" spans="1:6">
      <c r="A60">
        <v>5665</v>
      </c>
      <c r="B60" t="s">
        <v>396</v>
      </c>
      <c r="C60" s="425">
        <v>115398</v>
      </c>
      <c r="D60" s="424">
        <f t="shared" si="0"/>
        <v>115398</v>
      </c>
      <c r="E60" s="438">
        <f t="shared" si="1"/>
        <v>2.5062855099878264E-2</v>
      </c>
      <c r="F60" s="424">
        <f t="shared" si="2"/>
        <v>2892.2033528157517</v>
      </c>
    </row>
    <row r="61" spans="1:6">
      <c r="A61">
        <v>5670</v>
      </c>
      <c r="B61" t="s">
        <v>397</v>
      </c>
      <c r="C61" s="425">
        <v>38389.19</v>
      </c>
      <c r="D61" s="424">
        <f t="shared" si="0"/>
        <v>38389.19</v>
      </c>
      <c r="E61" s="438">
        <f t="shared" si="1"/>
        <v>2.5062855099878264E-2</v>
      </c>
      <c r="F61" s="424">
        <f t="shared" si="2"/>
        <v>962.14270637169568</v>
      </c>
    </row>
    <row r="62" spans="1:6">
      <c r="A62">
        <v>5675</v>
      </c>
      <c r="B62" t="s">
        <v>899</v>
      </c>
      <c r="C62" s="425">
        <v>556.25</v>
      </c>
      <c r="D62" s="424">
        <f t="shared" si="0"/>
        <v>556.25</v>
      </c>
      <c r="E62" s="438">
        <f t="shared" si="1"/>
        <v>2.5062855099878264E-2</v>
      </c>
      <c r="F62" s="424">
        <f t="shared" si="2"/>
        <v>13.941213149307284</v>
      </c>
    </row>
    <row r="63" spans="1:6">
      <c r="A63">
        <v>5680</v>
      </c>
      <c r="B63" t="s">
        <v>900</v>
      </c>
      <c r="C63" s="425">
        <v>-743.18</v>
      </c>
      <c r="D63" s="424">
        <f t="shared" si="0"/>
        <v>-743.18</v>
      </c>
      <c r="E63" s="438">
        <f t="shared" si="1"/>
        <v>2.5062855099878264E-2</v>
      </c>
      <c r="F63" s="424">
        <f t="shared" si="2"/>
        <v>-18.626212653127528</v>
      </c>
    </row>
    <row r="64" spans="1:6">
      <c r="A64">
        <v>5685</v>
      </c>
      <c r="B64" t="s">
        <v>901</v>
      </c>
      <c r="C64" s="425"/>
      <c r="D64" s="424">
        <f t="shared" si="0"/>
        <v>0</v>
      </c>
      <c r="E64" s="438">
        <f t="shared" si="1"/>
        <v>2.5062855099878264E-2</v>
      </c>
      <c r="F64" s="424">
        <f t="shared" si="2"/>
        <v>0</v>
      </c>
    </row>
    <row r="65" spans="1:6">
      <c r="A65">
        <v>5690</v>
      </c>
      <c r="B65" t="s">
        <v>902</v>
      </c>
      <c r="C65" s="425">
        <v>2710.73</v>
      </c>
      <c r="D65" s="424">
        <f t="shared" si="0"/>
        <v>2710.73</v>
      </c>
      <c r="E65" s="438">
        <f t="shared" si="1"/>
        <v>2.5062855099878264E-2</v>
      </c>
      <c r="F65" s="424">
        <f t="shared" si="2"/>
        <v>67.938633204893009</v>
      </c>
    </row>
    <row r="66" spans="1:6">
      <c r="B66" t="s">
        <v>174</v>
      </c>
      <c r="C66" s="425">
        <v>1401836.78</v>
      </c>
      <c r="D66" s="424">
        <f t="shared" si="0"/>
        <v>1401836.78</v>
      </c>
      <c r="E66" s="438">
        <f t="shared" si="1"/>
        <v>2.5062855099878264E-2</v>
      </c>
      <c r="F66" s="424">
        <f t="shared" si="2"/>
        <v>35134.032090819921</v>
      </c>
    </row>
    <row r="67" spans="1:6">
      <c r="B67" t="s">
        <v>175</v>
      </c>
      <c r="C67" s="425"/>
      <c r="D67" s="424">
        <f t="shared" si="0"/>
        <v>0</v>
      </c>
      <c r="E67" s="438">
        <f t="shared" si="1"/>
        <v>2.5062855099878264E-2</v>
      </c>
      <c r="F67" s="424">
        <f t="shared" si="2"/>
        <v>0</v>
      </c>
    </row>
    <row r="68" spans="1:6">
      <c r="A68">
        <v>5700</v>
      </c>
      <c r="B68" t="s">
        <v>903</v>
      </c>
      <c r="C68" s="425"/>
      <c r="D68" s="424">
        <f t="shared" si="0"/>
        <v>0</v>
      </c>
      <c r="E68" s="438">
        <f t="shared" si="1"/>
        <v>2.5062855099878264E-2</v>
      </c>
      <c r="F68" s="424">
        <f t="shared" si="2"/>
        <v>0</v>
      </c>
    </row>
    <row r="69" spans="1:6">
      <c r="A69">
        <v>5705</v>
      </c>
      <c r="B69" t="s">
        <v>904</v>
      </c>
      <c r="C69" s="425"/>
      <c r="D69" s="424">
        <f t="shared" si="0"/>
        <v>0</v>
      </c>
      <c r="E69" s="438">
        <f t="shared" si="1"/>
        <v>2.5062855099878264E-2</v>
      </c>
      <c r="F69" s="424">
        <f t="shared" si="2"/>
        <v>0</v>
      </c>
    </row>
    <row r="70" spans="1:6">
      <c r="A70">
        <v>5710</v>
      </c>
      <c r="B70" t="s">
        <v>905</v>
      </c>
      <c r="C70" s="425"/>
      <c r="D70" s="424">
        <f t="shared" ref="D70:D133" si="3">C70</f>
        <v>0</v>
      </c>
      <c r="E70" s="438">
        <f t="shared" ref="E70:E133" si="4">E$3</f>
        <v>2.5062855099878264E-2</v>
      </c>
      <c r="F70" s="424">
        <f t="shared" ref="F70:F133" si="5">E70*D70</f>
        <v>0</v>
      </c>
    </row>
    <row r="71" spans="1:6">
      <c r="A71">
        <v>5715</v>
      </c>
      <c r="B71" t="s">
        <v>906</v>
      </c>
      <c r="C71" s="425">
        <v>673229.89</v>
      </c>
      <c r="D71" s="424">
        <f t="shared" si="3"/>
        <v>673229.89</v>
      </c>
      <c r="E71" s="438">
        <f t="shared" si="4"/>
        <v>2.5062855099878264E-2</v>
      </c>
      <c r="F71" s="424">
        <f t="shared" si="5"/>
        <v>16873.063181976984</v>
      </c>
    </row>
    <row r="72" spans="1:6">
      <c r="B72" t="s">
        <v>175</v>
      </c>
      <c r="C72" s="425">
        <v>673229.89</v>
      </c>
      <c r="D72" s="424">
        <f t="shared" si="3"/>
        <v>673229.89</v>
      </c>
      <c r="E72" s="438">
        <f t="shared" si="4"/>
        <v>2.5062855099878264E-2</v>
      </c>
      <c r="F72" s="424">
        <f t="shared" si="5"/>
        <v>16873.063181976984</v>
      </c>
    </row>
    <row r="73" spans="1:6">
      <c r="B73" t="s">
        <v>176</v>
      </c>
      <c r="C73" s="425"/>
      <c r="D73" s="424">
        <f t="shared" si="3"/>
        <v>0</v>
      </c>
      <c r="E73" s="438">
        <f t="shared" si="4"/>
        <v>2.5062855099878264E-2</v>
      </c>
      <c r="F73" s="424">
        <f t="shared" si="5"/>
        <v>0</v>
      </c>
    </row>
    <row r="74" spans="1:6">
      <c r="A74">
        <v>5735</v>
      </c>
      <c r="B74" t="s">
        <v>907</v>
      </c>
      <c r="C74" s="425">
        <v>284313.36</v>
      </c>
      <c r="D74" s="424">
        <f t="shared" si="3"/>
        <v>284313.36</v>
      </c>
      <c r="E74" s="438">
        <f t="shared" si="4"/>
        <v>2.5062855099878264E-2</v>
      </c>
      <c r="F74" s="424">
        <f t="shared" si="5"/>
        <v>7125.7045446395241</v>
      </c>
    </row>
    <row r="75" spans="1:6">
      <c r="A75">
        <v>5740</v>
      </c>
      <c r="B75" t="s">
        <v>908</v>
      </c>
      <c r="C75" s="425">
        <v>23446</v>
      </c>
      <c r="D75" s="424">
        <f t="shared" si="3"/>
        <v>23446</v>
      </c>
      <c r="E75" s="438">
        <f t="shared" si="4"/>
        <v>2.5062855099878264E-2</v>
      </c>
      <c r="F75" s="424">
        <f t="shared" si="5"/>
        <v>587.62370067174572</v>
      </c>
    </row>
    <row r="76" spans="1:6">
      <c r="A76">
        <v>5745</v>
      </c>
      <c r="B76" t="s">
        <v>909</v>
      </c>
      <c r="C76" s="425">
        <v>-30853.43</v>
      </c>
      <c r="D76" s="424">
        <f t="shared" si="3"/>
        <v>-30853.43</v>
      </c>
      <c r="E76" s="438">
        <f t="shared" si="4"/>
        <v>2.5062855099878264E-2</v>
      </c>
      <c r="F76" s="424">
        <f t="shared" si="5"/>
        <v>-773.27504542423708</v>
      </c>
    </row>
    <row r="77" spans="1:6">
      <c r="A77">
        <v>5750</v>
      </c>
      <c r="B77" t="s">
        <v>910</v>
      </c>
      <c r="C77" s="425">
        <v>5806.63</v>
      </c>
      <c r="D77" s="424">
        <f t="shared" si="3"/>
        <v>5806.63</v>
      </c>
      <c r="E77" s="438">
        <f t="shared" si="4"/>
        <v>2.5062855099878264E-2</v>
      </c>
      <c r="F77" s="424">
        <f t="shared" si="5"/>
        <v>145.53072630860612</v>
      </c>
    </row>
    <row r="78" spans="1:6">
      <c r="A78">
        <v>5755</v>
      </c>
      <c r="B78" t="s">
        <v>911</v>
      </c>
      <c r="C78" s="425">
        <v>2513.48</v>
      </c>
      <c r="D78" s="424">
        <f t="shared" si="3"/>
        <v>2513.48</v>
      </c>
      <c r="E78" s="438">
        <f t="shared" si="4"/>
        <v>2.5062855099878264E-2</v>
      </c>
      <c r="F78" s="424">
        <f t="shared" si="5"/>
        <v>62.994985036442017</v>
      </c>
    </row>
    <row r="79" spans="1:6">
      <c r="A79">
        <v>5760</v>
      </c>
      <c r="B79" t="s">
        <v>912</v>
      </c>
      <c r="C79" s="425">
        <v>2325</v>
      </c>
      <c r="D79" s="424">
        <f t="shared" si="3"/>
        <v>2325</v>
      </c>
      <c r="E79" s="438">
        <f t="shared" si="4"/>
        <v>2.5062855099878264E-2</v>
      </c>
      <c r="F79" s="424">
        <f t="shared" si="5"/>
        <v>58.271138107216963</v>
      </c>
    </row>
    <row r="80" spans="1:6">
      <c r="B80" t="s">
        <v>176</v>
      </c>
      <c r="C80" s="425">
        <v>287551.03999999998</v>
      </c>
      <c r="D80" s="424">
        <f t="shared" si="3"/>
        <v>287551.03999999998</v>
      </c>
      <c r="E80" s="438">
        <f t="shared" si="4"/>
        <v>2.5062855099878264E-2</v>
      </c>
      <c r="F80" s="424">
        <f t="shared" si="5"/>
        <v>7206.8500493392985</v>
      </c>
    </row>
    <row r="81" spans="1:6">
      <c r="B81" t="s">
        <v>177</v>
      </c>
      <c r="C81" s="425"/>
      <c r="D81" s="424">
        <f t="shared" si="3"/>
        <v>0</v>
      </c>
      <c r="E81" s="438">
        <f t="shared" si="4"/>
        <v>2.5062855099878264E-2</v>
      </c>
      <c r="F81" s="424">
        <f t="shared" si="5"/>
        <v>0</v>
      </c>
    </row>
    <row r="82" spans="1:6">
      <c r="A82">
        <v>5785</v>
      </c>
      <c r="B82" t="s">
        <v>913</v>
      </c>
      <c r="C82" s="425"/>
      <c r="D82" s="424">
        <f t="shared" si="3"/>
        <v>0</v>
      </c>
      <c r="E82" s="438">
        <f t="shared" si="4"/>
        <v>2.5062855099878264E-2</v>
      </c>
      <c r="F82" s="424">
        <f t="shared" si="5"/>
        <v>0</v>
      </c>
    </row>
    <row r="83" spans="1:6">
      <c r="A83">
        <v>5790</v>
      </c>
      <c r="B83" t="s">
        <v>914</v>
      </c>
      <c r="C83" s="425">
        <v>155175.76999999999</v>
      </c>
      <c r="D83" s="424">
        <f t="shared" si="3"/>
        <v>155175.76999999999</v>
      </c>
      <c r="E83" s="438">
        <f t="shared" si="4"/>
        <v>2.5062855099878264E-2</v>
      </c>
      <c r="F83" s="424">
        <f t="shared" si="5"/>
        <v>3889.1478385220362</v>
      </c>
    </row>
    <row r="84" spans="1:6">
      <c r="A84">
        <v>5795</v>
      </c>
      <c r="B84" t="s">
        <v>915</v>
      </c>
      <c r="C84" s="425"/>
      <c r="D84" s="424">
        <f t="shared" si="3"/>
        <v>0</v>
      </c>
      <c r="E84" s="438">
        <f t="shared" si="4"/>
        <v>2.5062855099878264E-2</v>
      </c>
      <c r="F84" s="424">
        <f t="shared" si="5"/>
        <v>0</v>
      </c>
    </row>
    <row r="85" spans="1:6">
      <c r="A85">
        <v>5800</v>
      </c>
      <c r="B85" t="s">
        <v>916</v>
      </c>
      <c r="C85" s="425">
        <v>8949.25</v>
      </c>
      <c r="D85" s="424">
        <f t="shared" si="3"/>
        <v>8949.25</v>
      </c>
      <c r="E85" s="438">
        <f t="shared" si="4"/>
        <v>2.5062855099878264E-2</v>
      </c>
      <c r="F85" s="424">
        <f t="shared" si="5"/>
        <v>224.29375600258555</v>
      </c>
    </row>
    <row r="86" spans="1:6">
      <c r="A86">
        <v>5805</v>
      </c>
      <c r="B86" t="s">
        <v>917</v>
      </c>
      <c r="C86" s="425"/>
      <c r="D86" s="424">
        <f t="shared" si="3"/>
        <v>0</v>
      </c>
      <c r="E86" s="438">
        <f t="shared" si="4"/>
        <v>2.5062855099878264E-2</v>
      </c>
      <c r="F86" s="424">
        <f t="shared" si="5"/>
        <v>0</v>
      </c>
    </row>
    <row r="87" spans="1:6">
      <c r="A87">
        <v>5810</v>
      </c>
      <c r="B87" t="s">
        <v>918</v>
      </c>
      <c r="C87" s="425">
        <v>129.94999999999999</v>
      </c>
      <c r="D87" s="424">
        <f t="shared" si="3"/>
        <v>129.94999999999999</v>
      </c>
      <c r="E87" s="438">
        <f t="shared" si="4"/>
        <v>2.5062855099878264E-2</v>
      </c>
      <c r="F87" s="424">
        <f t="shared" si="5"/>
        <v>3.2569180202291803</v>
      </c>
    </row>
    <row r="88" spans="1:6">
      <c r="A88">
        <v>5815</v>
      </c>
      <c r="B88" t="s">
        <v>919</v>
      </c>
      <c r="C88" s="425"/>
      <c r="D88" s="424">
        <f t="shared" si="3"/>
        <v>0</v>
      </c>
      <c r="E88" s="438">
        <f t="shared" si="4"/>
        <v>2.5062855099878264E-2</v>
      </c>
      <c r="F88" s="424">
        <f t="shared" si="5"/>
        <v>0</v>
      </c>
    </row>
    <row r="89" spans="1:6">
      <c r="A89">
        <v>5820</v>
      </c>
      <c r="B89" t="s">
        <v>920</v>
      </c>
      <c r="C89" s="425">
        <v>51719.57</v>
      </c>
      <c r="D89" s="424">
        <f t="shared" si="3"/>
        <v>51719.57</v>
      </c>
      <c r="E89" s="438">
        <f t="shared" si="4"/>
        <v>2.5062855099878264E-2</v>
      </c>
      <c r="F89" s="424">
        <f t="shared" si="5"/>
        <v>1296.2400887380109</v>
      </c>
    </row>
    <row r="90" spans="1:6">
      <c r="A90">
        <v>5825</v>
      </c>
      <c r="B90" t="s">
        <v>921</v>
      </c>
      <c r="C90" s="425">
        <v>10361.68</v>
      </c>
      <c r="D90" s="424">
        <f t="shared" si="3"/>
        <v>10361.68</v>
      </c>
      <c r="E90" s="438">
        <f t="shared" si="4"/>
        <v>2.5062855099878264E-2</v>
      </c>
      <c r="F90" s="424">
        <f t="shared" si="5"/>
        <v>259.69328443130661</v>
      </c>
    </row>
    <row r="91" spans="1:6">
      <c r="B91" t="s">
        <v>177</v>
      </c>
      <c r="C91" s="425">
        <v>226336.22</v>
      </c>
      <c r="D91" s="424">
        <f t="shared" si="3"/>
        <v>226336.22</v>
      </c>
      <c r="E91" s="438">
        <f t="shared" si="4"/>
        <v>2.5062855099878264E-2</v>
      </c>
      <c r="F91" s="424">
        <f t="shared" si="5"/>
        <v>5672.6318857141687</v>
      </c>
    </row>
    <row r="92" spans="1:6">
      <c r="B92" t="s">
        <v>178</v>
      </c>
      <c r="C92" s="425"/>
      <c r="D92" s="424">
        <f t="shared" si="3"/>
        <v>0</v>
      </c>
      <c r="E92" s="438">
        <f t="shared" si="4"/>
        <v>2.5062855099878264E-2</v>
      </c>
      <c r="F92" s="424">
        <f t="shared" si="5"/>
        <v>0</v>
      </c>
    </row>
    <row r="93" spans="1:6">
      <c r="A93">
        <v>5855</v>
      </c>
      <c r="B93" t="s">
        <v>922</v>
      </c>
      <c r="C93" s="425">
        <v>1132.53</v>
      </c>
      <c r="D93" s="424">
        <f t="shared" si="3"/>
        <v>1132.53</v>
      </c>
      <c r="E93" s="438">
        <f t="shared" si="4"/>
        <v>2.5062855099878264E-2</v>
      </c>
      <c r="F93" s="424">
        <f t="shared" si="5"/>
        <v>28.384435286265131</v>
      </c>
    </row>
    <row r="94" spans="1:6">
      <c r="A94">
        <v>5860</v>
      </c>
      <c r="B94" t="s">
        <v>923</v>
      </c>
      <c r="C94" s="425">
        <v>964.77</v>
      </c>
      <c r="D94" s="424">
        <f t="shared" si="3"/>
        <v>964.77</v>
      </c>
      <c r="E94" s="438">
        <f t="shared" si="4"/>
        <v>2.5062855099878264E-2</v>
      </c>
      <c r="F94" s="424">
        <f t="shared" si="5"/>
        <v>24.179890714709551</v>
      </c>
    </row>
    <row r="95" spans="1:6">
      <c r="A95">
        <v>5865</v>
      </c>
      <c r="B95" t="s">
        <v>924</v>
      </c>
      <c r="C95" s="425">
        <v>2085.62</v>
      </c>
      <c r="D95" s="424">
        <f t="shared" si="3"/>
        <v>2085.62</v>
      </c>
      <c r="E95" s="438">
        <f t="shared" si="4"/>
        <v>2.5062855099878264E-2</v>
      </c>
      <c r="F95" s="424">
        <f t="shared" si="5"/>
        <v>52.271591853408104</v>
      </c>
    </row>
    <row r="96" spans="1:6">
      <c r="A96">
        <v>5870</v>
      </c>
      <c r="B96" t="s">
        <v>925</v>
      </c>
      <c r="C96" s="425"/>
      <c r="D96" s="424">
        <f t="shared" si="3"/>
        <v>0</v>
      </c>
      <c r="E96" s="438">
        <f t="shared" si="4"/>
        <v>2.5062855099878264E-2</v>
      </c>
      <c r="F96" s="424">
        <f t="shared" si="5"/>
        <v>0</v>
      </c>
    </row>
    <row r="97" spans="1:6">
      <c r="A97">
        <v>5875</v>
      </c>
      <c r="B97" t="s">
        <v>926</v>
      </c>
      <c r="C97" s="425"/>
      <c r="D97" s="424">
        <f t="shared" si="3"/>
        <v>0</v>
      </c>
      <c r="E97" s="438">
        <f t="shared" si="4"/>
        <v>2.5062855099878264E-2</v>
      </c>
      <c r="F97" s="424">
        <f t="shared" si="5"/>
        <v>0</v>
      </c>
    </row>
    <row r="98" spans="1:6">
      <c r="A98">
        <v>5880</v>
      </c>
      <c r="B98" t="s">
        <v>927</v>
      </c>
      <c r="C98" s="425">
        <v>868.63</v>
      </c>
      <c r="D98" s="424">
        <f t="shared" si="3"/>
        <v>868.63</v>
      </c>
      <c r="E98" s="438">
        <f t="shared" si="4"/>
        <v>2.5062855099878264E-2</v>
      </c>
      <c r="F98" s="424">
        <f t="shared" si="5"/>
        <v>21.770347825407256</v>
      </c>
    </row>
    <row r="99" spans="1:6">
      <c r="A99">
        <v>5885</v>
      </c>
      <c r="B99" t="s">
        <v>928</v>
      </c>
      <c r="C99" s="425">
        <v>1114.08</v>
      </c>
      <c r="D99" s="424">
        <f t="shared" si="3"/>
        <v>1114.08</v>
      </c>
      <c r="E99" s="438">
        <f t="shared" si="4"/>
        <v>2.5062855099878264E-2</v>
      </c>
      <c r="F99" s="424">
        <f t="shared" si="5"/>
        <v>27.922025609672374</v>
      </c>
    </row>
    <row r="100" spans="1:6">
      <c r="A100">
        <v>5890</v>
      </c>
      <c r="B100" t="s">
        <v>929</v>
      </c>
      <c r="C100" s="425">
        <v>852.55</v>
      </c>
      <c r="D100" s="424">
        <f t="shared" si="3"/>
        <v>852.55</v>
      </c>
      <c r="E100" s="438">
        <f t="shared" si="4"/>
        <v>2.5062855099878264E-2</v>
      </c>
      <c r="F100" s="424">
        <f t="shared" si="5"/>
        <v>21.367337115401213</v>
      </c>
    </row>
    <row r="101" spans="1:6">
      <c r="A101">
        <v>5895</v>
      </c>
      <c r="B101" t="s">
        <v>930</v>
      </c>
      <c r="C101" s="425">
        <v>8.7899999999999991</v>
      </c>
      <c r="D101" s="424">
        <f t="shared" si="3"/>
        <v>8.7899999999999991</v>
      </c>
      <c r="E101" s="438">
        <f t="shared" si="4"/>
        <v>2.5062855099878264E-2</v>
      </c>
      <c r="F101" s="424">
        <f t="shared" si="5"/>
        <v>0.22030249632792992</v>
      </c>
    </row>
    <row r="102" spans="1:6">
      <c r="A102">
        <v>5900</v>
      </c>
      <c r="B102" t="s">
        <v>931</v>
      </c>
      <c r="C102" s="425">
        <v>23932.45</v>
      </c>
      <c r="D102" s="424">
        <f t="shared" si="3"/>
        <v>23932.45</v>
      </c>
      <c r="E102" s="438">
        <f t="shared" si="4"/>
        <v>2.5062855099878264E-2</v>
      </c>
      <c r="F102" s="424">
        <f t="shared" si="5"/>
        <v>599.81552653508152</v>
      </c>
    </row>
    <row r="103" spans="1:6">
      <c r="B103" t="s">
        <v>178</v>
      </c>
      <c r="C103" s="425">
        <v>30959.42</v>
      </c>
      <c r="D103" s="424">
        <f t="shared" si="3"/>
        <v>30959.42</v>
      </c>
      <c r="E103" s="438">
        <f t="shared" si="4"/>
        <v>2.5062855099878264E-2</v>
      </c>
      <c r="F103" s="424">
        <f t="shared" si="5"/>
        <v>775.93145743627304</v>
      </c>
    </row>
    <row r="104" spans="1:6">
      <c r="B104" t="s">
        <v>179</v>
      </c>
      <c r="C104" s="425"/>
      <c r="D104" s="424">
        <f t="shared" si="3"/>
        <v>0</v>
      </c>
      <c r="E104" s="438">
        <f t="shared" si="4"/>
        <v>2.5062855099878264E-2</v>
      </c>
      <c r="F104" s="424">
        <f t="shared" si="5"/>
        <v>0</v>
      </c>
    </row>
    <row r="105" spans="1:6">
      <c r="A105">
        <v>5930</v>
      </c>
      <c r="B105" t="s">
        <v>932</v>
      </c>
      <c r="C105" s="425">
        <v>9538.15</v>
      </c>
      <c r="D105" s="424">
        <f t="shared" si="3"/>
        <v>9538.15</v>
      </c>
      <c r="E105" s="438">
        <f t="shared" si="4"/>
        <v>2.5062855099878264E-2</v>
      </c>
      <c r="F105" s="424">
        <f t="shared" si="5"/>
        <v>239.05327137090384</v>
      </c>
    </row>
    <row r="106" spans="1:6">
      <c r="A106">
        <v>5935</v>
      </c>
      <c r="B106" t="s">
        <v>933</v>
      </c>
      <c r="C106" s="425">
        <v>3060.91</v>
      </c>
      <c r="D106" s="424">
        <f t="shared" si="3"/>
        <v>3060.91</v>
      </c>
      <c r="E106" s="438">
        <f t="shared" si="4"/>
        <v>2.5062855099878264E-2</v>
      </c>
      <c r="F106" s="424">
        <f t="shared" si="5"/>
        <v>76.71514380376837</v>
      </c>
    </row>
    <row r="107" spans="1:6">
      <c r="A107">
        <v>5940</v>
      </c>
      <c r="B107" t="s">
        <v>934</v>
      </c>
      <c r="C107" s="425">
        <v>342.32</v>
      </c>
      <c r="D107" s="424">
        <f t="shared" si="3"/>
        <v>342.32</v>
      </c>
      <c r="E107" s="438">
        <f t="shared" si="4"/>
        <v>2.5062855099878264E-2</v>
      </c>
      <c r="F107" s="424">
        <f t="shared" si="5"/>
        <v>8.5795165577903276</v>
      </c>
    </row>
    <row r="108" spans="1:6">
      <c r="A108">
        <v>5945</v>
      </c>
      <c r="B108" t="s">
        <v>935</v>
      </c>
      <c r="C108" s="425">
        <v>99983.39</v>
      </c>
      <c r="D108" s="424">
        <f t="shared" si="3"/>
        <v>99983.39</v>
      </c>
      <c r="E108" s="438">
        <f t="shared" si="4"/>
        <v>2.5062855099878264E-2</v>
      </c>
      <c r="F108" s="424">
        <f t="shared" si="5"/>
        <v>2505.8692159646175</v>
      </c>
    </row>
    <row r="109" spans="1:6">
      <c r="A109">
        <v>5950</v>
      </c>
      <c r="B109" t="s">
        <v>936</v>
      </c>
      <c r="C109" s="425">
        <v>2313.71</v>
      </c>
      <c r="D109" s="424">
        <f t="shared" si="3"/>
        <v>2313.71</v>
      </c>
      <c r="E109" s="438">
        <f t="shared" si="4"/>
        <v>2.5062855099878264E-2</v>
      </c>
      <c r="F109" s="424">
        <f t="shared" si="5"/>
        <v>57.988178473139335</v>
      </c>
    </row>
    <row r="110" spans="1:6">
      <c r="A110">
        <v>5955</v>
      </c>
      <c r="B110" t="s">
        <v>937</v>
      </c>
      <c r="C110" s="425">
        <v>10437</v>
      </c>
      <c r="D110" s="424">
        <f t="shared" si="3"/>
        <v>10437</v>
      </c>
      <c r="E110" s="438">
        <f t="shared" si="4"/>
        <v>2.5062855099878264E-2</v>
      </c>
      <c r="F110" s="424">
        <f t="shared" si="5"/>
        <v>261.58101867742943</v>
      </c>
    </row>
    <row r="111" spans="1:6">
      <c r="A111">
        <v>5960</v>
      </c>
      <c r="B111" t="s">
        <v>938</v>
      </c>
      <c r="C111" s="425">
        <v>4143.6000000000004</v>
      </c>
      <c r="D111" s="424">
        <f t="shared" si="3"/>
        <v>4143.6000000000004</v>
      </c>
      <c r="E111" s="438">
        <f t="shared" si="4"/>
        <v>2.5062855099878264E-2</v>
      </c>
      <c r="F111" s="424">
        <f t="shared" si="5"/>
        <v>103.85044639185558</v>
      </c>
    </row>
    <row r="112" spans="1:6">
      <c r="A112">
        <v>5965</v>
      </c>
      <c r="B112" t="s">
        <v>939</v>
      </c>
      <c r="C112" s="425">
        <v>9520.7099999999991</v>
      </c>
      <c r="D112" s="424">
        <f t="shared" si="3"/>
        <v>9520.7099999999991</v>
      </c>
      <c r="E112" s="438">
        <f t="shared" si="4"/>
        <v>2.5062855099878264E-2</v>
      </c>
      <c r="F112" s="424">
        <f t="shared" si="5"/>
        <v>238.61617517796196</v>
      </c>
    </row>
    <row r="113" spans="1:6">
      <c r="A113">
        <v>5970</v>
      </c>
      <c r="B113" t="s">
        <v>940</v>
      </c>
      <c r="C113" s="425">
        <v>11027.02</v>
      </c>
      <c r="D113" s="424">
        <f t="shared" si="3"/>
        <v>11027.02</v>
      </c>
      <c r="E113" s="438">
        <f t="shared" si="4"/>
        <v>2.5062855099878264E-2</v>
      </c>
      <c r="F113" s="424">
        <f t="shared" si="5"/>
        <v>276.36860444345962</v>
      </c>
    </row>
    <row r="114" spans="1:6">
      <c r="A114">
        <v>5975</v>
      </c>
      <c r="B114" t="s">
        <v>242</v>
      </c>
      <c r="C114" s="425">
        <v>2353.1999999999998</v>
      </c>
      <c r="D114" s="424">
        <f t="shared" si="3"/>
        <v>2353.1999999999998</v>
      </c>
      <c r="E114" s="438">
        <f t="shared" si="4"/>
        <v>2.5062855099878264E-2</v>
      </c>
      <c r="F114" s="424">
        <f t="shared" si="5"/>
        <v>58.977910621033523</v>
      </c>
    </row>
    <row r="115" spans="1:6">
      <c r="A115">
        <v>5980</v>
      </c>
      <c r="B115" t="s">
        <v>243</v>
      </c>
      <c r="C115" s="425"/>
      <c r="D115" s="424">
        <f t="shared" si="3"/>
        <v>0</v>
      </c>
      <c r="E115" s="438">
        <f t="shared" si="4"/>
        <v>2.5062855099878264E-2</v>
      </c>
      <c r="F115" s="424">
        <f t="shared" si="5"/>
        <v>0</v>
      </c>
    </row>
    <row r="116" spans="1:6">
      <c r="A116">
        <v>5985</v>
      </c>
      <c r="B116" t="s">
        <v>244</v>
      </c>
      <c r="C116" s="425"/>
      <c r="D116" s="424">
        <f t="shared" si="3"/>
        <v>0</v>
      </c>
      <c r="E116" s="438">
        <f t="shared" si="4"/>
        <v>2.5062855099878264E-2</v>
      </c>
      <c r="F116" s="424">
        <f t="shared" si="5"/>
        <v>0</v>
      </c>
    </row>
    <row r="117" spans="1:6">
      <c r="B117" t="s">
        <v>179</v>
      </c>
      <c r="C117" s="425">
        <v>152720.01</v>
      </c>
      <c r="D117" s="424">
        <f t="shared" si="3"/>
        <v>152720.01</v>
      </c>
      <c r="E117" s="438">
        <f t="shared" si="4"/>
        <v>2.5062855099878264E-2</v>
      </c>
      <c r="F117" s="424">
        <f t="shared" si="5"/>
        <v>3827.5994814819596</v>
      </c>
    </row>
    <row r="118" spans="1:6">
      <c r="B118" t="s">
        <v>180</v>
      </c>
      <c r="C118" s="425"/>
      <c r="D118" s="424">
        <f t="shared" si="3"/>
        <v>0</v>
      </c>
      <c r="E118" s="438">
        <f t="shared" si="4"/>
        <v>2.5062855099878264E-2</v>
      </c>
      <c r="F118" s="424">
        <f t="shared" si="5"/>
        <v>0</v>
      </c>
    </row>
    <row r="119" spans="1:6">
      <c r="A119">
        <v>6005</v>
      </c>
      <c r="B119" t="s">
        <v>245</v>
      </c>
      <c r="C119" s="425"/>
      <c r="D119" s="424">
        <f t="shared" si="3"/>
        <v>0</v>
      </c>
      <c r="E119" s="438">
        <f t="shared" si="4"/>
        <v>2.5062855099878264E-2</v>
      </c>
      <c r="F119" s="424">
        <f t="shared" si="5"/>
        <v>0</v>
      </c>
    </row>
    <row r="120" spans="1:6">
      <c r="A120">
        <v>6010</v>
      </c>
      <c r="B120" t="s">
        <v>246</v>
      </c>
      <c r="C120" s="425">
        <v>107000</v>
      </c>
      <c r="D120" s="424">
        <f t="shared" si="3"/>
        <v>107000</v>
      </c>
      <c r="E120" s="438">
        <f t="shared" si="4"/>
        <v>2.5062855099878264E-2</v>
      </c>
      <c r="F120" s="424">
        <f t="shared" si="5"/>
        <v>2681.7254956869742</v>
      </c>
    </row>
    <row r="121" spans="1:6">
      <c r="A121">
        <v>6015</v>
      </c>
      <c r="B121" t="s">
        <v>247</v>
      </c>
      <c r="C121" s="425"/>
      <c r="D121" s="424">
        <f t="shared" si="3"/>
        <v>0</v>
      </c>
      <c r="E121" s="438">
        <f t="shared" si="4"/>
        <v>2.5062855099878264E-2</v>
      </c>
      <c r="F121" s="424">
        <f t="shared" si="5"/>
        <v>0</v>
      </c>
    </row>
    <row r="122" spans="1:6">
      <c r="A122">
        <v>6020</v>
      </c>
      <c r="B122" t="s">
        <v>248</v>
      </c>
      <c r="C122" s="425"/>
      <c r="D122" s="424">
        <f t="shared" si="3"/>
        <v>0</v>
      </c>
      <c r="E122" s="438">
        <f t="shared" si="4"/>
        <v>2.5062855099878264E-2</v>
      </c>
      <c r="F122" s="424">
        <f t="shared" si="5"/>
        <v>0</v>
      </c>
    </row>
    <row r="123" spans="1:6">
      <c r="A123">
        <v>6025</v>
      </c>
      <c r="B123" t="s">
        <v>249</v>
      </c>
      <c r="C123" s="425">
        <v>5948.83</v>
      </c>
      <c r="D123" s="424">
        <f t="shared" si="3"/>
        <v>5948.83</v>
      </c>
      <c r="E123" s="438">
        <f t="shared" si="4"/>
        <v>2.5062855099878264E-2</v>
      </c>
      <c r="F123" s="424">
        <f t="shared" si="5"/>
        <v>149.0946643038088</v>
      </c>
    </row>
    <row r="124" spans="1:6">
      <c r="A124">
        <v>6030</v>
      </c>
      <c r="B124" t="s">
        <v>250</v>
      </c>
      <c r="C124" s="425"/>
      <c r="D124" s="424">
        <f t="shared" si="3"/>
        <v>0</v>
      </c>
      <c r="E124" s="438">
        <f t="shared" si="4"/>
        <v>2.5062855099878264E-2</v>
      </c>
      <c r="F124" s="424">
        <f t="shared" si="5"/>
        <v>0</v>
      </c>
    </row>
    <row r="125" spans="1:6">
      <c r="A125">
        <v>6035</v>
      </c>
      <c r="B125" t="s">
        <v>251</v>
      </c>
      <c r="C125" s="425">
        <v>17330.91</v>
      </c>
      <c r="D125" s="424">
        <f t="shared" si="3"/>
        <v>17330.91</v>
      </c>
      <c r="E125" s="438">
        <f t="shared" si="4"/>
        <v>2.5062855099878264E-2</v>
      </c>
      <c r="F125" s="424">
        <f t="shared" si="5"/>
        <v>434.3620860790312</v>
      </c>
    </row>
    <row r="126" spans="1:6">
      <c r="A126">
        <v>6040</v>
      </c>
      <c r="B126" t="s">
        <v>252</v>
      </c>
      <c r="C126" s="425">
        <v>20500</v>
      </c>
      <c r="D126" s="424">
        <f t="shared" si="3"/>
        <v>20500</v>
      </c>
      <c r="E126" s="438">
        <f t="shared" si="4"/>
        <v>2.5062855099878264E-2</v>
      </c>
      <c r="F126" s="424">
        <f t="shared" si="5"/>
        <v>513.78852954750437</v>
      </c>
    </row>
    <row r="127" spans="1:6">
      <c r="A127">
        <v>6045</v>
      </c>
      <c r="B127" t="s">
        <v>253</v>
      </c>
      <c r="C127" s="425">
        <v>37606.86</v>
      </c>
      <c r="D127" s="424">
        <f t="shared" si="3"/>
        <v>37606.86</v>
      </c>
      <c r="E127" s="438">
        <f t="shared" si="4"/>
        <v>2.5062855099878264E-2</v>
      </c>
      <c r="F127" s="424">
        <f t="shared" si="5"/>
        <v>942.5352829414079</v>
      </c>
    </row>
    <row r="128" spans="1:6">
      <c r="A128">
        <v>6050</v>
      </c>
      <c r="B128" t="s">
        <v>254</v>
      </c>
      <c r="C128" s="425">
        <v>89474.04</v>
      </c>
      <c r="D128" s="424">
        <f t="shared" si="3"/>
        <v>89474.04</v>
      </c>
      <c r="E128" s="438">
        <f t="shared" si="4"/>
        <v>2.5062855099878264E-2</v>
      </c>
      <c r="F128" s="424">
        <f t="shared" si="5"/>
        <v>2242.4748997207116</v>
      </c>
    </row>
    <row r="129" spans="1:6">
      <c r="B129" t="s">
        <v>180</v>
      </c>
      <c r="C129" s="425">
        <v>277860.64</v>
      </c>
      <c r="D129" s="424">
        <f t="shared" si="3"/>
        <v>277860.64</v>
      </c>
      <c r="E129" s="438">
        <f t="shared" si="4"/>
        <v>2.5062855099878264E-2</v>
      </c>
      <c r="F129" s="424">
        <f t="shared" si="5"/>
        <v>6963.9809582794387</v>
      </c>
    </row>
    <row r="130" spans="1:6">
      <c r="B130" t="s">
        <v>181</v>
      </c>
      <c r="C130" s="425"/>
      <c r="D130" s="424">
        <f t="shared" si="3"/>
        <v>0</v>
      </c>
      <c r="E130" s="438">
        <f t="shared" si="4"/>
        <v>2.5062855099878264E-2</v>
      </c>
      <c r="F130" s="424">
        <f t="shared" si="5"/>
        <v>0</v>
      </c>
    </row>
    <row r="131" spans="1:6">
      <c r="A131">
        <v>6065</v>
      </c>
      <c r="B131" t="s">
        <v>255</v>
      </c>
      <c r="C131" s="425"/>
      <c r="D131" s="424">
        <f t="shared" si="3"/>
        <v>0</v>
      </c>
      <c r="E131" s="438">
        <f t="shared" si="4"/>
        <v>2.5062855099878264E-2</v>
      </c>
      <c r="F131" s="424">
        <f t="shared" si="5"/>
        <v>0</v>
      </c>
    </row>
    <row r="132" spans="1:6">
      <c r="A132">
        <v>6070</v>
      </c>
      <c r="B132" t="s">
        <v>256</v>
      </c>
      <c r="C132" s="425"/>
      <c r="D132" s="424">
        <f t="shared" si="3"/>
        <v>0</v>
      </c>
      <c r="E132" s="438">
        <f t="shared" si="4"/>
        <v>2.5062855099878264E-2</v>
      </c>
      <c r="F132" s="424">
        <f t="shared" si="5"/>
        <v>0</v>
      </c>
    </row>
    <row r="133" spans="1:6">
      <c r="A133">
        <v>6075</v>
      </c>
      <c r="B133" t="s">
        <v>257</v>
      </c>
      <c r="C133" s="425"/>
      <c r="D133" s="424">
        <f t="shared" si="3"/>
        <v>0</v>
      </c>
      <c r="E133" s="438">
        <f t="shared" si="4"/>
        <v>2.5062855099878264E-2</v>
      </c>
      <c r="F133" s="424">
        <f t="shared" si="5"/>
        <v>0</v>
      </c>
    </row>
    <row r="134" spans="1:6">
      <c r="B134" t="s">
        <v>181</v>
      </c>
      <c r="C134" s="425"/>
      <c r="D134" s="424">
        <f t="shared" ref="D134:D197" si="6">C134</f>
        <v>0</v>
      </c>
      <c r="E134" s="438">
        <f t="shared" ref="E134:E197" si="7">E$3</f>
        <v>2.5062855099878264E-2</v>
      </c>
      <c r="F134" s="424">
        <f t="shared" ref="F134:F197" si="8">E134*D134</f>
        <v>0</v>
      </c>
    </row>
    <row r="135" spans="1:6">
      <c r="B135" t="s">
        <v>182</v>
      </c>
      <c r="C135" s="425"/>
      <c r="D135" s="424">
        <f t="shared" si="6"/>
        <v>0</v>
      </c>
      <c r="E135" s="438">
        <f t="shared" si="7"/>
        <v>2.5062855099878264E-2</v>
      </c>
      <c r="F135" s="424">
        <f t="shared" si="8"/>
        <v>0</v>
      </c>
    </row>
    <row r="136" spans="1:6">
      <c r="A136">
        <v>6090</v>
      </c>
      <c r="B136" t="s">
        <v>258</v>
      </c>
      <c r="C136" s="425"/>
      <c r="D136" s="424">
        <f t="shared" si="6"/>
        <v>0</v>
      </c>
      <c r="E136" s="438">
        <f t="shared" si="7"/>
        <v>2.5062855099878264E-2</v>
      </c>
      <c r="F136" s="424">
        <f t="shared" si="8"/>
        <v>0</v>
      </c>
    </row>
    <row r="137" spans="1:6">
      <c r="B137" t="s">
        <v>182</v>
      </c>
      <c r="C137" s="425"/>
      <c r="D137" s="424">
        <f t="shared" si="6"/>
        <v>0</v>
      </c>
      <c r="E137" s="438">
        <f t="shared" si="7"/>
        <v>2.5062855099878264E-2</v>
      </c>
      <c r="F137" s="424">
        <f t="shared" si="8"/>
        <v>0</v>
      </c>
    </row>
    <row r="138" spans="1:6">
      <c r="B138" t="s">
        <v>183</v>
      </c>
      <c r="C138" s="425"/>
      <c r="D138" s="424">
        <f t="shared" si="6"/>
        <v>0</v>
      </c>
      <c r="E138" s="438">
        <f t="shared" si="7"/>
        <v>2.5062855099878264E-2</v>
      </c>
      <c r="F138" s="424">
        <f t="shared" si="8"/>
        <v>0</v>
      </c>
    </row>
    <row r="139" spans="1:6">
      <c r="A139">
        <v>6105</v>
      </c>
      <c r="B139" t="s">
        <v>604</v>
      </c>
      <c r="C139" s="425">
        <v>78938.429999999993</v>
      </c>
      <c r="D139" s="424">
        <f t="shared" si="6"/>
        <v>78938.429999999993</v>
      </c>
      <c r="E139" s="438">
        <f t="shared" si="7"/>
        <v>2.5062855099878264E-2</v>
      </c>
      <c r="F139" s="424">
        <f t="shared" si="8"/>
        <v>1978.4224329018832</v>
      </c>
    </row>
    <row r="140" spans="1:6">
      <c r="A140">
        <v>6110</v>
      </c>
      <c r="B140" t="s">
        <v>605</v>
      </c>
      <c r="C140" s="425">
        <v>346924.12</v>
      </c>
      <c r="D140" s="424">
        <f t="shared" si="6"/>
        <v>346924.12</v>
      </c>
      <c r="E140" s="438">
        <f t="shared" si="7"/>
        <v>2.5062855099878264E-2</v>
      </c>
      <c r="F140" s="424">
        <f t="shared" si="8"/>
        <v>8694.908950212779</v>
      </c>
    </row>
    <row r="141" spans="1:6">
      <c r="A141">
        <v>6115</v>
      </c>
      <c r="B141" t="s">
        <v>606</v>
      </c>
      <c r="C141" s="425">
        <v>53218.03</v>
      </c>
      <c r="D141" s="424">
        <f t="shared" si="6"/>
        <v>53218.03</v>
      </c>
      <c r="E141" s="438">
        <f t="shared" si="7"/>
        <v>2.5062855099878264E-2</v>
      </c>
      <c r="F141" s="424">
        <f t="shared" si="8"/>
        <v>1333.7957745909744</v>
      </c>
    </row>
    <row r="142" spans="1:6">
      <c r="A142">
        <v>6120</v>
      </c>
      <c r="B142" t="s">
        <v>607</v>
      </c>
      <c r="C142" s="425">
        <v>553375.19999999995</v>
      </c>
      <c r="D142" s="424">
        <f t="shared" si="6"/>
        <v>553375.19999999995</v>
      </c>
      <c r="E142" s="438">
        <f t="shared" si="7"/>
        <v>2.5062855099878264E-2</v>
      </c>
      <c r="F142" s="424">
        <f t="shared" si="8"/>
        <v>13869.162453466153</v>
      </c>
    </row>
    <row r="143" spans="1:6">
      <c r="A143">
        <v>6125</v>
      </c>
      <c r="B143" t="s">
        <v>608</v>
      </c>
      <c r="C143" s="425">
        <v>80950.850000000006</v>
      </c>
      <c r="D143" s="424">
        <f t="shared" si="6"/>
        <v>80950.850000000006</v>
      </c>
      <c r="E143" s="438">
        <f t="shared" si="7"/>
        <v>2.5062855099878264E-2</v>
      </c>
      <c r="F143" s="424">
        <f t="shared" si="8"/>
        <v>2028.8594237619805</v>
      </c>
    </row>
    <row r="144" spans="1:6">
      <c r="A144">
        <v>6130</v>
      </c>
      <c r="B144" t="s">
        <v>609</v>
      </c>
      <c r="C144" s="425">
        <v>76857.899999999994</v>
      </c>
      <c r="D144" s="424">
        <f t="shared" si="6"/>
        <v>76857.899999999994</v>
      </c>
      <c r="E144" s="438">
        <f t="shared" si="7"/>
        <v>2.5062855099878264E-2</v>
      </c>
      <c r="F144" s="424">
        <f t="shared" si="8"/>
        <v>1926.2784109809334</v>
      </c>
    </row>
    <row r="145" spans="1:6">
      <c r="A145">
        <v>6135</v>
      </c>
      <c r="B145" t="s">
        <v>610</v>
      </c>
      <c r="C145" s="425">
        <v>108197.72</v>
      </c>
      <c r="D145" s="424">
        <f t="shared" si="6"/>
        <v>108197.72</v>
      </c>
      <c r="E145" s="438">
        <f t="shared" si="7"/>
        <v>2.5062855099878264E-2</v>
      </c>
      <c r="F145" s="424">
        <f t="shared" si="8"/>
        <v>2711.7437784972003</v>
      </c>
    </row>
    <row r="146" spans="1:6">
      <c r="A146">
        <v>6140</v>
      </c>
      <c r="B146" t="s">
        <v>611</v>
      </c>
      <c r="C146" s="425">
        <v>203789.95</v>
      </c>
      <c r="D146" s="424">
        <f t="shared" si="6"/>
        <v>203789.95</v>
      </c>
      <c r="E146" s="438">
        <f t="shared" si="7"/>
        <v>2.5062855099878264E-2</v>
      </c>
      <c r="F146" s="424">
        <f t="shared" si="8"/>
        <v>5107.5579876614365</v>
      </c>
    </row>
    <row r="147" spans="1:6">
      <c r="A147">
        <v>6145</v>
      </c>
      <c r="B147" t="s">
        <v>612</v>
      </c>
      <c r="C147" s="425">
        <v>6791.4</v>
      </c>
      <c r="D147" s="424">
        <f t="shared" si="6"/>
        <v>6791.4</v>
      </c>
      <c r="E147" s="438">
        <f t="shared" si="7"/>
        <v>2.5062855099878264E-2</v>
      </c>
      <c r="F147" s="424">
        <f t="shared" si="8"/>
        <v>170.21187412531324</v>
      </c>
    </row>
    <row r="148" spans="1:6">
      <c r="A148">
        <v>6150</v>
      </c>
      <c r="B148" t="s">
        <v>613</v>
      </c>
      <c r="C148" s="425"/>
      <c r="D148" s="424">
        <f t="shared" si="6"/>
        <v>0</v>
      </c>
      <c r="E148" s="438">
        <f t="shared" si="7"/>
        <v>2.5062855099878264E-2</v>
      </c>
      <c r="F148" s="424">
        <f t="shared" si="8"/>
        <v>0</v>
      </c>
    </row>
    <row r="149" spans="1:6">
      <c r="A149">
        <v>6155</v>
      </c>
      <c r="B149" t="s">
        <v>614</v>
      </c>
      <c r="C149" s="425">
        <v>160</v>
      </c>
      <c r="D149" s="424">
        <f t="shared" si="6"/>
        <v>160</v>
      </c>
      <c r="E149" s="438">
        <f t="shared" si="7"/>
        <v>2.5062855099878264E-2</v>
      </c>
      <c r="F149" s="424">
        <f t="shared" si="8"/>
        <v>4.0100568159805219</v>
      </c>
    </row>
    <row r="150" spans="1:6">
      <c r="A150">
        <v>6160</v>
      </c>
      <c r="B150" t="s">
        <v>615</v>
      </c>
      <c r="C150" s="425"/>
      <c r="D150" s="424">
        <f t="shared" si="6"/>
        <v>0</v>
      </c>
      <c r="E150" s="438">
        <f t="shared" si="7"/>
        <v>2.5062855099878264E-2</v>
      </c>
      <c r="F150" s="424">
        <f t="shared" si="8"/>
        <v>0</v>
      </c>
    </row>
    <row r="151" spans="1:6">
      <c r="A151">
        <v>6165</v>
      </c>
      <c r="B151" t="s">
        <v>616</v>
      </c>
      <c r="C151" s="425"/>
      <c r="D151" s="424">
        <f t="shared" si="6"/>
        <v>0</v>
      </c>
      <c r="E151" s="438">
        <f t="shared" si="7"/>
        <v>2.5062855099878264E-2</v>
      </c>
      <c r="F151" s="424">
        <f t="shared" si="8"/>
        <v>0</v>
      </c>
    </row>
    <row r="152" spans="1:6">
      <c r="A152">
        <v>6170</v>
      </c>
      <c r="B152" t="s">
        <v>617</v>
      </c>
      <c r="C152" s="425"/>
      <c r="D152" s="424">
        <f t="shared" si="6"/>
        <v>0</v>
      </c>
      <c r="E152" s="438">
        <f t="shared" si="7"/>
        <v>2.5062855099878264E-2</v>
      </c>
      <c r="F152" s="424">
        <f t="shared" si="8"/>
        <v>0</v>
      </c>
    </row>
    <row r="153" spans="1:6">
      <c r="B153" t="s">
        <v>183</v>
      </c>
      <c r="C153" s="425">
        <v>1509203.6</v>
      </c>
      <c r="D153" s="424">
        <f t="shared" si="6"/>
        <v>1509203.6</v>
      </c>
      <c r="E153" s="438">
        <f t="shared" si="7"/>
        <v>2.5062855099878264E-2</v>
      </c>
      <c r="F153" s="424">
        <f t="shared" si="8"/>
        <v>37824.951143014638</v>
      </c>
    </row>
    <row r="154" spans="1:6">
      <c r="B154" t="s">
        <v>184</v>
      </c>
      <c r="C154" s="425"/>
      <c r="D154" s="424">
        <f t="shared" si="6"/>
        <v>0</v>
      </c>
      <c r="E154" s="438">
        <f t="shared" si="7"/>
        <v>2.5062855099878264E-2</v>
      </c>
      <c r="F154" s="424">
        <f t="shared" si="8"/>
        <v>0</v>
      </c>
    </row>
    <row r="155" spans="1:6">
      <c r="A155">
        <v>6185</v>
      </c>
      <c r="B155" t="s">
        <v>618</v>
      </c>
      <c r="C155" s="425">
        <v>89830</v>
      </c>
      <c r="D155" s="424">
        <f t="shared" si="6"/>
        <v>89830</v>
      </c>
      <c r="E155" s="438">
        <f t="shared" si="7"/>
        <v>2.5062855099878264E-2</v>
      </c>
      <c r="F155" s="424">
        <f t="shared" si="8"/>
        <v>2251.3962736220647</v>
      </c>
    </row>
    <row r="156" spans="1:6">
      <c r="A156">
        <v>6190</v>
      </c>
      <c r="B156" t="s">
        <v>619</v>
      </c>
      <c r="C156" s="425">
        <v>9715.8700000000008</v>
      </c>
      <c r="D156" s="424">
        <f t="shared" si="6"/>
        <v>9715.8700000000008</v>
      </c>
      <c r="E156" s="438">
        <f t="shared" si="7"/>
        <v>2.5062855099878264E-2</v>
      </c>
      <c r="F156" s="424">
        <f t="shared" si="8"/>
        <v>243.50744197925425</v>
      </c>
    </row>
    <row r="157" spans="1:6">
      <c r="A157">
        <v>6195</v>
      </c>
      <c r="B157" t="s">
        <v>620</v>
      </c>
      <c r="C157" s="425">
        <v>9025.5</v>
      </c>
      <c r="D157" s="424">
        <f t="shared" si="6"/>
        <v>9025.5</v>
      </c>
      <c r="E157" s="438">
        <f t="shared" si="7"/>
        <v>2.5062855099878264E-2</v>
      </c>
      <c r="F157" s="424">
        <f t="shared" si="8"/>
        <v>226.20479870395127</v>
      </c>
    </row>
    <row r="158" spans="1:6">
      <c r="A158">
        <v>6200</v>
      </c>
      <c r="B158" t="s">
        <v>621</v>
      </c>
      <c r="C158" s="425">
        <v>2998.42</v>
      </c>
      <c r="D158" s="424">
        <f t="shared" si="6"/>
        <v>2998.42</v>
      </c>
      <c r="E158" s="438">
        <f t="shared" si="7"/>
        <v>2.5062855099878264E-2</v>
      </c>
      <c r="F158" s="424">
        <f t="shared" si="8"/>
        <v>75.14896598857699</v>
      </c>
    </row>
    <row r="159" spans="1:6">
      <c r="A159">
        <v>6205</v>
      </c>
      <c r="B159" t="s">
        <v>622</v>
      </c>
      <c r="C159" s="425">
        <v>687.53</v>
      </c>
      <c r="D159" s="424">
        <f t="shared" si="6"/>
        <v>687.53</v>
      </c>
      <c r="E159" s="438">
        <f t="shared" si="7"/>
        <v>2.5062855099878264E-2</v>
      </c>
      <c r="F159" s="424">
        <f t="shared" si="8"/>
        <v>17.2314647668193</v>
      </c>
    </row>
    <row r="160" spans="1:6">
      <c r="A160">
        <v>6207</v>
      </c>
      <c r="B160" t="s">
        <v>623</v>
      </c>
      <c r="C160" s="425"/>
      <c r="D160" s="424">
        <f t="shared" si="6"/>
        <v>0</v>
      </c>
      <c r="E160" s="438">
        <f t="shared" si="7"/>
        <v>2.5062855099878264E-2</v>
      </c>
      <c r="F160" s="424">
        <f t="shared" si="8"/>
        <v>0</v>
      </c>
    </row>
    <row r="161" spans="1:6">
      <c r="B161" t="s">
        <v>184</v>
      </c>
      <c r="C161" s="425">
        <v>112257.32</v>
      </c>
      <c r="D161" s="424">
        <f t="shared" si="6"/>
        <v>112257.32</v>
      </c>
      <c r="E161" s="438">
        <f t="shared" si="7"/>
        <v>2.5062855099878264E-2</v>
      </c>
      <c r="F161" s="424">
        <f t="shared" si="8"/>
        <v>2813.4889450606665</v>
      </c>
    </row>
    <row r="162" spans="1:6">
      <c r="B162" t="s">
        <v>185</v>
      </c>
      <c r="C162" s="425"/>
      <c r="D162" s="424">
        <f t="shared" si="6"/>
        <v>0</v>
      </c>
      <c r="E162" s="438">
        <f t="shared" si="7"/>
        <v>2.5062855099878264E-2</v>
      </c>
      <c r="F162" s="424">
        <f t="shared" si="8"/>
        <v>0</v>
      </c>
    </row>
    <row r="163" spans="1:6">
      <c r="A163">
        <v>6215</v>
      </c>
      <c r="B163" t="s">
        <v>624</v>
      </c>
      <c r="C163" s="425">
        <v>-1066.58</v>
      </c>
      <c r="D163" s="424">
        <f t="shared" si="6"/>
        <v>-1066.58</v>
      </c>
      <c r="E163" s="438">
        <f t="shared" si="7"/>
        <v>2.5062855099878264E-2</v>
      </c>
      <c r="F163" s="424">
        <f t="shared" si="8"/>
        <v>-26.731539992428157</v>
      </c>
    </row>
    <row r="164" spans="1:6">
      <c r="A164">
        <v>6220</v>
      </c>
      <c r="B164" t="s">
        <v>625</v>
      </c>
      <c r="C164" s="425">
        <v>-132.6</v>
      </c>
      <c r="D164" s="424">
        <f t="shared" si="6"/>
        <v>-132.6</v>
      </c>
      <c r="E164" s="438">
        <f t="shared" si="7"/>
        <v>2.5062855099878264E-2</v>
      </c>
      <c r="F164" s="424">
        <f t="shared" si="8"/>
        <v>-3.3233345862438575</v>
      </c>
    </row>
    <row r="165" spans="1:6">
      <c r="A165">
        <v>6225</v>
      </c>
      <c r="B165" t="s">
        <v>626</v>
      </c>
      <c r="C165" s="425">
        <v>78</v>
      </c>
      <c r="D165" s="424">
        <f t="shared" si="6"/>
        <v>78</v>
      </c>
      <c r="E165" s="438">
        <f t="shared" si="7"/>
        <v>2.5062855099878264E-2</v>
      </c>
      <c r="F165" s="424">
        <f t="shared" si="8"/>
        <v>1.9549026977905046</v>
      </c>
    </row>
    <row r="166" spans="1:6">
      <c r="A166">
        <v>6230</v>
      </c>
      <c r="B166" t="s">
        <v>627</v>
      </c>
      <c r="C166" s="425"/>
      <c r="D166" s="424">
        <f t="shared" si="6"/>
        <v>0</v>
      </c>
      <c r="E166" s="438">
        <f t="shared" si="7"/>
        <v>2.5062855099878264E-2</v>
      </c>
      <c r="F166" s="424">
        <f t="shared" si="8"/>
        <v>0</v>
      </c>
    </row>
    <row r="167" spans="1:6">
      <c r="B167" t="s">
        <v>185</v>
      </c>
      <c r="C167" s="425">
        <v>-1121.18</v>
      </c>
      <c r="D167" s="424">
        <f t="shared" si="6"/>
        <v>-1121.18</v>
      </c>
      <c r="E167" s="438">
        <f t="shared" si="7"/>
        <v>2.5062855099878264E-2</v>
      </c>
      <c r="F167" s="424">
        <f t="shared" si="8"/>
        <v>-28.099971880881512</v>
      </c>
    </row>
    <row r="168" spans="1:6">
      <c r="B168" t="s">
        <v>186</v>
      </c>
      <c r="C168" s="425"/>
      <c r="D168" s="424">
        <f t="shared" si="6"/>
        <v>0</v>
      </c>
      <c r="E168" s="438">
        <f t="shared" si="7"/>
        <v>2.5062855099878264E-2</v>
      </c>
      <c r="F168" s="424">
        <f t="shared" si="8"/>
        <v>0</v>
      </c>
    </row>
    <row r="169" spans="1:6">
      <c r="A169">
        <v>6255</v>
      </c>
      <c r="B169" t="s">
        <v>628</v>
      </c>
      <c r="C169" s="425"/>
      <c r="D169" s="424">
        <f t="shared" si="6"/>
        <v>0</v>
      </c>
      <c r="E169" s="438">
        <f t="shared" si="7"/>
        <v>2.5062855099878264E-2</v>
      </c>
      <c r="F169" s="424">
        <f t="shared" si="8"/>
        <v>0</v>
      </c>
    </row>
    <row r="170" spans="1:6">
      <c r="A170">
        <v>6260</v>
      </c>
      <c r="B170" t="s">
        <v>629</v>
      </c>
      <c r="C170" s="425"/>
      <c r="D170" s="424">
        <f t="shared" si="6"/>
        <v>0</v>
      </c>
      <c r="E170" s="438">
        <f t="shared" si="7"/>
        <v>2.5062855099878264E-2</v>
      </c>
      <c r="F170" s="424">
        <f t="shared" si="8"/>
        <v>0</v>
      </c>
    </row>
    <row r="171" spans="1:6">
      <c r="A171">
        <v>6265</v>
      </c>
      <c r="B171" t="s">
        <v>259</v>
      </c>
      <c r="C171" s="425"/>
      <c r="D171" s="424">
        <f t="shared" si="6"/>
        <v>0</v>
      </c>
      <c r="E171" s="438">
        <f t="shared" si="7"/>
        <v>2.5062855099878264E-2</v>
      </c>
      <c r="F171" s="424">
        <f t="shared" si="8"/>
        <v>0</v>
      </c>
    </row>
    <row r="172" spans="1:6">
      <c r="A172">
        <v>6270</v>
      </c>
      <c r="B172" t="s">
        <v>260</v>
      </c>
      <c r="C172" s="425"/>
      <c r="D172" s="424">
        <f t="shared" si="6"/>
        <v>0</v>
      </c>
      <c r="E172" s="438">
        <f t="shared" si="7"/>
        <v>2.5062855099878264E-2</v>
      </c>
      <c r="F172" s="424">
        <f t="shared" si="8"/>
        <v>0</v>
      </c>
    </row>
    <row r="173" spans="1:6">
      <c r="B173" t="s">
        <v>186</v>
      </c>
      <c r="C173" s="425"/>
      <c r="D173" s="424">
        <f t="shared" si="6"/>
        <v>0</v>
      </c>
      <c r="E173" s="438">
        <f t="shared" si="7"/>
        <v>2.5062855099878264E-2</v>
      </c>
      <c r="F173" s="424">
        <f t="shared" si="8"/>
        <v>0</v>
      </c>
    </row>
    <row r="174" spans="1:6">
      <c r="B174" t="s">
        <v>187</v>
      </c>
      <c r="C174" s="425"/>
      <c r="D174" s="424">
        <f t="shared" si="6"/>
        <v>0</v>
      </c>
      <c r="E174" s="438">
        <f t="shared" si="7"/>
        <v>2.5062855099878264E-2</v>
      </c>
      <c r="F174" s="424">
        <f t="shared" si="8"/>
        <v>0</v>
      </c>
    </row>
    <row r="175" spans="1:6">
      <c r="A175">
        <v>6285</v>
      </c>
      <c r="B175" t="s">
        <v>261</v>
      </c>
      <c r="C175" s="425"/>
      <c r="D175" s="424">
        <f t="shared" si="6"/>
        <v>0</v>
      </c>
      <c r="E175" s="438">
        <f t="shared" si="7"/>
        <v>2.5062855099878264E-2</v>
      </c>
      <c r="F175" s="424">
        <f t="shared" si="8"/>
        <v>0</v>
      </c>
    </row>
    <row r="176" spans="1:6">
      <c r="A176">
        <v>6290</v>
      </c>
      <c r="B176" t="s">
        <v>262</v>
      </c>
      <c r="C176" s="425"/>
      <c r="D176" s="424">
        <f t="shared" si="6"/>
        <v>0</v>
      </c>
      <c r="E176" s="438">
        <f t="shared" si="7"/>
        <v>2.5062855099878264E-2</v>
      </c>
      <c r="F176" s="424">
        <f t="shared" si="8"/>
        <v>0</v>
      </c>
    </row>
    <row r="177" spans="1:6">
      <c r="A177">
        <v>6295</v>
      </c>
      <c r="B177" t="s">
        <v>263</v>
      </c>
      <c r="C177" s="425"/>
      <c r="D177" s="424">
        <f t="shared" si="6"/>
        <v>0</v>
      </c>
      <c r="E177" s="438">
        <f t="shared" si="7"/>
        <v>2.5062855099878264E-2</v>
      </c>
      <c r="F177" s="424">
        <f t="shared" si="8"/>
        <v>0</v>
      </c>
    </row>
    <row r="178" spans="1:6">
      <c r="A178">
        <v>6300</v>
      </c>
      <c r="B178" t="s">
        <v>264</v>
      </c>
      <c r="C178" s="425"/>
      <c r="D178" s="424">
        <f t="shared" si="6"/>
        <v>0</v>
      </c>
      <c r="E178" s="438">
        <f t="shared" si="7"/>
        <v>2.5062855099878264E-2</v>
      </c>
      <c r="F178" s="424">
        <f t="shared" si="8"/>
        <v>0</v>
      </c>
    </row>
    <row r="179" spans="1:6">
      <c r="A179">
        <v>6305</v>
      </c>
      <c r="B179" t="s">
        <v>265</v>
      </c>
      <c r="C179" s="425"/>
      <c r="D179" s="424">
        <f t="shared" si="6"/>
        <v>0</v>
      </c>
      <c r="E179" s="438">
        <f t="shared" si="7"/>
        <v>2.5062855099878264E-2</v>
      </c>
      <c r="F179" s="424">
        <f t="shared" si="8"/>
        <v>0</v>
      </c>
    </row>
    <row r="180" spans="1:6">
      <c r="A180">
        <v>6310</v>
      </c>
      <c r="B180" t="s">
        <v>266</v>
      </c>
      <c r="C180" s="425"/>
      <c r="D180" s="424">
        <f t="shared" si="6"/>
        <v>0</v>
      </c>
      <c r="E180" s="438">
        <f t="shared" si="7"/>
        <v>2.5062855099878264E-2</v>
      </c>
      <c r="F180" s="424">
        <f t="shared" si="8"/>
        <v>0</v>
      </c>
    </row>
    <row r="181" spans="1:6">
      <c r="B181" t="s">
        <v>187</v>
      </c>
      <c r="C181" s="425"/>
      <c r="D181" s="424">
        <f t="shared" si="6"/>
        <v>0</v>
      </c>
      <c r="E181" s="438">
        <f t="shared" si="7"/>
        <v>2.5062855099878264E-2</v>
      </c>
      <c r="F181" s="424">
        <f t="shared" si="8"/>
        <v>0</v>
      </c>
    </row>
    <row r="182" spans="1:6">
      <c r="B182" t="s">
        <v>188</v>
      </c>
      <c r="C182" s="425"/>
      <c r="D182" s="424">
        <f t="shared" si="6"/>
        <v>0</v>
      </c>
      <c r="E182" s="438">
        <f t="shared" si="7"/>
        <v>2.5062855099878264E-2</v>
      </c>
      <c r="F182" s="424">
        <f t="shared" si="8"/>
        <v>0</v>
      </c>
    </row>
    <row r="183" spans="1:6">
      <c r="A183">
        <v>6320</v>
      </c>
      <c r="B183" t="s">
        <v>267</v>
      </c>
      <c r="C183" s="425"/>
      <c r="D183" s="424">
        <f t="shared" si="6"/>
        <v>0</v>
      </c>
      <c r="E183" s="438">
        <f t="shared" si="7"/>
        <v>2.5062855099878264E-2</v>
      </c>
      <c r="F183" s="424">
        <f t="shared" si="8"/>
        <v>0</v>
      </c>
    </row>
    <row r="184" spans="1:6">
      <c r="A184">
        <v>6325</v>
      </c>
      <c r="B184" t="s">
        <v>268</v>
      </c>
      <c r="C184" s="425"/>
      <c r="D184" s="424">
        <f t="shared" si="6"/>
        <v>0</v>
      </c>
      <c r="E184" s="438">
        <f t="shared" si="7"/>
        <v>2.5062855099878264E-2</v>
      </c>
      <c r="F184" s="424">
        <f t="shared" si="8"/>
        <v>0</v>
      </c>
    </row>
    <row r="185" spans="1:6">
      <c r="A185">
        <v>6330</v>
      </c>
      <c r="B185" t="s">
        <v>269</v>
      </c>
      <c r="C185" s="425"/>
      <c r="D185" s="424">
        <f t="shared" si="6"/>
        <v>0</v>
      </c>
      <c r="E185" s="438">
        <f t="shared" si="7"/>
        <v>2.5062855099878264E-2</v>
      </c>
      <c r="F185" s="424">
        <f t="shared" si="8"/>
        <v>0</v>
      </c>
    </row>
    <row r="186" spans="1:6">
      <c r="A186">
        <v>6335</v>
      </c>
      <c r="B186" t="s">
        <v>270</v>
      </c>
      <c r="C186" s="425"/>
      <c r="D186" s="424">
        <f t="shared" si="6"/>
        <v>0</v>
      </c>
      <c r="E186" s="438">
        <f t="shared" si="7"/>
        <v>2.5062855099878264E-2</v>
      </c>
      <c r="F186" s="424">
        <f t="shared" si="8"/>
        <v>0</v>
      </c>
    </row>
    <row r="187" spans="1:6">
      <c r="A187">
        <v>6340</v>
      </c>
      <c r="B187" t="s">
        <v>271</v>
      </c>
      <c r="C187" s="425"/>
      <c r="D187" s="424">
        <f t="shared" si="6"/>
        <v>0</v>
      </c>
      <c r="E187" s="438">
        <f t="shared" si="7"/>
        <v>2.5062855099878264E-2</v>
      </c>
      <c r="F187" s="424">
        <f t="shared" si="8"/>
        <v>0</v>
      </c>
    </row>
    <row r="188" spans="1:6">
      <c r="A188">
        <v>6345</v>
      </c>
      <c r="B188" t="s">
        <v>272</v>
      </c>
      <c r="C188" s="425"/>
      <c r="D188" s="424">
        <f t="shared" si="6"/>
        <v>0</v>
      </c>
      <c r="E188" s="438">
        <f t="shared" si="7"/>
        <v>2.5062855099878264E-2</v>
      </c>
      <c r="F188" s="424">
        <f t="shared" si="8"/>
        <v>0</v>
      </c>
    </row>
    <row r="189" spans="1:6">
      <c r="B189" t="s">
        <v>188</v>
      </c>
      <c r="C189" s="425"/>
      <c r="D189" s="424">
        <f t="shared" si="6"/>
        <v>0</v>
      </c>
      <c r="E189" s="438">
        <f t="shared" si="7"/>
        <v>2.5062855099878264E-2</v>
      </c>
      <c r="F189" s="424">
        <f t="shared" si="8"/>
        <v>0</v>
      </c>
    </row>
    <row r="190" spans="1:6">
      <c r="B190" t="s">
        <v>189</v>
      </c>
      <c r="C190" s="425"/>
      <c r="D190" s="424">
        <f t="shared" si="6"/>
        <v>0</v>
      </c>
      <c r="E190" s="438">
        <f t="shared" si="7"/>
        <v>2.5062855099878264E-2</v>
      </c>
      <c r="F190" s="424">
        <f t="shared" si="8"/>
        <v>0</v>
      </c>
    </row>
    <row r="191" spans="1:6">
      <c r="A191">
        <v>6355</v>
      </c>
      <c r="B191" t="s">
        <v>273</v>
      </c>
      <c r="C191" s="425">
        <v>4968.3</v>
      </c>
      <c r="D191" s="424">
        <f t="shared" si="6"/>
        <v>4968.3</v>
      </c>
      <c r="E191" s="438">
        <f t="shared" si="7"/>
        <v>2.5062855099878264E-2</v>
      </c>
      <c r="F191" s="424">
        <f t="shared" si="8"/>
        <v>124.51978299272518</v>
      </c>
    </row>
    <row r="192" spans="1:6">
      <c r="A192">
        <v>6360</v>
      </c>
      <c r="B192" t="s">
        <v>274</v>
      </c>
      <c r="C192" s="425"/>
      <c r="D192" s="424">
        <f t="shared" si="6"/>
        <v>0</v>
      </c>
      <c r="E192" s="438">
        <f t="shared" si="7"/>
        <v>2.5062855099878264E-2</v>
      </c>
      <c r="F192" s="424">
        <f t="shared" si="8"/>
        <v>0</v>
      </c>
    </row>
    <row r="193" spans="1:6">
      <c r="A193">
        <v>6365</v>
      </c>
      <c r="B193" t="s">
        <v>275</v>
      </c>
      <c r="C193" s="425"/>
      <c r="D193" s="424">
        <f t="shared" si="6"/>
        <v>0</v>
      </c>
      <c r="E193" s="438">
        <f t="shared" si="7"/>
        <v>2.5062855099878264E-2</v>
      </c>
      <c r="F193" s="424">
        <f t="shared" si="8"/>
        <v>0</v>
      </c>
    </row>
    <row r="194" spans="1:6">
      <c r="A194">
        <v>6370</v>
      </c>
      <c r="B194" t="s">
        <v>276</v>
      </c>
      <c r="C194" s="425"/>
      <c r="D194" s="424">
        <f t="shared" si="6"/>
        <v>0</v>
      </c>
      <c r="E194" s="438">
        <f t="shared" si="7"/>
        <v>2.5062855099878264E-2</v>
      </c>
      <c r="F194" s="424">
        <f t="shared" si="8"/>
        <v>0</v>
      </c>
    </row>
    <row r="195" spans="1:6">
      <c r="A195">
        <v>6375</v>
      </c>
      <c r="B195" t="s">
        <v>28</v>
      </c>
      <c r="C195" s="425"/>
      <c r="D195" s="424">
        <f t="shared" si="6"/>
        <v>0</v>
      </c>
      <c r="E195" s="438">
        <f t="shared" si="7"/>
        <v>2.5062855099878264E-2</v>
      </c>
      <c r="F195" s="424">
        <f t="shared" si="8"/>
        <v>0</v>
      </c>
    </row>
    <row r="196" spans="1:6">
      <c r="A196">
        <v>6380</v>
      </c>
      <c r="B196" t="s">
        <v>29</v>
      </c>
      <c r="C196" s="425"/>
      <c r="D196" s="424">
        <f t="shared" si="6"/>
        <v>0</v>
      </c>
      <c r="E196" s="438">
        <f t="shared" si="7"/>
        <v>2.5062855099878264E-2</v>
      </c>
      <c r="F196" s="424">
        <f t="shared" si="8"/>
        <v>0</v>
      </c>
    </row>
    <row r="197" spans="1:6">
      <c r="A197">
        <v>6385</v>
      </c>
      <c r="B197" t="s">
        <v>30</v>
      </c>
      <c r="C197" s="425">
        <v>63.18</v>
      </c>
      <c r="D197" s="424">
        <f t="shared" si="6"/>
        <v>63.18</v>
      </c>
      <c r="E197" s="438">
        <f t="shared" si="7"/>
        <v>2.5062855099878264E-2</v>
      </c>
      <c r="F197" s="424">
        <f t="shared" si="8"/>
        <v>1.5834711852103087</v>
      </c>
    </row>
    <row r="198" spans="1:6">
      <c r="A198">
        <v>6390</v>
      </c>
      <c r="B198" t="s">
        <v>31</v>
      </c>
      <c r="C198" s="425"/>
      <c r="D198" s="424">
        <f t="shared" ref="D198:D261" si="9">C198</f>
        <v>0</v>
      </c>
      <c r="E198" s="438">
        <f t="shared" ref="E198:E261" si="10">E$3</f>
        <v>2.5062855099878264E-2</v>
      </c>
      <c r="F198" s="424">
        <f t="shared" ref="F198:F261" si="11">E198*D198</f>
        <v>0</v>
      </c>
    </row>
    <row r="199" spans="1:6">
      <c r="B199" t="s">
        <v>189</v>
      </c>
      <c r="C199" s="425">
        <v>5031.4799999999996</v>
      </c>
      <c r="D199" s="424">
        <f t="shared" si="9"/>
        <v>5031.4799999999996</v>
      </c>
      <c r="E199" s="438">
        <f t="shared" si="10"/>
        <v>2.5062855099878264E-2</v>
      </c>
      <c r="F199" s="424">
        <f t="shared" si="11"/>
        <v>126.10325417793548</v>
      </c>
    </row>
    <row r="200" spans="1:6">
      <c r="A200">
        <v>6400</v>
      </c>
      <c r="B200" t="s">
        <v>32</v>
      </c>
      <c r="C200" s="425"/>
      <c r="D200" s="424">
        <f t="shared" si="9"/>
        <v>0</v>
      </c>
      <c r="E200" s="438">
        <f t="shared" si="10"/>
        <v>2.5062855099878264E-2</v>
      </c>
      <c r="F200" s="424">
        <f t="shared" si="11"/>
        <v>0</v>
      </c>
    </row>
    <row r="201" spans="1:6">
      <c r="A201">
        <v>6410</v>
      </c>
      <c r="B201" t="s">
        <v>33</v>
      </c>
      <c r="C201" s="425"/>
      <c r="D201" s="424">
        <f t="shared" si="9"/>
        <v>0</v>
      </c>
      <c r="E201" s="438">
        <f t="shared" si="10"/>
        <v>2.5062855099878264E-2</v>
      </c>
      <c r="F201" s="424">
        <f t="shared" si="11"/>
        <v>0</v>
      </c>
    </row>
    <row r="202" spans="1:6">
      <c r="B202" t="s">
        <v>166</v>
      </c>
      <c r="C202" s="425">
        <v>4941508.58</v>
      </c>
      <c r="D202" s="424">
        <f t="shared" si="9"/>
        <v>4941508.58</v>
      </c>
      <c r="E202" s="438">
        <f t="shared" si="10"/>
        <v>2.5062855099878264E-2</v>
      </c>
      <c r="F202" s="424">
        <f t="shared" si="11"/>
        <v>123848.3135153452</v>
      </c>
    </row>
    <row r="203" spans="1:6">
      <c r="B203" t="s">
        <v>190</v>
      </c>
      <c r="C203" s="425"/>
      <c r="D203" s="424">
        <f t="shared" si="9"/>
        <v>0</v>
      </c>
      <c r="E203" s="438">
        <f t="shared" si="10"/>
        <v>2.5062855099878264E-2</v>
      </c>
      <c r="F203" s="424">
        <f t="shared" si="11"/>
        <v>0</v>
      </c>
    </row>
    <row r="204" spans="1:6">
      <c r="B204" t="s">
        <v>191</v>
      </c>
      <c r="C204" s="425"/>
      <c r="D204" s="424">
        <f t="shared" si="9"/>
        <v>0</v>
      </c>
      <c r="E204" s="438">
        <f t="shared" si="10"/>
        <v>2.5062855099878264E-2</v>
      </c>
      <c r="F204" s="424">
        <f t="shared" si="11"/>
        <v>0</v>
      </c>
    </row>
    <row r="205" spans="1:6">
      <c r="A205">
        <v>6445</v>
      </c>
      <c r="B205" t="s">
        <v>34</v>
      </c>
      <c r="C205" s="425"/>
      <c r="D205" s="424">
        <f t="shared" si="9"/>
        <v>0</v>
      </c>
      <c r="E205" s="438">
        <f t="shared" si="10"/>
        <v>2.5062855099878264E-2</v>
      </c>
      <c r="F205" s="424">
        <f t="shared" si="11"/>
        <v>0</v>
      </c>
    </row>
    <row r="206" spans="1:6">
      <c r="A206">
        <v>6450</v>
      </c>
      <c r="B206" t="s">
        <v>35</v>
      </c>
      <c r="C206" s="425"/>
      <c r="D206" s="424">
        <f t="shared" si="9"/>
        <v>0</v>
      </c>
      <c r="E206" s="438">
        <f t="shared" si="10"/>
        <v>2.5062855099878264E-2</v>
      </c>
      <c r="F206" s="424">
        <f t="shared" si="11"/>
        <v>0</v>
      </c>
    </row>
    <row r="207" spans="1:6">
      <c r="A207">
        <v>6455</v>
      </c>
      <c r="B207" t="s">
        <v>36</v>
      </c>
      <c r="C207" s="425"/>
      <c r="D207" s="424">
        <f t="shared" si="9"/>
        <v>0</v>
      </c>
      <c r="E207" s="438">
        <f t="shared" si="10"/>
        <v>2.5062855099878264E-2</v>
      </c>
      <c r="F207" s="424">
        <f t="shared" si="11"/>
        <v>0</v>
      </c>
    </row>
    <row r="208" spans="1:6">
      <c r="A208">
        <v>6460</v>
      </c>
      <c r="B208" t="s">
        <v>37</v>
      </c>
      <c r="C208" s="425"/>
      <c r="D208" s="424">
        <f t="shared" si="9"/>
        <v>0</v>
      </c>
      <c r="E208" s="438">
        <f t="shared" si="10"/>
        <v>2.5062855099878264E-2</v>
      </c>
      <c r="F208" s="424">
        <f t="shared" si="11"/>
        <v>0</v>
      </c>
    </row>
    <row r="209" spans="1:6">
      <c r="A209">
        <v>6465</v>
      </c>
      <c r="B209" t="s">
        <v>38</v>
      </c>
      <c r="C209" s="425"/>
      <c r="D209" s="424">
        <f t="shared" si="9"/>
        <v>0</v>
      </c>
      <c r="E209" s="438">
        <f t="shared" si="10"/>
        <v>2.5062855099878264E-2</v>
      </c>
      <c r="F209" s="424">
        <f t="shared" si="11"/>
        <v>0</v>
      </c>
    </row>
    <row r="210" spans="1:6">
      <c r="A210">
        <v>6470</v>
      </c>
      <c r="B210" t="s">
        <v>39</v>
      </c>
      <c r="C210" s="425"/>
      <c r="D210" s="424">
        <f t="shared" si="9"/>
        <v>0</v>
      </c>
      <c r="E210" s="438">
        <f t="shared" si="10"/>
        <v>2.5062855099878264E-2</v>
      </c>
      <c r="F210" s="424">
        <f t="shared" si="11"/>
        <v>0</v>
      </c>
    </row>
    <row r="211" spans="1:6">
      <c r="A211">
        <v>6475</v>
      </c>
      <c r="B211" t="s">
        <v>40</v>
      </c>
      <c r="C211" s="425"/>
      <c r="D211" s="424">
        <f t="shared" si="9"/>
        <v>0</v>
      </c>
      <c r="E211" s="438">
        <f t="shared" si="10"/>
        <v>2.5062855099878264E-2</v>
      </c>
      <c r="F211" s="424">
        <f t="shared" si="11"/>
        <v>0</v>
      </c>
    </row>
    <row r="212" spans="1:6">
      <c r="A212">
        <v>6480</v>
      </c>
      <c r="B212" t="s">
        <v>41</v>
      </c>
      <c r="C212" s="425"/>
      <c r="D212" s="424">
        <f t="shared" si="9"/>
        <v>0</v>
      </c>
      <c r="E212" s="438">
        <f t="shared" si="10"/>
        <v>2.5062855099878264E-2</v>
      </c>
      <c r="F212" s="424">
        <f t="shared" si="11"/>
        <v>0</v>
      </c>
    </row>
    <row r="213" spans="1:6">
      <c r="A213">
        <v>6485</v>
      </c>
      <c r="B213" t="s">
        <v>42</v>
      </c>
      <c r="C213" s="425"/>
      <c r="D213" s="424">
        <f t="shared" si="9"/>
        <v>0</v>
      </c>
      <c r="E213" s="438">
        <f t="shared" si="10"/>
        <v>2.5062855099878264E-2</v>
      </c>
      <c r="F213" s="424">
        <f t="shared" si="11"/>
        <v>0</v>
      </c>
    </row>
    <row r="214" spans="1:6">
      <c r="A214">
        <v>6490</v>
      </c>
      <c r="B214" t="s">
        <v>43</v>
      </c>
      <c r="C214" s="425"/>
      <c r="D214" s="424">
        <f t="shared" si="9"/>
        <v>0</v>
      </c>
      <c r="E214" s="438">
        <f t="shared" si="10"/>
        <v>2.5062855099878264E-2</v>
      </c>
      <c r="F214" s="424">
        <f t="shared" si="11"/>
        <v>0</v>
      </c>
    </row>
    <row r="215" spans="1:6">
      <c r="A215">
        <v>6495</v>
      </c>
      <c r="B215" t="s">
        <v>44</v>
      </c>
      <c r="C215" s="425"/>
      <c r="D215" s="424">
        <f t="shared" si="9"/>
        <v>0</v>
      </c>
      <c r="E215" s="438">
        <f t="shared" si="10"/>
        <v>2.5062855099878264E-2</v>
      </c>
      <c r="F215" s="424">
        <f t="shared" si="11"/>
        <v>0</v>
      </c>
    </row>
    <row r="216" spans="1:6">
      <c r="A216">
        <v>6500</v>
      </c>
      <c r="B216" t="s">
        <v>45</v>
      </c>
      <c r="C216" s="425"/>
      <c r="D216" s="424">
        <f t="shared" si="9"/>
        <v>0</v>
      </c>
      <c r="E216" s="438">
        <f t="shared" si="10"/>
        <v>2.5062855099878264E-2</v>
      </c>
      <c r="F216" s="424">
        <f t="shared" si="11"/>
        <v>0</v>
      </c>
    </row>
    <row r="217" spans="1:6">
      <c r="A217">
        <v>6505</v>
      </c>
      <c r="B217" t="s">
        <v>46</v>
      </c>
      <c r="C217" s="425"/>
      <c r="D217" s="424">
        <f t="shared" si="9"/>
        <v>0</v>
      </c>
      <c r="E217" s="438">
        <f t="shared" si="10"/>
        <v>2.5062855099878264E-2</v>
      </c>
      <c r="F217" s="424">
        <f t="shared" si="11"/>
        <v>0</v>
      </c>
    </row>
    <row r="218" spans="1:6">
      <c r="A218">
        <v>6510</v>
      </c>
      <c r="B218" t="s">
        <v>47</v>
      </c>
      <c r="C218" s="425"/>
      <c r="D218" s="424">
        <f t="shared" si="9"/>
        <v>0</v>
      </c>
      <c r="E218" s="438">
        <f t="shared" si="10"/>
        <v>2.5062855099878264E-2</v>
      </c>
      <c r="F218" s="424">
        <f t="shared" si="11"/>
        <v>0</v>
      </c>
    </row>
    <row r="219" spans="1:6">
      <c r="A219">
        <v>6515</v>
      </c>
      <c r="B219" t="s">
        <v>48</v>
      </c>
      <c r="C219" s="425"/>
      <c r="D219" s="424">
        <f t="shared" si="9"/>
        <v>0</v>
      </c>
      <c r="E219" s="438">
        <f t="shared" si="10"/>
        <v>2.5062855099878264E-2</v>
      </c>
      <c r="F219" s="424">
        <f t="shared" si="11"/>
        <v>0</v>
      </c>
    </row>
    <row r="220" spans="1:6">
      <c r="A220">
        <v>6520</v>
      </c>
      <c r="B220" t="s">
        <v>49</v>
      </c>
      <c r="C220" s="425"/>
      <c r="D220" s="424">
        <f t="shared" si="9"/>
        <v>0</v>
      </c>
      <c r="E220" s="438">
        <f t="shared" si="10"/>
        <v>2.5062855099878264E-2</v>
      </c>
      <c r="F220" s="424">
        <f t="shared" si="11"/>
        <v>0</v>
      </c>
    </row>
    <row r="221" spans="1:6">
      <c r="A221">
        <v>6525</v>
      </c>
      <c r="B221" t="s">
        <v>50</v>
      </c>
      <c r="C221" s="425"/>
      <c r="D221" s="424">
        <f t="shared" si="9"/>
        <v>0</v>
      </c>
      <c r="E221" s="438">
        <f t="shared" si="10"/>
        <v>2.5062855099878264E-2</v>
      </c>
      <c r="F221" s="424">
        <f t="shared" si="11"/>
        <v>0</v>
      </c>
    </row>
    <row r="222" spans="1:6">
      <c r="A222">
        <v>6530</v>
      </c>
      <c r="B222" t="s">
        <v>51</v>
      </c>
      <c r="C222" s="425"/>
      <c r="D222" s="424">
        <f t="shared" si="9"/>
        <v>0</v>
      </c>
      <c r="E222" s="438">
        <f t="shared" si="10"/>
        <v>2.5062855099878264E-2</v>
      </c>
      <c r="F222" s="424">
        <f t="shared" si="11"/>
        <v>0</v>
      </c>
    </row>
    <row r="223" spans="1:6">
      <c r="A223">
        <v>6535</v>
      </c>
      <c r="B223" t="s">
        <v>52</v>
      </c>
      <c r="C223" s="425"/>
      <c r="D223" s="424">
        <f t="shared" si="9"/>
        <v>0</v>
      </c>
      <c r="E223" s="438">
        <f t="shared" si="10"/>
        <v>2.5062855099878264E-2</v>
      </c>
      <c r="F223" s="424">
        <f t="shared" si="11"/>
        <v>0</v>
      </c>
    </row>
    <row r="224" spans="1:6">
      <c r="A224">
        <v>6540</v>
      </c>
      <c r="B224" t="s">
        <v>53</v>
      </c>
      <c r="C224" s="425"/>
      <c r="D224" s="424">
        <f t="shared" si="9"/>
        <v>0</v>
      </c>
      <c r="E224" s="438">
        <f t="shared" si="10"/>
        <v>2.5062855099878264E-2</v>
      </c>
      <c r="F224" s="424">
        <f t="shared" si="11"/>
        <v>0</v>
      </c>
    </row>
    <row r="225" spans="1:6">
      <c r="A225">
        <v>6545</v>
      </c>
      <c r="B225" t="s">
        <v>54</v>
      </c>
      <c r="C225" s="425"/>
      <c r="D225" s="424">
        <f t="shared" si="9"/>
        <v>0</v>
      </c>
      <c r="E225" s="438">
        <f t="shared" si="10"/>
        <v>2.5062855099878264E-2</v>
      </c>
      <c r="F225" s="424">
        <f t="shared" si="11"/>
        <v>0</v>
      </c>
    </row>
    <row r="226" spans="1:6">
      <c r="A226">
        <v>6550</v>
      </c>
      <c r="B226" t="s">
        <v>541</v>
      </c>
      <c r="C226" s="425"/>
      <c r="D226" s="424">
        <f t="shared" si="9"/>
        <v>0</v>
      </c>
      <c r="E226" s="438">
        <f t="shared" si="10"/>
        <v>2.5062855099878264E-2</v>
      </c>
      <c r="F226" s="424">
        <f t="shared" si="11"/>
        <v>0</v>
      </c>
    </row>
    <row r="227" spans="1:6">
      <c r="A227">
        <v>6555</v>
      </c>
      <c r="B227" t="s">
        <v>542</v>
      </c>
      <c r="C227" s="425"/>
      <c r="D227" s="424">
        <f t="shared" si="9"/>
        <v>0</v>
      </c>
      <c r="E227" s="438">
        <f t="shared" si="10"/>
        <v>2.5062855099878264E-2</v>
      </c>
      <c r="F227" s="424">
        <f t="shared" si="11"/>
        <v>0</v>
      </c>
    </row>
    <row r="228" spans="1:6">
      <c r="A228">
        <v>6560</v>
      </c>
      <c r="B228" t="s">
        <v>543</v>
      </c>
      <c r="C228" s="425"/>
      <c r="D228" s="424">
        <f t="shared" si="9"/>
        <v>0</v>
      </c>
      <c r="E228" s="438">
        <f t="shared" si="10"/>
        <v>2.5062855099878264E-2</v>
      </c>
      <c r="F228" s="424">
        <f t="shared" si="11"/>
        <v>0</v>
      </c>
    </row>
    <row r="229" spans="1:6">
      <c r="A229">
        <v>6565</v>
      </c>
      <c r="B229" t="s">
        <v>544</v>
      </c>
      <c r="C229" s="425"/>
      <c r="D229" s="424">
        <f t="shared" si="9"/>
        <v>0</v>
      </c>
      <c r="E229" s="438">
        <f t="shared" si="10"/>
        <v>2.5062855099878264E-2</v>
      </c>
      <c r="F229" s="424">
        <f t="shared" si="11"/>
        <v>0</v>
      </c>
    </row>
    <row r="230" spans="1:6">
      <c r="A230">
        <v>6570</v>
      </c>
      <c r="B230" t="s">
        <v>545</v>
      </c>
      <c r="C230" s="425"/>
      <c r="D230" s="424">
        <f t="shared" si="9"/>
        <v>0</v>
      </c>
      <c r="E230" s="438">
        <f t="shared" si="10"/>
        <v>2.5062855099878264E-2</v>
      </c>
      <c r="F230" s="424">
        <f t="shared" si="11"/>
        <v>0</v>
      </c>
    </row>
    <row r="231" spans="1:6">
      <c r="A231">
        <v>6575</v>
      </c>
      <c r="B231" t="s">
        <v>546</v>
      </c>
      <c r="C231" s="425"/>
      <c r="D231" s="424">
        <f t="shared" si="9"/>
        <v>0</v>
      </c>
      <c r="E231" s="438">
        <f t="shared" si="10"/>
        <v>2.5062855099878264E-2</v>
      </c>
      <c r="F231" s="424">
        <f t="shared" si="11"/>
        <v>0</v>
      </c>
    </row>
    <row r="232" spans="1:6">
      <c r="A232">
        <v>6580</v>
      </c>
      <c r="B232" t="s">
        <v>547</v>
      </c>
      <c r="C232" s="425">
        <v>10264.56</v>
      </c>
      <c r="D232" s="424">
        <f t="shared" si="9"/>
        <v>10264.56</v>
      </c>
      <c r="E232" s="438">
        <f t="shared" si="10"/>
        <v>2.5062855099878264E-2</v>
      </c>
      <c r="F232" s="424">
        <f t="shared" si="11"/>
        <v>257.25917994400641</v>
      </c>
    </row>
    <row r="233" spans="1:6">
      <c r="A233">
        <v>6585</v>
      </c>
      <c r="B233" t="s">
        <v>548</v>
      </c>
      <c r="C233" s="425">
        <v>4858.09</v>
      </c>
      <c r="D233" s="424">
        <f t="shared" si="9"/>
        <v>4858.09</v>
      </c>
      <c r="E233" s="438">
        <f t="shared" si="10"/>
        <v>2.5062855099878264E-2</v>
      </c>
      <c r="F233" s="424">
        <f t="shared" si="11"/>
        <v>121.7576057321676</v>
      </c>
    </row>
    <row r="234" spans="1:6">
      <c r="A234">
        <v>6590</v>
      </c>
      <c r="B234" t="s">
        <v>549</v>
      </c>
      <c r="C234" s="425"/>
      <c r="D234" s="424">
        <f t="shared" si="9"/>
        <v>0</v>
      </c>
      <c r="E234" s="438">
        <f t="shared" si="10"/>
        <v>2.5062855099878264E-2</v>
      </c>
      <c r="F234" s="424">
        <f t="shared" si="11"/>
        <v>0</v>
      </c>
    </row>
    <row r="235" spans="1:6">
      <c r="A235">
        <v>6595</v>
      </c>
      <c r="B235" t="s">
        <v>550</v>
      </c>
      <c r="C235" s="425">
        <v>78.7</v>
      </c>
      <c r="D235" s="424">
        <f t="shared" si="9"/>
        <v>78.7</v>
      </c>
      <c r="E235" s="438">
        <f t="shared" si="10"/>
        <v>2.5062855099878264E-2</v>
      </c>
      <c r="F235" s="424">
        <f t="shared" si="11"/>
        <v>1.9724466963604195</v>
      </c>
    </row>
    <row r="236" spans="1:6">
      <c r="A236">
        <v>6600</v>
      </c>
      <c r="B236" t="s">
        <v>551</v>
      </c>
      <c r="C236" s="425"/>
      <c r="D236" s="424">
        <f t="shared" si="9"/>
        <v>0</v>
      </c>
      <c r="E236" s="438">
        <f t="shared" si="10"/>
        <v>2.5062855099878264E-2</v>
      </c>
      <c r="F236" s="424">
        <f t="shared" si="11"/>
        <v>0</v>
      </c>
    </row>
    <row r="237" spans="1:6">
      <c r="A237">
        <v>6605</v>
      </c>
      <c r="B237" t="s">
        <v>552</v>
      </c>
      <c r="C237" s="425"/>
      <c r="D237" s="424">
        <f t="shared" si="9"/>
        <v>0</v>
      </c>
      <c r="E237" s="438">
        <f t="shared" si="10"/>
        <v>2.5062855099878264E-2</v>
      </c>
      <c r="F237" s="424">
        <f t="shared" si="11"/>
        <v>0</v>
      </c>
    </row>
    <row r="238" spans="1:6">
      <c r="A238">
        <v>6610</v>
      </c>
      <c r="B238" t="s">
        <v>553</v>
      </c>
      <c r="C238" s="425">
        <v>1351.34</v>
      </c>
      <c r="D238" s="424">
        <f t="shared" si="9"/>
        <v>1351.34</v>
      </c>
      <c r="E238" s="438">
        <f t="shared" si="10"/>
        <v>2.5062855099878264E-2</v>
      </c>
      <c r="F238" s="424">
        <f t="shared" si="11"/>
        <v>33.868438610669493</v>
      </c>
    </row>
    <row r="239" spans="1:6">
      <c r="A239">
        <v>6615</v>
      </c>
      <c r="B239" t="s">
        <v>554</v>
      </c>
      <c r="C239" s="425"/>
      <c r="D239" s="424">
        <f t="shared" si="9"/>
        <v>0</v>
      </c>
      <c r="E239" s="438">
        <f t="shared" si="10"/>
        <v>2.5062855099878264E-2</v>
      </c>
      <c r="F239" s="424">
        <f t="shared" si="11"/>
        <v>0</v>
      </c>
    </row>
    <row r="240" spans="1:6">
      <c r="A240">
        <v>6620</v>
      </c>
      <c r="B240" t="s">
        <v>555</v>
      </c>
      <c r="C240" s="425"/>
      <c r="D240" s="424">
        <f t="shared" si="9"/>
        <v>0</v>
      </c>
      <c r="E240" s="438">
        <f t="shared" si="10"/>
        <v>2.5062855099878264E-2</v>
      </c>
      <c r="F240" s="424">
        <f t="shared" si="11"/>
        <v>0</v>
      </c>
    </row>
    <row r="241" spans="1:6">
      <c r="B241" t="s">
        <v>191</v>
      </c>
      <c r="C241" s="425">
        <v>16552.689999999999</v>
      </c>
      <c r="D241" s="424">
        <f t="shared" si="9"/>
        <v>16552.689999999999</v>
      </c>
      <c r="E241" s="438">
        <f t="shared" si="10"/>
        <v>2.5062855099878264E-2</v>
      </c>
      <c r="F241" s="424">
        <f t="shared" si="11"/>
        <v>414.85767098320389</v>
      </c>
    </row>
    <row r="242" spans="1:6">
      <c r="B242" t="s">
        <v>192</v>
      </c>
      <c r="C242" s="425"/>
      <c r="D242" s="424">
        <f t="shared" si="9"/>
        <v>0</v>
      </c>
      <c r="E242" s="438">
        <f t="shared" si="10"/>
        <v>2.5062855099878264E-2</v>
      </c>
      <c r="F242" s="424">
        <f t="shared" si="11"/>
        <v>0</v>
      </c>
    </row>
    <row r="243" spans="1:6">
      <c r="A243">
        <v>6640</v>
      </c>
      <c r="B243" t="s">
        <v>34</v>
      </c>
      <c r="C243" s="425"/>
      <c r="D243" s="424">
        <f t="shared" si="9"/>
        <v>0</v>
      </c>
      <c r="E243" s="438">
        <f t="shared" si="10"/>
        <v>2.5062855099878264E-2</v>
      </c>
      <c r="F243" s="424">
        <f t="shared" si="11"/>
        <v>0</v>
      </c>
    </row>
    <row r="244" spans="1:6">
      <c r="A244">
        <v>6645</v>
      </c>
      <c r="B244" t="s">
        <v>556</v>
      </c>
      <c r="C244" s="425"/>
      <c r="D244" s="424">
        <f t="shared" si="9"/>
        <v>0</v>
      </c>
      <c r="E244" s="438">
        <f t="shared" si="10"/>
        <v>2.5062855099878264E-2</v>
      </c>
      <c r="F244" s="424">
        <f t="shared" si="11"/>
        <v>0</v>
      </c>
    </row>
    <row r="245" spans="1:6">
      <c r="A245">
        <v>6650</v>
      </c>
      <c r="B245" t="s">
        <v>557</v>
      </c>
      <c r="C245" s="425"/>
      <c r="D245" s="424">
        <f t="shared" si="9"/>
        <v>0</v>
      </c>
      <c r="E245" s="438">
        <f t="shared" si="10"/>
        <v>2.5062855099878264E-2</v>
      </c>
      <c r="F245" s="424">
        <f t="shared" si="11"/>
        <v>0</v>
      </c>
    </row>
    <row r="246" spans="1:6">
      <c r="A246">
        <v>6655</v>
      </c>
      <c r="B246" t="s">
        <v>558</v>
      </c>
      <c r="C246" s="425"/>
      <c r="D246" s="424">
        <f t="shared" si="9"/>
        <v>0</v>
      </c>
      <c r="E246" s="438">
        <f t="shared" si="10"/>
        <v>2.5062855099878264E-2</v>
      </c>
      <c r="F246" s="424">
        <f t="shared" si="11"/>
        <v>0</v>
      </c>
    </row>
    <row r="247" spans="1:6">
      <c r="A247">
        <v>6660</v>
      </c>
      <c r="B247" t="s">
        <v>559</v>
      </c>
      <c r="C247" s="425"/>
      <c r="D247" s="424">
        <f t="shared" si="9"/>
        <v>0</v>
      </c>
      <c r="E247" s="438">
        <f t="shared" si="10"/>
        <v>2.5062855099878264E-2</v>
      </c>
      <c r="F247" s="424">
        <f t="shared" si="11"/>
        <v>0</v>
      </c>
    </row>
    <row r="248" spans="1:6">
      <c r="A248">
        <v>6665</v>
      </c>
      <c r="B248" t="s">
        <v>560</v>
      </c>
      <c r="C248" s="425"/>
      <c r="D248" s="424">
        <f t="shared" si="9"/>
        <v>0</v>
      </c>
      <c r="E248" s="438">
        <f t="shared" si="10"/>
        <v>2.5062855099878264E-2</v>
      </c>
      <c r="F248" s="424">
        <f t="shared" si="11"/>
        <v>0</v>
      </c>
    </row>
    <row r="249" spans="1:6">
      <c r="A249">
        <v>6670</v>
      </c>
      <c r="B249" t="s">
        <v>561</v>
      </c>
      <c r="C249" s="425"/>
      <c r="D249" s="424">
        <f t="shared" si="9"/>
        <v>0</v>
      </c>
      <c r="E249" s="438">
        <f t="shared" si="10"/>
        <v>2.5062855099878264E-2</v>
      </c>
      <c r="F249" s="424">
        <f t="shared" si="11"/>
        <v>0</v>
      </c>
    </row>
    <row r="250" spans="1:6">
      <c r="A250">
        <v>6675</v>
      </c>
      <c r="B250" t="s">
        <v>562</v>
      </c>
      <c r="C250" s="425"/>
      <c r="D250" s="424">
        <f t="shared" si="9"/>
        <v>0</v>
      </c>
      <c r="E250" s="438">
        <f t="shared" si="10"/>
        <v>2.5062855099878264E-2</v>
      </c>
      <c r="F250" s="424">
        <f t="shared" si="11"/>
        <v>0</v>
      </c>
    </row>
    <row r="251" spans="1:6">
      <c r="A251">
        <v>6680</v>
      </c>
      <c r="B251" t="s">
        <v>563</v>
      </c>
      <c r="C251" s="425"/>
      <c r="D251" s="424">
        <f t="shared" si="9"/>
        <v>0</v>
      </c>
      <c r="E251" s="438">
        <f t="shared" si="10"/>
        <v>2.5062855099878264E-2</v>
      </c>
      <c r="F251" s="424">
        <f t="shared" si="11"/>
        <v>0</v>
      </c>
    </row>
    <row r="252" spans="1:6">
      <c r="A252">
        <v>6685</v>
      </c>
      <c r="B252" t="s">
        <v>564</v>
      </c>
      <c r="C252" s="425"/>
      <c r="D252" s="424">
        <f t="shared" si="9"/>
        <v>0</v>
      </c>
      <c r="E252" s="438">
        <f t="shared" si="10"/>
        <v>2.5062855099878264E-2</v>
      </c>
      <c r="F252" s="424">
        <f t="shared" si="11"/>
        <v>0</v>
      </c>
    </row>
    <row r="253" spans="1:6">
      <c r="A253">
        <v>6690</v>
      </c>
      <c r="B253" t="s">
        <v>565</v>
      </c>
      <c r="C253" s="425"/>
      <c r="D253" s="424">
        <f t="shared" si="9"/>
        <v>0</v>
      </c>
      <c r="E253" s="438">
        <f t="shared" si="10"/>
        <v>2.5062855099878264E-2</v>
      </c>
      <c r="F253" s="424">
        <f t="shared" si="11"/>
        <v>0</v>
      </c>
    </row>
    <row r="254" spans="1:6">
      <c r="A254">
        <v>6695</v>
      </c>
      <c r="B254" t="s">
        <v>566</v>
      </c>
      <c r="C254" s="425"/>
      <c r="D254" s="424">
        <f t="shared" si="9"/>
        <v>0</v>
      </c>
      <c r="E254" s="438">
        <f t="shared" si="10"/>
        <v>2.5062855099878264E-2</v>
      </c>
      <c r="F254" s="424">
        <f t="shared" si="11"/>
        <v>0</v>
      </c>
    </row>
    <row r="255" spans="1:6">
      <c r="A255">
        <v>6700</v>
      </c>
      <c r="B255" t="s">
        <v>567</v>
      </c>
      <c r="C255" s="425"/>
      <c r="D255" s="424">
        <f t="shared" si="9"/>
        <v>0</v>
      </c>
      <c r="E255" s="438">
        <f t="shared" si="10"/>
        <v>2.5062855099878264E-2</v>
      </c>
      <c r="F255" s="424">
        <f t="shared" si="11"/>
        <v>0</v>
      </c>
    </row>
    <row r="256" spans="1:6">
      <c r="A256">
        <v>6705</v>
      </c>
      <c r="B256" t="s">
        <v>567</v>
      </c>
      <c r="C256" s="425"/>
      <c r="D256" s="424">
        <f t="shared" si="9"/>
        <v>0</v>
      </c>
      <c r="E256" s="438">
        <f t="shared" si="10"/>
        <v>2.5062855099878264E-2</v>
      </c>
      <c r="F256" s="424">
        <f t="shared" si="11"/>
        <v>0</v>
      </c>
    </row>
    <row r="257" spans="1:6">
      <c r="A257">
        <v>6710</v>
      </c>
      <c r="B257" t="s">
        <v>568</v>
      </c>
      <c r="C257" s="425"/>
      <c r="D257" s="424">
        <f t="shared" si="9"/>
        <v>0</v>
      </c>
      <c r="E257" s="438">
        <f t="shared" si="10"/>
        <v>2.5062855099878264E-2</v>
      </c>
      <c r="F257" s="424">
        <f t="shared" si="11"/>
        <v>0</v>
      </c>
    </row>
    <row r="258" spans="1:6">
      <c r="A258">
        <v>6715</v>
      </c>
      <c r="B258" t="s">
        <v>569</v>
      </c>
      <c r="C258" s="425"/>
      <c r="D258" s="424">
        <f t="shared" si="9"/>
        <v>0</v>
      </c>
      <c r="E258" s="438">
        <f t="shared" si="10"/>
        <v>2.5062855099878264E-2</v>
      </c>
      <c r="F258" s="424">
        <f t="shared" si="11"/>
        <v>0</v>
      </c>
    </row>
    <row r="259" spans="1:6">
      <c r="A259">
        <v>6720</v>
      </c>
      <c r="B259" t="s">
        <v>570</v>
      </c>
      <c r="C259" s="425"/>
      <c r="D259" s="424">
        <f t="shared" si="9"/>
        <v>0</v>
      </c>
      <c r="E259" s="438">
        <f t="shared" si="10"/>
        <v>2.5062855099878264E-2</v>
      </c>
      <c r="F259" s="424">
        <f t="shared" si="11"/>
        <v>0</v>
      </c>
    </row>
    <row r="260" spans="1:6">
      <c r="A260">
        <v>6725</v>
      </c>
      <c r="B260" t="s">
        <v>571</v>
      </c>
      <c r="C260" s="425"/>
      <c r="D260" s="424">
        <f t="shared" si="9"/>
        <v>0</v>
      </c>
      <c r="E260" s="438">
        <f t="shared" si="10"/>
        <v>2.5062855099878264E-2</v>
      </c>
      <c r="F260" s="424">
        <f t="shared" si="11"/>
        <v>0</v>
      </c>
    </row>
    <row r="261" spans="1:6">
      <c r="A261">
        <v>6730</v>
      </c>
      <c r="B261" t="s">
        <v>572</v>
      </c>
      <c r="C261" s="425"/>
      <c r="D261" s="424">
        <f t="shared" si="9"/>
        <v>0</v>
      </c>
      <c r="E261" s="438">
        <f t="shared" si="10"/>
        <v>2.5062855099878264E-2</v>
      </c>
      <c r="F261" s="424">
        <f t="shared" si="11"/>
        <v>0</v>
      </c>
    </row>
    <row r="262" spans="1:6">
      <c r="A262">
        <v>6735</v>
      </c>
      <c r="B262" t="s">
        <v>573</v>
      </c>
      <c r="C262" s="425"/>
      <c r="D262" s="424">
        <f t="shared" ref="D262:D325" si="12">C262</f>
        <v>0</v>
      </c>
      <c r="E262" s="438">
        <f t="shared" ref="E262:E325" si="13">E$3</f>
        <v>2.5062855099878264E-2</v>
      </c>
      <c r="F262" s="424">
        <f t="shared" ref="F262:F325" si="14">E262*D262</f>
        <v>0</v>
      </c>
    </row>
    <row r="263" spans="1:6">
      <c r="A263">
        <v>6740</v>
      </c>
      <c r="B263" t="s">
        <v>574</v>
      </c>
      <c r="C263" s="425"/>
      <c r="D263" s="424">
        <f t="shared" si="12"/>
        <v>0</v>
      </c>
      <c r="E263" s="438">
        <f t="shared" si="13"/>
        <v>2.5062855099878264E-2</v>
      </c>
      <c r="F263" s="424">
        <f t="shared" si="14"/>
        <v>0</v>
      </c>
    </row>
    <row r="264" spans="1:6">
      <c r="A264">
        <v>6745</v>
      </c>
      <c r="B264" t="s">
        <v>575</v>
      </c>
      <c r="C264" s="425"/>
      <c r="D264" s="424">
        <f t="shared" si="12"/>
        <v>0</v>
      </c>
      <c r="E264" s="438">
        <f t="shared" si="13"/>
        <v>2.5062855099878264E-2</v>
      </c>
      <c r="F264" s="424">
        <f t="shared" si="14"/>
        <v>0</v>
      </c>
    </row>
    <row r="265" spans="1:6">
      <c r="A265">
        <v>6750</v>
      </c>
      <c r="B265" t="s">
        <v>576</v>
      </c>
      <c r="C265" s="425"/>
      <c r="D265" s="424">
        <f t="shared" si="12"/>
        <v>0</v>
      </c>
      <c r="E265" s="438">
        <f t="shared" si="13"/>
        <v>2.5062855099878264E-2</v>
      </c>
      <c r="F265" s="424">
        <f t="shared" si="14"/>
        <v>0</v>
      </c>
    </row>
    <row r="266" spans="1:6">
      <c r="A266">
        <v>6755</v>
      </c>
      <c r="B266" t="s">
        <v>577</v>
      </c>
      <c r="C266" s="425"/>
      <c r="D266" s="424">
        <f t="shared" si="12"/>
        <v>0</v>
      </c>
      <c r="E266" s="438">
        <f t="shared" si="13"/>
        <v>2.5062855099878264E-2</v>
      </c>
      <c r="F266" s="424">
        <f t="shared" si="14"/>
        <v>0</v>
      </c>
    </row>
    <row r="267" spans="1:6">
      <c r="A267">
        <v>6760</v>
      </c>
      <c r="B267" t="s">
        <v>578</v>
      </c>
      <c r="C267" s="425"/>
      <c r="D267" s="424">
        <f t="shared" si="12"/>
        <v>0</v>
      </c>
      <c r="E267" s="438">
        <f t="shared" si="13"/>
        <v>2.5062855099878264E-2</v>
      </c>
      <c r="F267" s="424">
        <f t="shared" si="14"/>
        <v>0</v>
      </c>
    </row>
    <row r="268" spans="1:6">
      <c r="A268">
        <v>6765</v>
      </c>
      <c r="B268" t="s">
        <v>579</v>
      </c>
      <c r="C268" s="425"/>
      <c r="D268" s="424">
        <f t="shared" si="12"/>
        <v>0</v>
      </c>
      <c r="E268" s="438">
        <f t="shared" si="13"/>
        <v>2.5062855099878264E-2</v>
      </c>
      <c r="F268" s="424">
        <f t="shared" si="14"/>
        <v>0</v>
      </c>
    </row>
    <row r="269" spans="1:6">
      <c r="A269">
        <v>6770</v>
      </c>
      <c r="B269" t="s">
        <v>580</v>
      </c>
      <c r="C269" s="425"/>
      <c r="D269" s="424">
        <f t="shared" si="12"/>
        <v>0</v>
      </c>
      <c r="E269" s="438">
        <f t="shared" si="13"/>
        <v>2.5062855099878264E-2</v>
      </c>
      <c r="F269" s="424">
        <f t="shared" si="14"/>
        <v>0</v>
      </c>
    </row>
    <row r="270" spans="1:6">
      <c r="A270">
        <v>6775</v>
      </c>
      <c r="B270" t="s">
        <v>581</v>
      </c>
      <c r="C270" s="425"/>
      <c r="D270" s="424">
        <f t="shared" si="12"/>
        <v>0</v>
      </c>
      <c r="E270" s="438">
        <f t="shared" si="13"/>
        <v>2.5062855099878264E-2</v>
      </c>
      <c r="F270" s="424">
        <f t="shared" si="14"/>
        <v>0</v>
      </c>
    </row>
    <row r="271" spans="1:6">
      <c r="A271">
        <v>6780</v>
      </c>
      <c r="B271" t="s">
        <v>582</v>
      </c>
      <c r="C271" s="425"/>
      <c r="D271" s="424">
        <f t="shared" si="12"/>
        <v>0</v>
      </c>
      <c r="E271" s="438">
        <f t="shared" si="13"/>
        <v>2.5062855099878264E-2</v>
      </c>
      <c r="F271" s="424">
        <f t="shared" si="14"/>
        <v>0</v>
      </c>
    </row>
    <row r="272" spans="1:6">
      <c r="A272">
        <v>6785</v>
      </c>
      <c r="B272" t="s">
        <v>583</v>
      </c>
      <c r="C272" s="425"/>
      <c r="D272" s="424">
        <f t="shared" si="12"/>
        <v>0</v>
      </c>
      <c r="E272" s="438">
        <f t="shared" si="13"/>
        <v>2.5062855099878264E-2</v>
      </c>
      <c r="F272" s="424">
        <f t="shared" si="14"/>
        <v>0</v>
      </c>
    </row>
    <row r="273" spans="1:6">
      <c r="A273">
        <v>6790</v>
      </c>
      <c r="B273" t="s">
        <v>584</v>
      </c>
      <c r="C273" s="425"/>
      <c r="D273" s="424">
        <f t="shared" si="12"/>
        <v>0</v>
      </c>
      <c r="E273" s="438">
        <f t="shared" si="13"/>
        <v>2.5062855099878264E-2</v>
      </c>
      <c r="F273" s="424">
        <f t="shared" si="14"/>
        <v>0</v>
      </c>
    </row>
    <row r="274" spans="1:6">
      <c r="A274">
        <v>6795</v>
      </c>
      <c r="B274" t="s">
        <v>585</v>
      </c>
      <c r="C274" s="425"/>
      <c r="D274" s="424">
        <f t="shared" si="12"/>
        <v>0</v>
      </c>
      <c r="E274" s="438">
        <f t="shared" si="13"/>
        <v>2.5062855099878264E-2</v>
      </c>
      <c r="F274" s="424">
        <f t="shared" si="14"/>
        <v>0</v>
      </c>
    </row>
    <row r="275" spans="1:6">
      <c r="A275">
        <v>6800</v>
      </c>
      <c r="B275" t="s">
        <v>815</v>
      </c>
      <c r="C275" s="425"/>
      <c r="D275" s="424">
        <f t="shared" si="12"/>
        <v>0</v>
      </c>
      <c r="E275" s="438">
        <f t="shared" si="13"/>
        <v>2.5062855099878264E-2</v>
      </c>
      <c r="F275" s="424">
        <f t="shared" si="14"/>
        <v>0</v>
      </c>
    </row>
    <row r="276" spans="1:6">
      <c r="A276">
        <v>6805</v>
      </c>
      <c r="B276" t="s">
        <v>816</v>
      </c>
      <c r="C276" s="425"/>
      <c r="D276" s="424">
        <f t="shared" si="12"/>
        <v>0</v>
      </c>
      <c r="E276" s="438">
        <f t="shared" si="13"/>
        <v>2.5062855099878264E-2</v>
      </c>
      <c r="F276" s="424">
        <f t="shared" si="14"/>
        <v>0</v>
      </c>
    </row>
    <row r="277" spans="1:6">
      <c r="A277">
        <v>6810</v>
      </c>
      <c r="B277" t="s">
        <v>817</v>
      </c>
      <c r="C277" s="425"/>
      <c r="D277" s="424">
        <f t="shared" si="12"/>
        <v>0</v>
      </c>
      <c r="E277" s="438">
        <f t="shared" si="13"/>
        <v>2.5062855099878264E-2</v>
      </c>
      <c r="F277" s="424">
        <f t="shared" si="14"/>
        <v>0</v>
      </c>
    </row>
    <row r="278" spans="1:6">
      <c r="A278">
        <v>6815</v>
      </c>
      <c r="B278" t="s">
        <v>817</v>
      </c>
      <c r="C278" s="425"/>
      <c r="D278" s="424">
        <f t="shared" si="12"/>
        <v>0</v>
      </c>
      <c r="E278" s="438">
        <f t="shared" si="13"/>
        <v>2.5062855099878264E-2</v>
      </c>
      <c r="F278" s="424">
        <f t="shared" si="14"/>
        <v>0</v>
      </c>
    </row>
    <row r="279" spans="1:6">
      <c r="A279">
        <v>6820</v>
      </c>
      <c r="B279" t="s">
        <v>547</v>
      </c>
      <c r="C279" s="425"/>
      <c r="D279" s="424">
        <f t="shared" si="12"/>
        <v>0</v>
      </c>
      <c r="E279" s="438">
        <f t="shared" si="13"/>
        <v>2.5062855099878264E-2</v>
      </c>
      <c r="F279" s="424">
        <f t="shared" si="14"/>
        <v>0</v>
      </c>
    </row>
    <row r="280" spans="1:6">
      <c r="A280">
        <v>6825</v>
      </c>
      <c r="B280" t="s">
        <v>548</v>
      </c>
      <c r="C280" s="425"/>
      <c r="D280" s="424">
        <f t="shared" si="12"/>
        <v>0</v>
      </c>
      <c r="E280" s="438">
        <f t="shared" si="13"/>
        <v>2.5062855099878264E-2</v>
      </c>
      <c r="F280" s="424">
        <f t="shared" si="14"/>
        <v>0</v>
      </c>
    </row>
    <row r="281" spans="1:6">
      <c r="A281">
        <v>6830</v>
      </c>
      <c r="B281" t="s">
        <v>549</v>
      </c>
      <c r="C281" s="425"/>
      <c r="D281" s="424">
        <f t="shared" si="12"/>
        <v>0</v>
      </c>
      <c r="E281" s="438">
        <f t="shared" si="13"/>
        <v>2.5062855099878264E-2</v>
      </c>
      <c r="F281" s="424">
        <f t="shared" si="14"/>
        <v>0</v>
      </c>
    </row>
    <row r="282" spans="1:6">
      <c r="A282">
        <v>6835</v>
      </c>
      <c r="B282" t="s">
        <v>550</v>
      </c>
      <c r="C282" s="425"/>
      <c r="D282" s="424">
        <f t="shared" si="12"/>
        <v>0</v>
      </c>
      <c r="E282" s="438">
        <f t="shared" si="13"/>
        <v>2.5062855099878264E-2</v>
      </c>
      <c r="F282" s="424">
        <f t="shared" si="14"/>
        <v>0</v>
      </c>
    </row>
    <row r="283" spans="1:6">
      <c r="A283">
        <v>6840</v>
      </c>
      <c r="B283" t="s">
        <v>818</v>
      </c>
      <c r="C283" s="425"/>
      <c r="D283" s="424">
        <f t="shared" si="12"/>
        <v>0</v>
      </c>
      <c r="E283" s="438">
        <f t="shared" si="13"/>
        <v>2.5062855099878264E-2</v>
      </c>
      <c r="F283" s="424">
        <f t="shared" si="14"/>
        <v>0</v>
      </c>
    </row>
    <row r="284" spans="1:6">
      <c r="A284">
        <v>6845</v>
      </c>
      <c r="B284" t="s">
        <v>552</v>
      </c>
      <c r="C284" s="425"/>
      <c r="D284" s="424">
        <f t="shared" si="12"/>
        <v>0</v>
      </c>
      <c r="E284" s="438">
        <f t="shared" si="13"/>
        <v>2.5062855099878264E-2</v>
      </c>
      <c r="F284" s="424">
        <f t="shared" si="14"/>
        <v>0</v>
      </c>
    </row>
    <row r="285" spans="1:6">
      <c r="A285">
        <v>6850</v>
      </c>
      <c r="B285" t="s">
        <v>553</v>
      </c>
      <c r="C285" s="425"/>
      <c r="D285" s="424">
        <f t="shared" si="12"/>
        <v>0</v>
      </c>
      <c r="E285" s="438">
        <f t="shared" si="13"/>
        <v>2.5062855099878264E-2</v>
      </c>
      <c r="F285" s="424">
        <f t="shared" si="14"/>
        <v>0</v>
      </c>
    </row>
    <row r="286" spans="1:6">
      <c r="A286">
        <v>6855</v>
      </c>
      <c r="B286" t="s">
        <v>819</v>
      </c>
      <c r="C286" s="425"/>
      <c r="D286" s="424">
        <f t="shared" si="12"/>
        <v>0</v>
      </c>
      <c r="E286" s="438">
        <f t="shared" si="13"/>
        <v>2.5062855099878264E-2</v>
      </c>
      <c r="F286" s="424">
        <f t="shared" si="14"/>
        <v>0</v>
      </c>
    </row>
    <row r="287" spans="1:6">
      <c r="A287">
        <v>6860</v>
      </c>
      <c r="B287" t="s">
        <v>820</v>
      </c>
      <c r="C287" s="425"/>
      <c r="D287" s="424">
        <f t="shared" si="12"/>
        <v>0</v>
      </c>
      <c r="E287" s="438">
        <f t="shared" si="13"/>
        <v>2.5062855099878264E-2</v>
      </c>
      <c r="F287" s="424">
        <f t="shared" si="14"/>
        <v>0</v>
      </c>
    </row>
    <row r="288" spans="1:6">
      <c r="B288" t="s">
        <v>192</v>
      </c>
      <c r="C288" s="425"/>
      <c r="D288" s="424">
        <f t="shared" si="12"/>
        <v>0</v>
      </c>
      <c r="E288" s="438">
        <f t="shared" si="13"/>
        <v>2.5062855099878264E-2</v>
      </c>
      <c r="F288" s="424">
        <f t="shared" si="14"/>
        <v>0</v>
      </c>
    </row>
    <row r="289" spans="1:6">
      <c r="B289" t="s">
        <v>193</v>
      </c>
      <c r="C289" s="425"/>
      <c r="D289" s="424">
        <f t="shared" si="12"/>
        <v>0</v>
      </c>
      <c r="E289" s="438">
        <f t="shared" si="13"/>
        <v>2.5062855099878264E-2</v>
      </c>
      <c r="F289" s="424">
        <f t="shared" si="14"/>
        <v>0</v>
      </c>
    </row>
    <row r="290" spans="1:6">
      <c r="A290">
        <v>6875</v>
      </c>
      <c r="B290" t="s">
        <v>821</v>
      </c>
      <c r="C290" s="425"/>
      <c r="D290" s="424">
        <f t="shared" si="12"/>
        <v>0</v>
      </c>
      <c r="E290" s="438">
        <f t="shared" si="13"/>
        <v>2.5062855099878264E-2</v>
      </c>
      <c r="F290" s="424">
        <f t="shared" si="14"/>
        <v>0</v>
      </c>
    </row>
    <row r="291" spans="1:6">
      <c r="A291">
        <v>6880</v>
      </c>
      <c r="B291" t="s">
        <v>822</v>
      </c>
      <c r="C291" s="425"/>
      <c r="D291" s="424">
        <f t="shared" si="12"/>
        <v>0</v>
      </c>
      <c r="E291" s="438">
        <f t="shared" si="13"/>
        <v>2.5062855099878264E-2</v>
      </c>
      <c r="F291" s="424">
        <f t="shared" si="14"/>
        <v>0</v>
      </c>
    </row>
    <row r="292" spans="1:6">
      <c r="A292">
        <v>6885</v>
      </c>
      <c r="B292" t="s">
        <v>823</v>
      </c>
      <c r="C292" s="425"/>
      <c r="D292" s="424">
        <f t="shared" si="12"/>
        <v>0</v>
      </c>
      <c r="E292" s="438">
        <f t="shared" si="13"/>
        <v>2.5062855099878264E-2</v>
      </c>
      <c r="F292" s="424">
        <f t="shared" si="14"/>
        <v>0</v>
      </c>
    </row>
    <row r="293" spans="1:6">
      <c r="A293">
        <v>6890</v>
      </c>
      <c r="B293" t="s">
        <v>824</v>
      </c>
      <c r="C293" s="425"/>
      <c r="D293" s="424">
        <f t="shared" si="12"/>
        <v>0</v>
      </c>
      <c r="E293" s="438">
        <f t="shared" si="13"/>
        <v>2.5062855099878264E-2</v>
      </c>
      <c r="F293" s="424">
        <f t="shared" si="14"/>
        <v>0</v>
      </c>
    </row>
    <row r="294" spans="1:6">
      <c r="B294" t="s">
        <v>193</v>
      </c>
      <c r="C294" s="425"/>
      <c r="D294" s="424">
        <f t="shared" si="12"/>
        <v>0</v>
      </c>
      <c r="E294" s="438">
        <f t="shared" si="13"/>
        <v>2.5062855099878264E-2</v>
      </c>
      <c r="F294" s="424">
        <f t="shared" si="14"/>
        <v>0</v>
      </c>
    </row>
    <row r="295" spans="1:6">
      <c r="B295" t="s">
        <v>194</v>
      </c>
      <c r="C295" s="425"/>
      <c r="D295" s="424">
        <f t="shared" si="12"/>
        <v>0</v>
      </c>
      <c r="E295" s="438">
        <f t="shared" si="13"/>
        <v>2.5062855099878264E-2</v>
      </c>
      <c r="F295" s="424">
        <f t="shared" si="14"/>
        <v>0</v>
      </c>
    </row>
    <row r="296" spans="1:6">
      <c r="A296">
        <v>6905</v>
      </c>
      <c r="B296" t="s">
        <v>825</v>
      </c>
      <c r="C296" s="425">
        <v>8338.69</v>
      </c>
      <c r="D296" s="424">
        <f t="shared" si="12"/>
        <v>8338.69</v>
      </c>
      <c r="E296" s="438">
        <f t="shared" si="13"/>
        <v>2.5062855099878264E-2</v>
      </c>
      <c r="F296" s="424">
        <f t="shared" si="14"/>
        <v>208.99137919280389</v>
      </c>
    </row>
    <row r="297" spans="1:6">
      <c r="B297" t="s">
        <v>194</v>
      </c>
      <c r="C297" s="425">
        <v>8338.69</v>
      </c>
      <c r="D297" s="424">
        <f t="shared" si="12"/>
        <v>8338.69</v>
      </c>
      <c r="E297" s="438">
        <f t="shared" si="13"/>
        <v>2.5062855099878264E-2</v>
      </c>
      <c r="F297" s="424">
        <f t="shared" si="14"/>
        <v>208.99137919280389</v>
      </c>
    </row>
    <row r="298" spans="1:6">
      <c r="B298" t="s">
        <v>195</v>
      </c>
      <c r="C298" s="425"/>
      <c r="D298" s="424">
        <f t="shared" si="12"/>
        <v>0</v>
      </c>
      <c r="E298" s="438">
        <f t="shared" si="13"/>
        <v>2.5062855099878264E-2</v>
      </c>
      <c r="F298" s="424">
        <f t="shared" si="14"/>
        <v>0</v>
      </c>
    </row>
    <row r="299" spans="1:6">
      <c r="A299">
        <v>6920</v>
      </c>
      <c r="B299" t="s">
        <v>826</v>
      </c>
      <c r="C299" s="425">
        <v>495177.18</v>
      </c>
      <c r="D299" s="424">
        <f t="shared" si="12"/>
        <v>495177.18</v>
      </c>
      <c r="E299" s="438">
        <f t="shared" si="13"/>
        <v>2.5062855099878264E-2</v>
      </c>
      <c r="F299" s="424">
        <f t="shared" si="14"/>
        <v>12410.553911106337</v>
      </c>
    </row>
    <row r="300" spans="1:6">
      <c r="B300" t="s">
        <v>195</v>
      </c>
      <c r="C300" s="425">
        <v>495177.18</v>
      </c>
      <c r="D300" s="424">
        <f t="shared" si="12"/>
        <v>495177.18</v>
      </c>
      <c r="E300" s="438">
        <f t="shared" si="13"/>
        <v>2.5062855099878264E-2</v>
      </c>
      <c r="F300" s="424">
        <f t="shared" si="14"/>
        <v>12410.553911106337</v>
      </c>
    </row>
    <row r="301" spans="1:6">
      <c r="A301">
        <v>6940</v>
      </c>
      <c r="B301" t="s">
        <v>827</v>
      </c>
      <c r="C301" s="425"/>
      <c r="D301" s="424">
        <f t="shared" si="12"/>
        <v>0</v>
      </c>
      <c r="E301" s="438">
        <f t="shared" si="13"/>
        <v>2.5062855099878264E-2</v>
      </c>
      <c r="F301" s="424">
        <f t="shared" si="14"/>
        <v>0</v>
      </c>
    </row>
    <row r="302" spans="1:6">
      <c r="A302">
        <v>6945</v>
      </c>
      <c r="B302" t="s">
        <v>828</v>
      </c>
      <c r="C302" s="425"/>
      <c r="D302" s="424">
        <f t="shared" si="12"/>
        <v>0</v>
      </c>
      <c r="E302" s="438">
        <f t="shared" si="13"/>
        <v>2.5062855099878264E-2</v>
      </c>
      <c r="F302" s="424">
        <f t="shared" si="14"/>
        <v>0</v>
      </c>
    </row>
    <row r="303" spans="1:6">
      <c r="A303">
        <v>6950</v>
      </c>
      <c r="B303" t="s">
        <v>829</v>
      </c>
      <c r="C303" s="425"/>
      <c r="D303" s="424">
        <f t="shared" si="12"/>
        <v>0</v>
      </c>
      <c r="E303" s="438">
        <f t="shared" si="13"/>
        <v>2.5062855099878264E-2</v>
      </c>
      <c r="F303" s="424">
        <f t="shared" si="14"/>
        <v>0</v>
      </c>
    </row>
    <row r="304" spans="1:6">
      <c r="A304">
        <v>6955</v>
      </c>
      <c r="B304" t="s">
        <v>830</v>
      </c>
      <c r="C304" s="425"/>
      <c r="D304" s="424">
        <f t="shared" si="12"/>
        <v>0</v>
      </c>
      <c r="E304" s="438">
        <f t="shared" si="13"/>
        <v>2.5062855099878264E-2</v>
      </c>
      <c r="F304" s="424">
        <f t="shared" si="14"/>
        <v>0</v>
      </c>
    </row>
    <row r="305" spans="1:6">
      <c r="A305">
        <v>6960</v>
      </c>
      <c r="B305" t="s">
        <v>831</v>
      </c>
      <c r="C305" s="425"/>
      <c r="D305" s="424">
        <f t="shared" si="12"/>
        <v>0</v>
      </c>
      <c r="E305" s="438">
        <f t="shared" si="13"/>
        <v>2.5062855099878264E-2</v>
      </c>
      <c r="F305" s="424">
        <f t="shared" si="14"/>
        <v>0</v>
      </c>
    </row>
    <row r="306" spans="1:6">
      <c r="A306">
        <v>6965</v>
      </c>
      <c r="B306" t="s">
        <v>832</v>
      </c>
      <c r="C306" s="425"/>
      <c r="D306" s="424">
        <f t="shared" si="12"/>
        <v>0</v>
      </c>
      <c r="E306" s="438">
        <f t="shared" si="13"/>
        <v>2.5062855099878264E-2</v>
      </c>
      <c r="F306" s="424">
        <f t="shared" si="14"/>
        <v>0</v>
      </c>
    </row>
    <row r="307" spans="1:6">
      <c r="B307" t="s">
        <v>196</v>
      </c>
      <c r="C307" s="425"/>
      <c r="D307" s="424">
        <f t="shared" si="12"/>
        <v>0</v>
      </c>
      <c r="E307" s="438">
        <f t="shared" si="13"/>
        <v>2.5062855099878264E-2</v>
      </c>
      <c r="F307" s="424">
        <f t="shared" si="14"/>
        <v>0</v>
      </c>
    </row>
    <row r="308" spans="1:6">
      <c r="A308">
        <v>6985</v>
      </c>
      <c r="B308" t="s">
        <v>833</v>
      </c>
      <c r="C308" s="425"/>
      <c r="D308" s="424">
        <f t="shared" si="12"/>
        <v>0</v>
      </c>
      <c r="E308" s="438">
        <f t="shared" si="13"/>
        <v>2.5062855099878264E-2</v>
      </c>
      <c r="F308" s="424">
        <f t="shared" si="14"/>
        <v>0</v>
      </c>
    </row>
    <row r="309" spans="1:6">
      <c r="A309">
        <v>6990</v>
      </c>
      <c r="B309" t="s">
        <v>834</v>
      </c>
      <c r="C309" s="425"/>
      <c r="D309" s="424">
        <f t="shared" si="12"/>
        <v>0</v>
      </c>
      <c r="E309" s="438">
        <f t="shared" si="13"/>
        <v>2.5062855099878264E-2</v>
      </c>
      <c r="F309" s="424">
        <f t="shared" si="14"/>
        <v>0</v>
      </c>
    </row>
    <row r="310" spans="1:6">
      <c r="A310">
        <v>6995</v>
      </c>
      <c r="B310" t="s">
        <v>835</v>
      </c>
      <c r="C310" s="425"/>
      <c r="D310" s="424">
        <f t="shared" si="12"/>
        <v>0</v>
      </c>
      <c r="E310" s="438">
        <f t="shared" si="13"/>
        <v>2.5062855099878264E-2</v>
      </c>
      <c r="F310" s="424">
        <f t="shared" si="14"/>
        <v>0</v>
      </c>
    </row>
    <row r="311" spans="1:6">
      <c r="A311">
        <v>7000</v>
      </c>
      <c r="B311" t="s">
        <v>836</v>
      </c>
      <c r="C311" s="425"/>
      <c r="D311" s="424">
        <f t="shared" si="12"/>
        <v>0</v>
      </c>
      <c r="E311" s="438">
        <f t="shared" si="13"/>
        <v>2.5062855099878264E-2</v>
      </c>
      <c r="F311" s="424">
        <f t="shared" si="14"/>
        <v>0</v>
      </c>
    </row>
    <row r="312" spans="1:6">
      <c r="A312">
        <v>7005</v>
      </c>
      <c r="B312" t="s">
        <v>837</v>
      </c>
      <c r="C312" s="425"/>
      <c r="D312" s="424">
        <f t="shared" si="12"/>
        <v>0</v>
      </c>
      <c r="E312" s="438">
        <f t="shared" si="13"/>
        <v>2.5062855099878264E-2</v>
      </c>
      <c r="F312" s="424">
        <f t="shared" si="14"/>
        <v>0</v>
      </c>
    </row>
    <row r="313" spans="1:6">
      <c r="A313">
        <v>7010</v>
      </c>
      <c r="B313" t="s">
        <v>838</v>
      </c>
      <c r="C313" s="425"/>
      <c r="D313" s="424">
        <f t="shared" si="12"/>
        <v>0</v>
      </c>
      <c r="E313" s="438">
        <f t="shared" si="13"/>
        <v>2.5062855099878264E-2</v>
      </c>
      <c r="F313" s="424">
        <f t="shared" si="14"/>
        <v>0</v>
      </c>
    </row>
    <row r="314" spans="1:6">
      <c r="A314">
        <v>7015</v>
      </c>
      <c r="B314" t="s">
        <v>839</v>
      </c>
      <c r="C314" s="425"/>
      <c r="D314" s="424">
        <f t="shared" si="12"/>
        <v>0</v>
      </c>
      <c r="E314" s="438">
        <f t="shared" si="13"/>
        <v>2.5062855099878264E-2</v>
      </c>
      <c r="F314" s="424">
        <f t="shared" si="14"/>
        <v>0</v>
      </c>
    </row>
    <row r="315" spans="1:6">
      <c r="A315">
        <v>7020</v>
      </c>
      <c r="B315" t="s">
        <v>840</v>
      </c>
      <c r="C315" s="425"/>
      <c r="D315" s="424">
        <f t="shared" si="12"/>
        <v>0</v>
      </c>
      <c r="E315" s="438">
        <f t="shared" si="13"/>
        <v>2.5062855099878264E-2</v>
      </c>
      <c r="F315" s="424">
        <f t="shared" si="14"/>
        <v>0</v>
      </c>
    </row>
    <row r="316" spans="1:6">
      <c r="A316">
        <v>7025</v>
      </c>
      <c r="B316" t="s">
        <v>841</v>
      </c>
      <c r="C316" s="425"/>
      <c r="D316" s="424">
        <f t="shared" si="12"/>
        <v>0</v>
      </c>
      <c r="E316" s="438">
        <f t="shared" si="13"/>
        <v>2.5062855099878264E-2</v>
      </c>
      <c r="F316" s="424">
        <f t="shared" si="14"/>
        <v>0</v>
      </c>
    </row>
    <row r="317" spans="1:6">
      <c r="A317">
        <v>7030</v>
      </c>
      <c r="B317" t="s">
        <v>842</v>
      </c>
      <c r="C317" s="425"/>
      <c r="D317" s="424">
        <f t="shared" si="12"/>
        <v>0</v>
      </c>
      <c r="E317" s="438">
        <f t="shared" si="13"/>
        <v>2.5062855099878264E-2</v>
      </c>
      <c r="F317" s="424">
        <f t="shared" si="14"/>
        <v>0</v>
      </c>
    </row>
    <row r="318" spans="1:6">
      <c r="A318">
        <v>7035</v>
      </c>
      <c r="B318" t="s">
        <v>843</v>
      </c>
      <c r="C318" s="425"/>
      <c r="D318" s="424">
        <f t="shared" si="12"/>
        <v>0</v>
      </c>
      <c r="E318" s="438">
        <f t="shared" si="13"/>
        <v>2.5062855099878264E-2</v>
      </c>
      <c r="F318" s="424">
        <f t="shared" si="14"/>
        <v>0</v>
      </c>
    </row>
    <row r="319" spans="1:6">
      <c r="A319">
        <v>7040</v>
      </c>
      <c r="B319" t="s">
        <v>844</v>
      </c>
      <c r="C319" s="425"/>
      <c r="D319" s="424">
        <f t="shared" si="12"/>
        <v>0</v>
      </c>
      <c r="E319" s="438">
        <f t="shared" si="13"/>
        <v>2.5062855099878264E-2</v>
      </c>
      <c r="F319" s="424">
        <f t="shared" si="14"/>
        <v>0</v>
      </c>
    </row>
    <row r="320" spans="1:6">
      <c r="A320">
        <v>7045</v>
      </c>
      <c r="B320" t="s">
        <v>845</v>
      </c>
      <c r="C320" s="425"/>
      <c r="D320" s="424">
        <f t="shared" si="12"/>
        <v>0</v>
      </c>
      <c r="E320" s="438">
        <f t="shared" si="13"/>
        <v>2.5062855099878264E-2</v>
      </c>
      <c r="F320" s="424">
        <f t="shared" si="14"/>
        <v>0</v>
      </c>
    </row>
    <row r="321" spans="1:6">
      <c r="A321">
        <v>7050</v>
      </c>
      <c r="B321" t="s">
        <v>846</v>
      </c>
      <c r="C321" s="425"/>
      <c r="D321" s="424">
        <f t="shared" si="12"/>
        <v>0</v>
      </c>
      <c r="E321" s="438">
        <f t="shared" si="13"/>
        <v>2.5062855099878264E-2</v>
      </c>
      <c r="F321" s="424">
        <f t="shared" si="14"/>
        <v>0</v>
      </c>
    </row>
    <row r="322" spans="1:6">
      <c r="A322">
        <v>7055</v>
      </c>
      <c r="B322" t="s">
        <v>847</v>
      </c>
      <c r="C322" s="425"/>
      <c r="D322" s="424">
        <f t="shared" si="12"/>
        <v>0</v>
      </c>
      <c r="E322" s="438">
        <f t="shared" si="13"/>
        <v>2.5062855099878264E-2</v>
      </c>
      <c r="F322" s="424">
        <f t="shared" si="14"/>
        <v>0</v>
      </c>
    </row>
    <row r="323" spans="1:6">
      <c r="A323">
        <v>7060</v>
      </c>
      <c r="B323" t="s">
        <v>848</v>
      </c>
      <c r="C323" s="425"/>
      <c r="D323" s="424">
        <f t="shared" si="12"/>
        <v>0</v>
      </c>
      <c r="E323" s="438">
        <f t="shared" si="13"/>
        <v>2.5062855099878264E-2</v>
      </c>
      <c r="F323" s="424">
        <f t="shared" si="14"/>
        <v>0</v>
      </c>
    </row>
    <row r="324" spans="1:6">
      <c r="A324">
        <v>7065</v>
      </c>
      <c r="B324" t="s">
        <v>849</v>
      </c>
      <c r="C324" s="425"/>
      <c r="D324" s="424">
        <f t="shared" si="12"/>
        <v>0</v>
      </c>
      <c r="E324" s="438">
        <f t="shared" si="13"/>
        <v>2.5062855099878264E-2</v>
      </c>
      <c r="F324" s="424">
        <f t="shared" si="14"/>
        <v>0</v>
      </c>
    </row>
    <row r="325" spans="1:6">
      <c r="A325">
        <v>7070</v>
      </c>
      <c r="B325" t="s">
        <v>850</v>
      </c>
      <c r="C325" s="425"/>
      <c r="D325" s="424">
        <f t="shared" si="12"/>
        <v>0</v>
      </c>
      <c r="E325" s="438">
        <f t="shared" si="13"/>
        <v>2.5062855099878264E-2</v>
      </c>
      <c r="F325" s="424">
        <f t="shared" si="14"/>
        <v>0</v>
      </c>
    </row>
    <row r="326" spans="1:6">
      <c r="A326">
        <v>7075</v>
      </c>
      <c r="B326" t="s">
        <v>851</v>
      </c>
      <c r="C326" s="425"/>
      <c r="D326" s="424">
        <f t="shared" ref="D326:D389" si="15">C326</f>
        <v>0</v>
      </c>
      <c r="E326" s="438">
        <f t="shared" ref="E326:E389" si="16">E$3</f>
        <v>2.5062855099878264E-2</v>
      </c>
      <c r="F326" s="424">
        <f t="shared" ref="F326:F389" si="17">E326*D326</f>
        <v>0</v>
      </c>
    </row>
    <row r="327" spans="1:6">
      <c r="A327">
        <v>7080</v>
      </c>
      <c r="B327" t="s">
        <v>852</v>
      </c>
      <c r="C327" s="425"/>
      <c r="D327" s="424">
        <f t="shared" si="15"/>
        <v>0</v>
      </c>
      <c r="E327" s="438">
        <f t="shared" si="16"/>
        <v>2.5062855099878264E-2</v>
      </c>
      <c r="F327" s="424">
        <f t="shared" si="17"/>
        <v>0</v>
      </c>
    </row>
    <row r="328" spans="1:6">
      <c r="A328">
        <v>7085</v>
      </c>
      <c r="B328" t="s">
        <v>853</v>
      </c>
      <c r="C328" s="425"/>
      <c r="D328" s="424">
        <f t="shared" si="15"/>
        <v>0</v>
      </c>
      <c r="E328" s="438">
        <f t="shared" si="16"/>
        <v>2.5062855099878264E-2</v>
      </c>
      <c r="F328" s="424">
        <f t="shared" si="17"/>
        <v>0</v>
      </c>
    </row>
    <row r="329" spans="1:6">
      <c r="A329">
        <v>7090</v>
      </c>
      <c r="B329" t="s">
        <v>854</v>
      </c>
      <c r="C329" s="425"/>
      <c r="D329" s="424">
        <f t="shared" si="15"/>
        <v>0</v>
      </c>
      <c r="E329" s="438">
        <f t="shared" si="16"/>
        <v>2.5062855099878264E-2</v>
      </c>
      <c r="F329" s="424">
        <f t="shared" si="17"/>
        <v>0</v>
      </c>
    </row>
    <row r="330" spans="1:6">
      <c r="A330">
        <v>7095</v>
      </c>
      <c r="B330" t="s">
        <v>855</v>
      </c>
      <c r="C330" s="425"/>
      <c r="D330" s="424">
        <f t="shared" si="15"/>
        <v>0</v>
      </c>
      <c r="E330" s="438">
        <f t="shared" si="16"/>
        <v>2.5062855099878264E-2</v>
      </c>
      <c r="F330" s="424">
        <f t="shared" si="17"/>
        <v>0</v>
      </c>
    </row>
    <row r="331" spans="1:6">
      <c r="A331">
        <v>7100</v>
      </c>
      <c r="B331" t="s">
        <v>856</v>
      </c>
      <c r="C331" s="425"/>
      <c r="D331" s="424">
        <f t="shared" si="15"/>
        <v>0</v>
      </c>
      <c r="E331" s="438">
        <f t="shared" si="16"/>
        <v>2.5062855099878264E-2</v>
      </c>
      <c r="F331" s="424">
        <f t="shared" si="17"/>
        <v>0</v>
      </c>
    </row>
    <row r="332" spans="1:6">
      <c r="A332">
        <v>7105</v>
      </c>
      <c r="B332" t="s">
        <v>857</v>
      </c>
      <c r="C332" s="425"/>
      <c r="D332" s="424">
        <f t="shared" si="15"/>
        <v>0</v>
      </c>
      <c r="E332" s="438">
        <f t="shared" si="16"/>
        <v>2.5062855099878264E-2</v>
      </c>
      <c r="F332" s="424">
        <f t="shared" si="17"/>
        <v>0</v>
      </c>
    </row>
    <row r="333" spans="1:6">
      <c r="A333">
        <v>7110</v>
      </c>
      <c r="B333" t="s">
        <v>858</v>
      </c>
      <c r="C333" s="425"/>
      <c r="D333" s="424">
        <f t="shared" si="15"/>
        <v>0</v>
      </c>
      <c r="E333" s="438">
        <f t="shared" si="16"/>
        <v>2.5062855099878264E-2</v>
      </c>
      <c r="F333" s="424">
        <f t="shared" si="17"/>
        <v>0</v>
      </c>
    </row>
    <row r="334" spans="1:6">
      <c r="A334">
        <v>7115</v>
      </c>
      <c r="B334" t="s">
        <v>890</v>
      </c>
      <c r="C334" s="425"/>
      <c r="D334" s="424">
        <f t="shared" si="15"/>
        <v>0</v>
      </c>
      <c r="E334" s="438">
        <f t="shared" si="16"/>
        <v>2.5062855099878264E-2</v>
      </c>
      <c r="F334" s="424">
        <f t="shared" si="17"/>
        <v>0</v>
      </c>
    </row>
    <row r="335" spans="1:6">
      <c r="A335">
        <v>7120</v>
      </c>
      <c r="B335" t="s">
        <v>891</v>
      </c>
      <c r="C335" s="425"/>
      <c r="D335" s="424">
        <f t="shared" si="15"/>
        <v>0</v>
      </c>
      <c r="E335" s="438">
        <f t="shared" si="16"/>
        <v>2.5062855099878264E-2</v>
      </c>
      <c r="F335" s="424">
        <f t="shared" si="17"/>
        <v>0</v>
      </c>
    </row>
    <row r="336" spans="1:6">
      <c r="A336">
        <v>7125</v>
      </c>
      <c r="B336" t="s">
        <v>892</v>
      </c>
      <c r="C336" s="425"/>
      <c r="D336" s="424">
        <f t="shared" si="15"/>
        <v>0</v>
      </c>
      <c r="E336" s="438">
        <f t="shared" si="16"/>
        <v>2.5062855099878264E-2</v>
      </c>
      <c r="F336" s="424">
        <f t="shared" si="17"/>
        <v>0</v>
      </c>
    </row>
    <row r="337" spans="1:6">
      <c r="A337">
        <v>7130</v>
      </c>
      <c r="B337" t="s">
        <v>893</v>
      </c>
      <c r="C337" s="425"/>
      <c r="D337" s="424">
        <f t="shared" si="15"/>
        <v>0</v>
      </c>
      <c r="E337" s="438">
        <f t="shared" si="16"/>
        <v>2.5062855099878264E-2</v>
      </c>
      <c r="F337" s="424">
        <f t="shared" si="17"/>
        <v>0</v>
      </c>
    </row>
    <row r="338" spans="1:6">
      <c r="A338">
        <v>7135</v>
      </c>
      <c r="B338" t="s">
        <v>894</v>
      </c>
      <c r="C338" s="425"/>
      <c r="D338" s="424">
        <f t="shared" si="15"/>
        <v>0</v>
      </c>
      <c r="E338" s="438">
        <f t="shared" si="16"/>
        <v>2.5062855099878264E-2</v>
      </c>
      <c r="F338" s="424">
        <f t="shared" si="17"/>
        <v>0</v>
      </c>
    </row>
    <row r="339" spans="1:6">
      <c r="A339">
        <v>7140</v>
      </c>
      <c r="B339" t="s">
        <v>895</v>
      </c>
      <c r="C339" s="425"/>
      <c r="D339" s="424">
        <f t="shared" si="15"/>
        <v>0</v>
      </c>
      <c r="E339" s="438">
        <f t="shared" si="16"/>
        <v>2.5062855099878264E-2</v>
      </c>
      <c r="F339" s="424">
        <f t="shared" si="17"/>
        <v>0</v>
      </c>
    </row>
    <row r="340" spans="1:6">
      <c r="A340">
        <v>7145</v>
      </c>
      <c r="B340" t="s">
        <v>896</v>
      </c>
      <c r="C340" s="425"/>
      <c r="D340" s="424">
        <f t="shared" si="15"/>
        <v>0</v>
      </c>
      <c r="E340" s="438">
        <f t="shared" si="16"/>
        <v>2.5062855099878264E-2</v>
      </c>
      <c r="F340" s="424">
        <f t="shared" si="17"/>
        <v>0</v>
      </c>
    </row>
    <row r="341" spans="1:6">
      <c r="A341">
        <v>7150</v>
      </c>
      <c r="B341" t="s">
        <v>897</v>
      </c>
      <c r="C341" s="425"/>
      <c r="D341" s="424">
        <f t="shared" si="15"/>
        <v>0</v>
      </c>
      <c r="E341" s="438">
        <f t="shared" si="16"/>
        <v>2.5062855099878264E-2</v>
      </c>
      <c r="F341" s="424">
        <f t="shared" si="17"/>
        <v>0</v>
      </c>
    </row>
    <row r="342" spans="1:6">
      <c r="A342">
        <v>7155</v>
      </c>
      <c r="B342" t="s">
        <v>898</v>
      </c>
      <c r="C342" s="425"/>
      <c r="D342" s="424">
        <f t="shared" si="15"/>
        <v>0</v>
      </c>
      <c r="E342" s="438">
        <f t="shared" si="16"/>
        <v>2.5062855099878264E-2</v>
      </c>
      <c r="F342" s="424">
        <f t="shared" si="17"/>
        <v>0</v>
      </c>
    </row>
    <row r="343" spans="1:6">
      <c r="A343">
        <v>7160</v>
      </c>
      <c r="B343" t="s">
        <v>96</v>
      </c>
      <c r="C343" s="425"/>
      <c r="D343" s="424">
        <f t="shared" si="15"/>
        <v>0</v>
      </c>
      <c r="E343" s="438">
        <f t="shared" si="16"/>
        <v>2.5062855099878264E-2</v>
      </c>
      <c r="F343" s="424">
        <f t="shared" si="17"/>
        <v>0</v>
      </c>
    </row>
    <row r="344" spans="1:6">
      <c r="A344">
        <v>7165</v>
      </c>
      <c r="B344" t="s">
        <v>97</v>
      </c>
      <c r="C344" s="425"/>
      <c r="D344" s="424">
        <f t="shared" si="15"/>
        <v>0</v>
      </c>
      <c r="E344" s="438">
        <f t="shared" si="16"/>
        <v>2.5062855099878264E-2</v>
      </c>
      <c r="F344" s="424">
        <f t="shared" si="17"/>
        <v>0</v>
      </c>
    </row>
    <row r="345" spans="1:6">
      <c r="A345">
        <v>7170</v>
      </c>
      <c r="B345" t="s">
        <v>98</v>
      </c>
      <c r="C345" s="425"/>
      <c r="D345" s="424">
        <f t="shared" si="15"/>
        <v>0</v>
      </c>
      <c r="E345" s="438">
        <f t="shared" si="16"/>
        <v>2.5062855099878264E-2</v>
      </c>
      <c r="F345" s="424">
        <f t="shared" si="17"/>
        <v>0</v>
      </c>
    </row>
    <row r="346" spans="1:6">
      <c r="A346">
        <v>7175</v>
      </c>
      <c r="B346" t="s">
        <v>99</v>
      </c>
      <c r="C346" s="425"/>
      <c r="D346" s="424">
        <f t="shared" si="15"/>
        <v>0</v>
      </c>
      <c r="E346" s="438">
        <f t="shared" si="16"/>
        <v>2.5062855099878264E-2</v>
      </c>
      <c r="F346" s="424">
        <f t="shared" si="17"/>
        <v>0</v>
      </c>
    </row>
    <row r="347" spans="1:6">
      <c r="A347">
        <v>7180</v>
      </c>
      <c r="B347" t="s">
        <v>100</v>
      </c>
      <c r="C347" s="425"/>
      <c r="D347" s="424">
        <f t="shared" si="15"/>
        <v>0</v>
      </c>
      <c r="E347" s="438">
        <f t="shared" si="16"/>
        <v>2.5062855099878264E-2</v>
      </c>
      <c r="F347" s="424">
        <f t="shared" si="17"/>
        <v>0</v>
      </c>
    </row>
    <row r="348" spans="1:6">
      <c r="A348">
        <v>7185</v>
      </c>
      <c r="B348" t="s">
        <v>810</v>
      </c>
      <c r="C348" s="425"/>
      <c r="D348" s="424">
        <f t="shared" si="15"/>
        <v>0</v>
      </c>
      <c r="E348" s="438">
        <f t="shared" si="16"/>
        <v>2.5062855099878264E-2</v>
      </c>
      <c r="F348" s="424">
        <f t="shared" si="17"/>
        <v>0</v>
      </c>
    </row>
    <row r="349" spans="1:6">
      <c r="B349" t="s">
        <v>196</v>
      </c>
      <c r="C349" s="425"/>
      <c r="D349" s="424">
        <f t="shared" si="15"/>
        <v>0</v>
      </c>
      <c r="E349" s="438">
        <f t="shared" si="16"/>
        <v>2.5062855099878264E-2</v>
      </c>
      <c r="F349" s="424">
        <f t="shared" si="17"/>
        <v>0</v>
      </c>
    </row>
    <row r="350" spans="1:6">
      <c r="B350" t="s">
        <v>197</v>
      </c>
      <c r="C350" s="425"/>
      <c r="D350" s="424">
        <f t="shared" si="15"/>
        <v>0</v>
      </c>
      <c r="E350" s="438">
        <f t="shared" si="16"/>
        <v>2.5062855099878264E-2</v>
      </c>
      <c r="F350" s="424">
        <f t="shared" si="17"/>
        <v>0</v>
      </c>
    </row>
    <row r="351" spans="1:6">
      <c r="A351">
        <v>7205</v>
      </c>
      <c r="B351" t="s">
        <v>833</v>
      </c>
      <c r="C351" s="425"/>
      <c r="D351" s="424">
        <f t="shared" si="15"/>
        <v>0</v>
      </c>
      <c r="E351" s="438">
        <f t="shared" si="16"/>
        <v>2.5062855099878264E-2</v>
      </c>
      <c r="F351" s="424">
        <f t="shared" si="17"/>
        <v>0</v>
      </c>
    </row>
    <row r="352" spans="1:6">
      <c r="A352">
        <v>7210</v>
      </c>
      <c r="B352" t="s">
        <v>811</v>
      </c>
      <c r="C352" s="425"/>
      <c r="D352" s="424">
        <f t="shared" si="15"/>
        <v>0</v>
      </c>
      <c r="E352" s="438">
        <f t="shared" si="16"/>
        <v>2.5062855099878264E-2</v>
      </c>
      <c r="F352" s="424">
        <f t="shared" si="17"/>
        <v>0</v>
      </c>
    </row>
    <row r="353" spans="1:6">
      <c r="A353">
        <v>7215</v>
      </c>
      <c r="B353" t="s">
        <v>812</v>
      </c>
      <c r="C353" s="425"/>
      <c r="D353" s="424">
        <f t="shared" si="15"/>
        <v>0</v>
      </c>
      <c r="E353" s="438">
        <f t="shared" si="16"/>
        <v>2.5062855099878264E-2</v>
      </c>
      <c r="F353" s="424">
        <f t="shared" si="17"/>
        <v>0</v>
      </c>
    </row>
    <row r="354" spans="1:6">
      <c r="A354">
        <v>7220</v>
      </c>
      <c r="B354" t="s">
        <v>813</v>
      </c>
      <c r="C354" s="425"/>
      <c r="D354" s="424">
        <f t="shared" si="15"/>
        <v>0</v>
      </c>
      <c r="E354" s="438">
        <f t="shared" si="16"/>
        <v>2.5062855099878264E-2</v>
      </c>
      <c r="F354" s="424">
        <f t="shared" si="17"/>
        <v>0</v>
      </c>
    </row>
    <row r="355" spans="1:6">
      <c r="A355">
        <v>7225</v>
      </c>
      <c r="B355" t="s">
        <v>814</v>
      </c>
      <c r="C355" s="425"/>
      <c r="D355" s="424">
        <f t="shared" si="15"/>
        <v>0</v>
      </c>
      <c r="E355" s="438">
        <f t="shared" si="16"/>
        <v>2.5062855099878264E-2</v>
      </c>
      <c r="F355" s="424">
        <f t="shared" si="17"/>
        <v>0</v>
      </c>
    </row>
    <row r="356" spans="1:6">
      <c r="A356">
        <v>7230</v>
      </c>
      <c r="B356" t="s">
        <v>330</v>
      </c>
      <c r="C356" s="425"/>
      <c r="D356" s="424">
        <f t="shared" si="15"/>
        <v>0</v>
      </c>
      <c r="E356" s="438">
        <f t="shared" si="16"/>
        <v>2.5062855099878264E-2</v>
      </c>
      <c r="F356" s="424">
        <f t="shared" si="17"/>
        <v>0</v>
      </c>
    </row>
    <row r="357" spans="1:6">
      <c r="A357">
        <v>7235</v>
      </c>
      <c r="B357" t="s">
        <v>331</v>
      </c>
      <c r="C357" s="425"/>
      <c r="D357" s="424">
        <f t="shared" si="15"/>
        <v>0</v>
      </c>
      <c r="E357" s="438">
        <f t="shared" si="16"/>
        <v>2.5062855099878264E-2</v>
      </c>
      <c r="F357" s="424">
        <f t="shared" si="17"/>
        <v>0</v>
      </c>
    </row>
    <row r="358" spans="1:6">
      <c r="A358">
        <v>7240</v>
      </c>
      <c r="B358" t="s">
        <v>332</v>
      </c>
      <c r="C358" s="425"/>
      <c r="D358" s="424">
        <f t="shared" si="15"/>
        <v>0</v>
      </c>
      <c r="E358" s="438">
        <f t="shared" si="16"/>
        <v>2.5062855099878264E-2</v>
      </c>
      <c r="F358" s="424">
        <f t="shared" si="17"/>
        <v>0</v>
      </c>
    </row>
    <row r="359" spans="1:6">
      <c r="A359">
        <v>7245</v>
      </c>
      <c r="B359" t="s">
        <v>333</v>
      </c>
      <c r="C359" s="425"/>
      <c r="D359" s="424">
        <f t="shared" si="15"/>
        <v>0</v>
      </c>
      <c r="E359" s="438">
        <f t="shared" si="16"/>
        <v>2.5062855099878264E-2</v>
      </c>
      <c r="F359" s="424">
        <f t="shared" si="17"/>
        <v>0</v>
      </c>
    </row>
    <row r="360" spans="1:6">
      <c r="A360">
        <v>7250</v>
      </c>
      <c r="B360" t="s">
        <v>334</v>
      </c>
      <c r="C360" s="425"/>
      <c r="D360" s="424">
        <f t="shared" si="15"/>
        <v>0</v>
      </c>
      <c r="E360" s="438">
        <f t="shared" si="16"/>
        <v>2.5062855099878264E-2</v>
      </c>
      <c r="F360" s="424">
        <f t="shared" si="17"/>
        <v>0</v>
      </c>
    </row>
    <row r="361" spans="1:6">
      <c r="A361">
        <v>7255</v>
      </c>
      <c r="B361" t="s">
        <v>335</v>
      </c>
      <c r="C361" s="425"/>
      <c r="D361" s="424">
        <f t="shared" si="15"/>
        <v>0</v>
      </c>
      <c r="E361" s="438">
        <f t="shared" si="16"/>
        <v>2.5062855099878264E-2</v>
      </c>
      <c r="F361" s="424">
        <f t="shared" si="17"/>
        <v>0</v>
      </c>
    </row>
    <row r="362" spans="1:6">
      <c r="A362">
        <v>7260</v>
      </c>
      <c r="B362" t="s">
        <v>336</v>
      </c>
      <c r="C362" s="425"/>
      <c r="D362" s="424">
        <f t="shared" si="15"/>
        <v>0</v>
      </c>
      <c r="E362" s="438">
        <f t="shared" si="16"/>
        <v>2.5062855099878264E-2</v>
      </c>
      <c r="F362" s="424">
        <f t="shared" si="17"/>
        <v>0</v>
      </c>
    </row>
    <row r="363" spans="1:6">
      <c r="A363">
        <v>7265</v>
      </c>
      <c r="B363" t="s">
        <v>337</v>
      </c>
      <c r="C363" s="425"/>
      <c r="D363" s="424">
        <f t="shared" si="15"/>
        <v>0</v>
      </c>
      <c r="E363" s="438">
        <f t="shared" si="16"/>
        <v>2.5062855099878264E-2</v>
      </c>
      <c r="F363" s="424">
        <f t="shared" si="17"/>
        <v>0</v>
      </c>
    </row>
    <row r="364" spans="1:6">
      <c r="A364">
        <v>7270</v>
      </c>
      <c r="B364" t="s">
        <v>337</v>
      </c>
      <c r="C364" s="425"/>
      <c r="D364" s="424">
        <f t="shared" si="15"/>
        <v>0</v>
      </c>
      <c r="E364" s="438">
        <f t="shared" si="16"/>
        <v>2.5062855099878264E-2</v>
      </c>
      <c r="F364" s="424">
        <f t="shared" si="17"/>
        <v>0</v>
      </c>
    </row>
    <row r="365" spans="1:6">
      <c r="A365">
        <v>7275</v>
      </c>
      <c r="B365" t="s">
        <v>338</v>
      </c>
      <c r="C365" s="425"/>
      <c r="D365" s="424">
        <f t="shared" si="15"/>
        <v>0</v>
      </c>
      <c r="E365" s="438">
        <f t="shared" si="16"/>
        <v>2.5062855099878264E-2</v>
      </c>
      <c r="F365" s="424">
        <f t="shared" si="17"/>
        <v>0</v>
      </c>
    </row>
    <row r="366" spans="1:6">
      <c r="A366">
        <v>7280</v>
      </c>
      <c r="B366" t="s">
        <v>339</v>
      </c>
      <c r="C366" s="425"/>
      <c r="D366" s="424">
        <f t="shared" si="15"/>
        <v>0</v>
      </c>
      <c r="E366" s="438">
        <f t="shared" si="16"/>
        <v>2.5062855099878264E-2</v>
      </c>
      <c r="F366" s="424">
        <f t="shared" si="17"/>
        <v>0</v>
      </c>
    </row>
    <row r="367" spans="1:6">
      <c r="A367">
        <v>7285</v>
      </c>
      <c r="B367" t="s">
        <v>340</v>
      </c>
      <c r="C367" s="425"/>
      <c r="D367" s="424">
        <f t="shared" si="15"/>
        <v>0</v>
      </c>
      <c r="E367" s="438">
        <f t="shared" si="16"/>
        <v>2.5062855099878264E-2</v>
      </c>
      <c r="F367" s="424">
        <f t="shared" si="17"/>
        <v>0</v>
      </c>
    </row>
    <row r="368" spans="1:6">
      <c r="A368">
        <v>7290</v>
      </c>
      <c r="B368" t="s">
        <v>341</v>
      </c>
      <c r="C368" s="425"/>
      <c r="D368" s="424">
        <f t="shared" si="15"/>
        <v>0</v>
      </c>
      <c r="E368" s="438">
        <f t="shared" si="16"/>
        <v>2.5062855099878264E-2</v>
      </c>
      <c r="F368" s="424">
        <f t="shared" si="17"/>
        <v>0</v>
      </c>
    </row>
    <row r="369" spans="1:6">
      <c r="A369">
        <v>7295</v>
      </c>
      <c r="B369" t="s">
        <v>342</v>
      </c>
      <c r="C369" s="425"/>
      <c r="D369" s="424">
        <f t="shared" si="15"/>
        <v>0</v>
      </c>
      <c r="E369" s="438">
        <f t="shared" si="16"/>
        <v>2.5062855099878264E-2</v>
      </c>
      <c r="F369" s="424">
        <f t="shared" si="17"/>
        <v>0</v>
      </c>
    </row>
    <row r="370" spans="1:6">
      <c r="A370">
        <v>7300</v>
      </c>
      <c r="B370" t="s">
        <v>343</v>
      </c>
      <c r="C370" s="425"/>
      <c r="D370" s="424">
        <f t="shared" si="15"/>
        <v>0</v>
      </c>
      <c r="E370" s="438">
        <f t="shared" si="16"/>
        <v>2.5062855099878264E-2</v>
      </c>
      <c r="F370" s="424">
        <f t="shared" si="17"/>
        <v>0</v>
      </c>
    </row>
    <row r="371" spans="1:6">
      <c r="A371">
        <v>7305</v>
      </c>
      <c r="B371" t="s">
        <v>344</v>
      </c>
      <c r="C371" s="425"/>
      <c r="D371" s="424">
        <f t="shared" si="15"/>
        <v>0</v>
      </c>
      <c r="E371" s="438">
        <f t="shared" si="16"/>
        <v>2.5062855099878264E-2</v>
      </c>
      <c r="F371" s="424">
        <f t="shared" si="17"/>
        <v>0</v>
      </c>
    </row>
    <row r="372" spans="1:6">
      <c r="A372">
        <v>7310</v>
      </c>
      <c r="B372" t="s">
        <v>345</v>
      </c>
      <c r="C372" s="425"/>
      <c r="D372" s="424">
        <f t="shared" si="15"/>
        <v>0</v>
      </c>
      <c r="E372" s="438">
        <f t="shared" si="16"/>
        <v>2.5062855099878264E-2</v>
      </c>
      <c r="F372" s="424">
        <f t="shared" si="17"/>
        <v>0</v>
      </c>
    </row>
    <row r="373" spans="1:6">
      <c r="A373">
        <v>7315</v>
      </c>
      <c r="B373" t="s">
        <v>346</v>
      </c>
      <c r="C373" s="425"/>
      <c r="D373" s="424">
        <f t="shared" si="15"/>
        <v>0</v>
      </c>
      <c r="E373" s="438">
        <f t="shared" si="16"/>
        <v>2.5062855099878264E-2</v>
      </c>
      <c r="F373" s="424">
        <f t="shared" si="17"/>
        <v>0</v>
      </c>
    </row>
    <row r="374" spans="1:6">
      <c r="A374">
        <v>7320</v>
      </c>
      <c r="B374" t="s">
        <v>347</v>
      </c>
      <c r="C374" s="425"/>
      <c r="D374" s="424">
        <f t="shared" si="15"/>
        <v>0</v>
      </c>
      <c r="E374" s="438">
        <f t="shared" si="16"/>
        <v>2.5062855099878264E-2</v>
      </c>
      <c r="F374" s="424">
        <f t="shared" si="17"/>
        <v>0</v>
      </c>
    </row>
    <row r="375" spans="1:6">
      <c r="A375">
        <v>7325</v>
      </c>
      <c r="B375" t="s">
        <v>348</v>
      </c>
      <c r="C375" s="425"/>
      <c r="D375" s="424">
        <f t="shared" si="15"/>
        <v>0</v>
      </c>
      <c r="E375" s="438">
        <f t="shared" si="16"/>
        <v>2.5062855099878264E-2</v>
      </c>
      <c r="F375" s="424">
        <f t="shared" si="17"/>
        <v>0</v>
      </c>
    </row>
    <row r="376" spans="1:6">
      <c r="A376">
        <v>7330</v>
      </c>
      <c r="B376" t="s">
        <v>349</v>
      </c>
      <c r="C376" s="425"/>
      <c r="D376" s="424">
        <f t="shared" si="15"/>
        <v>0</v>
      </c>
      <c r="E376" s="438">
        <f t="shared" si="16"/>
        <v>2.5062855099878264E-2</v>
      </c>
      <c r="F376" s="424">
        <f t="shared" si="17"/>
        <v>0</v>
      </c>
    </row>
    <row r="377" spans="1:6">
      <c r="A377">
        <v>7335</v>
      </c>
      <c r="B377" t="s">
        <v>350</v>
      </c>
      <c r="C377" s="425"/>
      <c r="D377" s="424">
        <f t="shared" si="15"/>
        <v>0</v>
      </c>
      <c r="E377" s="438">
        <f t="shared" si="16"/>
        <v>2.5062855099878264E-2</v>
      </c>
      <c r="F377" s="424">
        <f t="shared" si="17"/>
        <v>0</v>
      </c>
    </row>
    <row r="378" spans="1:6">
      <c r="A378">
        <v>7340</v>
      </c>
      <c r="B378" t="s">
        <v>351</v>
      </c>
      <c r="C378" s="425"/>
      <c r="D378" s="424">
        <f t="shared" si="15"/>
        <v>0</v>
      </c>
      <c r="E378" s="438">
        <f t="shared" si="16"/>
        <v>2.5062855099878264E-2</v>
      </c>
      <c r="F378" s="424">
        <f t="shared" si="17"/>
        <v>0</v>
      </c>
    </row>
    <row r="379" spans="1:6">
      <c r="A379">
        <v>7345</v>
      </c>
      <c r="B379" t="s">
        <v>352</v>
      </c>
      <c r="C379" s="425"/>
      <c r="D379" s="424">
        <f t="shared" si="15"/>
        <v>0</v>
      </c>
      <c r="E379" s="438">
        <f t="shared" si="16"/>
        <v>2.5062855099878264E-2</v>
      </c>
      <c r="F379" s="424">
        <f t="shared" si="17"/>
        <v>0</v>
      </c>
    </row>
    <row r="380" spans="1:6">
      <c r="A380">
        <v>7350</v>
      </c>
      <c r="B380" t="s">
        <v>353</v>
      </c>
      <c r="C380" s="425"/>
      <c r="D380" s="424">
        <f t="shared" si="15"/>
        <v>0</v>
      </c>
      <c r="E380" s="438">
        <f t="shared" si="16"/>
        <v>2.5062855099878264E-2</v>
      </c>
      <c r="F380" s="424">
        <f t="shared" si="17"/>
        <v>0</v>
      </c>
    </row>
    <row r="381" spans="1:6">
      <c r="A381">
        <v>7355</v>
      </c>
      <c r="B381" t="s">
        <v>354</v>
      </c>
      <c r="C381" s="425"/>
      <c r="D381" s="424">
        <f t="shared" si="15"/>
        <v>0</v>
      </c>
      <c r="E381" s="438">
        <f t="shared" si="16"/>
        <v>2.5062855099878264E-2</v>
      </c>
      <c r="F381" s="424">
        <f t="shared" si="17"/>
        <v>0</v>
      </c>
    </row>
    <row r="382" spans="1:6">
      <c r="A382">
        <v>7360</v>
      </c>
      <c r="B382" t="s">
        <v>355</v>
      </c>
      <c r="C382" s="425"/>
      <c r="D382" s="424">
        <f t="shared" si="15"/>
        <v>0</v>
      </c>
      <c r="E382" s="438">
        <f t="shared" si="16"/>
        <v>2.5062855099878264E-2</v>
      </c>
      <c r="F382" s="424">
        <f t="shared" si="17"/>
        <v>0</v>
      </c>
    </row>
    <row r="383" spans="1:6">
      <c r="A383">
        <v>7365</v>
      </c>
      <c r="B383" t="s">
        <v>356</v>
      </c>
      <c r="C383" s="425"/>
      <c r="D383" s="424">
        <f t="shared" si="15"/>
        <v>0</v>
      </c>
      <c r="E383" s="438">
        <f t="shared" si="16"/>
        <v>2.5062855099878264E-2</v>
      </c>
      <c r="F383" s="424">
        <f t="shared" si="17"/>
        <v>0</v>
      </c>
    </row>
    <row r="384" spans="1:6">
      <c r="A384">
        <v>7370</v>
      </c>
      <c r="B384" t="s">
        <v>357</v>
      </c>
      <c r="C384" s="425"/>
      <c r="D384" s="424">
        <f t="shared" si="15"/>
        <v>0</v>
      </c>
      <c r="E384" s="438">
        <f t="shared" si="16"/>
        <v>2.5062855099878264E-2</v>
      </c>
      <c r="F384" s="424">
        <f t="shared" si="17"/>
        <v>0</v>
      </c>
    </row>
    <row r="385" spans="1:6">
      <c r="A385">
        <v>7375</v>
      </c>
      <c r="B385" t="s">
        <v>358</v>
      </c>
      <c r="C385" s="425"/>
      <c r="D385" s="424">
        <f t="shared" si="15"/>
        <v>0</v>
      </c>
      <c r="E385" s="438">
        <f t="shared" si="16"/>
        <v>2.5062855099878264E-2</v>
      </c>
      <c r="F385" s="424">
        <f t="shared" si="17"/>
        <v>0</v>
      </c>
    </row>
    <row r="386" spans="1:6">
      <c r="A386">
        <v>7380</v>
      </c>
      <c r="B386" t="s">
        <v>359</v>
      </c>
      <c r="C386" s="425"/>
      <c r="D386" s="424">
        <f t="shared" si="15"/>
        <v>0</v>
      </c>
      <c r="E386" s="438">
        <f t="shared" si="16"/>
        <v>2.5062855099878264E-2</v>
      </c>
      <c r="F386" s="424">
        <f t="shared" si="17"/>
        <v>0</v>
      </c>
    </row>
    <row r="387" spans="1:6">
      <c r="A387">
        <v>7385</v>
      </c>
      <c r="B387" t="s">
        <v>891</v>
      </c>
      <c r="C387" s="425"/>
      <c r="D387" s="424">
        <f t="shared" si="15"/>
        <v>0</v>
      </c>
      <c r="E387" s="438">
        <f t="shared" si="16"/>
        <v>2.5062855099878264E-2</v>
      </c>
      <c r="F387" s="424">
        <f t="shared" si="17"/>
        <v>0</v>
      </c>
    </row>
    <row r="388" spans="1:6">
      <c r="A388">
        <v>7390</v>
      </c>
      <c r="B388" t="s">
        <v>892</v>
      </c>
      <c r="C388" s="425"/>
      <c r="D388" s="424">
        <f t="shared" si="15"/>
        <v>0</v>
      </c>
      <c r="E388" s="438">
        <f t="shared" si="16"/>
        <v>2.5062855099878264E-2</v>
      </c>
      <c r="F388" s="424">
        <f t="shared" si="17"/>
        <v>0</v>
      </c>
    </row>
    <row r="389" spans="1:6">
      <c r="A389">
        <v>7395</v>
      </c>
      <c r="B389" t="s">
        <v>893</v>
      </c>
      <c r="C389" s="425"/>
      <c r="D389" s="424">
        <f t="shared" si="15"/>
        <v>0</v>
      </c>
      <c r="E389" s="438">
        <f t="shared" si="16"/>
        <v>2.5062855099878264E-2</v>
      </c>
      <c r="F389" s="424">
        <f t="shared" si="17"/>
        <v>0</v>
      </c>
    </row>
    <row r="390" spans="1:6">
      <c r="A390">
        <v>7400</v>
      </c>
      <c r="B390" t="s">
        <v>894</v>
      </c>
      <c r="C390" s="425"/>
      <c r="D390" s="424">
        <f t="shared" ref="D390:D453" si="18">C390</f>
        <v>0</v>
      </c>
      <c r="E390" s="438">
        <f t="shared" ref="E390:E453" si="19">E$3</f>
        <v>2.5062855099878264E-2</v>
      </c>
      <c r="F390" s="424">
        <f t="shared" ref="F390:F453" si="20">E390*D390</f>
        <v>0</v>
      </c>
    </row>
    <row r="391" spans="1:6">
      <c r="A391">
        <v>7405</v>
      </c>
      <c r="B391" t="s">
        <v>360</v>
      </c>
      <c r="C391" s="425"/>
      <c r="D391" s="424">
        <f t="shared" si="18"/>
        <v>0</v>
      </c>
      <c r="E391" s="438">
        <f t="shared" si="19"/>
        <v>2.5062855099878264E-2</v>
      </c>
      <c r="F391" s="424">
        <f t="shared" si="20"/>
        <v>0</v>
      </c>
    </row>
    <row r="392" spans="1:6">
      <c r="A392">
        <v>7410</v>
      </c>
      <c r="B392" t="s">
        <v>896</v>
      </c>
      <c r="C392" s="425"/>
      <c r="D392" s="424">
        <f t="shared" si="18"/>
        <v>0</v>
      </c>
      <c r="E392" s="438">
        <f t="shared" si="19"/>
        <v>2.5062855099878264E-2</v>
      </c>
      <c r="F392" s="424">
        <f t="shared" si="20"/>
        <v>0</v>
      </c>
    </row>
    <row r="393" spans="1:6">
      <c r="A393">
        <v>7415</v>
      </c>
      <c r="B393" t="s">
        <v>897</v>
      </c>
      <c r="C393" s="425"/>
      <c r="D393" s="424">
        <f t="shared" si="18"/>
        <v>0</v>
      </c>
      <c r="E393" s="438">
        <f t="shared" si="19"/>
        <v>2.5062855099878264E-2</v>
      </c>
      <c r="F393" s="424">
        <f t="shared" si="20"/>
        <v>0</v>
      </c>
    </row>
    <row r="394" spans="1:6">
      <c r="A394">
        <v>7420</v>
      </c>
      <c r="B394" t="s">
        <v>361</v>
      </c>
      <c r="C394" s="425"/>
      <c r="D394" s="424">
        <f t="shared" si="18"/>
        <v>0</v>
      </c>
      <c r="E394" s="438">
        <f t="shared" si="19"/>
        <v>2.5062855099878264E-2</v>
      </c>
      <c r="F394" s="424">
        <f t="shared" si="20"/>
        <v>0</v>
      </c>
    </row>
    <row r="395" spans="1:6">
      <c r="A395">
        <v>7425</v>
      </c>
      <c r="B395" t="s">
        <v>362</v>
      </c>
      <c r="C395" s="425"/>
      <c r="D395" s="424">
        <f t="shared" si="18"/>
        <v>0</v>
      </c>
      <c r="E395" s="438">
        <f t="shared" si="19"/>
        <v>2.5062855099878264E-2</v>
      </c>
      <c r="F395" s="424">
        <f t="shared" si="20"/>
        <v>0</v>
      </c>
    </row>
    <row r="396" spans="1:6">
      <c r="A396">
        <v>7430</v>
      </c>
      <c r="B396" t="s">
        <v>363</v>
      </c>
      <c r="C396" s="425"/>
      <c r="D396" s="424">
        <f t="shared" si="18"/>
        <v>0</v>
      </c>
      <c r="E396" s="438">
        <f t="shared" si="19"/>
        <v>2.5062855099878264E-2</v>
      </c>
      <c r="F396" s="424">
        <f t="shared" si="20"/>
        <v>0</v>
      </c>
    </row>
    <row r="397" spans="1:6">
      <c r="A397">
        <v>7435</v>
      </c>
      <c r="B397" t="s">
        <v>364</v>
      </c>
      <c r="C397" s="425"/>
      <c r="D397" s="424">
        <f t="shared" si="18"/>
        <v>0</v>
      </c>
      <c r="E397" s="438">
        <f t="shared" si="19"/>
        <v>2.5062855099878264E-2</v>
      </c>
      <c r="F397" s="424">
        <f t="shared" si="20"/>
        <v>0</v>
      </c>
    </row>
    <row r="398" spans="1:6">
      <c r="A398">
        <v>7440</v>
      </c>
      <c r="B398" t="s">
        <v>365</v>
      </c>
      <c r="C398" s="425"/>
      <c r="D398" s="424">
        <f t="shared" si="18"/>
        <v>0</v>
      </c>
      <c r="E398" s="438">
        <f t="shared" si="19"/>
        <v>2.5062855099878264E-2</v>
      </c>
      <c r="F398" s="424">
        <f t="shared" si="20"/>
        <v>0</v>
      </c>
    </row>
    <row r="399" spans="1:6">
      <c r="A399">
        <v>7445</v>
      </c>
      <c r="B399" t="s">
        <v>366</v>
      </c>
      <c r="C399" s="425"/>
      <c r="D399" s="424">
        <f t="shared" si="18"/>
        <v>0</v>
      </c>
      <c r="E399" s="438">
        <f t="shared" si="19"/>
        <v>2.5062855099878264E-2</v>
      </c>
      <c r="F399" s="424">
        <f t="shared" si="20"/>
        <v>0</v>
      </c>
    </row>
    <row r="400" spans="1:6">
      <c r="A400">
        <v>7450</v>
      </c>
      <c r="B400" t="s">
        <v>367</v>
      </c>
      <c r="C400" s="425"/>
      <c r="D400" s="424">
        <f t="shared" si="18"/>
        <v>0</v>
      </c>
      <c r="E400" s="438">
        <f t="shared" si="19"/>
        <v>2.5062855099878264E-2</v>
      </c>
      <c r="F400" s="424">
        <f t="shared" si="20"/>
        <v>0</v>
      </c>
    </row>
    <row r="401" spans="1:6">
      <c r="B401" t="s">
        <v>197</v>
      </c>
      <c r="C401" s="425"/>
      <c r="D401" s="424">
        <f t="shared" si="18"/>
        <v>0</v>
      </c>
      <c r="E401" s="438">
        <f t="shared" si="19"/>
        <v>2.5062855099878264E-2</v>
      </c>
      <c r="F401" s="424">
        <f t="shared" si="20"/>
        <v>0</v>
      </c>
    </row>
    <row r="402" spans="1:6">
      <c r="B402" t="s">
        <v>198</v>
      </c>
      <c r="C402" s="425"/>
      <c r="D402" s="424">
        <f t="shared" si="18"/>
        <v>0</v>
      </c>
      <c r="E402" s="438">
        <f t="shared" si="19"/>
        <v>2.5062855099878264E-2</v>
      </c>
      <c r="F402" s="424">
        <f t="shared" si="20"/>
        <v>0</v>
      </c>
    </row>
    <row r="403" spans="1:6">
      <c r="A403">
        <v>7470</v>
      </c>
      <c r="B403" t="s">
        <v>368</v>
      </c>
      <c r="C403" s="425"/>
      <c r="D403" s="424">
        <f t="shared" si="18"/>
        <v>0</v>
      </c>
      <c r="E403" s="438">
        <f t="shared" si="19"/>
        <v>2.5062855099878264E-2</v>
      </c>
      <c r="F403" s="424">
        <f t="shared" si="20"/>
        <v>0</v>
      </c>
    </row>
    <row r="404" spans="1:6">
      <c r="A404">
        <v>7475</v>
      </c>
      <c r="B404" t="s">
        <v>369</v>
      </c>
      <c r="C404" s="425"/>
      <c r="D404" s="424">
        <f t="shared" si="18"/>
        <v>0</v>
      </c>
      <c r="E404" s="438">
        <f t="shared" si="19"/>
        <v>2.5062855099878264E-2</v>
      </c>
      <c r="F404" s="424">
        <f t="shared" si="20"/>
        <v>0</v>
      </c>
    </row>
    <row r="405" spans="1:6">
      <c r="A405">
        <v>7480</v>
      </c>
      <c r="B405" t="s">
        <v>370</v>
      </c>
      <c r="C405" s="425"/>
      <c r="D405" s="424">
        <f t="shared" si="18"/>
        <v>0</v>
      </c>
      <c r="E405" s="438">
        <f t="shared" si="19"/>
        <v>2.5062855099878264E-2</v>
      </c>
      <c r="F405" s="424">
        <f t="shared" si="20"/>
        <v>0</v>
      </c>
    </row>
    <row r="406" spans="1:6">
      <c r="A406">
        <v>7485</v>
      </c>
      <c r="B406" t="s">
        <v>371</v>
      </c>
      <c r="C406" s="425"/>
      <c r="D406" s="424">
        <f t="shared" si="18"/>
        <v>0</v>
      </c>
      <c r="E406" s="438">
        <f t="shared" si="19"/>
        <v>2.5062855099878264E-2</v>
      </c>
      <c r="F406" s="424">
        <f t="shared" si="20"/>
        <v>0</v>
      </c>
    </row>
    <row r="407" spans="1:6">
      <c r="B407" t="s">
        <v>198</v>
      </c>
      <c r="C407" s="425"/>
      <c r="D407" s="424">
        <f t="shared" si="18"/>
        <v>0</v>
      </c>
      <c r="E407" s="438">
        <f t="shared" si="19"/>
        <v>2.5062855099878264E-2</v>
      </c>
      <c r="F407" s="424">
        <f t="shared" si="20"/>
        <v>0</v>
      </c>
    </row>
    <row r="408" spans="1:6">
      <c r="A408">
        <v>7495</v>
      </c>
      <c r="B408" t="s">
        <v>372</v>
      </c>
      <c r="C408" s="425"/>
      <c r="D408" s="424">
        <f t="shared" si="18"/>
        <v>0</v>
      </c>
      <c r="E408" s="438">
        <f t="shared" si="19"/>
        <v>2.5062855099878264E-2</v>
      </c>
      <c r="F408" s="424">
        <f t="shared" si="20"/>
        <v>0</v>
      </c>
    </row>
    <row r="409" spans="1:6">
      <c r="B409" t="s">
        <v>190</v>
      </c>
      <c r="C409" s="425">
        <v>520068.56</v>
      </c>
      <c r="D409" s="424">
        <f t="shared" si="18"/>
        <v>520068.56</v>
      </c>
      <c r="E409" s="438">
        <f t="shared" si="19"/>
        <v>2.5062855099878264E-2</v>
      </c>
      <c r="F409" s="424">
        <f t="shared" si="20"/>
        <v>13034.402961282345</v>
      </c>
    </row>
    <row r="410" spans="1:6">
      <c r="B410" t="s">
        <v>199</v>
      </c>
      <c r="C410" s="425"/>
      <c r="D410" s="424">
        <f t="shared" si="18"/>
        <v>0</v>
      </c>
      <c r="E410" s="438">
        <f t="shared" si="19"/>
        <v>2.5062855099878264E-2</v>
      </c>
      <c r="F410" s="424">
        <f t="shared" si="20"/>
        <v>0</v>
      </c>
    </row>
    <row r="411" spans="1:6">
      <c r="B411" t="s">
        <v>200</v>
      </c>
      <c r="C411" s="425"/>
      <c r="D411" s="424">
        <f t="shared" si="18"/>
        <v>0</v>
      </c>
      <c r="E411" s="438">
        <f t="shared" si="19"/>
        <v>2.5062855099878264E-2</v>
      </c>
      <c r="F411" s="424">
        <f t="shared" si="20"/>
        <v>0</v>
      </c>
    </row>
    <row r="412" spans="1:6">
      <c r="A412">
        <v>7510</v>
      </c>
      <c r="B412" t="s">
        <v>373</v>
      </c>
      <c r="C412" s="425">
        <v>108501.64</v>
      </c>
      <c r="D412" s="424">
        <f t="shared" si="18"/>
        <v>108501.64</v>
      </c>
      <c r="E412" s="438">
        <f t="shared" si="19"/>
        <v>2.5062855099878264E-2</v>
      </c>
      <c r="F412" s="424">
        <f t="shared" si="20"/>
        <v>2719.3608814191552</v>
      </c>
    </row>
    <row r="413" spans="1:6">
      <c r="A413">
        <v>7515</v>
      </c>
      <c r="B413" t="s">
        <v>374</v>
      </c>
      <c r="C413" s="425">
        <v>3673.85</v>
      </c>
      <c r="D413" s="424">
        <f t="shared" si="18"/>
        <v>3673.85</v>
      </c>
      <c r="E413" s="438">
        <f t="shared" si="19"/>
        <v>2.5062855099878264E-2</v>
      </c>
      <c r="F413" s="424">
        <f t="shared" si="20"/>
        <v>92.077170208687761</v>
      </c>
    </row>
    <row r="414" spans="1:6">
      <c r="A414">
        <v>7520</v>
      </c>
      <c r="B414" t="s">
        <v>375</v>
      </c>
      <c r="C414" s="425">
        <v>20767.36</v>
      </c>
      <c r="D414" s="424">
        <f t="shared" si="18"/>
        <v>20767.36</v>
      </c>
      <c r="E414" s="438">
        <f t="shared" si="19"/>
        <v>2.5062855099878264E-2</v>
      </c>
      <c r="F414" s="424">
        <f t="shared" si="20"/>
        <v>520.48933448700791</v>
      </c>
    </row>
    <row r="415" spans="1:6">
      <c r="B415" t="s">
        <v>200</v>
      </c>
      <c r="C415" s="425">
        <v>132942.85</v>
      </c>
      <c r="D415" s="424">
        <f t="shared" si="18"/>
        <v>132942.85</v>
      </c>
      <c r="E415" s="438">
        <f t="shared" si="19"/>
        <v>2.5062855099878264E-2</v>
      </c>
      <c r="F415" s="424">
        <f t="shared" si="20"/>
        <v>3331.9273861148513</v>
      </c>
    </row>
    <row r="416" spans="1:6">
      <c r="B416" t="s">
        <v>201</v>
      </c>
      <c r="C416" s="425"/>
      <c r="D416" s="424">
        <f t="shared" si="18"/>
        <v>0</v>
      </c>
      <c r="E416" s="438">
        <f t="shared" si="19"/>
        <v>2.5062855099878264E-2</v>
      </c>
      <c r="F416" s="424">
        <f t="shared" si="20"/>
        <v>0</v>
      </c>
    </row>
    <row r="417" spans="1:6">
      <c r="A417">
        <v>7535</v>
      </c>
      <c r="B417" t="s">
        <v>376</v>
      </c>
      <c r="C417" s="425">
        <v>60</v>
      </c>
      <c r="D417" s="424">
        <f t="shared" si="18"/>
        <v>60</v>
      </c>
      <c r="E417" s="438">
        <f t="shared" si="19"/>
        <v>2.5062855099878264E-2</v>
      </c>
      <c r="F417" s="424">
        <f t="shared" si="20"/>
        <v>1.5037713059926958</v>
      </c>
    </row>
    <row r="418" spans="1:6">
      <c r="A418">
        <v>7540</v>
      </c>
      <c r="B418" t="s">
        <v>377</v>
      </c>
      <c r="C418" s="425"/>
      <c r="D418" s="424">
        <f t="shared" si="18"/>
        <v>0</v>
      </c>
      <c r="E418" s="438">
        <f t="shared" si="19"/>
        <v>2.5062855099878264E-2</v>
      </c>
      <c r="F418" s="424">
        <f t="shared" si="20"/>
        <v>0</v>
      </c>
    </row>
    <row r="419" spans="1:6">
      <c r="A419">
        <v>7545</v>
      </c>
      <c r="B419" t="s">
        <v>378</v>
      </c>
      <c r="C419" s="425"/>
      <c r="D419" s="424">
        <f t="shared" si="18"/>
        <v>0</v>
      </c>
      <c r="E419" s="438">
        <f t="shared" si="19"/>
        <v>2.5062855099878264E-2</v>
      </c>
      <c r="F419" s="424">
        <f t="shared" si="20"/>
        <v>0</v>
      </c>
    </row>
    <row r="420" spans="1:6">
      <c r="A420">
        <v>7550</v>
      </c>
      <c r="B420" t="s">
        <v>379</v>
      </c>
      <c r="C420" s="425">
        <v>-16134.29</v>
      </c>
      <c r="D420" s="424">
        <f t="shared" si="18"/>
        <v>-16134.29</v>
      </c>
      <c r="E420" s="438">
        <f t="shared" si="19"/>
        <v>2.5062855099878264E-2</v>
      </c>
      <c r="F420" s="424">
        <f t="shared" si="20"/>
        <v>-404.3713724094149</v>
      </c>
    </row>
    <row r="421" spans="1:6">
      <c r="A421">
        <v>7555</v>
      </c>
      <c r="B421" t="s">
        <v>380</v>
      </c>
      <c r="C421" s="425">
        <v>33911.29</v>
      </c>
      <c r="D421" s="424">
        <f t="shared" si="18"/>
        <v>33911.29</v>
      </c>
      <c r="E421" s="438">
        <f t="shared" si="19"/>
        <v>2.5062855099878264E-2</v>
      </c>
      <c r="F421" s="424">
        <f t="shared" si="20"/>
        <v>849.91374751995079</v>
      </c>
    </row>
    <row r="422" spans="1:6">
      <c r="A422">
        <v>7560</v>
      </c>
      <c r="B422" t="s">
        <v>381</v>
      </c>
      <c r="C422" s="425"/>
      <c r="D422" s="424">
        <f t="shared" si="18"/>
        <v>0</v>
      </c>
      <c r="E422" s="438">
        <f t="shared" si="19"/>
        <v>2.5062855099878264E-2</v>
      </c>
      <c r="F422" s="424">
        <f t="shared" si="20"/>
        <v>0</v>
      </c>
    </row>
    <row r="423" spans="1:6">
      <c r="A423">
        <v>7565</v>
      </c>
      <c r="B423" t="s">
        <v>382</v>
      </c>
      <c r="C423" s="425"/>
      <c r="D423" s="424">
        <f t="shared" si="18"/>
        <v>0</v>
      </c>
      <c r="E423" s="438">
        <f t="shared" si="19"/>
        <v>2.5062855099878264E-2</v>
      </c>
      <c r="F423" s="424">
        <f t="shared" si="20"/>
        <v>0</v>
      </c>
    </row>
    <row r="424" spans="1:6">
      <c r="A424">
        <v>7570</v>
      </c>
      <c r="B424" t="s">
        <v>383</v>
      </c>
      <c r="C424" s="425"/>
      <c r="D424" s="424">
        <f t="shared" si="18"/>
        <v>0</v>
      </c>
      <c r="E424" s="438">
        <f t="shared" si="19"/>
        <v>2.5062855099878264E-2</v>
      </c>
      <c r="F424" s="424">
        <f t="shared" si="20"/>
        <v>0</v>
      </c>
    </row>
    <row r="425" spans="1:6">
      <c r="B425" t="s">
        <v>201</v>
      </c>
      <c r="C425" s="425">
        <v>17837</v>
      </c>
      <c r="D425" s="424">
        <f t="shared" si="18"/>
        <v>17837</v>
      </c>
      <c r="E425" s="438">
        <f t="shared" si="19"/>
        <v>2.5062855099878264E-2</v>
      </c>
      <c r="F425" s="424">
        <f t="shared" si="20"/>
        <v>447.04614641652859</v>
      </c>
    </row>
    <row r="426" spans="1:6">
      <c r="B426" t="s">
        <v>199</v>
      </c>
      <c r="C426" s="425">
        <v>150779.85</v>
      </c>
      <c r="D426" s="424">
        <f t="shared" si="18"/>
        <v>150779.85</v>
      </c>
      <c r="E426" s="438">
        <f t="shared" si="19"/>
        <v>2.5062855099878264E-2</v>
      </c>
      <c r="F426" s="424">
        <f t="shared" si="20"/>
        <v>3778.97353253138</v>
      </c>
    </row>
    <row r="427" spans="1:6">
      <c r="B427" t="s">
        <v>202</v>
      </c>
      <c r="C427" s="425"/>
      <c r="D427" s="424">
        <f t="shared" si="18"/>
        <v>0</v>
      </c>
      <c r="E427" s="438">
        <f t="shared" si="19"/>
        <v>2.5062855099878264E-2</v>
      </c>
      <c r="F427" s="424">
        <f t="shared" si="20"/>
        <v>0</v>
      </c>
    </row>
    <row r="428" spans="1:6">
      <c r="A428">
        <v>7585</v>
      </c>
      <c r="B428" t="s">
        <v>384</v>
      </c>
      <c r="C428" s="425"/>
      <c r="D428" s="424">
        <f t="shared" si="18"/>
        <v>0</v>
      </c>
      <c r="E428" s="438">
        <f t="shared" si="19"/>
        <v>2.5062855099878264E-2</v>
      </c>
      <c r="F428" s="424">
        <f t="shared" si="20"/>
        <v>0</v>
      </c>
    </row>
    <row r="429" spans="1:6">
      <c r="A429">
        <v>7590</v>
      </c>
      <c r="B429" t="s">
        <v>385</v>
      </c>
      <c r="C429" s="425"/>
      <c r="D429" s="424">
        <f t="shared" si="18"/>
        <v>0</v>
      </c>
      <c r="E429" s="438">
        <f t="shared" si="19"/>
        <v>2.5062855099878264E-2</v>
      </c>
      <c r="F429" s="424">
        <f t="shared" si="20"/>
        <v>0</v>
      </c>
    </row>
    <row r="430" spans="1:6">
      <c r="A430">
        <v>7595</v>
      </c>
      <c r="B430" t="s">
        <v>386</v>
      </c>
      <c r="C430" s="425"/>
      <c r="D430" s="424">
        <f t="shared" si="18"/>
        <v>0</v>
      </c>
      <c r="E430" s="438">
        <f t="shared" si="19"/>
        <v>2.5062855099878264E-2</v>
      </c>
      <c r="F430" s="424">
        <f t="shared" si="20"/>
        <v>0</v>
      </c>
    </row>
    <row r="431" spans="1:6">
      <c r="A431">
        <v>7600</v>
      </c>
      <c r="B431" t="s">
        <v>387</v>
      </c>
      <c r="C431" s="425"/>
      <c r="D431" s="424">
        <f t="shared" si="18"/>
        <v>0</v>
      </c>
      <c r="E431" s="438">
        <f t="shared" si="19"/>
        <v>2.5062855099878264E-2</v>
      </c>
      <c r="F431" s="424">
        <f t="shared" si="20"/>
        <v>0</v>
      </c>
    </row>
    <row r="432" spans="1:6">
      <c r="A432">
        <v>7605</v>
      </c>
      <c r="B432" t="s">
        <v>388</v>
      </c>
      <c r="C432" s="425"/>
      <c r="D432" s="424">
        <f t="shared" si="18"/>
        <v>0</v>
      </c>
      <c r="E432" s="438">
        <f t="shared" si="19"/>
        <v>2.5062855099878264E-2</v>
      </c>
      <c r="F432" s="424">
        <f t="shared" si="20"/>
        <v>0</v>
      </c>
    </row>
    <row r="433" spans="1:6">
      <c r="A433">
        <v>7610</v>
      </c>
      <c r="B433" t="s">
        <v>389</v>
      </c>
      <c r="C433" s="425"/>
      <c r="D433" s="424">
        <f t="shared" si="18"/>
        <v>0</v>
      </c>
      <c r="E433" s="438">
        <f t="shared" si="19"/>
        <v>2.5062855099878264E-2</v>
      </c>
      <c r="F433" s="424">
        <f t="shared" si="20"/>
        <v>0</v>
      </c>
    </row>
    <row r="434" spans="1:6">
      <c r="B434" t="s">
        <v>202</v>
      </c>
      <c r="C434" s="425"/>
      <c r="D434" s="424">
        <f t="shared" si="18"/>
        <v>0</v>
      </c>
      <c r="E434" s="438">
        <f t="shared" si="19"/>
        <v>2.5062855099878264E-2</v>
      </c>
      <c r="F434" s="424">
        <f t="shared" si="20"/>
        <v>0</v>
      </c>
    </row>
    <row r="435" spans="1:6">
      <c r="B435" t="s">
        <v>165</v>
      </c>
      <c r="C435" s="425">
        <v>5612356.9900000002</v>
      </c>
      <c r="D435" s="424">
        <f t="shared" si="18"/>
        <v>5612356.9900000002</v>
      </c>
      <c r="E435" s="438">
        <f t="shared" si="19"/>
        <v>2.5062855099878264E-2</v>
      </c>
      <c r="F435" s="424">
        <f t="shared" si="20"/>
        <v>140661.69000915892</v>
      </c>
    </row>
    <row r="436" spans="1:6">
      <c r="B436" t="s">
        <v>164</v>
      </c>
      <c r="C436" s="425">
        <v>5612356.9900000002</v>
      </c>
      <c r="D436" s="424">
        <f t="shared" si="18"/>
        <v>5612356.9900000002</v>
      </c>
      <c r="E436" s="438">
        <f t="shared" si="19"/>
        <v>2.5062855099878264E-2</v>
      </c>
      <c r="F436" s="424">
        <f t="shared" si="20"/>
        <v>140661.69000915892</v>
      </c>
    </row>
    <row r="437" spans="1:6">
      <c r="B437" t="s">
        <v>203</v>
      </c>
      <c r="C437" s="425"/>
      <c r="D437" s="424">
        <f t="shared" si="18"/>
        <v>0</v>
      </c>
      <c r="E437" s="438">
        <f t="shared" si="19"/>
        <v>2.5062855099878264E-2</v>
      </c>
      <c r="F437" s="424">
        <f t="shared" si="20"/>
        <v>0</v>
      </c>
    </row>
    <row r="438" spans="1:6">
      <c r="B438" t="s">
        <v>204</v>
      </c>
      <c r="C438" s="425"/>
      <c r="D438" s="424">
        <f t="shared" si="18"/>
        <v>0</v>
      </c>
      <c r="E438" s="438">
        <f t="shared" si="19"/>
        <v>2.5062855099878264E-2</v>
      </c>
      <c r="F438" s="424">
        <f t="shared" si="20"/>
        <v>0</v>
      </c>
    </row>
    <row r="439" spans="1:6">
      <c r="B439" t="s">
        <v>205</v>
      </c>
      <c r="C439" s="425"/>
      <c r="D439" s="424">
        <f t="shared" si="18"/>
        <v>0</v>
      </c>
      <c r="E439" s="438">
        <f t="shared" si="19"/>
        <v>2.5062855099878264E-2</v>
      </c>
      <c r="F439" s="424">
        <f t="shared" si="20"/>
        <v>0</v>
      </c>
    </row>
    <row r="440" spans="1:6">
      <c r="A440">
        <v>7635</v>
      </c>
      <c r="B440" t="s">
        <v>390</v>
      </c>
      <c r="C440" s="425"/>
      <c r="D440" s="424">
        <f t="shared" si="18"/>
        <v>0</v>
      </c>
      <c r="E440" s="438">
        <f t="shared" si="19"/>
        <v>2.5062855099878264E-2</v>
      </c>
      <c r="F440" s="424">
        <f t="shared" si="20"/>
        <v>0</v>
      </c>
    </row>
    <row r="441" spans="1:6">
      <c r="A441">
        <v>7640</v>
      </c>
      <c r="B441" t="s">
        <v>391</v>
      </c>
      <c r="C441" s="425"/>
      <c r="D441" s="424">
        <f t="shared" si="18"/>
        <v>0</v>
      </c>
      <c r="E441" s="438">
        <f t="shared" si="19"/>
        <v>2.5062855099878264E-2</v>
      </c>
      <c r="F441" s="424">
        <f t="shared" si="20"/>
        <v>0</v>
      </c>
    </row>
    <row r="442" spans="1:6">
      <c r="A442">
        <v>7645</v>
      </c>
      <c r="B442" t="s">
        <v>472</v>
      </c>
      <c r="C442" s="425"/>
      <c r="D442" s="424">
        <f t="shared" si="18"/>
        <v>0</v>
      </c>
      <c r="E442" s="438">
        <f t="shared" si="19"/>
        <v>2.5062855099878264E-2</v>
      </c>
      <c r="F442" s="424">
        <f t="shared" si="20"/>
        <v>0</v>
      </c>
    </row>
    <row r="443" spans="1:6">
      <c r="B443" t="s">
        <v>206</v>
      </c>
      <c r="C443" s="425"/>
      <c r="D443" s="424">
        <f t="shared" si="18"/>
        <v>0</v>
      </c>
      <c r="E443" s="438">
        <f t="shared" si="19"/>
        <v>2.5062855099878264E-2</v>
      </c>
      <c r="F443" s="424">
        <f t="shared" si="20"/>
        <v>0</v>
      </c>
    </row>
    <row r="444" spans="1:6">
      <c r="A444">
        <v>7655</v>
      </c>
      <c r="B444" t="s">
        <v>473</v>
      </c>
      <c r="C444" s="425"/>
      <c r="D444" s="424">
        <f t="shared" si="18"/>
        <v>0</v>
      </c>
      <c r="E444" s="438">
        <f t="shared" si="19"/>
        <v>2.5062855099878264E-2</v>
      </c>
      <c r="F444" s="424">
        <f t="shared" si="20"/>
        <v>0</v>
      </c>
    </row>
    <row r="445" spans="1:6">
      <c r="A445">
        <v>7660</v>
      </c>
      <c r="B445" t="s">
        <v>474</v>
      </c>
      <c r="C445" s="425"/>
      <c r="D445" s="424">
        <f t="shared" si="18"/>
        <v>0</v>
      </c>
      <c r="E445" s="438">
        <f t="shared" si="19"/>
        <v>2.5062855099878264E-2</v>
      </c>
      <c r="F445" s="424">
        <f t="shared" si="20"/>
        <v>0</v>
      </c>
    </row>
    <row r="446" spans="1:6">
      <c r="A446">
        <v>7665</v>
      </c>
      <c r="B446" t="s">
        <v>475</v>
      </c>
      <c r="C446" s="425"/>
      <c r="D446" s="424">
        <f t="shared" si="18"/>
        <v>0</v>
      </c>
      <c r="E446" s="438">
        <f t="shared" si="19"/>
        <v>2.5062855099878264E-2</v>
      </c>
      <c r="F446" s="424">
        <f t="shared" si="20"/>
        <v>0</v>
      </c>
    </row>
    <row r="447" spans="1:6">
      <c r="A447">
        <v>7670</v>
      </c>
      <c r="B447" t="s">
        <v>476</v>
      </c>
      <c r="C447" s="425"/>
      <c r="D447" s="424">
        <f t="shared" si="18"/>
        <v>0</v>
      </c>
      <c r="E447" s="438">
        <f t="shared" si="19"/>
        <v>2.5062855099878264E-2</v>
      </c>
      <c r="F447" s="424">
        <f t="shared" si="20"/>
        <v>0</v>
      </c>
    </row>
    <row r="448" spans="1:6">
      <c r="B448" t="s">
        <v>206</v>
      </c>
      <c r="C448" s="425"/>
      <c r="D448" s="424">
        <f t="shared" si="18"/>
        <v>0</v>
      </c>
      <c r="E448" s="438">
        <f t="shared" si="19"/>
        <v>2.5062855099878264E-2</v>
      </c>
      <c r="F448" s="424">
        <f t="shared" si="20"/>
        <v>0</v>
      </c>
    </row>
    <row r="449" spans="1:6">
      <c r="B449" t="s">
        <v>207</v>
      </c>
      <c r="C449" s="425"/>
      <c r="D449" s="424">
        <f t="shared" si="18"/>
        <v>0</v>
      </c>
      <c r="E449" s="438">
        <f t="shared" si="19"/>
        <v>2.5062855099878264E-2</v>
      </c>
      <c r="F449" s="424">
        <f t="shared" si="20"/>
        <v>0</v>
      </c>
    </row>
    <row r="450" spans="1:6">
      <c r="A450">
        <v>7680</v>
      </c>
      <c r="B450" t="s">
        <v>477</v>
      </c>
      <c r="C450" s="425"/>
      <c r="D450" s="424">
        <f t="shared" si="18"/>
        <v>0</v>
      </c>
      <c r="E450" s="438">
        <f t="shared" si="19"/>
        <v>2.5062855099878264E-2</v>
      </c>
      <c r="F450" s="424">
        <f t="shared" si="20"/>
        <v>0</v>
      </c>
    </row>
    <row r="451" spans="1:6">
      <c r="A451">
        <v>7685</v>
      </c>
      <c r="B451" t="s">
        <v>478</v>
      </c>
      <c r="C451" s="425"/>
      <c r="D451" s="424">
        <f t="shared" si="18"/>
        <v>0</v>
      </c>
      <c r="E451" s="438">
        <f t="shared" si="19"/>
        <v>2.5062855099878264E-2</v>
      </c>
      <c r="F451" s="424">
        <f t="shared" si="20"/>
        <v>0</v>
      </c>
    </row>
    <row r="452" spans="1:6">
      <c r="A452">
        <v>7690</v>
      </c>
      <c r="B452" t="s">
        <v>479</v>
      </c>
      <c r="C452" s="425"/>
      <c r="D452" s="424">
        <f t="shared" si="18"/>
        <v>0</v>
      </c>
      <c r="E452" s="438">
        <f t="shared" si="19"/>
        <v>2.5062855099878264E-2</v>
      </c>
      <c r="F452" s="424">
        <f t="shared" si="20"/>
        <v>0</v>
      </c>
    </row>
    <row r="453" spans="1:6">
      <c r="A453">
        <v>7691</v>
      </c>
      <c r="B453" t="s">
        <v>480</v>
      </c>
      <c r="C453" s="425"/>
      <c r="D453" s="424">
        <f t="shared" si="18"/>
        <v>0</v>
      </c>
      <c r="E453" s="438">
        <f t="shared" si="19"/>
        <v>2.5062855099878264E-2</v>
      </c>
      <c r="F453" s="424">
        <f t="shared" si="20"/>
        <v>0</v>
      </c>
    </row>
    <row r="454" spans="1:6">
      <c r="A454">
        <v>7692</v>
      </c>
      <c r="B454" t="s">
        <v>481</v>
      </c>
      <c r="C454" s="425"/>
      <c r="D454" s="424">
        <f t="shared" ref="D454:D513" si="21">C454</f>
        <v>0</v>
      </c>
      <c r="E454" s="438">
        <f t="shared" ref="E454:E513" si="22">E$3</f>
        <v>2.5062855099878264E-2</v>
      </c>
      <c r="F454" s="424">
        <f t="shared" ref="F454:F513" si="23">E454*D454</f>
        <v>0</v>
      </c>
    </row>
    <row r="455" spans="1:6">
      <c r="A455">
        <v>7693</v>
      </c>
      <c r="B455" t="s">
        <v>482</v>
      </c>
      <c r="C455" s="425"/>
      <c r="D455" s="424">
        <f t="shared" si="21"/>
        <v>0</v>
      </c>
      <c r="E455" s="438">
        <f t="shared" si="22"/>
        <v>2.5062855099878264E-2</v>
      </c>
      <c r="F455" s="424">
        <f t="shared" si="23"/>
        <v>0</v>
      </c>
    </row>
    <row r="456" spans="1:6">
      <c r="B456" t="s">
        <v>207</v>
      </c>
      <c r="C456" s="425"/>
      <c r="D456" s="424">
        <f t="shared" si="21"/>
        <v>0</v>
      </c>
      <c r="E456" s="438">
        <f t="shared" si="22"/>
        <v>2.5062855099878264E-2</v>
      </c>
      <c r="F456" s="424">
        <f t="shared" si="23"/>
        <v>0</v>
      </c>
    </row>
    <row r="457" spans="1:6">
      <c r="B457" t="s">
        <v>205</v>
      </c>
      <c r="C457" s="425"/>
      <c r="D457" s="424">
        <f t="shared" si="21"/>
        <v>0</v>
      </c>
      <c r="E457" s="438">
        <f t="shared" si="22"/>
        <v>2.5062855099878264E-2</v>
      </c>
      <c r="F457" s="424">
        <f t="shared" si="23"/>
        <v>0</v>
      </c>
    </row>
    <row r="458" spans="1:6">
      <c r="B458" t="s">
        <v>204</v>
      </c>
      <c r="C458" s="425"/>
      <c r="D458" s="424">
        <f t="shared" si="21"/>
        <v>0</v>
      </c>
      <c r="E458" s="438">
        <f t="shared" si="22"/>
        <v>2.5062855099878264E-2</v>
      </c>
      <c r="F458" s="424">
        <f t="shared" si="23"/>
        <v>0</v>
      </c>
    </row>
    <row r="459" spans="1:6">
      <c r="B459" t="s">
        <v>208</v>
      </c>
      <c r="C459" s="425"/>
      <c r="D459" s="424">
        <f t="shared" si="21"/>
        <v>0</v>
      </c>
      <c r="E459" s="438">
        <f t="shared" si="22"/>
        <v>2.5062855099878264E-2</v>
      </c>
      <c r="F459" s="424">
        <f t="shared" si="23"/>
        <v>0</v>
      </c>
    </row>
    <row r="460" spans="1:6">
      <c r="B460" t="s">
        <v>209</v>
      </c>
      <c r="C460" s="425"/>
      <c r="D460" s="424">
        <f t="shared" si="21"/>
        <v>0</v>
      </c>
      <c r="E460" s="438">
        <f t="shared" si="22"/>
        <v>2.5062855099878264E-2</v>
      </c>
      <c r="F460" s="424">
        <f t="shared" si="23"/>
        <v>0</v>
      </c>
    </row>
    <row r="461" spans="1:6">
      <c r="A461">
        <v>7705</v>
      </c>
      <c r="B461" t="s">
        <v>483</v>
      </c>
      <c r="C461" s="425"/>
      <c r="D461" s="424">
        <f t="shared" si="21"/>
        <v>0</v>
      </c>
      <c r="E461" s="438">
        <f t="shared" si="22"/>
        <v>2.5062855099878264E-2</v>
      </c>
      <c r="F461" s="424">
        <f t="shared" si="23"/>
        <v>0</v>
      </c>
    </row>
    <row r="462" spans="1:6">
      <c r="A462">
        <v>7710</v>
      </c>
      <c r="B462" t="s">
        <v>484</v>
      </c>
      <c r="C462" s="425"/>
      <c r="D462" s="424">
        <f t="shared" si="21"/>
        <v>0</v>
      </c>
      <c r="E462" s="438">
        <f t="shared" si="22"/>
        <v>2.5062855099878264E-2</v>
      </c>
      <c r="F462" s="424">
        <f t="shared" si="23"/>
        <v>0</v>
      </c>
    </row>
    <row r="463" spans="1:6">
      <c r="B463" t="s">
        <v>210</v>
      </c>
      <c r="C463" s="425"/>
      <c r="D463" s="424">
        <f t="shared" si="21"/>
        <v>0</v>
      </c>
      <c r="E463" s="438">
        <f t="shared" si="22"/>
        <v>2.5062855099878264E-2</v>
      </c>
      <c r="F463" s="424">
        <f t="shared" si="23"/>
        <v>0</v>
      </c>
    </row>
    <row r="464" spans="1:6">
      <c r="A464">
        <v>7720</v>
      </c>
      <c r="B464" t="s">
        <v>485</v>
      </c>
      <c r="C464" s="425"/>
      <c r="D464" s="424">
        <f t="shared" si="21"/>
        <v>0</v>
      </c>
      <c r="E464" s="438">
        <f t="shared" si="22"/>
        <v>2.5062855099878264E-2</v>
      </c>
      <c r="F464" s="424">
        <f t="shared" si="23"/>
        <v>0</v>
      </c>
    </row>
    <row r="465" spans="1:6">
      <c r="A465">
        <v>7720</v>
      </c>
      <c r="B465" t="s">
        <v>486</v>
      </c>
      <c r="C465" s="425"/>
      <c r="D465" s="424">
        <f t="shared" si="21"/>
        <v>0</v>
      </c>
      <c r="E465" s="438">
        <f t="shared" si="22"/>
        <v>2.5062855099878264E-2</v>
      </c>
      <c r="F465" s="424">
        <f t="shared" si="23"/>
        <v>0</v>
      </c>
    </row>
    <row r="466" spans="1:6">
      <c r="A466">
        <v>7720</v>
      </c>
      <c r="B466" t="s">
        <v>487</v>
      </c>
      <c r="C466" s="425"/>
      <c r="D466" s="424">
        <f t="shared" si="21"/>
        <v>0</v>
      </c>
      <c r="E466" s="438">
        <f t="shared" si="22"/>
        <v>2.5062855099878264E-2</v>
      </c>
      <c r="F466" s="424">
        <f t="shared" si="23"/>
        <v>0</v>
      </c>
    </row>
    <row r="467" spans="1:6">
      <c r="A467">
        <v>7720</v>
      </c>
      <c r="B467" t="s">
        <v>488</v>
      </c>
      <c r="C467" s="425"/>
      <c r="D467" s="424">
        <f t="shared" si="21"/>
        <v>0</v>
      </c>
      <c r="E467" s="438">
        <f t="shared" si="22"/>
        <v>2.5062855099878264E-2</v>
      </c>
      <c r="F467" s="424">
        <f t="shared" si="23"/>
        <v>0</v>
      </c>
    </row>
    <row r="468" spans="1:6">
      <c r="A468">
        <v>7720</v>
      </c>
      <c r="B468" t="s">
        <v>489</v>
      </c>
      <c r="C468" s="425"/>
      <c r="D468" s="424">
        <f t="shared" si="21"/>
        <v>0</v>
      </c>
      <c r="E468" s="438">
        <f t="shared" si="22"/>
        <v>2.5062855099878264E-2</v>
      </c>
      <c r="F468" s="424">
        <f t="shared" si="23"/>
        <v>0</v>
      </c>
    </row>
    <row r="469" spans="1:6">
      <c r="A469">
        <v>7720</v>
      </c>
      <c r="B469" t="s">
        <v>490</v>
      </c>
      <c r="C469" s="425"/>
      <c r="D469" s="424">
        <f t="shared" si="21"/>
        <v>0</v>
      </c>
      <c r="E469" s="438">
        <f t="shared" si="22"/>
        <v>2.5062855099878264E-2</v>
      </c>
      <c r="F469" s="424">
        <f t="shared" si="23"/>
        <v>0</v>
      </c>
    </row>
    <row r="470" spans="1:6">
      <c r="A470">
        <v>7720</v>
      </c>
      <c r="B470" t="s">
        <v>491</v>
      </c>
      <c r="C470" s="425"/>
      <c r="D470" s="424">
        <f t="shared" si="21"/>
        <v>0</v>
      </c>
      <c r="E470" s="438">
        <f t="shared" si="22"/>
        <v>2.5062855099878264E-2</v>
      </c>
      <c r="F470" s="424">
        <f t="shared" si="23"/>
        <v>0</v>
      </c>
    </row>
    <row r="471" spans="1:6">
      <c r="A471">
        <v>7720</v>
      </c>
      <c r="B471" t="s">
        <v>492</v>
      </c>
      <c r="C471" s="425"/>
      <c r="D471" s="424">
        <f t="shared" si="21"/>
        <v>0</v>
      </c>
      <c r="E471" s="438">
        <f t="shared" si="22"/>
        <v>2.5062855099878264E-2</v>
      </c>
      <c r="F471" s="424">
        <f t="shared" si="23"/>
        <v>0</v>
      </c>
    </row>
    <row r="472" spans="1:6">
      <c r="A472">
        <v>7720</v>
      </c>
      <c r="B472" t="s">
        <v>493</v>
      </c>
      <c r="C472" s="425"/>
      <c r="D472" s="424">
        <f t="shared" si="21"/>
        <v>0</v>
      </c>
      <c r="E472" s="438">
        <f t="shared" si="22"/>
        <v>2.5062855099878264E-2</v>
      </c>
      <c r="F472" s="424">
        <f t="shared" si="23"/>
        <v>0</v>
      </c>
    </row>
    <row r="473" spans="1:6">
      <c r="A473">
        <v>7720</v>
      </c>
      <c r="B473" t="s">
        <v>494</v>
      </c>
      <c r="C473" s="425"/>
      <c r="D473" s="424">
        <f t="shared" si="21"/>
        <v>0</v>
      </c>
      <c r="E473" s="438">
        <f t="shared" si="22"/>
        <v>2.5062855099878264E-2</v>
      </c>
      <c r="F473" s="424">
        <f t="shared" si="23"/>
        <v>0</v>
      </c>
    </row>
    <row r="474" spans="1:6">
      <c r="A474">
        <v>7720</v>
      </c>
      <c r="B474" t="s">
        <v>860</v>
      </c>
      <c r="C474" s="425"/>
      <c r="D474" s="424">
        <f t="shared" si="21"/>
        <v>0</v>
      </c>
      <c r="E474" s="438">
        <f t="shared" si="22"/>
        <v>2.5062855099878264E-2</v>
      </c>
      <c r="F474" s="424">
        <f t="shared" si="23"/>
        <v>0</v>
      </c>
    </row>
    <row r="475" spans="1:6">
      <c r="A475">
        <v>7720</v>
      </c>
      <c r="B475" t="s">
        <v>861</v>
      </c>
      <c r="C475" s="425"/>
      <c r="D475" s="424">
        <f t="shared" si="21"/>
        <v>0</v>
      </c>
      <c r="E475" s="438">
        <f t="shared" si="22"/>
        <v>2.5062855099878264E-2</v>
      </c>
      <c r="F475" s="424">
        <f t="shared" si="23"/>
        <v>0</v>
      </c>
    </row>
    <row r="476" spans="1:6">
      <c r="A476">
        <v>7720</v>
      </c>
      <c r="B476" t="s">
        <v>862</v>
      </c>
      <c r="C476" s="425"/>
      <c r="D476" s="424">
        <f t="shared" si="21"/>
        <v>0</v>
      </c>
      <c r="E476" s="438">
        <f t="shared" si="22"/>
        <v>2.5062855099878264E-2</v>
      </c>
      <c r="F476" s="424">
        <f t="shared" si="23"/>
        <v>0</v>
      </c>
    </row>
    <row r="477" spans="1:6">
      <c r="A477">
        <v>7720</v>
      </c>
      <c r="B477" t="s">
        <v>863</v>
      </c>
      <c r="C477" s="425"/>
      <c r="D477" s="424">
        <f t="shared" si="21"/>
        <v>0</v>
      </c>
      <c r="E477" s="438">
        <f t="shared" si="22"/>
        <v>2.5062855099878264E-2</v>
      </c>
      <c r="F477" s="424">
        <f t="shared" si="23"/>
        <v>0</v>
      </c>
    </row>
    <row r="478" spans="1:6">
      <c r="A478">
        <v>7720</v>
      </c>
      <c r="B478" t="s">
        <v>864</v>
      </c>
      <c r="C478" s="425"/>
      <c r="D478" s="424">
        <f t="shared" si="21"/>
        <v>0</v>
      </c>
      <c r="E478" s="438">
        <f t="shared" si="22"/>
        <v>2.5062855099878264E-2</v>
      </c>
      <c r="F478" s="424">
        <f t="shared" si="23"/>
        <v>0</v>
      </c>
    </row>
    <row r="479" spans="1:6">
      <c r="A479">
        <v>7720</v>
      </c>
      <c r="B479" t="s">
        <v>865</v>
      </c>
      <c r="C479" s="425"/>
      <c r="D479" s="424">
        <f t="shared" si="21"/>
        <v>0</v>
      </c>
      <c r="E479" s="438">
        <f t="shared" si="22"/>
        <v>2.5062855099878264E-2</v>
      </c>
      <c r="F479" s="424">
        <f t="shared" si="23"/>
        <v>0</v>
      </c>
    </row>
    <row r="480" spans="1:6">
      <c r="A480">
        <v>7720</v>
      </c>
      <c r="B480" t="s">
        <v>866</v>
      </c>
      <c r="C480" s="425"/>
      <c r="D480" s="424">
        <f t="shared" si="21"/>
        <v>0</v>
      </c>
      <c r="E480" s="438">
        <f t="shared" si="22"/>
        <v>2.5062855099878264E-2</v>
      </c>
      <c r="F480" s="424">
        <f t="shared" si="23"/>
        <v>0</v>
      </c>
    </row>
    <row r="481" spans="1:12">
      <c r="A481">
        <v>7720</v>
      </c>
      <c r="B481" t="s">
        <v>867</v>
      </c>
      <c r="C481" s="425"/>
      <c r="D481" s="424">
        <f t="shared" si="21"/>
        <v>0</v>
      </c>
      <c r="E481" s="438">
        <f t="shared" si="22"/>
        <v>2.5062855099878264E-2</v>
      </c>
      <c r="F481" s="424">
        <f t="shared" si="23"/>
        <v>0</v>
      </c>
    </row>
    <row r="482" spans="1:12">
      <c r="A482">
        <v>7720</v>
      </c>
      <c r="B482" t="s">
        <v>868</v>
      </c>
      <c r="C482" s="425"/>
      <c r="D482" s="424">
        <f t="shared" si="21"/>
        <v>0</v>
      </c>
      <c r="E482" s="438">
        <f t="shared" si="22"/>
        <v>2.5062855099878264E-2</v>
      </c>
      <c r="F482" s="424">
        <f t="shared" si="23"/>
        <v>0</v>
      </c>
    </row>
    <row r="483" spans="1:12">
      <c r="B483" t="s">
        <v>210</v>
      </c>
      <c r="C483" s="425"/>
      <c r="D483" s="424">
        <f t="shared" si="21"/>
        <v>0</v>
      </c>
      <c r="E483" s="438">
        <f t="shared" si="22"/>
        <v>2.5062855099878264E-2</v>
      </c>
      <c r="F483" s="424">
        <f t="shared" si="23"/>
        <v>0</v>
      </c>
    </row>
    <row r="484" spans="1:12">
      <c r="A484">
        <v>7725</v>
      </c>
      <c r="B484" t="s">
        <v>119</v>
      </c>
      <c r="C484" s="425"/>
      <c r="D484" s="424">
        <f t="shared" si="21"/>
        <v>0</v>
      </c>
      <c r="E484" s="438">
        <f t="shared" si="22"/>
        <v>2.5062855099878264E-2</v>
      </c>
      <c r="F484" s="424">
        <f t="shared" si="23"/>
        <v>0</v>
      </c>
    </row>
    <row r="485" spans="1:12">
      <c r="B485" t="s">
        <v>211</v>
      </c>
      <c r="C485" s="425"/>
      <c r="D485" s="424">
        <f t="shared" si="21"/>
        <v>0</v>
      </c>
      <c r="E485" s="438">
        <f t="shared" si="22"/>
        <v>2.5062855099878264E-2</v>
      </c>
      <c r="F485" s="424">
        <f t="shared" si="23"/>
        <v>0</v>
      </c>
    </row>
    <row r="486" spans="1:12">
      <c r="A486">
        <v>7735</v>
      </c>
      <c r="B486" t="s">
        <v>120</v>
      </c>
      <c r="C486" s="425"/>
      <c r="D486" s="424">
        <f t="shared" si="21"/>
        <v>0</v>
      </c>
      <c r="E486" s="438">
        <f t="shared" si="22"/>
        <v>2.5062855099878264E-2</v>
      </c>
      <c r="F486" s="424">
        <f t="shared" si="23"/>
        <v>0</v>
      </c>
    </row>
    <row r="487" spans="1:12">
      <c r="A487">
        <v>7735</v>
      </c>
      <c r="B487" t="s">
        <v>121</v>
      </c>
      <c r="C487" s="425"/>
      <c r="D487" s="424">
        <f t="shared" si="21"/>
        <v>0</v>
      </c>
      <c r="E487" s="438">
        <f t="shared" si="22"/>
        <v>2.5062855099878264E-2</v>
      </c>
      <c r="F487" s="424">
        <f t="shared" si="23"/>
        <v>0</v>
      </c>
    </row>
    <row r="488" spans="1:12">
      <c r="A488">
        <v>7735</v>
      </c>
      <c r="B488" t="s">
        <v>122</v>
      </c>
      <c r="C488" s="425">
        <v>35658.050000000003</v>
      </c>
      <c r="D488" s="424">
        <f t="shared" si="21"/>
        <v>35658.050000000003</v>
      </c>
      <c r="E488" s="438">
        <f t="shared" si="22"/>
        <v>2.5062855099878264E-2</v>
      </c>
      <c r="F488" s="424">
        <f t="shared" si="23"/>
        <v>893.69254029421415</v>
      </c>
      <c r="L488" s="424">
        <v>409767.18011112564</v>
      </c>
    </row>
    <row r="489" spans="1:12">
      <c r="A489">
        <v>7735</v>
      </c>
      <c r="B489" t="s">
        <v>123</v>
      </c>
      <c r="C489" s="425"/>
      <c r="D489" s="424">
        <f t="shared" si="21"/>
        <v>0</v>
      </c>
      <c r="E489" s="438">
        <f t="shared" si="22"/>
        <v>2.5062855099878264E-2</v>
      </c>
      <c r="F489" s="424">
        <f t="shared" si="23"/>
        <v>0</v>
      </c>
    </row>
    <row r="490" spans="1:12">
      <c r="A490">
        <v>7735</v>
      </c>
      <c r="B490" t="s">
        <v>124</v>
      </c>
      <c r="C490" s="425"/>
      <c r="D490" s="424">
        <f t="shared" si="21"/>
        <v>0</v>
      </c>
      <c r="E490" s="438">
        <f t="shared" si="22"/>
        <v>2.5062855099878264E-2</v>
      </c>
      <c r="F490" s="424">
        <f t="shared" si="23"/>
        <v>0</v>
      </c>
    </row>
    <row r="491" spans="1:12">
      <c r="A491">
        <v>7735</v>
      </c>
      <c r="B491" t="s">
        <v>125</v>
      </c>
      <c r="C491" s="425"/>
      <c r="D491" s="424">
        <f t="shared" si="21"/>
        <v>0</v>
      </c>
      <c r="E491" s="438">
        <f t="shared" si="22"/>
        <v>2.5062855099878264E-2</v>
      </c>
      <c r="F491" s="424">
        <f t="shared" si="23"/>
        <v>0</v>
      </c>
    </row>
    <row r="492" spans="1:12">
      <c r="A492">
        <v>7735</v>
      </c>
      <c r="B492" t="s">
        <v>126</v>
      </c>
      <c r="C492" s="425"/>
      <c r="D492" s="424">
        <f t="shared" si="21"/>
        <v>0</v>
      </c>
      <c r="E492" s="438">
        <f t="shared" si="22"/>
        <v>2.5062855099878264E-2</v>
      </c>
      <c r="F492" s="424">
        <f t="shared" si="23"/>
        <v>0</v>
      </c>
    </row>
    <row r="493" spans="1:12">
      <c r="A493">
        <v>7735</v>
      </c>
      <c r="B493" t="s">
        <v>127</v>
      </c>
      <c r="C493" s="425"/>
      <c r="D493" s="424">
        <f t="shared" si="21"/>
        <v>0</v>
      </c>
      <c r="E493" s="438">
        <f t="shared" si="22"/>
        <v>2.5062855099878264E-2</v>
      </c>
      <c r="F493" s="424">
        <f t="shared" si="23"/>
        <v>0</v>
      </c>
    </row>
    <row r="494" spans="1:12">
      <c r="A494">
        <v>7735</v>
      </c>
      <c r="B494" t="s">
        <v>128</v>
      </c>
      <c r="C494" s="425"/>
      <c r="D494" s="424">
        <f t="shared" si="21"/>
        <v>0</v>
      </c>
      <c r="E494" s="438">
        <f t="shared" si="22"/>
        <v>2.5062855099878264E-2</v>
      </c>
      <c r="F494" s="424">
        <f t="shared" si="23"/>
        <v>0</v>
      </c>
    </row>
    <row r="495" spans="1:12">
      <c r="A495">
        <v>7735</v>
      </c>
      <c r="B495" t="s">
        <v>129</v>
      </c>
      <c r="C495" s="425"/>
      <c r="D495" s="424">
        <f t="shared" si="21"/>
        <v>0</v>
      </c>
      <c r="E495" s="438">
        <f t="shared" si="22"/>
        <v>2.5062855099878264E-2</v>
      </c>
      <c r="F495" s="424">
        <f t="shared" si="23"/>
        <v>0</v>
      </c>
    </row>
    <row r="496" spans="1:12">
      <c r="B496" t="s">
        <v>211</v>
      </c>
      <c r="C496" s="425">
        <v>35658.050000000003</v>
      </c>
      <c r="D496" s="424">
        <f t="shared" si="21"/>
        <v>35658.050000000003</v>
      </c>
      <c r="E496" s="438">
        <f t="shared" si="22"/>
        <v>2.5062855099878264E-2</v>
      </c>
      <c r="F496" s="424">
        <f t="shared" si="23"/>
        <v>893.69254029421415</v>
      </c>
    </row>
    <row r="497" spans="1:6">
      <c r="B497" t="s">
        <v>209</v>
      </c>
      <c r="C497" s="425">
        <v>35658.050000000003</v>
      </c>
      <c r="D497" s="424">
        <f t="shared" si="21"/>
        <v>35658.050000000003</v>
      </c>
      <c r="E497" s="438">
        <f t="shared" si="22"/>
        <v>2.5062855099878264E-2</v>
      </c>
      <c r="F497" s="424">
        <f t="shared" si="23"/>
        <v>893.69254029421415</v>
      </c>
    </row>
    <row r="498" spans="1:6">
      <c r="B498" t="s">
        <v>212</v>
      </c>
      <c r="C498" s="425"/>
      <c r="D498" s="424">
        <f t="shared" si="21"/>
        <v>0</v>
      </c>
      <c r="E498" s="438">
        <f t="shared" si="22"/>
        <v>2.5062855099878264E-2</v>
      </c>
      <c r="F498" s="424">
        <f t="shared" si="23"/>
        <v>0</v>
      </c>
    </row>
    <row r="499" spans="1:6">
      <c r="A499">
        <v>7750</v>
      </c>
      <c r="B499" t="s">
        <v>130</v>
      </c>
      <c r="C499" s="425"/>
      <c r="D499" s="424">
        <f t="shared" si="21"/>
        <v>0</v>
      </c>
      <c r="E499" s="438">
        <f t="shared" si="22"/>
        <v>2.5062855099878264E-2</v>
      </c>
      <c r="F499" s="424">
        <f t="shared" si="23"/>
        <v>0</v>
      </c>
    </row>
    <row r="500" spans="1:6">
      <c r="B500" t="s">
        <v>212</v>
      </c>
      <c r="C500" s="425"/>
      <c r="D500" s="424">
        <f t="shared" si="21"/>
        <v>0</v>
      </c>
      <c r="E500" s="438">
        <f t="shared" si="22"/>
        <v>2.5062855099878264E-2</v>
      </c>
      <c r="F500" s="424">
        <f t="shared" si="23"/>
        <v>0</v>
      </c>
    </row>
    <row r="501" spans="1:6">
      <c r="B501" t="s">
        <v>213</v>
      </c>
      <c r="C501" s="425"/>
      <c r="D501" s="424">
        <f t="shared" si="21"/>
        <v>0</v>
      </c>
      <c r="E501" s="438">
        <f t="shared" si="22"/>
        <v>2.5062855099878264E-2</v>
      </c>
      <c r="F501" s="424">
        <f t="shared" si="23"/>
        <v>0</v>
      </c>
    </row>
    <row r="502" spans="1:6">
      <c r="A502">
        <v>7765</v>
      </c>
      <c r="B502" t="s">
        <v>131</v>
      </c>
      <c r="C502" s="425"/>
      <c r="D502" s="424">
        <f t="shared" si="21"/>
        <v>0</v>
      </c>
      <c r="E502" s="438">
        <f t="shared" si="22"/>
        <v>2.5062855099878264E-2</v>
      </c>
      <c r="F502" s="424">
        <f t="shared" si="23"/>
        <v>0</v>
      </c>
    </row>
    <row r="503" spans="1:6">
      <c r="B503" t="s">
        <v>214</v>
      </c>
      <c r="C503" s="425"/>
      <c r="D503" s="424">
        <f t="shared" si="21"/>
        <v>0</v>
      </c>
      <c r="E503" s="438">
        <f t="shared" si="22"/>
        <v>2.5062855099878264E-2</v>
      </c>
      <c r="F503" s="424">
        <f t="shared" si="23"/>
        <v>0</v>
      </c>
    </row>
    <row r="504" spans="1:6">
      <c r="A504">
        <v>7775</v>
      </c>
      <c r="B504" t="s">
        <v>132</v>
      </c>
      <c r="C504" s="425"/>
      <c r="D504" s="424">
        <f t="shared" si="21"/>
        <v>0</v>
      </c>
      <c r="E504" s="438">
        <f t="shared" si="22"/>
        <v>2.5062855099878264E-2</v>
      </c>
      <c r="F504" s="424">
        <f t="shared" si="23"/>
        <v>0</v>
      </c>
    </row>
    <row r="505" spans="1:6">
      <c r="A505">
        <v>7780</v>
      </c>
      <c r="B505" t="s">
        <v>133</v>
      </c>
      <c r="C505" s="425"/>
      <c r="D505" s="424">
        <f t="shared" si="21"/>
        <v>0</v>
      </c>
      <c r="E505" s="438">
        <f t="shared" si="22"/>
        <v>2.5062855099878264E-2</v>
      </c>
      <c r="F505" s="424">
        <f t="shared" si="23"/>
        <v>0</v>
      </c>
    </row>
    <row r="506" spans="1:6">
      <c r="A506">
        <v>7785</v>
      </c>
      <c r="B506" t="s">
        <v>134</v>
      </c>
      <c r="C506" s="425"/>
      <c r="D506" s="424">
        <f t="shared" si="21"/>
        <v>0</v>
      </c>
      <c r="E506" s="438">
        <f t="shared" si="22"/>
        <v>2.5062855099878264E-2</v>
      </c>
      <c r="F506" s="424">
        <f t="shared" si="23"/>
        <v>0</v>
      </c>
    </row>
    <row r="507" spans="1:6">
      <c r="A507">
        <v>7790</v>
      </c>
      <c r="B507" t="s">
        <v>135</v>
      </c>
      <c r="C507" s="425"/>
      <c r="D507" s="424">
        <f t="shared" si="21"/>
        <v>0</v>
      </c>
      <c r="E507" s="438">
        <f t="shared" si="22"/>
        <v>2.5062855099878264E-2</v>
      </c>
      <c r="F507" s="424">
        <f t="shared" si="23"/>
        <v>0</v>
      </c>
    </row>
    <row r="508" spans="1:6">
      <c r="A508">
        <v>7795</v>
      </c>
      <c r="B508" t="s">
        <v>136</v>
      </c>
      <c r="C508" s="425"/>
      <c r="D508" s="424">
        <f t="shared" si="21"/>
        <v>0</v>
      </c>
      <c r="E508" s="438">
        <f t="shared" si="22"/>
        <v>2.5062855099878264E-2</v>
      </c>
      <c r="F508" s="424">
        <f t="shared" si="23"/>
        <v>0</v>
      </c>
    </row>
    <row r="509" spans="1:6">
      <c r="B509" t="s">
        <v>214</v>
      </c>
      <c r="C509" s="425"/>
      <c r="D509" s="424">
        <f t="shared" si="21"/>
        <v>0</v>
      </c>
      <c r="E509" s="438">
        <f t="shared" si="22"/>
        <v>2.5062855099878264E-2</v>
      </c>
      <c r="F509" s="424">
        <f t="shared" si="23"/>
        <v>0</v>
      </c>
    </row>
    <row r="510" spans="1:6">
      <c r="B510" t="s">
        <v>213</v>
      </c>
      <c r="C510" s="425"/>
      <c r="D510" s="424">
        <f t="shared" si="21"/>
        <v>0</v>
      </c>
      <c r="E510" s="438">
        <f t="shared" si="22"/>
        <v>2.5062855099878264E-2</v>
      </c>
      <c r="F510" s="424">
        <f t="shared" si="23"/>
        <v>0</v>
      </c>
    </row>
    <row r="511" spans="1:6">
      <c r="B511" t="s">
        <v>208</v>
      </c>
      <c r="C511" s="425">
        <v>35658.050000000003</v>
      </c>
      <c r="D511" s="424">
        <f t="shared" si="21"/>
        <v>35658.050000000003</v>
      </c>
      <c r="E511" s="438">
        <f t="shared" si="22"/>
        <v>2.5062855099878264E-2</v>
      </c>
      <c r="F511" s="424">
        <f t="shared" si="23"/>
        <v>893.69254029421415</v>
      </c>
    </row>
    <row r="512" spans="1:6">
      <c r="B512" t="s">
        <v>203</v>
      </c>
      <c r="C512" s="425">
        <v>35658.050000000003</v>
      </c>
      <c r="D512" s="424">
        <f t="shared" si="21"/>
        <v>35658.050000000003</v>
      </c>
      <c r="E512" s="438">
        <f t="shared" si="22"/>
        <v>2.5062855099878264E-2</v>
      </c>
      <c r="F512" s="424">
        <f t="shared" si="23"/>
        <v>893.69254029421415</v>
      </c>
    </row>
    <row r="513" spans="2:6">
      <c r="B513" t="s">
        <v>215</v>
      </c>
      <c r="C513" s="425">
        <v>5648015.04</v>
      </c>
      <c r="D513" s="424">
        <f t="shared" si="21"/>
        <v>5648015.04</v>
      </c>
      <c r="E513" s="438">
        <f t="shared" si="22"/>
        <v>2.5062855099878264E-2</v>
      </c>
      <c r="F513" s="424">
        <f t="shared" si="23"/>
        <v>141555.38254945315</v>
      </c>
    </row>
  </sheetData>
  <phoneticPr fontId="44" type="noConversion"/>
  <pageMargins left="0.7" right="0.7" top="0.75" bottom="0.75" header="0.3" footer="0.3"/>
  <pageSetup scale="89" orientation="portrait" r:id="rId1"/>
  <colBreaks count="1" manualBreakCount="1">
    <brk id="3" max="512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513"/>
  <sheetViews>
    <sheetView workbookViewId="0"/>
  </sheetViews>
  <sheetFormatPr defaultRowHeight="12"/>
  <cols>
    <col min="1" max="1" width="12.625" bestFit="1" customWidth="1"/>
    <col min="2" max="2" width="40.75" bestFit="1" customWidth="1"/>
    <col min="3" max="3" width="16" style="425" bestFit="1" customWidth="1"/>
    <col min="4" max="4" width="15" bestFit="1" customWidth="1"/>
    <col min="5" max="5" width="8.875" bestFit="1" customWidth="1"/>
    <col min="6" max="6" width="13" bestFit="1" customWidth="1"/>
  </cols>
  <sheetData>
    <row r="1" spans="1:6" ht="13.5" thickBot="1">
      <c r="A1" t="s">
        <v>216</v>
      </c>
      <c r="B1" t="s">
        <v>154</v>
      </c>
      <c r="C1" s="426"/>
      <c r="D1" s="427" t="s">
        <v>155</v>
      </c>
      <c r="E1" s="428" t="s">
        <v>314</v>
      </c>
    </row>
    <row r="2" spans="1:6" ht="12.75">
      <c r="B2" t="s">
        <v>156</v>
      </c>
      <c r="C2" s="429" t="s">
        <v>157</v>
      </c>
      <c r="D2" s="430">
        <v>7305</v>
      </c>
      <c r="E2" s="431">
        <v>289300</v>
      </c>
    </row>
    <row r="3" spans="1:6" ht="13.5" thickBot="1">
      <c r="C3" s="432" t="s">
        <v>158</v>
      </c>
      <c r="D3" s="433">
        <f>D2/E2</f>
        <v>2.5250604908399584E-2</v>
      </c>
      <c r="E3" s="434">
        <f>SUM(D3:D3)</f>
        <v>2.5250604908399584E-2</v>
      </c>
    </row>
    <row r="4" spans="1:6">
      <c r="B4" t="s">
        <v>217</v>
      </c>
    </row>
    <row r="5" spans="1:6" ht="26.25">
      <c r="A5" s="435" t="s">
        <v>160</v>
      </c>
      <c r="B5" s="435" t="s">
        <v>679</v>
      </c>
      <c r="C5" s="435" t="s">
        <v>161</v>
      </c>
      <c r="D5" s="436" t="s">
        <v>162</v>
      </c>
      <c r="E5" s="436" t="s">
        <v>163</v>
      </c>
      <c r="F5" s="437" t="s">
        <v>80</v>
      </c>
    </row>
    <row r="6" spans="1:6">
      <c r="B6" t="s">
        <v>164</v>
      </c>
      <c r="D6" s="424" t="e">
        <v>#REF!</v>
      </c>
      <c r="E6" s="438">
        <f t="shared" ref="E6:E69" si="0">E$3</f>
        <v>2.5250604908399584E-2</v>
      </c>
      <c r="F6" s="424" t="e">
        <f t="shared" ref="F6:F69" si="1">E6*D6</f>
        <v>#REF!</v>
      </c>
    </row>
    <row r="7" spans="1:6">
      <c r="B7" t="s">
        <v>165</v>
      </c>
      <c r="D7" s="424" t="e">
        <v>#REF!</v>
      </c>
      <c r="E7" s="438">
        <f t="shared" si="0"/>
        <v>2.5250604908399584E-2</v>
      </c>
      <c r="F7" s="424" t="e">
        <f t="shared" si="1"/>
        <v>#REF!</v>
      </c>
    </row>
    <row r="8" spans="1:6">
      <c r="B8" t="s">
        <v>166</v>
      </c>
      <c r="D8" s="424" t="e">
        <v>#REF!</v>
      </c>
      <c r="E8" s="438">
        <f t="shared" si="0"/>
        <v>2.5250604908399584E-2</v>
      </c>
      <c r="F8" s="424" t="e">
        <f t="shared" si="1"/>
        <v>#REF!</v>
      </c>
    </row>
    <row r="9" spans="1:6">
      <c r="B9" t="s">
        <v>167</v>
      </c>
      <c r="D9" s="424" t="e">
        <v>#REF!</v>
      </c>
      <c r="E9" s="438">
        <f t="shared" si="0"/>
        <v>2.5250604908399584E-2</v>
      </c>
      <c r="F9" s="424" t="e">
        <f t="shared" si="1"/>
        <v>#REF!</v>
      </c>
    </row>
    <row r="10" spans="1:6">
      <c r="A10">
        <v>5430</v>
      </c>
      <c r="B10" t="s">
        <v>762</v>
      </c>
      <c r="D10" s="424" t="e">
        <v>#REF!</v>
      </c>
      <c r="E10" s="438">
        <f t="shared" si="0"/>
        <v>2.5250604908399584E-2</v>
      </c>
      <c r="F10" s="424" t="e">
        <f t="shared" si="1"/>
        <v>#REF!</v>
      </c>
    </row>
    <row r="11" spans="1:6">
      <c r="A11">
        <v>5435</v>
      </c>
      <c r="B11" t="s">
        <v>763</v>
      </c>
      <c r="D11" s="424" t="e">
        <v>#REF!</v>
      </c>
      <c r="E11" s="438">
        <f t="shared" si="0"/>
        <v>2.5250604908399584E-2</v>
      </c>
      <c r="F11" s="424" t="e">
        <f t="shared" si="1"/>
        <v>#REF!</v>
      </c>
    </row>
    <row r="12" spans="1:6">
      <c r="A12">
        <v>5440</v>
      </c>
      <c r="B12" t="s">
        <v>764</v>
      </c>
      <c r="D12" s="424" t="e">
        <v>#REF!</v>
      </c>
      <c r="E12" s="438">
        <f t="shared" si="0"/>
        <v>2.5250604908399584E-2</v>
      </c>
      <c r="F12" s="424" t="e">
        <f t="shared" si="1"/>
        <v>#REF!</v>
      </c>
    </row>
    <row r="13" spans="1:6">
      <c r="A13">
        <v>5445</v>
      </c>
      <c r="B13" t="s">
        <v>765</v>
      </c>
      <c r="D13" s="424" t="e">
        <v>#REF!</v>
      </c>
      <c r="E13" s="438">
        <f t="shared" si="0"/>
        <v>2.5250604908399584E-2</v>
      </c>
      <c r="F13" s="424" t="e">
        <f t="shared" si="1"/>
        <v>#REF!</v>
      </c>
    </row>
    <row r="14" spans="1:6">
      <c r="B14" t="s">
        <v>167</v>
      </c>
      <c r="D14" s="424" t="e">
        <v>#REF!</v>
      </c>
      <c r="E14" s="438">
        <f t="shared" si="0"/>
        <v>2.5250604908399584E-2</v>
      </c>
      <c r="F14" s="424" t="e">
        <f t="shared" si="1"/>
        <v>#REF!</v>
      </c>
    </row>
    <row r="15" spans="1:6">
      <c r="B15" t="s">
        <v>168</v>
      </c>
      <c r="D15" s="424" t="e">
        <v>#REF!</v>
      </c>
      <c r="E15" s="438">
        <f t="shared" si="0"/>
        <v>2.5250604908399584E-2</v>
      </c>
      <c r="F15" s="424" t="e">
        <f t="shared" si="1"/>
        <v>#REF!</v>
      </c>
    </row>
    <row r="16" spans="1:6">
      <c r="A16">
        <v>5455</v>
      </c>
      <c r="B16" t="s">
        <v>766</v>
      </c>
      <c r="D16" s="424" t="e">
        <v>#REF!</v>
      </c>
      <c r="E16" s="438">
        <f t="shared" si="0"/>
        <v>2.5250604908399584E-2</v>
      </c>
      <c r="F16" s="424" t="e">
        <f t="shared" si="1"/>
        <v>#REF!</v>
      </c>
    </row>
    <row r="17" spans="1:6">
      <c r="A17">
        <v>5460</v>
      </c>
      <c r="B17" t="s">
        <v>767</v>
      </c>
      <c r="D17" s="424" t="e">
        <v>#REF!</v>
      </c>
      <c r="E17" s="438">
        <f t="shared" si="0"/>
        <v>2.5250604908399584E-2</v>
      </c>
      <c r="F17" s="424" t="e">
        <f t="shared" si="1"/>
        <v>#REF!</v>
      </c>
    </row>
    <row r="18" spans="1:6">
      <c r="B18" t="s">
        <v>168</v>
      </c>
      <c r="D18" s="424" t="e">
        <v>#REF!</v>
      </c>
      <c r="E18" s="438">
        <f t="shared" si="0"/>
        <v>2.5250604908399584E-2</v>
      </c>
      <c r="F18" s="424" t="e">
        <f t="shared" si="1"/>
        <v>#REF!</v>
      </c>
    </row>
    <row r="19" spans="1:6">
      <c r="B19" t="s">
        <v>169</v>
      </c>
      <c r="D19" s="424" t="e">
        <v>#REF!</v>
      </c>
      <c r="E19" s="438">
        <f t="shared" si="0"/>
        <v>2.5250604908399584E-2</v>
      </c>
      <c r="F19" s="424" t="e">
        <f t="shared" si="1"/>
        <v>#REF!</v>
      </c>
    </row>
    <row r="20" spans="1:6">
      <c r="A20">
        <v>5465</v>
      </c>
      <c r="B20" t="s">
        <v>768</v>
      </c>
      <c r="D20" s="424" t="e">
        <v>#REF!</v>
      </c>
      <c r="E20" s="438">
        <f t="shared" si="0"/>
        <v>2.5250604908399584E-2</v>
      </c>
      <c r="F20" s="424" t="e">
        <f t="shared" si="1"/>
        <v>#REF!</v>
      </c>
    </row>
    <row r="21" spans="1:6">
      <c r="A21">
        <v>5465</v>
      </c>
      <c r="B21" t="s">
        <v>769</v>
      </c>
      <c r="D21" s="424" t="e">
        <v>#REF!</v>
      </c>
      <c r="E21" s="438">
        <f t="shared" si="0"/>
        <v>2.5250604908399584E-2</v>
      </c>
      <c r="F21" s="424" t="e">
        <f t="shared" si="1"/>
        <v>#REF!</v>
      </c>
    </row>
    <row r="22" spans="1:6">
      <c r="A22">
        <v>5465</v>
      </c>
      <c r="B22" t="s">
        <v>770</v>
      </c>
      <c r="D22" s="424" t="e">
        <v>#REF!</v>
      </c>
      <c r="E22" s="438">
        <f t="shared" si="0"/>
        <v>2.5250604908399584E-2</v>
      </c>
      <c r="F22" s="424" t="e">
        <f t="shared" si="1"/>
        <v>#REF!</v>
      </c>
    </row>
    <row r="23" spans="1:6">
      <c r="A23">
        <v>5465</v>
      </c>
      <c r="B23" t="s">
        <v>771</v>
      </c>
      <c r="D23" s="424" t="e">
        <v>#REF!</v>
      </c>
      <c r="E23" s="438">
        <f t="shared" si="0"/>
        <v>2.5250604908399584E-2</v>
      </c>
      <c r="F23" s="424" t="e">
        <f t="shared" si="1"/>
        <v>#REF!</v>
      </c>
    </row>
    <row r="24" spans="1:6">
      <c r="B24" t="s">
        <v>169</v>
      </c>
      <c r="D24" s="424" t="e">
        <v>#REF!</v>
      </c>
      <c r="E24" s="438">
        <f t="shared" si="0"/>
        <v>2.5250604908399584E-2</v>
      </c>
      <c r="F24" s="424" t="e">
        <f t="shared" si="1"/>
        <v>#REF!</v>
      </c>
    </row>
    <row r="25" spans="1:6">
      <c r="B25" t="s">
        <v>170</v>
      </c>
      <c r="D25" s="424" t="e">
        <v>#REF!</v>
      </c>
      <c r="E25" s="438">
        <f t="shared" si="0"/>
        <v>2.5250604908399584E-2</v>
      </c>
      <c r="F25" s="424" t="e">
        <f t="shared" si="1"/>
        <v>#REF!</v>
      </c>
    </row>
    <row r="26" spans="1:6">
      <c r="A26">
        <v>5470</v>
      </c>
      <c r="B26" t="s">
        <v>772</v>
      </c>
      <c r="D26" s="424" t="e">
        <v>#REF!</v>
      </c>
      <c r="E26" s="438">
        <f t="shared" si="0"/>
        <v>2.5250604908399584E-2</v>
      </c>
      <c r="F26" s="424" t="e">
        <f t="shared" si="1"/>
        <v>#REF!</v>
      </c>
    </row>
    <row r="27" spans="1:6">
      <c r="A27">
        <v>5470</v>
      </c>
      <c r="B27" t="s">
        <v>773</v>
      </c>
      <c r="D27" s="424" t="e">
        <v>#REF!</v>
      </c>
      <c r="E27" s="438">
        <f t="shared" si="0"/>
        <v>2.5250604908399584E-2</v>
      </c>
      <c r="F27" s="424" t="e">
        <f t="shared" si="1"/>
        <v>#REF!</v>
      </c>
    </row>
    <row r="28" spans="1:6">
      <c r="A28">
        <v>5470</v>
      </c>
      <c r="B28" t="s">
        <v>774</v>
      </c>
      <c r="D28" s="424" t="e">
        <v>#REF!</v>
      </c>
      <c r="E28" s="438">
        <f t="shared" si="0"/>
        <v>2.5250604908399584E-2</v>
      </c>
      <c r="F28" s="424" t="e">
        <f t="shared" si="1"/>
        <v>#REF!</v>
      </c>
    </row>
    <row r="29" spans="1:6">
      <c r="A29">
        <v>5470</v>
      </c>
      <c r="B29" t="s">
        <v>775</v>
      </c>
      <c r="D29" s="424" t="e">
        <v>#REF!</v>
      </c>
      <c r="E29" s="438">
        <f t="shared" si="0"/>
        <v>2.5250604908399584E-2</v>
      </c>
      <c r="F29" s="424" t="e">
        <f t="shared" si="1"/>
        <v>#REF!</v>
      </c>
    </row>
    <row r="30" spans="1:6">
      <c r="A30">
        <v>5470</v>
      </c>
      <c r="B30" t="s">
        <v>776</v>
      </c>
      <c r="D30" s="424" t="e">
        <v>#REF!</v>
      </c>
      <c r="E30" s="438">
        <f t="shared" si="0"/>
        <v>2.5250604908399584E-2</v>
      </c>
      <c r="F30" s="424" t="e">
        <f t="shared" si="1"/>
        <v>#REF!</v>
      </c>
    </row>
    <row r="31" spans="1:6">
      <c r="A31">
        <v>5470</v>
      </c>
      <c r="B31" t="s">
        <v>776</v>
      </c>
      <c r="D31" s="424" t="e">
        <v>#REF!</v>
      </c>
      <c r="E31" s="438">
        <f t="shared" si="0"/>
        <v>2.5250604908399584E-2</v>
      </c>
      <c r="F31" s="424" t="e">
        <f t="shared" si="1"/>
        <v>#REF!</v>
      </c>
    </row>
    <row r="32" spans="1:6">
      <c r="B32" t="s">
        <v>170</v>
      </c>
      <c r="D32" s="424" t="e">
        <v>#REF!</v>
      </c>
      <c r="E32" s="438">
        <f t="shared" si="0"/>
        <v>2.5250604908399584E-2</v>
      </c>
      <c r="F32" s="424" t="e">
        <f t="shared" si="1"/>
        <v>#REF!</v>
      </c>
    </row>
    <row r="33" spans="1:6">
      <c r="B33" t="s">
        <v>171</v>
      </c>
      <c r="D33" s="424" t="e">
        <v>#REF!</v>
      </c>
      <c r="E33" s="438">
        <f t="shared" si="0"/>
        <v>2.5250604908399584E-2</v>
      </c>
      <c r="F33" s="424" t="e">
        <f t="shared" si="1"/>
        <v>#REF!</v>
      </c>
    </row>
    <row r="34" spans="1:6">
      <c r="A34">
        <v>5480</v>
      </c>
      <c r="B34" t="s">
        <v>777</v>
      </c>
      <c r="D34" s="424" t="e">
        <v>#REF!</v>
      </c>
      <c r="E34" s="438">
        <f t="shared" si="0"/>
        <v>2.5250604908399584E-2</v>
      </c>
      <c r="F34" s="424" t="e">
        <f t="shared" si="1"/>
        <v>#REF!</v>
      </c>
    </row>
    <row r="35" spans="1:6">
      <c r="A35">
        <v>5485</v>
      </c>
      <c r="B35" t="s">
        <v>778</v>
      </c>
      <c r="D35" s="424" t="e">
        <v>#REF!</v>
      </c>
      <c r="E35" s="438">
        <f t="shared" si="0"/>
        <v>2.5250604908399584E-2</v>
      </c>
      <c r="F35" s="424" t="e">
        <f t="shared" si="1"/>
        <v>#REF!</v>
      </c>
    </row>
    <row r="36" spans="1:6">
      <c r="A36">
        <v>5490</v>
      </c>
      <c r="B36" t="s">
        <v>779</v>
      </c>
      <c r="D36" s="424" t="e">
        <v>#REF!</v>
      </c>
      <c r="E36" s="438">
        <f t="shared" si="0"/>
        <v>2.5250604908399584E-2</v>
      </c>
      <c r="F36" s="424" t="e">
        <f t="shared" si="1"/>
        <v>#REF!</v>
      </c>
    </row>
    <row r="37" spans="1:6">
      <c r="B37" t="s">
        <v>171</v>
      </c>
      <c r="D37" s="424" t="e">
        <v>#REF!</v>
      </c>
      <c r="E37" s="438">
        <f t="shared" si="0"/>
        <v>2.5250604908399584E-2</v>
      </c>
      <c r="F37" s="424" t="e">
        <f t="shared" si="1"/>
        <v>#REF!</v>
      </c>
    </row>
    <row r="38" spans="1:6">
      <c r="A38">
        <v>5495</v>
      </c>
      <c r="B38" t="s">
        <v>780</v>
      </c>
      <c r="D38" s="424" t="e">
        <v>#REF!</v>
      </c>
      <c r="E38" s="438">
        <f t="shared" si="0"/>
        <v>2.5250604908399584E-2</v>
      </c>
      <c r="F38" s="424" t="e">
        <f t="shared" si="1"/>
        <v>#REF!</v>
      </c>
    </row>
    <row r="39" spans="1:6">
      <c r="B39" t="s">
        <v>172</v>
      </c>
      <c r="D39" s="424" t="e">
        <v>#REF!</v>
      </c>
      <c r="E39" s="438">
        <f t="shared" si="0"/>
        <v>2.5250604908399584E-2</v>
      </c>
      <c r="F39" s="424" t="e">
        <f t="shared" si="1"/>
        <v>#REF!</v>
      </c>
    </row>
    <row r="40" spans="1:6">
      <c r="A40">
        <v>5505</v>
      </c>
      <c r="B40" t="s">
        <v>781</v>
      </c>
      <c r="C40" s="425">
        <v>8793</v>
      </c>
      <c r="D40" s="424">
        <v>8203.84</v>
      </c>
      <c r="E40" s="438">
        <f t="shared" si="0"/>
        <v>2.5250604908399584E-2</v>
      </c>
      <c r="F40" s="424">
        <f t="shared" si="1"/>
        <v>207.15192257172484</v>
      </c>
    </row>
    <row r="41" spans="1:6">
      <c r="A41">
        <v>5510</v>
      </c>
      <c r="B41" t="s">
        <v>782</v>
      </c>
      <c r="D41" s="424" t="e">
        <v>#REF!</v>
      </c>
      <c r="E41" s="438">
        <f t="shared" si="0"/>
        <v>2.5250604908399584E-2</v>
      </c>
      <c r="F41" s="424" t="e">
        <f t="shared" si="1"/>
        <v>#REF!</v>
      </c>
    </row>
    <row r="42" spans="1:6">
      <c r="A42">
        <v>5515</v>
      </c>
      <c r="B42" t="s">
        <v>783</v>
      </c>
      <c r="D42" s="424" t="e">
        <v>#REF!</v>
      </c>
      <c r="E42" s="438">
        <f t="shared" si="0"/>
        <v>2.5250604908399584E-2</v>
      </c>
      <c r="F42" s="424" t="e">
        <f t="shared" si="1"/>
        <v>#REF!</v>
      </c>
    </row>
    <row r="43" spans="1:6">
      <c r="B43" t="s">
        <v>172</v>
      </c>
      <c r="C43" s="425">
        <v>8793</v>
      </c>
      <c r="D43" s="424">
        <v>8203.84</v>
      </c>
      <c r="E43" s="438">
        <f t="shared" si="0"/>
        <v>2.5250604908399584E-2</v>
      </c>
      <c r="F43" s="424">
        <f t="shared" si="1"/>
        <v>207.15192257172484</v>
      </c>
    </row>
    <row r="44" spans="1:6">
      <c r="B44" t="s">
        <v>173</v>
      </c>
      <c r="D44" s="424" t="e">
        <v>#REF!</v>
      </c>
      <c r="E44" s="438">
        <f t="shared" si="0"/>
        <v>2.5250604908399584E-2</v>
      </c>
      <c r="F44" s="424" t="e">
        <f t="shared" si="1"/>
        <v>#REF!</v>
      </c>
    </row>
    <row r="45" spans="1:6">
      <c r="A45">
        <v>5525</v>
      </c>
      <c r="B45" t="s">
        <v>784</v>
      </c>
      <c r="C45" s="425">
        <v>18533.14</v>
      </c>
      <c r="D45" s="424">
        <v>4841.4499999999989</v>
      </c>
      <c r="E45" s="438">
        <f t="shared" si="0"/>
        <v>2.5250604908399584E-2</v>
      </c>
      <c r="F45" s="424">
        <f t="shared" si="1"/>
        <v>122.24954113377115</v>
      </c>
    </row>
    <row r="46" spans="1:6">
      <c r="A46">
        <v>5530</v>
      </c>
      <c r="B46" t="s">
        <v>785</v>
      </c>
      <c r="C46" s="425">
        <v>3908.95</v>
      </c>
      <c r="D46" s="424">
        <v>587.09999999999991</v>
      </c>
      <c r="E46" s="438">
        <f t="shared" si="0"/>
        <v>2.5250604908399584E-2</v>
      </c>
      <c r="F46" s="424">
        <f t="shared" si="1"/>
        <v>14.824630141721393</v>
      </c>
    </row>
    <row r="47" spans="1:6">
      <c r="A47">
        <v>5535</v>
      </c>
      <c r="B47" t="s">
        <v>786</v>
      </c>
      <c r="C47" s="425">
        <v>69627.27</v>
      </c>
      <c r="D47" s="424">
        <v>48150.8</v>
      </c>
      <c r="E47" s="438">
        <f t="shared" si="0"/>
        <v>2.5250604908399584E-2</v>
      </c>
      <c r="F47" s="424">
        <f t="shared" si="1"/>
        <v>1215.8368268233667</v>
      </c>
    </row>
    <row r="48" spans="1:6">
      <c r="A48">
        <v>5540</v>
      </c>
      <c r="B48" t="s">
        <v>787</v>
      </c>
      <c r="C48" s="425">
        <v>457039.35</v>
      </c>
      <c r="D48" s="424">
        <v>231254.02999999997</v>
      </c>
      <c r="E48" s="438">
        <f t="shared" si="0"/>
        <v>2.5250604908399584E-2</v>
      </c>
      <c r="F48" s="424">
        <f t="shared" si="1"/>
        <v>5839.3041450051842</v>
      </c>
    </row>
    <row r="49" spans="1:6">
      <c r="A49">
        <v>5545</v>
      </c>
      <c r="B49" t="s">
        <v>788</v>
      </c>
      <c r="C49" s="425">
        <v>23485.48</v>
      </c>
      <c r="D49" s="424">
        <v>22706.61</v>
      </c>
      <c r="E49" s="438">
        <f t="shared" si="0"/>
        <v>2.5250604908399584E-2</v>
      </c>
      <c r="F49" s="424">
        <f t="shared" si="1"/>
        <v>573.35563791911511</v>
      </c>
    </row>
    <row r="50" spans="1:6">
      <c r="B50" t="s">
        <v>173</v>
      </c>
      <c r="C50" s="425">
        <v>572594.18999999994</v>
      </c>
      <c r="D50" s="424">
        <v>307539.98999999993</v>
      </c>
      <c r="E50" s="438">
        <f t="shared" si="0"/>
        <v>2.5250604908399584E-2</v>
      </c>
      <c r="F50" s="424">
        <f t="shared" si="1"/>
        <v>7765.570781023157</v>
      </c>
    </row>
    <row r="51" spans="1:6">
      <c r="B51" t="s">
        <v>174</v>
      </c>
      <c r="D51" s="424" t="e">
        <v>#REF!</v>
      </c>
      <c r="E51" s="438">
        <f t="shared" si="0"/>
        <v>2.5250604908399584E-2</v>
      </c>
      <c r="F51" s="424" t="e">
        <f t="shared" si="1"/>
        <v>#REF!</v>
      </c>
    </row>
    <row r="52" spans="1:6">
      <c r="A52">
        <v>5625</v>
      </c>
      <c r="B52" t="s">
        <v>789</v>
      </c>
      <c r="C52" s="425">
        <v>336775</v>
      </c>
      <c r="D52" s="424">
        <v>168388</v>
      </c>
      <c r="E52" s="438">
        <f t="shared" si="0"/>
        <v>2.5250604908399584E-2</v>
      </c>
      <c r="F52" s="424">
        <f t="shared" si="1"/>
        <v>4251.8988593155891</v>
      </c>
    </row>
    <row r="53" spans="1:6">
      <c r="A53">
        <v>5630</v>
      </c>
      <c r="B53" t="s">
        <v>790</v>
      </c>
      <c r="C53" s="425">
        <v>17195.400000000001</v>
      </c>
      <c r="D53" s="424">
        <v>8364.0000000000018</v>
      </c>
      <c r="E53" s="438">
        <f t="shared" si="0"/>
        <v>2.5250604908399584E-2</v>
      </c>
      <c r="F53" s="424">
        <f t="shared" si="1"/>
        <v>211.19605945385416</v>
      </c>
    </row>
    <row r="54" spans="1:6">
      <c r="A54">
        <v>5635</v>
      </c>
      <c r="B54" t="s">
        <v>791</v>
      </c>
      <c r="C54" s="425">
        <v>140937.99</v>
      </c>
      <c r="D54" s="424">
        <v>64059.909999999989</v>
      </c>
      <c r="E54" s="438">
        <f t="shared" si="0"/>
        <v>2.5250604908399584E-2</v>
      </c>
      <c r="F54" s="424">
        <f t="shared" si="1"/>
        <v>1617.5514778776353</v>
      </c>
    </row>
    <row r="55" spans="1:6">
      <c r="A55">
        <v>5640</v>
      </c>
      <c r="B55" t="s">
        <v>792</v>
      </c>
      <c r="D55" s="424" t="e">
        <v>#REF!</v>
      </c>
      <c r="E55" s="438">
        <f t="shared" si="0"/>
        <v>2.5250604908399584E-2</v>
      </c>
      <c r="F55" s="424" t="e">
        <f t="shared" si="1"/>
        <v>#REF!</v>
      </c>
    </row>
    <row r="56" spans="1:6">
      <c r="A56">
        <v>5645</v>
      </c>
      <c r="B56" t="s">
        <v>392</v>
      </c>
      <c r="C56" s="425">
        <v>-473002.8</v>
      </c>
      <c r="D56" s="424">
        <v>-255886.07999999999</v>
      </c>
      <c r="E56" s="438">
        <f t="shared" si="0"/>
        <v>2.5250604908399584E-2</v>
      </c>
      <c r="F56" s="424">
        <f t="shared" si="1"/>
        <v>-6461.2783076391279</v>
      </c>
    </row>
    <row r="57" spans="1:6">
      <c r="A57">
        <v>5650</v>
      </c>
      <c r="B57" t="s">
        <v>393</v>
      </c>
      <c r="C57" s="425">
        <v>22166.03</v>
      </c>
      <c r="D57" s="424">
        <v>9794.739999999998</v>
      </c>
      <c r="E57" s="438">
        <f t="shared" si="0"/>
        <v>2.5250604908399584E-2</v>
      </c>
      <c r="F57" s="424">
        <f t="shared" si="1"/>
        <v>247.3231099204977</v>
      </c>
    </row>
    <row r="58" spans="1:6">
      <c r="A58">
        <v>5655</v>
      </c>
      <c r="B58" t="s">
        <v>394</v>
      </c>
      <c r="C58" s="425">
        <v>2030264.13</v>
      </c>
      <c r="D58" s="424">
        <v>1009450.6599999999</v>
      </c>
      <c r="E58" s="438">
        <f t="shared" si="0"/>
        <v>2.5250604908399584E-2</v>
      </c>
      <c r="F58" s="424">
        <f t="shared" si="1"/>
        <v>25489.239790183197</v>
      </c>
    </row>
    <row r="59" spans="1:6">
      <c r="A59">
        <v>5660</v>
      </c>
      <c r="B59" t="s">
        <v>395</v>
      </c>
      <c r="C59" s="425">
        <v>253720.58</v>
      </c>
      <c r="D59" s="424">
        <v>78359.31</v>
      </c>
      <c r="E59" s="438">
        <f t="shared" si="0"/>
        <v>2.5250604908399584E-2</v>
      </c>
      <c r="F59" s="424">
        <f t="shared" si="1"/>
        <v>1978.6199777048046</v>
      </c>
    </row>
    <row r="60" spans="1:6">
      <c r="A60">
        <v>5665</v>
      </c>
      <c r="B60" t="s">
        <v>396</v>
      </c>
      <c r="C60" s="425">
        <v>230797</v>
      </c>
      <c r="D60" s="424">
        <v>115399</v>
      </c>
      <c r="E60" s="438">
        <f t="shared" si="0"/>
        <v>2.5250604908399584E-2</v>
      </c>
      <c r="F60" s="424">
        <f t="shared" si="1"/>
        <v>2913.8945558244036</v>
      </c>
    </row>
    <row r="61" spans="1:6">
      <c r="A61">
        <v>5670</v>
      </c>
      <c r="B61" t="s">
        <v>397</v>
      </c>
      <c r="C61" s="425">
        <v>67485.03</v>
      </c>
      <c r="D61" s="424">
        <v>29095.839999999997</v>
      </c>
      <c r="E61" s="438">
        <f t="shared" si="0"/>
        <v>2.5250604908399584E-2</v>
      </c>
      <c r="F61" s="424">
        <f t="shared" si="1"/>
        <v>734.68756031800888</v>
      </c>
    </row>
    <row r="62" spans="1:6">
      <c r="A62">
        <v>5675</v>
      </c>
      <c r="B62" t="s">
        <v>899</v>
      </c>
      <c r="C62" s="425">
        <v>-719.73</v>
      </c>
      <c r="D62" s="424">
        <v>-1275.98</v>
      </c>
      <c r="E62" s="438">
        <f t="shared" si="0"/>
        <v>2.5250604908399584E-2</v>
      </c>
      <c r="F62" s="424">
        <f t="shared" si="1"/>
        <v>-32.219266851019704</v>
      </c>
    </row>
    <row r="63" spans="1:6">
      <c r="A63">
        <v>5680</v>
      </c>
      <c r="B63" t="s">
        <v>900</v>
      </c>
      <c r="C63" s="425">
        <v>-1739.59</v>
      </c>
      <c r="D63" s="424">
        <v>-996.41</v>
      </c>
      <c r="E63" s="438">
        <f t="shared" si="0"/>
        <v>2.5250604908399584E-2</v>
      </c>
      <c r="F63" s="424">
        <f t="shared" si="1"/>
        <v>-25.15995523677843</v>
      </c>
    </row>
    <row r="64" spans="1:6">
      <c r="A64">
        <v>5685</v>
      </c>
      <c r="B64" t="s">
        <v>901</v>
      </c>
      <c r="D64" s="424" t="e">
        <v>#REF!</v>
      </c>
      <c r="E64" s="438">
        <f t="shared" si="0"/>
        <v>2.5250604908399584E-2</v>
      </c>
      <c r="F64" s="424" t="e">
        <f t="shared" si="1"/>
        <v>#REF!</v>
      </c>
    </row>
    <row r="65" spans="1:6">
      <c r="A65">
        <v>5690</v>
      </c>
      <c r="B65" t="s">
        <v>902</v>
      </c>
      <c r="C65" s="425">
        <v>14884.43</v>
      </c>
      <c r="D65" s="424">
        <v>12173.7</v>
      </c>
      <c r="E65" s="438">
        <f t="shared" si="0"/>
        <v>2.5250604908399584E-2</v>
      </c>
      <c r="F65" s="424">
        <f t="shared" si="1"/>
        <v>307.39328897338402</v>
      </c>
    </row>
    <row r="66" spans="1:6">
      <c r="B66" t="s">
        <v>174</v>
      </c>
      <c r="C66" s="425">
        <v>2638763.4700000002</v>
      </c>
      <c r="D66" s="424">
        <v>1236926.6900000002</v>
      </c>
      <c r="E66" s="438">
        <f t="shared" si="0"/>
        <v>2.5250604908399584E-2</v>
      </c>
      <c r="F66" s="424">
        <f t="shared" si="1"/>
        <v>31233.147149844455</v>
      </c>
    </row>
    <row r="67" spans="1:6">
      <c r="B67" t="s">
        <v>175</v>
      </c>
      <c r="D67" s="424" t="e">
        <v>#REF!</v>
      </c>
      <c r="E67" s="438">
        <f t="shared" si="0"/>
        <v>2.5250604908399584E-2</v>
      </c>
      <c r="F67" s="424" t="e">
        <f t="shared" si="1"/>
        <v>#REF!</v>
      </c>
    </row>
    <row r="68" spans="1:6">
      <c r="A68">
        <v>5700</v>
      </c>
      <c r="B68" t="s">
        <v>903</v>
      </c>
      <c r="D68" s="424" t="e">
        <v>#REF!</v>
      </c>
      <c r="E68" s="438">
        <f t="shared" si="0"/>
        <v>2.5250604908399584E-2</v>
      </c>
      <c r="F68" s="424" t="e">
        <f t="shared" si="1"/>
        <v>#REF!</v>
      </c>
    </row>
    <row r="69" spans="1:6">
      <c r="A69">
        <v>5705</v>
      </c>
      <c r="B69" t="s">
        <v>904</v>
      </c>
      <c r="D69" s="424" t="e">
        <v>#REF!</v>
      </c>
      <c r="E69" s="438">
        <f t="shared" si="0"/>
        <v>2.5250604908399584E-2</v>
      </c>
      <c r="F69" s="424" t="e">
        <f t="shared" si="1"/>
        <v>#REF!</v>
      </c>
    </row>
    <row r="70" spans="1:6">
      <c r="A70">
        <v>5710</v>
      </c>
      <c r="B70" t="s">
        <v>905</v>
      </c>
      <c r="D70" s="424" t="e">
        <v>#REF!</v>
      </c>
      <c r="E70" s="438">
        <f t="shared" ref="E70:E133" si="2">E$3</f>
        <v>2.5250604908399584E-2</v>
      </c>
      <c r="F70" s="424" t="e">
        <f t="shared" ref="F70:F133" si="3">E70*D70</f>
        <v>#REF!</v>
      </c>
    </row>
    <row r="71" spans="1:6">
      <c r="A71">
        <v>5715</v>
      </c>
      <c r="B71" t="s">
        <v>906</v>
      </c>
      <c r="C71" s="425">
        <v>1268732.48</v>
      </c>
      <c r="D71" s="424">
        <v>595502.59</v>
      </c>
      <c r="E71" s="438">
        <f t="shared" si="2"/>
        <v>2.5250604908399584E-2</v>
      </c>
      <c r="F71" s="424">
        <f t="shared" si="3"/>
        <v>15036.800622018663</v>
      </c>
    </row>
    <row r="72" spans="1:6">
      <c r="B72" t="s">
        <v>175</v>
      </c>
      <c r="C72" s="425">
        <v>1268732.48</v>
      </c>
      <c r="D72" s="424">
        <v>595502.59</v>
      </c>
      <c r="E72" s="438">
        <f t="shared" si="2"/>
        <v>2.5250604908399584E-2</v>
      </c>
      <c r="F72" s="424">
        <f t="shared" si="3"/>
        <v>15036.800622018663</v>
      </c>
    </row>
    <row r="73" spans="1:6">
      <c r="B73" t="s">
        <v>176</v>
      </c>
      <c r="D73" s="424" t="e">
        <v>#REF!</v>
      </c>
      <c r="E73" s="438">
        <f t="shared" si="2"/>
        <v>2.5250604908399584E-2</v>
      </c>
      <c r="F73" s="424" t="e">
        <f t="shared" si="3"/>
        <v>#REF!</v>
      </c>
    </row>
    <row r="74" spans="1:6">
      <c r="A74">
        <v>5735</v>
      </c>
      <c r="B74" t="s">
        <v>907</v>
      </c>
      <c r="C74" s="425">
        <v>414881.04</v>
      </c>
      <c r="D74" s="424">
        <v>130567.67999999999</v>
      </c>
      <c r="E74" s="438">
        <f t="shared" si="2"/>
        <v>2.5250604908399584E-2</v>
      </c>
      <c r="F74" s="424">
        <f t="shared" si="3"/>
        <v>3296.9129014863461</v>
      </c>
    </row>
    <row r="75" spans="1:6">
      <c r="A75">
        <v>5740</v>
      </c>
      <c r="B75" t="s">
        <v>908</v>
      </c>
      <c r="C75" s="425">
        <v>83211.199999999997</v>
      </c>
      <c r="D75" s="424">
        <v>59765.2</v>
      </c>
      <c r="E75" s="438">
        <f t="shared" si="2"/>
        <v>2.5250604908399584E-2</v>
      </c>
      <c r="F75" s="424">
        <f t="shared" si="3"/>
        <v>1509.1074524714827</v>
      </c>
    </row>
    <row r="76" spans="1:6">
      <c r="A76">
        <v>5745</v>
      </c>
      <c r="B76" t="s">
        <v>909</v>
      </c>
      <c r="C76" s="425">
        <v>-2873.34</v>
      </c>
      <c r="D76" s="424">
        <v>27980.09</v>
      </c>
      <c r="E76" s="438">
        <f t="shared" si="2"/>
        <v>2.5250604908399584E-2</v>
      </c>
      <c r="F76" s="424">
        <f t="shared" si="3"/>
        <v>706.51419789146212</v>
      </c>
    </row>
    <row r="77" spans="1:6">
      <c r="A77">
        <v>5750</v>
      </c>
      <c r="B77" t="s">
        <v>910</v>
      </c>
      <c r="C77" s="425">
        <v>13095.52</v>
      </c>
      <c r="D77" s="424">
        <v>7288.89</v>
      </c>
      <c r="E77" s="438">
        <f t="shared" si="2"/>
        <v>2.5250604908399584E-2</v>
      </c>
      <c r="F77" s="424">
        <f t="shared" si="3"/>
        <v>184.04888161078466</v>
      </c>
    </row>
    <row r="78" spans="1:6">
      <c r="A78">
        <v>5755</v>
      </c>
      <c r="B78" t="s">
        <v>911</v>
      </c>
      <c r="C78" s="425">
        <v>2586.98</v>
      </c>
      <c r="D78" s="424">
        <v>73.5</v>
      </c>
      <c r="E78" s="438">
        <f t="shared" si="2"/>
        <v>2.5250604908399584E-2</v>
      </c>
      <c r="F78" s="424">
        <f t="shared" si="3"/>
        <v>1.8559194607673695</v>
      </c>
    </row>
    <row r="79" spans="1:6">
      <c r="A79">
        <v>5760</v>
      </c>
      <c r="B79" t="s">
        <v>912</v>
      </c>
      <c r="C79" s="425">
        <v>2325</v>
      </c>
      <c r="D79" s="424">
        <v>0</v>
      </c>
      <c r="E79" s="438">
        <f t="shared" si="2"/>
        <v>2.5250604908399584E-2</v>
      </c>
      <c r="F79" s="424">
        <f t="shared" si="3"/>
        <v>0</v>
      </c>
    </row>
    <row r="80" spans="1:6">
      <c r="B80" t="s">
        <v>176</v>
      </c>
      <c r="C80" s="425">
        <v>513226.4</v>
      </c>
      <c r="D80" s="424">
        <v>225675.36000000004</v>
      </c>
      <c r="E80" s="438">
        <f t="shared" si="2"/>
        <v>2.5250604908399584E-2</v>
      </c>
      <c r="F80" s="424">
        <f t="shared" si="3"/>
        <v>5698.4393529208446</v>
      </c>
    </row>
    <row r="81" spans="1:6">
      <c r="B81" t="s">
        <v>177</v>
      </c>
      <c r="D81" s="424" t="e">
        <v>#REF!</v>
      </c>
      <c r="E81" s="438">
        <f t="shared" si="2"/>
        <v>2.5250604908399584E-2</v>
      </c>
      <c r="F81" s="424" t="e">
        <f t="shared" si="3"/>
        <v>#REF!</v>
      </c>
    </row>
    <row r="82" spans="1:6">
      <c r="A82">
        <v>5785</v>
      </c>
      <c r="B82" t="s">
        <v>913</v>
      </c>
      <c r="D82" s="424" t="e">
        <v>#REF!</v>
      </c>
      <c r="E82" s="438">
        <f t="shared" si="2"/>
        <v>2.5250604908399584E-2</v>
      </c>
      <c r="F82" s="424" t="e">
        <f t="shared" si="3"/>
        <v>#REF!</v>
      </c>
    </row>
    <row r="83" spans="1:6">
      <c r="A83">
        <v>5790</v>
      </c>
      <c r="B83" t="s">
        <v>914</v>
      </c>
      <c r="C83" s="425">
        <v>171582.52</v>
      </c>
      <c r="D83" s="424">
        <v>16406.75</v>
      </c>
      <c r="E83" s="438">
        <f t="shared" si="2"/>
        <v>2.5250604908399584E-2</v>
      </c>
      <c r="F83" s="424">
        <f t="shared" si="3"/>
        <v>414.28036208088486</v>
      </c>
    </row>
    <row r="84" spans="1:6">
      <c r="A84">
        <v>5795</v>
      </c>
      <c r="B84" t="s">
        <v>915</v>
      </c>
      <c r="D84" s="424" t="e">
        <v>#REF!</v>
      </c>
      <c r="E84" s="438">
        <f t="shared" si="2"/>
        <v>2.5250604908399584E-2</v>
      </c>
      <c r="F84" s="424" t="e">
        <f t="shared" si="3"/>
        <v>#REF!</v>
      </c>
    </row>
    <row r="85" spans="1:6">
      <c r="A85">
        <v>5800</v>
      </c>
      <c r="B85" t="s">
        <v>916</v>
      </c>
      <c r="C85" s="425">
        <v>8949.25</v>
      </c>
      <c r="D85" s="424">
        <v>0</v>
      </c>
      <c r="E85" s="438">
        <f t="shared" si="2"/>
        <v>2.5250604908399584E-2</v>
      </c>
      <c r="F85" s="424">
        <f t="shared" si="3"/>
        <v>0</v>
      </c>
    </row>
    <row r="86" spans="1:6">
      <c r="A86">
        <v>5805</v>
      </c>
      <c r="B86" t="s">
        <v>917</v>
      </c>
      <c r="D86" s="424" t="e">
        <v>#REF!</v>
      </c>
      <c r="E86" s="438">
        <f t="shared" si="2"/>
        <v>2.5250604908399584E-2</v>
      </c>
      <c r="F86" s="424" t="e">
        <f t="shared" si="3"/>
        <v>#REF!</v>
      </c>
    </row>
    <row r="87" spans="1:6">
      <c r="A87">
        <v>5810</v>
      </c>
      <c r="B87" t="s">
        <v>918</v>
      </c>
      <c r="C87" s="425">
        <v>310.95</v>
      </c>
      <c r="D87" s="424">
        <v>181</v>
      </c>
      <c r="E87" s="438">
        <f t="shared" si="2"/>
        <v>2.5250604908399584E-2</v>
      </c>
      <c r="F87" s="424">
        <f t="shared" si="3"/>
        <v>4.5703594884203245</v>
      </c>
    </row>
    <row r="88" spans="1:6">
      <c r="A88">
        <v>5815</v>
      </c>
      <c r="B88" t="s">
        <v>919</v>
      </c>
      <c r="D88" s="424" t="e">
        <v>#REF!</v>
      </c>
      <c r="E88" s="438">
        <f t="shared" si="2"/>
        <v>2.5250604908399584E-2</v>
      </c>
      <c r="F88" s="424" t="e">
        <f t="shared" si="3"/>
        <v>#REF!</v>
      </c>
    </row>
    <row r="89" spans="1:6">
      <c r="A89">
        <v>5820</v>
      </c>
      <c r="B89" t="s">
        <v>920</v>
      </c>
      <c r="C89" s="425">
        <v>64401.42</v>
      </c>
      <c r="D89" s="424">
        <v>12681.849999999999</v>
      </c>
      <c r="E89" s="438">
        <f t="shared" si="2"/>
        <v>2.5250604908399584E-2</v>
      </c>
      <c r="F89" s="424">
        <f t="shared" si="3"/>
        <v>320.22438385758721</v>
      </c>
    </row>
    <row r="90" spans="1:6">
      <c r="A90">
        <v>5825</v>
      </c>
      <c r="B90" t="s">
        <v>921</v>
      </c>
      <c r="C90" s="425">
        <v>22732.9</v>
      </c>
      <c r="D90" s="424">
        <v>12371.220000000001</v>
      </c>
      <c r="E90" s="438">
        <f t="shared" si="2"/>
        <v>2.5250604908399584E-2</v>
      </c>
      <c r="F90" s="424">
        <f t="shared" si="3"/>
        <v>312.38078845489116</v>
      </c>
    </row>
    <row r="91" spans="1:6">
      <c r="B91" t="s">
        <v>177</v>
      </c>
      <c r="C91" s="425">
        <v>267977.03999999998</v>
      </c>
      <c r="D91" s="424">
        <v>41640.819999999978</v>
      </c>
      <c r="E91" s="438">
        <f t="shared" si="2"/>
        <v>2.5250604908399584E-2</v>
      </c>
      <c r="F91" s="424">
        <f t="shared" si="3"/>
        <v>1051.4558938817829</v>
      </c>
    </row>
    <row r="92" spans="1:6">
      <c r="B92" t="s">
        <v>178</v>
      </c>
      <c r="D92" s="424" t="e">
        <v>#REF!</v>
      </c>
      <c r="E92" s="438">
        <f t="shared" si="2"/>
        <v>2.5250604908399584E-2</v>
      </c>
      <c r="F92" s="424" t="e">
        <f t="shared" si="3"/>
        <v>#REF!</v>
      </c>
    </row>
    <row r="93" spans="1:6">
      <c r="A93">
        <v>5855</v>
      </c>
      <c r="B93" t="s">
        <v>922</v>
      </c>
      <c r="C93" s="425">
        <v>1132.53</v>
      </c>
      <c r="D93" s="424">
        <v>0</v>
      </c>
      <c r="E93" s="438">
        <f t="shared" si="2"/>
        <v>2.5250604908399584E-2</v>
      </c>
      <c r="F93" s="424">
        <f t="shared" si="3"/>
        <v>0</v>
      </c>
    </row>
    <row r="94" spans="1:6">
      <c r="A94">
        <v>5860</v>
      </c>
      <c r="B94" t="s">
        <v>923</v>
      </c>
      <c r="C94" s="425">
        <v>1878.15</v>
      </c>
      <c r="D94" s="424">
        <v>913.38000000000011</v>
      </c>
      <c r="E94" s="438">
        <f t="shared" si="2"/>
        <v>2.5250604908399584E-2</v>
      </c>
      <c r="F94" s="424">
        <f t="shared" si="3"/>
        <v>23.063397511234015</v>
      </c>
    </row>
    <row r="95" spans="1:6">
      <c r="A95">
        <v>5865</v>
      </c>
      <c r="B95" t="s">
        <v>924</v>
      </c>
      <c r="C95" s="425">
        <v>2085.62</v>
      </c>
      <c r="D95" s="424">
        <v>0</v>
      </c>
      <c r="E95" s="438">
        <f t="shared" si="2"/>
        <v>2.5250604908399584E-2</v>
      </c>
      <c r="F95" s="424">
        <f t="shared" si="3"/>
        <v>0</v>
      </c>
    </row>
    <row r="96" spans="1:6">
      <c r="A96">
        <v>5870</v>
      </c>
      <c r="B96" t="s">
        <v>925</v>
      </c>
      <c r="D96" s="424" t="e">
        <v>#REF!</v>
      </c>
      <c r="E96" s="438">
        <f t="shared" si="2"/>
        <v>2.5250604908399584E-2</v>
      </c>
      <c r="F96" s="424" t="e">
        <f t="shared" si="3"/>
        <v>#REF!</v>
      </c>
    </row>
    <row r="97" spans="1:6">
      <c r="A97">
        <v>5875</v>
      </c>
      <c r="B97" t="s">
        <v>926</v>
      </c>
      <c r="C97" s="425">
        <v>507.13</v>
      </c>
      <c r="D97" s="424" t="e">
        <v>#REF!</v>
      </c>
      <c r="E97" s="438">
        <f t="shared" si="2"/>
        <v>2.5250604908399584E-2</v>
      </c>
      <c r="F97" s="424" t="e">
        <f t="shared" si="3"/>
        <v>#REF!</v>
      </c>
    </row>
    <row r="98" spans="1:6">
      <c r="A98">
        <v>5880</v>
      </c>
      <c r="B98" t="s">
        <v>927</v>
      </c>
      <c r="C98" s="425">
        <v>1993.1</v>
      </c>
      <c r="D98" s="424">
        <v>1124.4699999999998</v>
      </c>
      <c r="E98" s="438">
        <f t="shared" si="2"/>
        <v>2.5250604908399584E-2</v>
      </c>
      <c r="F98" s="424">
        <f t="shared" si="3"/>
        <v>28.393547701348076</v>
      </c>
    </row>
    <row r="99" spans="1:6">
      <c r="A99">
        <v>5885</v>
      </c>
      <c r="B99" t="s">
        <v>928</v>
      </c>
      <c r="C99" s="425">
        <v>2425.1799999999998</v>
      </c>
      <c r="D99" s="424">
        <v>1311.1</v>
      </c>
      <c r="E99" s="438">
        <f t="shared" si="2"/>
        <v>2.5250604908399584E-2</v>
      </c>
      <c r="F99" s="424">
        <f t="shared" si="3"/>
        <v>33.106068095402691</v>
      </c>
    </row>
    <row r="100" spans="1:6">
      <c r="A100">
        <v>5890</v>
      </c>
      <c r="B100" t="s">
        <v>929</v>
      </c>
      <c r="C100" s="425">
        <v>1900.26</v>
      </c>
      <c r="D100" s="424">
        <v>1047.71</v>
      </c>
      <c r="E100" s="438">
        <f t="shared" si="2"/>
        <v>2.5250604908399584E-2</v>
      </c>
      <c r="F100" s="424">
        <f t="shared" si="3"/>
        <v>26.455311268579329</v>
      </c>
    </row>
    <row r="101" spans="1:6">
      <c r="A101">
        <v>5895</v>
      </c>
      <c r="B101" t="s">
        <v>930</v>
      </c>
      <c r="C101" s="425">
        <v>345.47</v>
      </c>
      <c r="D101" s="424">
        <v>336.68</v>
      </c>
      <c r="E101" s="438">
        <f t="shared" si="2"/>
        <v>2.5250604908399584E-2</v>
      </c>
      <c r="F101" s="424">
        <f t="shared" si="3"/>
        <v>8.5013736605599721</v>
      </c>
    </row>
    <row r="102" spans="1:6">
      <c r="A102">
        <v>5900</v>
      </c>
      <c r="B102" t="s">
        <v>931</v>
      </c>
      <c r="C102" s="425">
        <v>46081.25</v>
      </c>
      <c r="D102" s="424">
        <v>22148.799999999999</v>
      </c>
      <c r="E102" s="438">
        <f t="shared" si="2"/>
        <v>2.5250604908399584E-2</v>
      </c>
      <c r="F102" s="424">
        <f t="shared" si="3"/>
        <v>559.27059799516064</v>
      </c>
    </row>
    <row r="103" spans="1:6">
      <c r="B103" t="s">
        <v>178</v>
      </c>
      <c r="C103" s="425">
        <v>58348.69</v>
      </c>
      <c r="D103" s="424">
        <v>27389.270000000004</v>
      </c>
      <c r="E103" s="438">
        <f t="shared" si="2"/>
        <v>2.5250604908399584E-2</v>
      </c>
      <c r="F103" s="424">
        <f t="shared" si="3"/>
        <v>691.59563549948155</v>
      </c>
    </row>
    <row r="104" spans="1:6">
      <c r="B104" t="s">
        <v>179</v>
      </c>
      <c r="D104" s="424" t="e">
        <v>#REF!</v>
      </c>
      <c r="E104" s="438">
        <f t="shared" si="2"/>
        <v>2.5250604908399584E-2</v>
      </c>
      <c r="F104" s="424" t="e">
        <f t="shared" si="3"/>
        <v>#REF!</v>
      </c>
    </row>
    <row r="105" spans="1:6">
      <c r="A105">
        <v>5930</v>
      </c>
      <c r="B105" t="s">
        <v>932</v>
      </c>
      <c r="C105" s="425">
        <v>17896.87</v>
      </c>
      <c r="D105" s="424">
        <v>8358.7199999999993</v>
      </c>
      <c r="E105" s="438">
        <f t="shared" si="2"/>
        <v>2.5250604908399584E-2</v>
      </c>
      <c r="F105" s="424">
        <f t="shared" si="3"/>
        <v>211.06273625993776</v>
      </c>
    </row>
    <row r="106" spans="1:6">
      <c r="A106">
        <v>5935</v>
      </c>
      <c r="B106" t="s">
        <v>933</v>
      </c>
      <c r="C106" s="425">
        <v>5051.49</v>
      </c>
      <c r="D106" s="424">
        <v>1990.58</v>
      </c>
      <c r="E106" s="438">
        <f t="shared" si="2"/>
        <v>2.5250604908399584E-2</v>
      </c>
      <c r="F106" s="424">
        <f t="shared" si="3"/>
        <v>50.26334911856204</v>
      </c>
    </row>
    <row r="107" spans="1:6">
      <c r="A107">
        <v>5940</v>
      </c>
      <c r="B107" t="s">
        <v>934</v>
      </c>
      <c r="C107" s="425">
        <v>515.67999999999995</v>
      </c>
      <c r="D107" s="424">
        <v>173.35999999999996</v>
      </c>
      <c r="E107" s="438">
        <f t="shared" si="2"/>
        <v>2.5250604908399584E-2</v>
      </c>
      <c r="F107" s="424">
        <f t="shared" si="3"/>
        <v>4.3774448669201504</v>
      </c>
    </row>
    <row r="108" spans="1:6">
      <c r="A108">
        <v>5945</v>
      </c>
      <c r="B108" t="s">
        <v>935</v>
      </c>
      <c r="C108" s="425">
        <v>214512.64000000001</v>
      </c>
      <c r="D108" s="424">
        <v>114529.25000000001</v>
      </c>
      <c r="E108" s="438">
        <f t="shared" si="2"/>
        <v>2.5250604908399584E-2</v>
      </c>
      <c r="F108" s="424">
        <f t="shared" si="3"/>
        <v>2891.9328422053236</v>
      </c>
    </row>
    <row r="109" spans="1:6">
      <c r="A109">
        <v>5950</v>
      </c>
      <c r="B109" t="s">
        <v>936</v>
      </c>
      <c r="C109" s="425">
        <v>2630.15</v>
      </c>
      <c r="D109" s="424">
        <v>316.44000000000005</v>
      </c>
      <c r="E109" s="438">
        <f t="shared" si="2"/>
        <v>2.5250604908399584E-2</v>
      </c>
      <c r="F109" s="424">
        <f t="shared" si="3"/>
        <v>7.9903014172139661</v>
      </c>
    </row>
    <row r="110" spans="1:6">
      <c r="A110">
        <v>5955</v>
      </c>
      <c r="B110" t="s">
        <v>937</v>
      </c>
      <c r="C110" s="425">
        <v>12956</v>
      </c>
      <c r="D110" s="424">
        <v>2519</v>
      </c>
      <c r="E110" s="438">
        <f t="shared" si="2"/>
        <v>2.5250604908399584E-2</v>
      </c>
      <c r="F110" s="424">
        <f t="shared" si="3"/>
        <v>63.606273764258553</v>
      </c>
    </row>
    <row r="111" spans="1:6">
      <c r="A111">
        <v>5960</v>
      </c>
      <c r="B111" t="s">
        <v>938</v>
      </c>
      <c r="C111" s="425">
        <v>4415.6000000000004</v>
      </c>
      <c r="D111" s="424">
        <v>272</v>
      </c>
      <c r="E111" s="438">
        <f t="shared" si="2"/>
        <v>2.5250604908399584E-2</v>
      </c>
      <c r="F111" s="424">
        <f t="shared" si="3"/>
        <v>6.8681645350846869</v>
      </c>
    </row>
    <row r="112" spans="1:6">
      <c r="A112">
        <v>5965</v>
      </c>
      <c r="B112" t="s">
        <v>939</v>
      </c>
      <c r="C112" s="425">
        <v>20512.39</v>
      </c>
      <c r="D112" s="424">
        <v>10991.68</v>
      </c>
      <c r="E112" s="438">
        <f t="shared" si="2"/>
        <v>2.5250604908399584E-2</v>
      </c>
      <c r="F112" s="424">
        <f t="shared" si="3"/>
        <v>277.54656895955753</v>
      </c>
    </row>
    <row r="113" spans="1:6">
      <c r="A113">
        <v>5970</v>
      </c>
      <c r="B113" t="s">
        <v>940</v>
      </c>
      <c r="C113" s="425">
        <v>18552.02</v>
      </c>
      <c r="D113" s="424">
        <v>7525</v>
      </c>
      <c r="E113" s="438">
        <f t="shared" si="2"/>
        <v>2.5250604908399584E-2</v>
      </c>
      <c r="F113" s="424">
        <f t="shared" si="3"/>
        <v>190.01080193570687</v>
      </c>
    </row>
    <row r="114" spans="1:6">
      <c r="A114">
        <v>5975</v>
      </c>
      <c r="B114" t="s">
        <v>242</v>
      </c>
      <c r="C114" s="425">
        <v>12415.11</v>
      </c>
      <c r="D114" s="424">
        <v>10061.91</v>
      </c>
      <c r="E114" s="438">
        <f t="shared" si="2"/>
        <v>2.5250604908399584E-2</v>
      </c>
      <c r="F114" s="424">
        <f t="shared" si="3"/>
        <v>254.06931403387486</v>
      </c>
    </row>
    <row r="115" spans="1:6">
      <c r="A115">
        <v>5980</v>
      </c>
      <c r="B115" t="s">
        <v>243</v>
      </c>
      <c r="D115" s="424" t="e">
        <v>#REF!</v>
      </c>
      <c r="E115" s="438">
        <f t="shared" si="2"/>
        <v>2.5250604908399584E-2</v>
      </c>
      <c r="F115" s="424" t="e">
        <f t="shared" si="3"/>
        <v>#REF!</v>
      </c>
    </row>
    <row r="116" spans="1:6">
      <c r="A116">
        <v>5985</v>
      </c>
      <c r="B116" t="s">
        <v>244</v>
      </c>
      <c r="D116" s="424" t="e">
        <v>#REF!</v>
      </c>
      <c r="E116" s="438">
        <f t="shared" si="2"/>
        <v>2.5250604908399584E-2</v>
      </c>
      <c r="F116" s="424" t="e">
        <f t="shared" si="3"/>
        <v>#REF!</v>
      </c>
    </row>
    <row r="117" spans="1:6">
      <c r="B117" t="s">
        <v>179</v>
      </c>
      <c r="C117" s="425">
        <v>309457.95</v>
      </c>
      <c r="D117" s="424">
        <v>156737.94</v>
      </c>
      <c r="E117" s="438">
        <f t="shared" si="2"/>
        <v>2.5250604908399584E-2</v>
      </c>
      <c r="F117" s="424">
        <f t="shared" si="3"/>
        <v>3957.7277970964396</v>
      </c>
    </row>
    <row r="118" spans="1:6">
      <c r="B118" t="s">
        <v>180</v>
      </c>
      <c r="D118" s="424" t="e">
        <v>#REF!</v>
      </c>
      <c r="E118" s="438">
        <f t="shared" si="2"/>
        <v>2.5250604908399584E-2</v>
      </c>
      <c r="F118" s="424" t="e">
        <f t="shared" si="3"/>
        <v>#REF!</v>
      </c>
    </row>
    <row r="119" spans="1:6">
      <c r="A119">
        <v>6005</v>
      </c>
      <c r="B119" t="s">
        <v>245</v>
      </c>
      <c r="D119" s="424" t="e">
        <v>#REF!</v>
      </c>
      <c r="E119" s="438">
        <f t="shared" si="2"/>
        <v>2.5250604908399584E-2</v>
      </c>
      <c r="F119" s="424" t="e">
        <f t="shared" si="3"/>
        <v>#REF!</v>
      </c>
    </row>
    <row r="120" spans="1:6">
      <c r="A120">
        <v>6010</v>
      </c>
      <c r="B120" t="s">
        <v>246</v>
      </c>
      <c r="C120" s="425">
        <v>81500</v>
      </c>
      <c r="D120" s="424">
        <v>-25500</v>
      </c>
      <c r="E120" s="438">
        <f t="shared" si="2"/>
        <v>2.5250604908399584E-2</v>
      </c>
      <c r="F120" s="424">
        <f t="shared" si="3"/>
        <v>-643.89042516418942</v>
      </c>
    </row>
    <row r="121" spans="1:6">
      <c r="A121">
        <v>6015</v>
      </c>
      <c r="B121" t="s">
        <v>247</v>
      </c>
      <c r="C121" s="425">
        <v>349</v>
      </c>
      <c r="D121" s="424" t="e">
        <v>#REF!</v>
      </c>
      <c r="E121" s="438">
        <f t="shared" si="2"/>
        <v>2.5250604908399584E-2</v>
      </c>
      <c r="F121" s="424" t="e">
        <f t="shared" si="3"/>
        <v>#REF!</v>
      </c>
    </row>
    <row r="122" spans="1:6">
      <c r="A122">
        <v>6020</v>
      </c>
      <c r="B122" t="s">
        <v>248</v>
      </c>
      <c r="D122" s="424" t="e">
        <v>#REF!</v>
      </c>
      <c r="E122" s="438">
        <f t="shared" si="2"/>
        <v>2.5250604908399584E-2</v>
      </c>
      <c r="F122" s="424" t="e">
        <f t="shared" si="3"/>
        <v>#REF!</v>
      </c>
    </row>
    <row r="123" spans="1:6">
      <c r="A123">
        <v>6025</v>
      </c>
      <c r="B123" t="s">
        <v>249</v>
      </c>
      <c r="C123" s="425">
        <v>47522.58</v>
      </c>
      <c r="D123" s="424">
        <v>41573.75</v>
      </c>
      <c r="E123" s="438">
        <f t="shared" si="2"/>
        <v>2.5250604908399584E-2</v>
      </c>
      <c r="F123" s="424">
        <f t="shared" si="3"/>
        <v>1049.7623358105773</v>
      </c>
    </row>
    <row r="124" spans="1:6">
      <c r="A124">
        <v>6030</v>
      </c>
      <c r="B124" t="s">
        <v>250</v>
      </c>
      <c r="D124" s="424" t="e">
        <v>#REF!</v>
      </c>
      <c r="E124" s="438">
        <f t="shared" si="2"/>
        <v>2.5250604908399584E-2</v>
      </c>
      <c r="F124" s="424" t="e">
        <f t="shared" si="3"/>
        <v>#REF!</v>
      </c>
    </row>
    <row r="125" spans="1:6">
      <c r="A125">
        <v>6035</v>
      </c>
      <c r="B125" t="s">
        <v>251</v>
      </c>
      <c r="C125" s="425">
        <v>35258.44</v>
      </c>
      <c r="D125" s="424">
        <v>17927.530000000002</v>
      </c>
      <c r="E125" s="438">
        <f t="shared" si="2"/>
        <v>2.5250604908399584E-2</v>
      </c>
      <c r="F125" s="424">
        <f t="shared" si="3"/>
        <v>452.68097701348086</v>
      </c>
    </row>
    <row r="126" spans="1:6">
      <c r="A126">
        <v>6040</v>
      </c>
      <c r="B126" t="s">
        <v>252</v>
      </c>
      <c r="C126" s="425">
        <v>41000</v>
      </c>
      <c r="D126" s="424">
        <v>20500</v>
      </c>
      <c r="E126" s="438">
        <f t="shared" si="2"/>
        <v>2.5250604908399584E-2</v>
      </c>
      <c r="F126" s="424">
        <f t="shared" si="3"/>
        <v>517.63740062219142</v>
      </c>
    </row>
    <row r="127" spans="1:6">
      <c r="A127">
        <v>6045</v>
      </c>
      <c r="B127" t="s">
        <v>253</v>
      </c>
      <c r="C127" s="425">
        <v>114965.71</v>
      </c>
      <c r="D127" s="424">
        <v>77358.850000000006</v>
      </c>
      <c r="E127" s="438">
        <f t="shared" si="2"/>
        <v>2.5250604908399584E-2</v>
      </c>
      <c r="F127" s="424">
        <f t="shared" si="3"/>
        <v>1953.3577575181473</v>
      </c>
    </row>
    <row r="128" spans="1:6">
      <c r="A128">
        <v>6050</v>
      </c>
      <c r="B128" t="s">
        <v>254</v>
      </c>
      <c r="C128" s="425">
        <v>112485.39</v>
      </c>
      <c r="D128" s="424">
        <v>23011.350000000006</v>
      </c>
      <c r="E128" s="438">
        <f t="shared" si="2"/>
        <v>2.5250604908399584E-2</v>
      </c>
      <c r="F128" s="424">
        <f t="shared" si="3"/>
        <v>581.05050725890089</v>
      </c>
    </row>
    <row r="129" spans="1:6">
      <c r="B129" t="s">
        <v>180</v>
      </c>
      <c r="C129" s="425">
        <v>433081.12</v>
      </c>
      <c r="D129" s="424">
        <v>155220.47999999998</v>
      </c>
      <c r="E129" s="438">
        <f t="shared" si="2"/>
        <v>2.5250604908399584E-2</v>
      </c>
      <c r="F129" s="424">
        <f t="shared" si="3"/>
        <v>3919.4110141721389</v>
      </c>
    </row>
    <row r="130" spans="1:6">
      <c r="B130" t="s">
        <v>181</v>
      </c>
      <c r="D130" s="424" t="e">
        <v>#REF!</v>
      </c>
      <c r="E130" s="438">
        <f t="shared" si="2"/>
        <v>2.5250604908399584E-2</v>
      </c>
      <c r="F130" s="424" t="e">
        <f t="shared" si="3"/>
        <v>#REF!</v>
      </c>
    </row>
    <row r="131" spans="1:6">
      <c r="A131">
        <v>6065</v>
      </c>
      <c r="B131" t="s">
        <v>255</v>
      </c>
      <c r="D131" s="424" t="e">
        <v>#REF!</v>
      </c>
      <c r="E131" s="438">
        <f t="shared" si="2"/>
        <v>2.5250604908399584E-2</v>
      </c>
      <c r="F131" s="424" t="e">
        <f t="shared" si="3"/>
        <v>#REF!</v>
      </c>
    </row>
    <row r="132" spans="1:6">
      <c r="A132">
        <v>6070</v>
      </c>
      <c r="B132" t="s">
        <v>256</v>
      </c>
      <c r="D132" s="424" t="e">
        <v>#REF!</v>
      </c>
      <c r="E132" s="438">
        <f t="shared" si="2"/>
        <v>2.5250604908399584E-2</v>
      </c>
      <c r="F132" s="424" t="e">
        <f t="shared" si="3"/>
        <v>#REF!</v>
      </c>
    </row>
    <row r="133" spans="1:6">
      <c r="A133">
        <v>6075</v>
      </c>
      <c r="B133" t="s">
        <v>257</v>
      </c>
      <c r="D133" s="424" t="e">
        <v>#REF!</v>
      </c>
      <c r="E133" s="438">
        <f t="shared" si="2"/>
        <v>2.5250604908399584E-2</v>
      </c>
      <c r="F133" s="424" t="e">
        <f t="shared" si="3"/>
        <v>#REF!</v>
      </c>
    </row>
    <row r="134" spans="1:6">
      <c r="B134" t="s">
        <v>181</v>
      </c>
      <c r="D134" s="424" t="e">
        <v>#REF!</v>
      </c>
      <c r="E134" s="438">
        <f t="shared" ref="E134:E197" si="4">E$3</f>
        <v>2.5250604908399584E-2</v>
      </c>
      <c r="F134" s="424" t="e">
        <f t="shared" ref="F134:F197" si="5">E134*D134</f>
        <v>#REF!</v>
      </c>
    </row>
    <row r="135" spans="1:6">
      <c r="B135" t="s">
        <v>182</v>
      </c>
      <c r="D135" s="424" t="e">
        <v>#REF!</v>
      </c>
      <c r="E135" s="438">
        <f t="shared" si="4"/>
        <v>2.5250604908399584E-2</v>
      </c>
      <c r="F135" s="424" t="e">
        <f t="shared" si="5"/>
        <v>#REF!</v>
      </c>
    </row>
    <row r="136" spans="1:6">
      <c r="A136">
        <v>6090</v>
      </c>
      <c r="B136" t="s">
        <v>258</v>
      </c>
      <c r="D136" s="424" t="e">
        <v>#REF!</v>
      </c>
      <c r="E136" s="438">
        <f t="shared" si="4"/>
        <v>2.5250604908399584E-2</v>
      </c>
      <c r="F136" s="424" t="e">
        <f t="shared" si="5"/>
        <v>#REF!</v>
      </c>
    </row>
    <row r="137" spans="1:6">
      <c r="B137" t="s">
        <v>182</v>
      </c>
      <c r="D137" s="424" t="e">
        <v>#REF!</v>
      </c>
      <c r="E137" s="438">
        <f t="shared" si="4"/>
        <v>2.5250604908399584E-2</v>
      </c>
      <c r="F137" s="424" t="e">
        <f t="shared" si="5"/>
        <v>#REF!</v>
      </c>
    </row>
    <row r="138" spans="1:6">
      <c r="B138" t="s">
        <v>183</v>
      </c>
      <c r="D138" s="424" t="e">
        <v>#REF!</v>
      </c>
      <c r="E138" s="438">
        <f t="shared" si="4"/>
        <v>2.5250604908399584E-2</v>
      </c>
      <c r="F138" s="424" t="e">
        <f t="shared" si="5"/>
        <v>#REF!</v>
      </c>
    </row>
    <row r="139" spans="1:6">
      <c r="A139">
        <v>6105</v>
      </c>
      <c r="B139" t="s">
        <v>604</v>
      </c>
      <c r="C139" s="425">
        <v>122627.46</v>
      </c>
      <c r="D139" s="424">
        <v>43689.030000000013</v>
      </c>
      <c r="E139" s="438">
        <f t="shared" si="4"/>
        <v>2.5250604908399584E-2</v>
      </c>
      <c r="F139" s="424">
        <f t="shared" si="5"/>
        <v>1103.1744353612171</v>
      </c>
    </row>
    <row r="140" spans="1:6">
      <c r="A140">
        <v>6110</v>
      </c>
      <c r="B140" t="s">
        <v>605</v>
      </c>
      <c r="C140" s="425">
        <v>691115.12</v>
      </c>
      <c r="D140" s="424">
        <v>344191</v>
      </c>
      <c r="E140" s="438">
        <f t="shared" si="4"/>
        <v>2.5250604908399584E-2</v>
      </c>
      <c r="F140" s="424">
        <f t="shared" si="5"/>
        <v>8691.0309540269609</v>
      </c>
    </row>
    <row r="141" spans="1:6">
      <c r="A141">
        <v>6115</v>
      </c>
      <c r="B141" t="s">
        <v>606</v>
      </c>
      <c r="C141" s="425">
        <v>105559.61</v>
      </c>
      <c r="D141" s="424">
        <v>52341.58</v>
      </c>
      <c r="E141" s="438">
        <f t="shared" si="4"/>
        <v>2.5250604908399584E-2</v>
      </c>
      <c r="F141" s="424">
        <f t="shared" si="5"/>
        <v>1321.6565568613896</v>
      </c>
    </row>
    <row r="142" spans="1:6">
      <c r="A142">
        <v>6120</v>
      </c>
      <c r="B142" t="s">
        <v>607</v>
      </c>
      <c r="C142" s="425">
        <v>982200.34</v>
      </c>
      <c r="D142" s="424">
        <v>428825.14</v>
      </c>
      <c r="E142" s="438">
        <f t="shared" si="4"/>
        <v>2.5250604908399584E-2</v>
      </c>
      <c r="F142" s="424">
        <f t="shared" si="5"/>
        <v>10828.094184929139</v>
      </c>
    </row>
    <row r="143" spans="1:6">
      <c r="A143">
        <v>6125</v>
      </c>
      <c r="B143" t="s">
        <v>608</v>
      </c>
      <c r="C143" s="425">
        <v>129054.03</v>
      </c>
      <c r="D143" s="424">
        <v>48103.179999999993</v>
      </c>
      <c r="E143" s="438">
        <f t="shared" si="4"/>
        <v>2.5250604908399584E-2</v>
      </c>
      <c r="F143" s="424">
        <f t="shared" si="5"/>
        <v>1214.6343930176286</v>
      </c>
    </row>
    <row r="144" spans="1:6">
      <c r="A144">
        <v>6130</v>
      </c>
      <c r="B144" t="s">
        <v>609</v>
      </c>
      <c r="C144" s="425">
        <v>166222.38</v>
      </c>
      <c r="D144" s="424">
        <v>89364.48000000001</v>
      </c>
      <c r="E144" s="438">
        <f t="shared" si="4"/>
        <v>2.5250604908399584E-2</v>
      </c>
      <c r="F144" s="424">
        <f t="shared" si="5"/>
        <v>2256.5071773245768</v>
      </c>
    </row>
    <row r="145" spans="1:6">
      <c r="A145">
        <v>6135</v>
      </c>
      <c r="B145" t="s">
        <v>610</v>
      </c>
      <c r="C145" s="425">
        <v>220214.15</v>
      </c>
      <c r="D145" s="424">
        <v>112016.43</v>
      </c>
      <c r="E145" s="438">
        <f t="shared" si="4"/>
        <v>2.5250604908399584E-2</v>
      </c>
      <c r="F145" s="424">
        <f t="shared" si="5"/>
        <v>2828.4826171793984</v>
      </c>
    </row>
    <row r="146" spans="1:6">
      <c r="A146">
        <v>6140</v>
      </c>
      <c r="B146" t="s">
        <v>611</v>
      </c>
      <c r="C146" s="425">
        <v>342632.84</v>
      </c>
      <c r="D146" s="424">
        <v>138842.89000000001</v>
      </c>
      <c r="E146" s="438">
        <f t="shared" si="4"/>
        <v>2.5250604908399584E-2</v>
      </c>
      <c r="F146" s="424">
        <f t="shared" si="5"/>
        <v>3505.8669597303838</v>
      </c>
    </row>
    <row r="147" spans="1:6">
      <c r="A147">
        <v>6145</v>
      </c>
      <c r="B147" t="s">
        <v>612</v>
      </c>
      <c r="C147" s="425">
        <v>6791.4</v>
      </c>
      <c r="D147" s="424">
        <v>0</v>
      </c>
      <c r="E147" s="438">
        <f t="shared" si="4"/>
        <v>2.5250604908399584E-2</v>
      </c>
      <c r="F147" s="424">
        <f t="shared" si="5"/>
        <v>0</v>
      </c>
    </row>
    <row r="148" spans="1:6">
      <c r="A148">
        <v>6150</v>
      </c>
      <c r="B148" t="s">
        <v>613</v>
      </c>
      <c r="D148" s="424" t="e">
        <v>#REF!</v>
      </c>
      <c r="E148" s="438">
        <f t="shared" si="4"/>
        <v>2.5250604908399584E-2</v>
      </c>
      <c r="F148" s="424" t="e">
        <f t="shared" si="5"/>
        <v>#REF!</v>
      </c>
    </row>
    <row r="149" spans="1:6">
      <c r="A149">
        <v>6155</v>
      </c>
      <c r="B149" t="s">
        <v>614</v>
      </c>
      <c r="C149" s="425">
        <v>160</v>
      </c>
      <c r="D149" s="424">
        <v>0</v>
      </c>
      <c r="E149" s="438">
        <f t="shared" si="4"/>
        <v>2.5250604908399584E-2</v>
      </c>
      <c r="F149" s="424">
        <f t="shared" si="5"/>
        <v>0</v>
      </c>
    </row>
    <row r="150" spans="1:6">
      <c r="A150">
        <v>6160</v>
      </c>
      <c r="B150" t="s">
        <v>615</v>
      </c>
      <c r="D150" s="424" t="e">
        <v>#REF!</v>
      </c>
      <c r="E150" s="438">
        <f t="shared" si="4"/>
        <v>2.5250604908399584E-2</v>
      </c>
      <c r="F150" s="424" t="e">
        <f t="shared" si="5"/>
        <v>#REF!</v>
      </c>
    </row>
    <row r="151" spans="1:6">
      <c r="A151">
        <v>6165</v>
      </c>
      <c r="B151" t="s">
        <v>616</v>
      </c>
      <c r="D151" s="424" t="e">
        <v>#REF!</v>
      </c>
      <c r="E151" s="438">
        <f t="shared" si="4"/>
        <v>2.5250604908399584E-2</v>
      </c>
      <c r="F151" s="424" t="e">
        <f t="shared" si="5"/>
        <v>#REF!</v>
      </c>
    </row>
    <row r="152" spans="1:6">
      <c r="A152">
        <v>6170</v>
      </c>
      <c r="B152" t="s">
        <v>617</v>
      </c>
      <c r="D152" s="424" t="e">
        <v>#REF!</v>
      </c>
      <c r="E152" s="438">
        <f t="shared" si="4"/>
        <v>2.5250604908399584E-2</v>
      </c>
      <c r="F152" s="424" t="e">
        <f t="shared" si="5"/>
        <v>#REF!</v>
      </c>
    </row>
    <row r="153" spans="1:6">
      <c r="B153" t="s">
        <v>183</v>
      </c>
      <c r="C153" s="425">
        <v>2766577.33</v>
      </c>
      <c r="D153" s="424">
        <v>1257373.73</v>
      </c>
      <c r="E153" s="438">
        <f t="shared" si="4"/>
        <v>2.5250604908399584E-2</v>
      </c>
      <c r="F153" s="424">
        <f t="shared" si="5"/>
        <v>31749.447278430693</v>
      </c>
    </row>
    <row r="154" spans="1:6">
      <c r="B154" t="s">
        <v>184</v>
      </c>
      <c r="D154" s="424" t="e">
        <v>#REF!</v>
      </c>
      <c r="E154" s="438">
        <f t="shared" si="4"/>
        <v>2.5250604908399584E-2</v>
      </c>
      <c r="F154" s="424" t="e">
        <f t="shared" si="5"/>
        <v>#REF!</v>
      </c>
    </row>
    <row r="155" spans="1:6">
      <c r="A155">
        <v>6185</v>
      </c>
      <c r="B155" t="s">
        <v>618</v>
      </c>
      <c r="C155" s="425">
        <v>102355.74</v>
      </c>
      <c r="D155" s="424">
        <v>12525.740000000005</v>
      </c>
      <c r="E155" s="438">
        <f t="shared" si="4"/>
        <v>2.5250604908399584E-2</v>
      </c>
      <c r="F155" s="424">
        <f t="shared" si="5"/>
        <v>316.28251192533713</v>
      </c>
    </row>
    <row r="156" spans="1:6">
      <c r="A156">
        <v>6190</v>
      </c>
      <c r="B156" t="s">
        <v>619</v>
      </c>
      <c r="C156" s="425">
        <v>21690.47</v>
      </c>
      <c r="D156" s="424">
        <v>11974.6</v>
      </c>
      <c r="E156" s="438">
        <f t="shared" si="4"/>
        <v>2.5250604908399584E-2</v>
      </c>
      <c r="F156" s="424">
        <f t="shared" si="5"/>
        <v>302.36589353612169</v>
      </c>
    </row>
    <row r="157" spans="1:6">
      <c r="A157">
        <v>6195</v>
      </c>
      <c r="B157" t="s">
        <v>620</v>
      </c>
      <c r="C157" s="425">
        <v>11104.28</v>
      </c>
      <c r="D157" s="424">
        <v>2078.7800000000007</v>
      </c>
      <c r="E157" s="438">
        <f t="shared" si="4"/>
        <v>2.5250604908399584E-2</v>
      </c>
      <c r="F157" s="424">
        <f t="shared" si="5"/>
        <v>52.490452471482904</v>
      </c>
    </row>
    <row r="158" spans="1:6">
      <c r="A158">
        <v>6200</v>
      </c>
      <c r="B158" t="s">
        <v>621</v>
      </c>
      <c r="C158" s="425">
        <v>11601.7</v>
      </c>
      <c r="D158" s="424">
        <v>8603.2800000000007</v>
      </c>
      <c r="E158" s="438">
        <f t="shared" si="4"/>
        <v>2.5250604908399584E-2</v>
      </c>
      <c r="F158" s="424">
        <f t="shared" si="5"/>
        <v>217.238024196336</v>
      </c>
    </row>
    <row r="159" spans="1:6">
      <c r="A159">
        <v>6205</v>
      </c>
      <c r="B159" t="s">
        <v>622</v>
      </c>
      <c r="C159" s="425">
        <v>1255.42</v>
      </c>
      <c r="D159" s="424">
        <v>567.8900000000001</v>
      </c>
      <c r="E159" s="438">
        <f t="shared" si="4"/>
        <v>2.5250604908399584E-2</v>
      </c>
      <c r="F159" s="424">
        <f t="shared" si="5"/>
        <v>14.339566021431043</v>
      </c>
    </row>
    <row r="160" spans="1:6">
      <c r="A160">
        <v>6207</v>
      </c>
      <c r="B160" t="s">
        <v>623</v>
      </c>
      <c r="D160" s="424" t="e">
        <v>#REF!</v>
      </c>
      <c r="E160" s="438">
        <f t="shared" si="4"/>
        <v>2.5250604908399584E-2</v>
      </c>
      <c r="F160" s="424" t="e">
        <f t="shared" si="5"/>
        <v>#REF!</v>
      </c>
    </row>
    <row r="161" spans="1:6">
      <c r="B161" t="s">
        <v>184</v>
      </c>
      <c r="C161" s="425">
        <v>148007.60999999999</v>
      </c>
      <c r="D161" s="424">
        <v>35750.289999999979</v>
      </c>
      <c r="E161" s="438">
        <f t="shared" si="4"/>
        <v>2.5250604908399584E-2</v>
      </c>
      <c r="F161" s="424">
        <f t="shared" si="5"/>
        <v>902.71644815070806</v>
      </c>
    </row>
    <row r="162" spans="1:6">
      <c r="B162" t="s">
        <v>185</v>
      </c>
      <c r="D162" s="424" t="e">
        <v>#REF!</v>
      </c>
      <c r="E162" s="438">
        <f t="shared" si="4"/>
        <v>2.5250604908399584E-2</v>
      </c>
      <c r="F162" s="424" t="e">
        <f t="shared" si="5"/>
        <v>#REF!</v>
      </c>
    </row>
    <row r="163" spans="1:6">
      <c r="A163">
        <v>6215</v>
      </c>
      <c r="B163" t="s">
        <v>624</v>
      </c>
      <c r="C163" s="425">
        <v>-1066.58</v>
      </c>
      <c r="D163" s="424">
        <v>0</v>
      </c>
      <c r="E163" s="438">
        <f t="shared" si="4"/>
        <v>2.5250604908399584E-2</v>
      </c>
      <c r="F163" s="424">
        <f t="shared" si="5"/>
        <v>0</v>
      </c>
    </row>
    <row r="164" spans="1:6">
      <c r="A164">
        <v>6220</v>
      </c>
      <c r="B164" t="s">
        <v>625</v>
      </c>
      <c r="C164" s="425">
        <v>-132.6</v>
      </c>
      <c r="D164" s="424">
        <v>0</v>
      </c>
      <c r="E164" s="438">
        <f t="shared" si="4"/>
        <v>2.5250604908399584E-2</v>
      </c>
      <c r="F164" s="424">
        <f t="shared" si="5"/>
        <v>0</v>
      </c>
    </row>
    <row r="165" spans="1:6">
      <c r="A165">
        <v>6225</v>
      </c>
      <c r="B165" t="s">
        <v>626</v>
      </c>
      <c r="C165" s="425">
        <v>174.1</v>
      </c>
      <c r="D165" s="424">
        <v>96.1</v>
      </c>
      <c r="E165" s="438">
        <f t="shared" si="4"/>
        <v>2.5250604908399584E-2</v>
      </c>
      <c r="F165" s="424">
        <f t="shared" si="5"/>
        <v>2.4265831316971997</v>
      </c>
    </row>
    <row r="166" spans="1:6">
      <c r="A166">
        <v>6230</v>
      </c>
      <c r="B166" t="s">
        <v>627</v>
      </c>
      <c r="D166" s="424" t="e">
        <v>#REF!</v>
      </c>
      <c r="E166" s="438">
        <f t="shared" si="4"/>
        <v>2.5250604908399584E-2</v>
      </c>
      <c r="F166" s="424" t="e">
        <f t="shared" si="5"/>
        <v>#REF!</v>
      </c>
    </row>
    <row r="167" spans="1:6">
      <c r="B167" t="s">
        <v>185</v>
      </c>
      <c r="C167" s="425">
        <v>-1025.08</v>
      </c>
      <c r="D167" s="424">
        <v>96.100000000000136</v>
      </c>
      <c r="E167" s="438">
        <f t="shared" si="4"/>
        <v>2.5250604908399584E-2</v>
      </c>
      <c r="F167" s="424">
        <f t="shared" si="5"/>
        <v>2.4265831316972033</v>
      </c>
    </row>
    <row r="168" spans="1:6">
      <c r="B168" t="s">
        <v>186</v>
      </c>
      <c r="D168" s="424" t="e">
        <v>#REF!</v>
      </c>
      <c r="E168" s="438">
        <f t="shared" si="4"/>
        <v>2.5250604908399584E-2</v>
      </c>
      <c r="F168" s="424" t="e">
        <f t="shared" si="5"/>
        <v>#REF!</v>
      </c>
    </row>
    <row r="169" spans="1:6">
      <c r="A169">
        <v>6255</v>
      </c>
      <c r="B169" t="s">
        <v>628</v>
      </c>
      <c r="D169" s="424" t="e">
        <v>#REF!</v>
      </c>
      <c r="E169" s="438">
        <f t="shared" si="4"/>
        <v>2.5250604908399584E-2</v>
      </c>
      <c r="F169" s="424" t="e">
        <f t="shared" si="5"/>
        <v>#REF!</v>
      </c>
    </row>
    <row r="170" spans="1:6">
      <c r="A170">
        <v>6260</v>
      </c>
      <c r="B170" t="s">
        <v>629</v>
      </c>
      <c r="D170" s="424" t="e">
        <v>#REF!</v>
      </c>
      <c r="E170" s="438">
        <f t="shared" si="4"/>
        <v>2.5250604908399584E-2</v>
      </c>
      <c r="F170" s="424" t="e">
        <f t="shared" si="5"/>
        <v>#REF!</v>
      </c>
    </row>
    <row r="171" spans="1:6">
      <c r="A171">
        <v>6265</v>
      </c>
      <c r="B171" t="s">
        <v>259</v>
      </c>
      <c r="D171" s="424" t="e">
        <v>#REF!</v>
      </c>
      <c r="E171" s="438">
        <f t="shared" si="4"/>
        <v>2.5250604908399584E-2</v>
      </c>
      <c r="F171" s="424" t="e">
        <f t="shared" si="5"/>
        <v>#REF!</v>
      </c>
    </row>
    <row r="172" spans="1:6">
      <c r="A172">
        <v>6270</v>
      </c>
      <c r="B172" t="s">
        <v>260</v>
      </c>
      <c r="D172" s="424" t="e">
        <v>#REF!</v>
      </c>
      <c r="E172" s="438">
        <f t="shared" si="4"/>
        <v>2.5250604908399584E-2</v>
      </c>
      <c r="F172" s="424" t="e">
        <f t="shared" si="5"/>
        <v>#REF!</v>
      </c>
    </row>
    <row r="173" spans="1:6">
      <c r="B173" t="s">
        <v>186</v>
      </c>
      <c r="D173" s="424" t="e">
        <v>#REF!</v>
      </c>
      <c r="E173" s="438">
        <f t="shared" si="4"/>
        <v>2.5250604908399584E-2</v>
      </c>
      <c r="F173" s="424" t="e">
        <f t="shared" si="5"/>
        <v>#REF!</v>
      </c>
    </row>
    <row r="174" spans="1:6">
      <c r="B174" t="s">
        <v>187</v>
      </c>
      <c r="D174" s="424" t="e">
        <v>#REF!</v>
      </c>
      <c r="E174" s="438">
        <f t="shared" si="4"/>
        <v>2.5250604908399584E-2</v>
      </c>
      <c r="F174" s="424" t="e">
        <f t="shared" si="5"/>
        <v>#REF!</v>
      </c>
    </row>
    <row r="175" spans="1:6">
      <c r="A175">
        <v>6285</v>
      </c>
      <c r="B175" t="s">
        <v>261</v>
      </c>
      <c r="D175" s="424" t="e">
        <v>#REF!</v>
      </c>
      <c r="E175" s="438">
        <f t="shared" si="4"/>
        <v>2.5250604908399584E-2</v>
      </c>
      <c r="F175" s="424" t="e">
        <f t="shared" si="5"/>
        <v>#REF!</v>
      </c>
    </row>
    <row r="176" spans="1:6">
      <c r="A176">
        <v>6290</v>
      </c>
      <c r="B176" t="s">
        <v>262</v>
      </c>
      <c r="D176" s="424" t="e">
        <v>#REF!</v>
      </c>
      <c r="E176" s="438">
        <f t="shared" si="4"/>
        <v>2.5250604908399584E-2</v>
      </c>
      <c r="F176" s="424" t="e">
        <f t="shared" si="5"/>
        <v>#REF!</v>
      </c>
    </row>
    <row r="177" spans="1:6">
      <c r="A177">
        <v>6295</v>
      </c>
      <c r="B177" t="s">
        <v>263</v>
      </c>
      <c r="D177" s="424" t="e">
        <v>#REF!</v>
      </c>
      <c r="E177" s="438">
        <f t="shared" si="4"/>
        <v>2.5250604908399584E-2</v>
      </c>
      <c r="F177" s="424" t="e">
        <f t="shared" si="5"/>
        <v>#REF!</v>
      </c>
    </row>
    <row r="178" spans="1:6">
      <c r="A178">
        <v>6300</v>
      </c>
      <c r="B178" t="s">
        <v>264</v>
      </c>
      <c r="D178" s="424" t="e">
        <v>#REF!</v>
      </c>
      <c r="E178" s="438">
        <f t="shared" si="4"/>
        <v>2.5250604908399584E-2</v>
      </c>
      <c r="F178" s="424" t="e">
        <f t="shared" si="5"/>
        <v>#REF!</v>
      </c>
    </row>
    <row r="179" spans="1:6">
      <c r="A179">
        <v>6305</v>
      </c>
      <c r="B179" t="s">
        <v>265</v>
      </c>
      <c r="D179" s="424" t="e">
        <v>#REF!</v>
      </c>
      <c r="E179" s="438">
        <f t="shared" si="4"/>
        <v>2.5250604908399584E-2</v>
      </c>
      <c r="F179" s="424" t="e">
        <f t="shared" si="5"/>
        <v>#REF!</v>
      </c>
    </row>
    <row r="180" spans="1:6">
      <c r="A180">
        <v>6310</v>
      </c>
      <c r="B180" t="s">
        <v>266</v>
      </c>
      <c r="D180" s="424" t="e">
        <v>#REF!</v>
      </c>
      <c r="E180" s="438">
        <f t="shared" si="4"/>
        <v>2.5250604908399584E-2</v>
      </c>
      <c r="F180" s="424" t="e">
        <f t="shared" si="5"/>
        <v>#REF!</v>
      </c>
    </row>
    <row r="181" spans="1:6">
      <c r="B181" t="s">
        <v>187</v>
      </c>
      <c r="D181" s="424" t="e">
        <v>#REF!</v>
      </c>
      <c r="E181" s="438">
        <f t="shared" si="4"/>
        <v>2.5250604908399584E-2</v>
      </c>
      <c r="F181" s="424" t="e">
        <f t="shared" si="5"/>
        <v>#REF!</v>
      </c>
    </row>
    <row r="182" spans="1:6">
      <c r="B182" t="s">
        <v>188</v>
      </c>
      <c r="D182" s="424" t="e">
        <v>#REF!</v>
      </c>
      <c r="E182" s="438">
        <f t="shared" si="4"/>
        <v>2.5250604908399584E-2</v>
      </c>
      <c r="F182" s="424" t="e">
        <f t="shared" si="5"/>
        <v>#REF!</v>
      </c>
    </row>
    <row r="183" spans="1:6">
      <c r="A183">
        <v>6320</v>
      </c>
      <c r="B183" t="s">
        <v>267</v>
      </c>
      <c r="D183" s="424" t="e">
        <v>#REF!</v>
      </c>
      <c r="E183" s="438">
        <f t="shared" si="4"/>
        <v>2.5250604908399584E-2</v>
      </c>
      <c r="F183" s="424" t="e">
        <f t="shared" si="5"/>
        <v>#REF!</v>
      </c>
    </row>
    <row r="184" spans="1:6">
      <c r="A184">
        <v>6325</v>
      </c>
      <c r="B184" t="s">
        <v>268</v>
      </c>
      <c r="D184" s="424" t="e">
        <v>#REF!</v>
      </c>
      <c r="E184" s="438">
        <f t="shared" si="4"/>
        <v>2.5250604908399584E-2</v>
      </c>
      <c r="F184" s="424" t="e">
        <f t="shared" si="5"/>
        <v>#REF!</v>
      </c>
    </row>
    <row r="185" spans="1:6">
      <c r="A185">
        <v>6330</v>
      </c>
      <c r="B185" t="s">
        <v>269</v>
      </c>
      <c r="D185" s="424" t="e">
        <v>#REF!</v>
      </c>
      <c r="E185" s="438">
        <f t="shared" si="4"/>
        <v>2.5250604908399584E-2</v>
      </c>
      <c r="F185" s="424" t="e">
        <f t="shared" si="5"/>
        <v>#REF!</v>
      </c>
    </row>
    <row r="186" spans="1:6">
      <c r="A186">
        <v>6335</v>
      </c>
      <c r="B186" t="s">
        <v>270</v>
      </c>
      <c r="D186" s="424" t="e">
        <v>#REF!</v>
      </c>
      <c r="E186" s="438">
        <f t="shared" si="4"/>
        <v>2.5250604908399584E-2</v>
      </c>
      <c r="F186" s="424" t="e">
        <f t="shared" si="5"/>
        <v>#REF!</v>
      </c>
    </row>
    <row r="187" spans="1:6">
      <c r="A187">
        <v>6340</v>
      </c>
      <c r="B187" t="s">
        <v>271</v>
      </c>
      <c r="D187" s="424" t="e">
        <v>#REF!</v>
      </c>
      <c r="E187" s="438">
        <f t="shared" si="4"/>
        <v>2.5250604908399584E-2</v>
      </c>
      <c r="F187" s="424" t="e">
        <f t="shared" si="5"/>
        <v>#REF!</v>
      </c>
    </row>
    <row r="188" spans="1:6">
      <c r="A188">
        <v>6345</v>
      </c>
      <c r="B188" t="s">
        <v>272</v>
      </c>
      <c r="D188" s="424" t="e">
        <v>#REF!</v>
      </c>
      <c r="E188" s="438">
        <f t="shared" si="4"/>
        <v>2.5250604908399584E-2</v>
      </c>
      <c r="F188" s="424" t="e">
        <f t="shared" si="5"/>
        <v>#REF!</v>
      </c>
    </row>
    <row r="189" spans="1:6">
      <c r="B189" t="s">
        <v>188</v>
      </c>
      <c r="D189" s="424" t="e">
        <v>#REF!</v>
      </c>
      <c r="E189" s="438">
        <f t="shared" si="4"/>
        <v>2.5250604908399584E-2</v>
      </c>
      <c r="F189" s="424" t="e">
        <f t="shared" si="5"/>
        <v>#REF!</v>
      </c>
    </row>
    <row r="190" spans="1:6">
      <c r="B190" t="s">
        <v>189</v>
      </c>
      <c r="D190" s="424" t="e">
        <v>#REF!</v>
      </c>
      <c r="E190" s="438">
        <f t="shared" si="4"/>
        <v>2.5250604908399584E-2</v>
      </c>
      <c r="F190" s="424" t="e">
        <f t="shared" si="5"/>
        <v>#REF!</v>
      </c>
    </row>
    <row r="191" spans="1:6">
      <c r="A191">
        <v>6355</v>
      </c>
      <c r="B191" t="s">
        <v>273</v>
      </c>
      <c r="C191" s="425">
        <v>181255.07</v>
      </c>
      <c r="D191" s="424">
        <v>176286.77000000002</v>
      </c>
      <c r="E191" s="438">
        <f t="shared" si="4"/>
        <v>2.5250604908399584E-2</v>
      </c>
      <c r="F191" s="424">
        <f t="shared" si="5"/>
        <v>4451.3475798479094</v>
      </c>
    </row>
    <row r="192" spans="1:6">
      <c r="A192">
        <v>6360</v>
      </c>
      <c r="B192" t="s">
        <v>274</v>
      </c>
      <c r="D192" s="424" t="e">
        <v>#REF!</v>
      </c>
      <c r="E192" s="438">
        <f t="shared" si="4"/>
        <v>2.5250604908399584E-2</v>
      </c>
      <c r="F192" s="424" t="e">
        <f t="shared" si="5"/>
        <v>#REF!</v>
      </c>
    </row>
    <row r="193" spans="1:6">
      <c r="A193">
        <v>6365</v>
      </c>
      <c r="B193" t="s">
        <v>275</v>
      </c>
      <c r="D193" s="424" t="e">
        <v>#REF!</v>
      </c>
      <c r="E193" s="438">
        <f t="shared" si="4"/>
        <v>2.5250604908399584E-2</v>
      </c>
      <c r="F193" s="424" t="e">
        <f t="shared" si="5"/>
        <v>#REF!</v>
      </c>
    </row>
    <row r="194" spans="1:6">
      <c r="A194">
        <v>6370</v>
      </c>
      <c r="B194" t="s">
        <v>276</v>
      </c>
      <c r="D194" s="424" t="e">
        <v>#REF!</v>
      </c>
      <c r="E194" s="438">
        <f t="shared" si="4"/>
        <v>2.5250604908399584E-2</v>
      </c>
      <c r="F194" s="424" t="e">
        <f t="shared" si="5"/>
        <v>#REF!</v>
      </c>
    </row>
    <row r="195" spans="1:6">
      <c r="A195">
        <v>6375</v>
      </c>
      <c r="B195" t="s">
        <v>28</v>
      </c>
      <c r="D195" s="424" t="e">
        <v>#REF!</v>
      </c>
      <c r="E195" s="438">
        <f t="shared" si="4"/>
        <v>2.5250604908399584E-2</v>
      </c>
      <c r="F195" s="424" t="e">
        <f t="shared" si="5"/>
        <v>#REF!</v>
      </c>
    </row>
    <row r="196" spans="1:6">
      <c r="A196">
        <v>6380</v>
      </c>
      <c r="B196" t="s">
        <v>29</v>
      </c>
      <c r="D196" s="424" t="e">
        <v>#REF!</v>
      </c>
      <c r="E196" s="438">
        <f t="shared" si="4"/>
        <v>2.5250604908399584E-2</v>
      </c>
      <c r="F196" s="424" t="e">
        <f t="shared" si="5"/>
        <v>#REF!</v>
      </c>
    </row>
    <row r="197" spans="1:6">
      <c r="A197">
        <v>6385</v>
      </c>
      <c r="B197" t="s">
        <v>30</v>
      </c>
      <c r="C197" s="425">
        <v>63.18</v>
      </c>
      <c r="D197" s="424">
        <v>0</v>
      </c>
      <c r="E197" s="438">
        <f t="shared" si="4"/>
        <v>2.5250604908399584E-2</v>
      </c>
      <c r="F197" s="424">
        <f t="shared" si="5"/>
        <v>0</v>
      </c>
    </row>
    <row r="198" spans="1:6">
      <c r="A198">
        <v>6390</v>
      </c>
      <c r="B198" t="s">
        <v>31</v>
      </c>
      <c r="D198" s="424" t="e">
        <v>#REF!</v>
      </c>
      <c r="E198" s="438">
        <f t="shared" ref="E198:E261" si="6">E$3</f>
        <v>2.5250604908399584E-2</v>
      </c>
      <c r="F198" s="424" t="e">
        <f t="shared" ref="F198:F261" si="7">E198*D198</f>
        <v>#REF!</v>
      </c>
    </row>
    <row r="199" spans="1:6">
      <c r="B199" t="s">
        <v>189</v>
      </c>
      <c r="C199" s="425">
        <v>181318.25</v>
      </c>
      <c r="D199" s="424">
        <v>176286.77</v>
      </c>
      <c r="E199" s="438">
        <f t="shared" si="6"/>
        <v>2.5250604908399584E-2</v>
      </c>
      <c r="F199" s="424">
        <f t="shared" si="7"/>
        <v>4451.3475798479085</v>
      </c>
    </row>
    <row r="200" spans="1:6">
      <c r="A200">
        <v>6400</v>
      </c>
      <c r="B200" t="s">
        <v>32</v>
      </c>
      <c r="D200" s="424" t="e">
        <v>#REF!</v>
      </c>
      <c r="E200" s="438">
        <f t="shared" si="6"/>
        <v>2.5250604908399584E-2</v>
      </c>
      <c r="F200" s="424" t="e">
        <f t="shared" si="7"/>
        <v>#REF!</v>
      </c>
    </row>
    <row r="201" spans="1:6">
      <c r="A201">
        <v>6410</v>
      </c>
      <c r="B201" t="s">
        <v>33</v>
      </c>
      <c r="D201" s="424" t="e">
        <v>#REF!</v>
      </c>
      <c r="E201" s="438">
        <f t="shared" si="6"/>
        <v>2.5250604908399584E-2</v>
      </c>
      <c r="F201" s="424" t="e">
        <f t="shared" si="7"/>
        <v>#REF!</v>
      </c>
    </row>
    <row r="202" spans="1:6">
      <c r="B202" t="s">
        <v>166</v>
      </c>
      <c r="C202" s="425">
        <v>9165852.4499999993</v>
      </c>
      <c r="D202" s="424">
        <v>4224343.8699999992</v>
      </c>
      <c r="E202" s="438">
        <f t="shared" si="6"/>
        <v>2.5250604908399584E-2</v>
      </c>
      <c r="F202" s="424">
        <f t="shared" si="7"/>
        <v>106667.23805858968</v>
      </c>
    </row>
    <row r="203" spans="1:6">
      <c r="B203" t="s">
        <v>190</v>
      </c>
      <c r="D203" s="424" t="e">
        <v>#REF!</v>
      </c>
      <c r="E203" s="438">
        <f t="shared" si="6"/>
        <v>2.5250604908399584E-2</v>
      </c>
      <c r="F203" s="424" t="e">
        <f t="shared" si="7"/>
        <v>#REF!</v>
      </c>
    </row>
    <row r="204" spans="1:6">
      <c r="B204" t="s">
        <v>191</v>
      </c>
      <c r="D204" s="424" t="e">
        <v>#REF!</v>
      </c>
      <c r="E204" s="438">
        <f t="shared" si="6"/>
        <v>2.5250604908399584E-2</v>
      </c>
      <c r="F204" s="424" t="e">
        <f t="shared" si="7"/>
        <v>#REF!</v>
      </c>
    </row>
    <row r="205" spans="1:6">
      <c r="A205">
        <v>6445</v>
      </c>
      <c r="B205" t="s">
        <v>34</v>
      </c>
      <c r="D205" s="424" t="e">
        <v>#REF!</v>
      </c>
      <c r="E205" s="438">
        <f t="shared" si="6"/>
        <v>2.5250604908399584E-2</v>
      </c>
      <c r="F205" s="424" t="e">
        <f t="shared" si="7"/>
        <v>#REF!</v>
      </c>
    </row>
    <row r="206" spans="1:6">
      <c r="A206">
        <v>6450</v>
      </c>
      <c r="B206" t="s">
        <v>35</v>
      </c>
      <c r="D206" s="424" t="e">
        <v>#REF!</v>
      </c>
      <c r="E206" s="438">
        <f t="shared" si="6"/>
        <v>2.5250604908399584E-2</v>
      </c>
      <c r="F206" s="424" t="e">
        <f t="shared" si="7"/>
        <v>#REF!</v>
      </c>
    </row>
    <row r="207" spans="1:6">
      <c r="A207">
        <v>6455</v>
      </c>
      <c r="B207" t="s">
        <v>36</v>
      </c>
      <c r="D207" s="424" t="e">
        <v>#REF!</v>
      </c>
      <c r="E207" s="438">
        <f t="shared" si="6"/>
        <v>2.5250604908399584E-2</v>
      </c>
      <c r="F207" s="424" t="e">
        <f t="shared" si="7"/>
        <v>#REF!</v>
      </c>
    </row>
    <row r="208" spans="1:6">
      <c r="A208">
        <v>6460</v>
      </c>
      <c r="B208" t="s">
        <v>37</v>
      </c>
      <c r="D208" s="424" t="e">
        <v>#REF!</v>
      </c>
      <c r="E208" s="438">
        <f t="shared" si="6"/>
        <v>2.5250604908399584E-2</v>
      </c>
      <c r="F208" s="424" t="e">
        <f t="shared" si="7"/>
        <v>#REF!</v>
      </c>
    </row>
    <row r="209" spans="1:6">
      <c r="A209">
        <v>6465</v>
      </c>
      <c r="B209" t="s">
        <v>38</v>
      </c>
      <c r="D209" s="424" t="e">
        <v>#REF!</v>
      </c>
      <c r="E209" s="438">
        <f t="shared" si="6"/>
        <v>2.5250604908399584E-2</v>
      </c>
      <c r="F209" s="424" t="e">
        <f t="shared" si="7"/>
        <v>#REF!</v>
      </c>
    </row>
    <row r="210" spans="1:6">
      <c r="A210">
        <v>6470</v>
      </c>
      <c r="B210" t="s">
        <v>39</v>
      </c>
      <c r="D210" s="424" t="e">
        <v>#REF!</v>
      </c>
      <c r="E210" s="438">
        <f t="shared" si="6"/>
        <v>2.5250604908399584E-2</v>
      </c>
      <c r="F210" s="424" t="e">
        <f t="shared" si="7"/>
        <v>#REF!</v>
      </c>
    </row>
    <row r="211" spans="1:6">
      <c r="A211">
        <v>6475</v>
      </c>
      <c r="B211" t="s">
        <v>40</v>
      </c>
      <c r="D211" s="424" t="e">
        <v>#REF!</v>
      </c>
      <c r="E211" s="438">
        <f t="shared" si="6"/>
        <v>2.5250604908399584E-2</v>
      </c>
      <c r="F211" s="424" t="e">
        <f t="shared" si="7"/>
        <v>#REF!</v>
      </c>
    </row>
    <row r="212" spans="1:6">
      <c r="A212">
        <v>6480</v>
      </c>
      <c r="B212" t="s">
        <v>41</v>
      </c>
      <c r="D212" s="424" t="e">
        <v>#REF!</v>
      </c>
      <c r="E212" s="438">
        <f t="shared" si="6"/>
        <v>2.5250604908399584E-2</v>
      </c>
      <c r="F212" s="424" t="e">
        <f t="shared" si="7"/>
        <v>#REF!</v>
      </c>
    </row>
    <row r="213" spans="1:6">
      <c r="A213">
        <v>6485</v>
      </c>
      <c r="B213" t="s">
        <v>42</v>
      </c>
      <c r="D213" s="424" t="e">
        <v>#REF!</v>
      </c>
      <c r="E213" s="438">
        <f t="shared" si="6"/>
        <v>2.5250604908399584E-2</v>
      </c>
      <c r="F213" s="424" t="e">
        <f t="shared" si="7"/>
        <v>#REF!</v>
      </c>
    </row>
    <row r="214" spans="1:6">
      <c r="A214">
        <v>6490</v>
      </c>
      <c r="B214" t="s">
        <v>43</v>
      </c>
      <c r="D214" s="424" t="e">
        <v>#REF!</v>
      </c>
      <c r="E214" s="438">
        <f t="shared" si="6"/>
        <v>2.5250604908399584E-2</v>
      </c>
      <c r="F214" s="424" t="e">
        <f t="shared" si="7"/>
        <v>#REF!</v>
      </c>
    </row>
    <row r="215" spans="1:6">
      <c r="A215">
        <v>6495</v>
      </c>
      <c r="B215" t="s">
        <v>44</v>
      </c>
      <c r="D215" s="424" t="e">
        <v>#REF!</v>
      </c>
      <c r="E215" s="438">
        <f t="shared" si="6"/>
        <v>2.5250604908399584E-2</v>
      </c>
      <c r="F215" s="424" t="e">
        <f t="shared" si="7"/>
        <v>#REF!</v>
      </c>
    </row>
    <row r="216" spans="1:6">
      <c r="A216">
        <v>6500</v>
      </c>
      <c r="B216" t="s">
        <v>45</v>
      </c>
      <c r="D216" s="424" t="e">
        <v>#REF!</v>
      </c>
      <c r="E216" s="438">
        <f t="shared" si="6"/>
        <v>2.5250604908399584E-2</v>
      </c>
      <c r="F216" s="424" t="e">
        <f t="shared" si="7"/>
        <v>#REF!</v>
      </c>
    </row>
    <row r="217" spans="1:6">
      <c r="A217">
        <v>6505</v>
      </c>
      <c r="B217" t="s">
        <v>46</v>
      </c>
      <c r="D217" s="424" t="e">
        <v>#REF!</v>
      </c>
      <c r="E217" s="438">
        <f t="shared" si="6"/>
        <v>2.5250604908399584E-2</v>
      </c>
      <c r="F217" s="424" t="e">
        <f t="shared" si="7"/>
        <v>#REF!</v>
      </c>
    </row>
    <row r="218" spans="1:6">
      <c r="A218">
        <v>6510</v>
      </c>
      <c r="B218" t="s">
        <v>47</v>
      </c>
      <c r="D218" s="424" t="e">
        <v>#REF!</v>
      </c>
      <c r="E218" s="438">
        <f t="shared" si="6"/>
        <v>2.5250604908399584E-2</v>
      </c>
      <c r="F218" s="424" t="e">
        <f t="shared" si="7"/>
        <v>#REF!</v>
      </c>
    </row>
    <row r="219" spans="1:6">
      <c r="A219">
        <v>6515</v>
      </c>
      <c r="B219" t="s">
        <v>48</v>
      </c>
      <c r="D219" s="424" t="e">
        <v>#REF!</v>
      </c>
      <c r="E219" s="438">
        <f t="shared" si="6"/>
        <v>2.5250604908399584E-2</v>
      </c>
      <c r="F219" s="424" t="e">
        <f t="shared" si="7"/>
        <v>#REF!</v>
      </c>
    </row>
    <row r="220" spans="1:6">
      <c r="A220">
        <v>6520</v>
      </c>
      <c r="B220" t="s">
        <v>49</v>
      </c>
      <c r="D220" s="424" t="e">
        <v>#REF!</v>
      </c>
      <c r="E220" s="438">
        <f t="shared" si="6"/>
        <v>2.5250604908399584E-2</v>
      </c>
      <c r="F220" s="424" t="e">
        <f t="shared" si="7"/>
        <v>#REF!</v>
      </c>
    </row>
    <row r="221" spans="1:6">
      <c r="A221">
        <v>6525</v>
      </c>
      <c r="B221" t="s">
        <v>50</v>
      </c>
      <c r="D221" s="424" t="e">
        <v>#REF!</v>
      </c>
      <c r="E221" s="438">
        <f t="shared" si="6"/>
        <v>2.5250604908399584E-2</v>
      </c>
      <c r="F221" s="424" t="e">
        <f t="shared" si="7"/>
        <v>#REF!</v>
      </c>
    </row>
    <row r="222" spans="1:6">
      <c r="A222">
        <v>6530</v>
      </c>
      <c r="B222" t="s">
        <v>51</v>
      </c>
      <c r="D222" s="424" t="e">
        <v>#REF!</v>
      </c>
      <c r="E222" s="438">
        <f t="shared" si="6"/>
        <v>2.5250604908399584E-2</v>
      </c>
      <c r="F222" s="424" t="e">
        <f t="shared" si="7"/>
        <v>#REF!</v>
      </c>
    </row>
    <row r="223" spans="1:6">
      <c r="A223">
        <v>6535</v>
      </c>
      <c r="B223" t="s">
        <v>52</v>
      </c>
      <c r="D223" s="424" t="e">
        <v>#REF!</v>
      </c>
      <c r="E223" s="438">
        <f t="shared" si="6"/>
        <v>2.5250604908399584E-2</v>
      </c>
      <c r="F223" s="424" t="e">
        <f t="shared" si="7"/>
        <v>#REF!</v>
      </c>
    </row>
    <row r="224" spans="1:6">
      <c r="A224">
        <v>6540</v>
      </c>
      <c r="B224" t="s">
        <v>53</v>
      </c>
      <c r="D224" s="424" t="e">
        <v>#REF!</v>
      </c>
      <c r="E224" s="438">
        <f t="shared" si="6"/>
        <v>2.5250604908399584E-2</v>
      </c>
      <c r="F224" s="424" t="e">
        <f t="shared" si="7"/>
        <v>#REF!</v>
      </c>
    </row>
    <row r="225" spans="1:6">
      <c r="A225">
        <v>6545</v>
      </c>
      <c r="B225" t="s">
        <v>54</v>
      </c>
      <c r="D225" s="424" t="e">
        <v>#REF!</v>
      </c>
      <c r="E225" s="438">
        <f t="shared" si="6"/>
        <v>2.5250604908399584E-2</v>
      </c>
      <c r="F225" s="424" t="e">
        <f t="shared" si="7"/>
        <v>#REF!</v>
      </c>
    </row>
    <row r="226" spans="1:6">
      <c r="A226">
        <v>6550</v>
      </c>
      <c r="B226" t="s">
        <v>541</v>
      </c>
      <c r="D226" s="424" t="e">
        <v>#REF!</v>
      </c>
      <c r="E226" s="438">
        <f t="shared" si="6"/>
        <v>2.5250604908399584E-2</v>
      </c>
      <c r="F226" s="424" t="e">
        <f t="shared" si="7"/>
        <v>#REF!</v>
      </c>
    </row>
    <row r="227" spans="1:6">
      <c r="A227">
        <v>6555</v>
      </c>
      <c r="B227" t="s">
        <v>542</v>
      </c>
      <c r="D227" s="424" t="e">
        <v>#REF!</v>
      </c>
      <c r="E227" s="438">
        <f t="shared" si="6"/>
        <v>2.5250604908399584E-2</v>
      </c>
      <c r="F227" s="424" t="e">
        <f t="shared" si="7"/>
        <v>#REF!</v>
      </c>
    </row>
    <row r="228" spans="1:6">
      <c r="A228">
        <v>6560</v>
      </c>
      <c r="B228" t="s">
        <v>543</v>
      </c>
      <c r="D228" s="424" t="e">
        <v>#REF!</v>
      </c>
      <c r="E228" s="438">
        <f t="shared" si="6"/>
        <v>2.5250604908399584E-2</v>
      </c>
      <c r="F228" s="424" t="e">
        <f t="shared" si="7"/>
        <v>#REF!</v>
      </c>
    </row>
    <row r="229" spans="1:6">
      <c r="A229">
        <v>6565</v>
      </c>
      <c r="B229" t="s">
        <v>544</v>
      </c>
      <c r="D229" s="424" t="e">
        <v>#REF!</v>
      </c>
      <c r="E229" s="438">
        <f t="shared" si="6"/>
        <v>2.5250604908399584E-2</v>
      </c>
      <c r="F229" s="424" t="e">
        <f t="shared" si="7"/>
        <v>#REF!</v>
      </c>
    </row>
    <row r="230" spans="1:6">
      <c r="A230">
        <v>6570</v>
      </c>
      <c r="B230" t="s">
        <v>545</v>
      </c>
      <c r="D230" s="424" t="e">
        <v>#REF!</v>
      </c>
      <c r="E230" s="438">
        <f t="shared" si="6"/>
        <v>2.5250604908399584E-2</v>
      </c>
      <c r="F230" s="424" t="e">
        <f t="shared" si="7"/>
        <v>#REF!</v>
      </c>
    </row>
    <row r="231" spans="1:6">
      <c r="A231">
        <v>6575</v>
      </c>
      <c r="B231" t="s">
        <v>546</v>
      </c>
      <c r="D231" s="424" t="e">
        <v>#REF!</v>
      </c>
      <c r="E231" s="438">
        <f t="shared" si="6"/>
        <v>2.5250604908399584E-2</v>
      </c>
      <c r="F231" s="424" t="e">
        <f t="shared" si="7"/>
        <v>#REF!</v>
      </c>
    </row>
    <row r="232" spans="1:6">
      <c r="A232">
        <v>6580</v>
      </c>
      <c r="B232" t="s">
        <v>547</v>
      </c>
      <c r="C232" s="425">
        <v>20565.060000000001</v>
      </c>
      <c r="D232" s="424">
        <v>10300.500000000002</v>
      </c>
      <c r="E232" s="438">
        <f t="shared" si="6"/>
        <v>2.5250604908399584E-2</v>
      </c>
      <c r="F232" s="424">
        <f t="shared" si="7"/>
        <v>260.09385585896996</v>
      </c>
    </row>
    <row r="233" spans="1:6">
      <c r="A233">
        <v>6585</v>
      </c>
      <c r="B233" t="s">
        <v>548</v>
      </c>
      <c r="C233" s="425">
        <v>9716.17</v>
      </c>
      <c r="D233" s="424">
        <v>4858.08</v>
      </c>
      <c r="E233" s="438">
        <f t="shared" si="6"/>
        <v>2.5250604908399584E-2</v>
      </c>
      <c r="F233" s="424">
        <f t="shared" si="7"/>
        <v>122.66945869339784</v>
      </c>
    </row>
    <row r="234" spans="1:6">
      <c r="A234">
        <v>6590</v>
      </c>
      <c r="B234" t="s">
        <v>549</v>
      </c>
      <c r="D234" s="424" t="e">
        <v>#REF!</v>
      </c>
      <c r="E234" s="438">
        <f t="shared" si="6"/>
        <v>2.5250604908399584E-2</v>
      </c>
      <c r="F234" s="424" t="e">
        <f t="shared" si="7"/>
        <v>#REF!</v>
      </c>
    </row>
    <row r="235" spans="1:6">
      <c r="A235">
        <v>6595</v>
      </c>
      <c r="B235" t="s">
        <v>550</v>
      </c>
      <c r="C235" s="425">
        <v>157.38999999999999</v>
      </c>
      <c r="D235" s="424">
        <v>78.689999999999984</v>
      </c>
      <c r="E235" s="438">
        <f t="shared" si="6"/>
        <v>2.5250604908399584E-2</v>
      </c>
      <c r="F235" s="424">
        <f t="shared" si="7"/>
        <v>1.9869701002419629</v>
      </c>
    </row>
    <row r="236" spans="1:6">
      <c r="A236">
        <v>6600</v>
      </c>
      <c r="B236" t="s">
        <v>551</v>
      </c>
      <c r="D236" s="424" t="e">
        <v>#REF!</v>
      </c>
      <c r="E236" s="438">
        <f t="shared" si="6"/>
        <v>2.5250604908399584E-2</v>
      </c>
      <c r="F236" s="424" t="e">
        <f t="shared" si="7"/>
        <v>#REF!</v>
      </c>
    </row>
    <row r="237" spans="1:6">
      <c r="A237">
        <v>6605</v>
      </c>
      <c r="B237" t="s">
        <v>552</v>
      </c>
      <c r="D237" s="424" t="e">
        <v>#REF!</v>
      </c>
      <c r="E237" s="438">
        <f t="shared" si="6"/>
        <v>2.5250604908399584E-2</v>
      </c>
      <c r="F237" s="424" t="e">
        <f t="shared" si="7"/>
        <v>#REF!</v>
      </c>
    </row>
    <row r="238" spans="1:6">
      <c r="A238">
        <v>6610</v>
      </c>
      <c r="B238" t="s">
        <v>553</v>
      </c>
      <c r="C238" s="425">
        <v>2702.69</v>
      </c>
      <c r="D238" s="424">
        <v>1351.3500000000001</v>
      </c>
      <c r="E238" s="438">
        <f t="shared" si="6"/>
        <v>2.5250604908399584E-2</v>
      </c>
      <c r="F238" s="424">
        <f t="shared" si="7"/>
        <v>34.12240494296578</v>
      </c>
    </row>
    <row r="239" spans="1:6">
      <c r="A239">
        <v>6615</v>
      </c>
      <c r="B239" t="s">
        <v>554</v>
      </c>
      <c r="D239" s="424" t="e">
        <v>#REF!</v>
      </c>
      <c r="E239" s="438">
        <f t="shared" si="6"/>
        <v>2.5250604908399584E-2</v>
      </c>
      <c r="F239" s="424" t="e">
        <f t="shared" si="7"/>
        <v>#REF!</v>
      </c>
    </row>
    <row r="240" spans="1:6">
      <c r="A240">
        <v>6620</v>
      </c>
      <c r="B240" t="s">
        <v>555</v>
      </c>
      <c r="D240" s="424" t="e">
        <v>#REF!</v>
      </c>
      <c r="E240" s="438">
        <f t="shared" si="6"/>
        <v>2.5250604908399584E-2</v>
      </c>
      <c r="F240" s="424" t="e">
        <f t="shared" si="7"/>
        <v>#REF!</v>
      </c>
    </row>
    <row r="241" spans="1:6">
      <c r="B241" t="s">
        <v>191</v>
      </c>
      <c r="C241" s="425">
        <v>33141.31</v>
      </c>
      <c r="D241" s="424">
        <v>16588.62</v>
      </c>
      <c r="E241" s="438">
        <f t="shared" si="6"/>
        <v>2.5250604908399584E-2</v>
      </c>
      <c r="F241" s="424">
        <f t="shared" si="7"/>
        <v>418.87268959557548</v>
      </c>
    </row>
    <row r="242" spans="1:6">
      <c r="B242" t="s">
        <v>192</v>
      </c>
      <c r="D242" s="424" t="e">
        <v>#REF!</v>
      </c>
      <c r="E242" s="438">
        <f t="shared" si="6"/>
        <v>2.5250604908399584E-2</v>
      </c>
      <c r="F242" s="424" t="e">
        <f t="shared" si="7"/>
        <v>#REF!</v>
      </c>
    </row>
    <row r="243" spans="1:6">
      <c r="A243">
        <v>6640</v>
      </c>
      <c r="B243" t="s">
        <v>34</v>
      </c>
      <c r="D243" s="424" t="e">
        <v>#REF!</v>
      </c>
      <c r="E243" s="438">
        <f t="shared" si="6"/>
        <v>2.5250604908399584E-2</v>
      </c>
      <c r="F243" s="424" t="e">
        <f t="shared" si="7"/>
        <v>#REF!</v>
      </c>
    </row>
    <row r="244" spans="1:6">
      <c r="A244">
        <v>6645</v>
      </c>
      <c r="B244" t="s">
        <v>556</v>
      </c>
      <c r="D244" s="424" t="e">
        <v>#REF!</v>
      </c>
      <c r="E244" s="438">
        <f t="shared" si="6"/>
        <v>2.5250604908399584E-2</v>
      </c>
      <c r="F244" s="424" t="e">
        <f t="shared" si="7"/>
        <v>#REF!</v>
      </c>
    </row>
    <row r="245" spans="1:6">
      <c r="A245">
        <v>6650</v>
      </c>
      <c r="B245" t="s">
        <v>557</v>
      </c>
      <c r="D245" s="424" t="e">
        <v>#REF!</v>
      </c>
      <c r="E245" s="438">
        <f t="shared" si="6"/>
        <v>2.5250604908399584E-2</v>
      </c>
      <c r="F245" s="424" t="e">
        <f t="shared" si="7"/>
        <v>#REF!</v>
      </c>
    </row>
    <row r="246" spans="1:6">
      <c r="A246">
        <v>6655</v>
      </c>
      <c r="B246" t="s">
        <v>558</v>
      </c>
      <c r="D246" s="424" t="e">
        <v>#REF!</v>
      </c>
      <c r="E246" s="438">
        <f t="shared" si="6"/>
        <v>2.5250604908399584E-2</v>
      </c>
      <c r="F246" s="424" t="e">
        <f t="shared" si="7"/>
        <v>#REF!</v>
      </c>
    </row>
    <row r="247" spans="1:6">
      <c r="A247">
        <v>6660</v>
      </c>
      <c r="B247" t="s">
        <v>559</v>
      </c>
      <c r="D247" s="424" t="e">
        <v>#REF!</v>
      </c>
      <c r="E247" s="438">
        <f t="shared" si="6"/>
        <v>2.5250604908399584E-2</v>
      </c>
      <c r="F247" s="424" t="e">
        <f t="shared" si="7"/>
        <v>#REF!</v>
      </c>
    </row>
    <row r="248" spans="1:6">
      <c r="A248">
        <v>6665</v>
      </c>
      <c r="B248" t="s">
        <v>560</v>
      </c>
      <c r="D248" s="424" t="e">
        <v>#REF!</v>
      </c>
      <c r="E248" s="438">
        <f t="shared" si="6"/>
        <v>2.5250604908399584E-2</v>
      </c>
      <c r="F248" s="424" t="e">
        <f t="shared" si="7"/>
        <v>#REF!</v>
      </c>
    </row>
    <row r="249" spans="1:6">
      <c r="A249">
        <v>6670</v>
      </c>
      <c r="B249" t="s">
        <v>561</v>
      </c>
      <c r="D249" s="424" t="e">
        <v>#REF!</v>
      </c>
      <c r="E249" s="438">
        <f t="shared" si="6"/>
        <v>2.5250604908399584E-2</v>
      </c>
      <c r="F249" s="424" t="e">
        <f t="shared" si="7"/>
        <v>#REF!</v>
      </c>
    </row>
    <row r="250" spans="1:6">
      <c r="A250">
        <v>6675</v>
      </c>
      <c r="B250" t="s">
        <v>562</v>
      </c>
      <c r="D250" s="424" t="e">
        <v>#REF!</v>
      </c>
      <c r="E250" s="438">
        <f t="shared" si="6"/>
        <v>2.5250604908399584E-2</v>
      </c>
      <c r="F250" s="424" t="e">
        <f t="shared" si="7"/>
        <v>#REF!</v>
      </c>
    </row>
    <row r="251" spans="1:6">
      <c r="A251">
        <v>6680</v>
      </c>
      <c r="B251" t="s">
        <v>563</v>
      </c>
      <c r="D251" s="424" t="e">
        <v>#REF!</v>
      </c>
      <c r="E251" s="438">
        <f t="shared" si="6"/>
        <v>2.5250604908399584E-2</v>
      </c>
      <c r="F251" s="424" t="e">
        <f t="shared" si="7"/>
        <v>#REF!</v>
      </c>
    </row>
    <row r="252" spans="1:6">
      <c r="A252">
        <v>6685</v>
      </c>
      <c r="B252" t="s">
        <v>564</v>
      </c>
      <c r="D252" s="424" t="e">
        <v>#REF!</v>
      </c>
      <c r="E252" s="438">
        <f t="shared" si="6"/>
        <v>2.5250604908399584E-2</v>
      </c>
      <c r="F252" s="424" t="e">
        <f t="shared" si="7"/>
        <v>#REF!</v>
      </c>
    </row>
    <row r="253" spans="1:6">
      <c r="A253">
        <v>6690</v>
      </c>
      <c r="B253" t="s">
        <v>565</v>
      </c>
      <c r="D253" s="424" t="e">
        <v>#REF!</v>
      </c>
      <c r="E253" s="438">
        <f t="shared" si="6"/>
        <v>2.5250604908399584E-2</v>
      </c>
      <c r="F253" s="424" t="e">
        <f t="shared" si="7"/>
        <v>#REF!</v>
      </c>
    </row>
    <row r="254" spans="1:6">
      <c r="A254">
        <v>6695</v>
      </c>
      <c r="B254" t="s">
        <v>566</v>
      </c>
      <c r="D254" s="424" t="e">
        <v>#REF!</v>
      </c>
      <c r="E254" s="438">
        <f t="shared" si="6"/>
        <v>2.5250604908399584E-2</v>
      </c>
      <c r="F254" s="424" t="e">
        <f t="shared" si="7"/>
        <v>#REF!</v>
      </c>
    </row>
    <row r="255" spans="1:6">
      <c r="A255">
        <v>6700</v>
      </c>
      <c r="B255" t="s">
        <v>567</v>
      </c>
      <c r="D255" s="424" t="e">
        <v>#REF!</v>
      </c>
      <c r="E255" s="438">
        <f t="shared" si="6"/>
        <v>2.5250604908399584E-2</v>
      </c>
      <c r="F255" s="424" t="e">
        <f t="shared" si="7"/>
        <v>#REF!</v>
      </c>
    </row>
    <row r="256" spans="1:6">
      <c r="A256">
        <v>6705</v>
      </c>
      <c r="B256" t="s">
        <v>567</v>
      </c>
      <c r="D256" s="424" t="e">
        <v>#REF!</v>
      </c>
      <c r="E256" s="438">
        <f t="shared" si="6"/>
        <v>2.5250604908399584E-2</v>
      </c>
      <c r="F256" s="424" t="e">
        <f t="shared" si="7"/>
        <v>#REF!</v>
      </c>
    </row>
    <row r="257" spans="1:6">
      <c r="A257">
        <v>6710</v>
      </c>
      <c r="B257" t="s">
        <v>568</v>
      </c>
      <c r="D257" s="424" t="e">
        <v>#REF!</v>
      </c>
      <c r="E257" s="438">
        <f t="shared" si="6"/>
        <v>2.5250604908399584E-2</v>
      </c>
      <c r="F257" s="424" t="e">
        <f t="shared" si="7"/>
        <v>#REF!</v>
      </c>
    </row>
    <row r="258" spans="1:6">
      <c r="A258">
        <v>6715</v>
      </c>
      <c r="B258" t="s">
        <v>569</v>
      </c>
      <c r="D258" s="424" t="e">
        <v>#REF!</v>
      </c>
      <c r="E258" s="438">
        <f t="shared" si="6"/>
        <v>2.5250604908399584E-2</v>
      </c>
      <c r="F258" s="424" t="e">
        <f t="shared" si="7"/>
        <v>#REF!</v>
      </c>
    </row>
    <row r="259" spans="1:6">
      <c r="A259">
        <v>6720</v>
      </c>
      <c r="B259" t="s">
        <v>570</v>
      </c>
      <c r="D259" s="424" t="e">
        <v>#REF!</v>
      </c>
      <c r="E259" s="438">
        <f t="shared" si="6"/>
        <v>2.5250604908399584E-2</v>
      </c>
      <c r="F259" s="424" t="e">
        <f t="shared" si="7"/>
        <v>#REF!</v>
      </c>
    </row>
    <row r="260" spans="1:6">
      <c r="A260">
        <v>6725</v>
      </c>
      <c r="B260" t="s">
        <v>571</v>
      </c>
      <c r="D260" s="424" t="e">
        <v>#REF!</v>
      </c>
      <c r="E260" s="438">
        <f t="shared" si="6"/>
        <v>2.5250604908399584E-2</v>
      </c>
      <c r="F260" s="424" t="e">
        <f t="shared" si="7"/>
        <v>#REF!</v>
      </c>
    </row>
    <row r="261" spans="1:6">
      <c r="A261">
        <v>6730</v>
      </c>
      <c r="B261" t="s">
        <v>572</v>
      </c>
      <c r="D261" s="424" t="e">
        <v>#REF!</v>
      </c>
      <c r="E261" s="438">
        <f t="shared" si="6"/>
        <v>2.5250604908399584E-2</v>
      </c>
      <c r="F261" s="424" t="e">
        <f t="shared" si="7"/>
        <v>#REF!</v>
      </c>
    </row>
    <row r="262" spans="1:6">
      <c r="A262">
        <v>6735</v>
      </c>
      <c r="B262" t="s">
        <v>573</v>
      </c>
      <c r="D262" s="424" t="e">
        <v>#REF!</v>
      </c>
      <c r="E262" s="438">
        <f t="shared" ref="E262:E325" si="8">E$3</f>
        <v>2.5250604908399584E-2</v>
      </c>
      <c r="F262" s="424" t="e">
        <f t="shared" ref="F262:F325" si="9">E262*D262</f>
        <v>#REF!</v>
      </c>
    </row>
    <row r="263" spans="1:6">
      <c r="A263">
        <v>6740</v>
      </c>
      <c r="B263" t="s">
        <v>574</v>
      </c>
      <c r="D263" s="424" t="e">
        <v>#REF!</v>
      </c>
      <c r="E263" s="438">
        <f t="shared" si="8"/>
        <v>2.5250604908399584E-2</v>
      </c>
      <c r="F263" s="424" t="e">
        <f t="shared" si="9"/>
        <v>#REF!</v>
      </c>
    </row>
    <row r="264" spans="1:6">
      <c r="A264">
        <v>6745</v>
      </c>
      <c r="B264" t="s">
        <v>575</v>
      </c>
      <c r="D264" s="424" t="e">
        <v>#REF!</v>
      </c>
      <c r="E264" s="438">
        <f t="shared" si="8"/>
        <v>2.5250604908399584E-2</v>
      </c>
      <c r="F264" s="424" t="e">
        <f t="shared" si="9"/>
        <v>#REF!</v>
      </c>
    </row>
    <row r="265" spans="1:6">
      <c r="A265">
        <v>6750</v>
      </c>
      <c r="B265" t="s">
        <v>576</v>
      </c>
      <c r="D265" s="424" t="e">
        <v>#REF!</v>
      </c>
      <c r="E265" s="438">
        <f t="shared" si="8"/>
        <v>2.5250604908399584E-2</v>
      </c>
      <c r="F265" s="424" t="e">
        <f t="shared" si="9"/>
        <v>#REF!</v>
      </c>
    </row>
    <row r="266" spans="1:6">
      <c r="A266">
        <v>6755</v>
      </c>
      <c r="B266" t="s">
        <v>577</v>
      </c>
      <c r="D266" s="424" t="e">
        <v>#REF!</v>
      </c>
      <c r="E266" s="438">
        <f t="shared" si="8"/>
        <v>2.5250604908399584E-2</v>
      </c>
      <c r="F266" s="424" t="e">
        <f t="shared" si="9"/>
        <v>#REF!</v>
      </c>
    </row>
    <row r="267" spans="1:6">
      <c r="A267">
        <v>6760</v>
      </c>
      <c r="B267" t="s">
        <v>578</v>
      </c>
      <c r="D267" s="424" t="e">
        <v>#REF!</v>
      </c>
      <c r="E267" s="438">
        <f t="shared" si="8"/>
        <v>2.5250604908399584E-2</v>
      </c>
      <c r="F267" s="424" t="e">
        <f t="shared" si="9"/>
        <v>#REF!</v>
      </c>
    </row>
    <row r="268" spans="1:6">
      <c r="A268">
        <v>6765</v>
      </c>
      <c r="B268" t="s">
        <v>579</v>
      </c>
      <c r="D268" s="424" t="e">
        <v>#REF!</v>
      </c>
      <c r="E268" s="438">
        <f t="shared" si="8"/>
        <v>2.5250604908399584E-2</v>
      </c>
      <c r="F268" s="424" t="e">
        <f t="shared" si="9"/>
        <v>#REF!</v>
      </c>
    </row>
    <row r="269" spans="1:6">
      <c r="A269">
        <v>6770</v>
      </c>
      <c r="B269" t="s">
        <v>580</v>
      </c>
      <c r="D269" s="424" t="e">
        <v>#REF!</v>
      </c>
      <c r="E269" s="438">
        <f t="shared" si="8"/>
        <v>2.5250604908399584E-2</v>
      </c>
      <c r="F269" s="424" t="e">
        <f t="shared" si="9"/>
        <v>#REF!</v>
      </c>
    </row>
    <row r="270" spans="1:6">
      <c r="A270">
        <v>6775</v>
      </c>
      <c r="B270" t="s">
        <v>581</v>
      </c>
      <c r="D270" s="424" t="e">
        <v>#REF!</v>
      </c>
      <c r="E270" s="438">
        <f t="shared" si="8"/>
        <v>2.5250604908399584E-2</v>
      </c>
      <c r="F270" s="424" t="e">
        <f t="shared" si="9"/>
        <v>#REF!</v>
      </c>
    </row>
    <row r="271" spans="1:6">
      <c r="A271">
        <v>6780</v>
      </c>
      <c r="B271" t="s">
        <v>582</v>
      </c>
      <c r="D271" s="424" t="e">
        <v>#REF!</v>
      </c>
      <c r="E271" s="438">
        <f t="shared" si="8"/>
        <v>2.5250604908399584E-2</v>
      </c>
      <c r="F271" s="424" t="e">
        <f t="shared" si="9"/>
        <v>#REF!</v>
      </c>
    </row>
    <row r="272" spans="1:6">
      <c r="A272">
        <v>6785</v>
      </c>
      <c r="B272" t="s">
        <v>583</v>
      </c>
      <c r="D272" s="424" t="e">
        <v>#REF!</v>
      </c>
      <c r="E272" s="438">
        <f t="shared" si="8"/>
        <v>2.5250604908399584E-2</v>
      </c>
      <c r="F272" s="424" t="e">
        <f t="shared" si="9"/>
        <v>#REF!</v>
      </c>
    </row>
    <row r="273" spans="1:6">
      <c r="A273">
        <v>6790</v>
      </c>
      <c r="B273" t="s">
        <v>584</v>
      </c>
      <c r="D273" s="424" t="e">
        <v>#REF!</v>
      </c>
      <c r="E273" s="438">
        <f t="shared" si="8"/>
        <v>2.5250604908399584E-2</v>
      </c>
      <c r="F273" s="424" t="e">
        <f t="shared" si="9"/>
        <v>#REF!</v>
      </c>
    </row>
    <row r="274" spans="1:6">
      <c r="A274">
        <v>6795</v>
      </c>
      <c r="B274" t="s">
        <v>585</v>
      </c>
      <c r="D274" s="424" t="e">
        <v>#REF!</v>
      </c>
      <c r="E274" s="438">
        <f t="shared" si="8"/>
        <v>2.5250604908399584E-2</v>
      </c>
      <c r="F274" s="424" t="e">
        <f t="shared" si="9"/>
        <v>#REF!</v>
      </c>
    </row>
    <row r="275" spans="1:6">
      <c r="A275">
        <v>6800</v>
      </c>
      <c r="B275" t="s">
        <v>815</v>
      </c>
      <c r="D275" s="424" t="e">
        <v>#REF!</v>
      </c>
      <c r="E275" s="438">
        <f t="shared" si="8"/>
        <v>2.5250604908399584E-2</v>
      </c>
      <c r="F275" s="424" t="e">
        <f t="shared" si="9"/>
        <v>#REF!</v>
      </c>
    </row>
    <row r="276" spans="1:6">
      <c r="A276">
        <v>6805</v>
      </c>
      <c r="B276" t="s">
        <v>816</v>
      </c>
      <c r="D276" s="424" t="e">
        <v>#REF!</v>
      </c>
      <c r="E276" s="438">
        <f t="shared" si="8"/>
        <v>2.5250604908399584E-2</v>
      </c>
      <c r="F276" s="424" t="e">
        <f t="shared" si="9"/>
        <v>#REF!</v>
      </c>
    </row>
    <row r="277" spans="1:6">
      <c r="A277">
        <v>6810</v>
      </c>
      <c r="B277" t="s">
        <v>817</v>
      </c>
      <c r="D277" s="424" t="e">
        <v>#REF!</v>
      </c>
      <c r="E277" s="438">
        <f t="shared" si="8"/>
        <v>2.5250604908399584E-2</v>
      </c>
      <c r="F277" s="424" t="e">
        <f t="shared" si="9"/>
        <v>#REF!</v>
      </c>
    </row>
    <row r="278" spans="1:6">
      <c r="A278">
        <v>6815</v>
      </c>
      <c r="B278" t="s">
        <v>817</v>
      </c>
      <c r="D278" s="424" t="e">
        <v>#REF!</v>
      </c>
      <c r="E278" s="438">
        <f t="shared" si="8"/>
        <v>2.5250604908399584E-2</v>
      </c>
      <c r="F278" s="424" t="e">
        <f t="shared" si="9"/>
        <v>#REF!</v>
      </c>
    </row>
    <row r="279" spans="1:6">
      <c r="A279">
        <v>6820</v>
      </c>
      <c r="B279" t="s">
        <v>547</v>
      </c>
      <c r="D279" s="424" t="e">
        <v>#REF!</v>
      </c>
      <c r="E279" s="438">
        <f t="shared" si="8"/>
        <v>2.5250604908399584E-2</v>
      </c>
      <c r="F279" s="424" t="e">
        <f t="shared" si="9"/>
        <v>#REF!</v>
      </c>
    </row>
    <row r="280" spans="1:6">
      <c r="A280">
        <v>6825</v>
      </c>
      <c r="B280" t="s">
        <v>548</v>
      </c>
      <c r="D280" s="424" t="e">
        <v>#REF!</v>
      </c>
      <c r="E280" s="438">
        <f t="shared" si="8"/>
        <v>2.5250604908399584E-2</v>
      </c>
      <c r="F280" s="424" t="e">
        <f t="shared" si="9"/>
        <v>#REF!</v>
      </c>
    </row>
    <row r="281" spans="1:6">
      <c r="A281">
        <v>6830</v>
      </c>
      <c r="B281" t="s">
        <v>549</v>
      </c>
      <c r="D281" s="424" t="e">
        <v>#REF!</v>
      </c>
      <c r="E281" s="438">
        <f t="shared" si="8"/>
        <v>2.5250604908399584E-2</v>
      </c>
      <c r="F281" s="424" t="e">
        <f t="shared" si="9"/>
        <v>#REF!</v>
      </c>
    </row>
    <row r="282" spans="1:6">
      <c r="A282">
        <v>6835</v>
      </c>
      <c r="B282" t="s">
        <v>550</v>
      </c>
      <c r="D282" s="424" t="e">
        <v>#REF!</v>
      </c>
      <c r="E282" s="438">
        <f t="shared" si="8"/>
        <v>2.5250604908399584E-2</v>
      </c>
      <c r="F282" s="424" t="e">
        <f t="shared" si="9"/>
        <v>#REF!</v>
      </c>
    </row>
    <row r="283" spans="1:6">
      <c r="A283">
        <v>6840</v>
      </c>
      <c r="B283" t="s">
        <v>818</v>
      </c>
      <c r="D283" s="424" t="e">
        <v>#REF!</v>
      </c>
      <c r="E283" s="438">
        <f t="shared" si="8"/>
        <v>2.5250604908399584E-2</v>
      </c>
      <c r="F283" s="424" t="e">
        <f t="shared" si="9"/>
        <v>#REF!</v>
      </c>
    </row>
    <row r="284" spans="1:6">
      <c r="A284">
        <v>6845</v>
      </c>
      <c r="B284" t="s">
        <v>552</v>
      </c>
      <c r="D284" s="424" t="e">
        <v>#REF!</v>
      </c>
      <c r="E284" s="438">
        <f t="shared" si="8"/>
        <v>2.5250604908399584E-2</v>
      </c>
      <c r="F284" s="424" t="e">
        <f t="shared" si="9"/>
        <v>#REF!</v>
      </c>
    </row>
    <row r="285" spans="1:6">
      <c r="A285">
        <v>6850</v>
      </c>
      <c r="B285" t="s">
        <v>553</v>
      </c>
      <c r="D285" s="424" t="e">
        <v>#REF!</v>
      </c>
      <c r="E285" s="438">
        <f t="shared" si="8"/>
        <v>2.5250604908399584E-2</v>
      </c>
      <c r="F285" s="424" t="e">
        <f t="shared" si="9"/>
        <v>#REF!</v>
      </c>
    </row>
    <row r="286" spans="1:6">
      <c r="A286">
        <v>6855</v>
      </c>
      <c r="B286" t="s">
        <v>819</v>
      </c>
      <c r="D286" s="424" t="e">
        <v>#REF!</v>
      </c>
      <c r="E286" s="438">
        <f t="shared" si="8"/>
        <v>2.5250604908399584E-2</v>
      </c>
      <c r="F286" s="424" t="e">
        <f t="shared" si="9"/>
        <v>#REF!</v>
      </c>
    </row>
    <row r="287" spans="1:6">
      <c r="A287">
        <v>6860</v>
      </c>
      <c r="B287" t="s">
        <v>820</v>
      </c>
      <c r="D287" s="424" t="e">
        <v>#REF!</v>
      </c>
      <c r="E287" s="438">
        <f t="shared" si="8"/>
        <v>2.5250604908399584E-2</v>
      </c>
      <c r="F287" s="424" t="e">
        <f t="shared" si="9"/>
        <v>#REF!</v>
      </c>
    </row>
    <row r="288" spans="1:6">
      <c r="B288" t="s">
        <v>192</v>
      </c>
      <c r="D288" s="424" t="e">
        <v>#REF!</v>
      </c>
      <c r="E288" s="438">
        <f t="shared" si="8"/>
        <v>2.5250604908399584E-2</v>
      </c>
      <c r="F288" s="424" t="e">
        <f t="shared" si="9"/>
        <v>#REF!</v>
      </c>
    </row>
    <row r="289" spans="1:6">
      <c r="B289" t="s">
        <v>193</v>
      </c>
      <c r="D289" s="424" t="e">
        <v>#REF!</v>
      </c>
      <c r="E289" s="438">
        <f t="shared" si="8"/>
        <v>2.5250604908399584E-2</v>
      </c>
      <c r="F289" s="424" t="e">
        <f t="shared" si="9"/>
        <v>#REF!</v>
      </c>
    </row>
    <row r="290" spans="1:6">
      <c r="A290">
        <v>6875</v>
      </c>
      <c r="B290" t="s">
        <v>821</v>
      </c>
      <c r="D290" s="424" t="e">
        <v>#REF!</v>
      </c>
      <c r="E290" s="438">
        <f t="shared" si="8"/>
        <v>2.5250604908399584E-2</v>
      </c>
      <c r="F290" s="424" t="e">
        <f t="shared" si="9"/>
        <v>#REF!</v>
      </c>
    </row>
    <row r="291" spans="1:6">
      <c r="A291">
        <v>6880</v>
      </c>
      <c r="B291" t="s">
        <v>822</v>
      </c>
      <c r="D291" s="424" t="e">
        <v>#REF!</v>
      </c>
      <c r="E291" s="438">
        <f t="shared" si="8"/>
        <v>2.5250604908399584E-2</v>
      </c>
      <c r="F291" s="424" t="e">
        <f t="shared" si="9"/>
        <v>#REF!</v>
      </c>
    </row>
    <row r="292" spans="1:6">
      <c r="A292">
        <v>6885</v>
      </c>
      <c r="B292" t="s">
        <v>823</v>
      </c>
      <c r="D292" s="424" t="e">
        <v>#REF!</v>
      </c>
      <c r="E292" s="438">
        <f t="shared" si="8"/>
        <v>2.5250604908399584E-2</v>
      </c>
      <c r="F292" s="424" t="e">
        <f t="shared" si="9"/>
        <v>#REF!</v>
      </c>
    </row>
    <row r="293" spans="1:6">
      <c r="A293">
        <v>6890</v>
      </c>
      <c r="B293" t="s">
        <v>824</v>
      </c>
      <c r="D293" s="424" t="e">
        <v>#REF!</v>
      </c>
      <c r="E293" s="438">
        <f t="shared" si="8"/>
        <v>2.5250604908399584E-2</v>
      </c>
      <c r="F293" s="424" t="e">
        <f t="shared" si="9"/>
        <v>#REF!</v>
      </c>
    </row>
    <row r="294" spans="1:6">
      <c r="B294" t="s">
        <v>193</v>
      </c>
      <c r="D294" s="424" t="e">
        <v>#REF!</v>
      </c>
      <c r="E294" s="438">
        <f t="shared" si="8"/>
        <v>2.5250604908399584E-2</v>
      </c>
      <c r="F294" s="424" t="e">
        <f t="shared" si="9"/>
        <v>#REF!</v>
      </c>
    </row>
    <row r="295" spans="1:6">
      <c r="B295" t="s">
        <v>194</v>
      </c>
      <c r="D295" s="424" t="e">
        <v>#REF!</v>
      </c>
      <c r="E295" s="438">
        <f t="shared" si="8"/>
        <v>2.5250604908399584E-2</v>
      </c>
      <c r="F295" s="424" t="e">
        <f t="shared" si="9"/>
        <v>#REF!</v>
      </c>
    </row>
    <row r="296" spans="1:6">
      <c r="A296">
        <v>6905</v>
      </c>
      <c r="B296" t="s">
        <v>825</v>
      </c>
      <c r="C296" s="425">
        <v>18319.39</v>
      </c>
      <c r="D296" s="424">
        <v>9980.6999999999989</v>
      </c>
      <c r="E296" s="438">
        <f t="shared" si="8"/>
        <v>2.5250604908399584E-2</v>
      </c>
      <c r="F296" s="424">
        <f t="shared" si="9"/>
        <v>252.01871240926371</v>
      </c>
    </row>
    <row r="297" spans="1:6">
      <c r="B297" t="s">
        <v>194</v>
      </c>
      <c r="C297" s="425">
        <v>18319.39</v>
      </c>
      <c r="D297" s="424">
        <v>9980.6999999999989</v>
      </c>
      <c r="E297" s="438">
        <f t="shared" si="8"/>
        <v>2.5250604908399584E-2</v>
      </c>
      <c r="F297" s="424">
        <f t="shared" si="9"/>
        <v>252.01871240926371</v>
      </c>
    </row>
    <row r="298" spans="1:6">
      <c r="B298" t="s">
        <v>195</v>
      </c>
      <c r="D298" s="424" t="e">
        <v>#REF!</v>
      </c>
      <c r="E298" s="438">
        <f t="shared" si="8"/>
        <v>2.5250604908399584E-2</v>
      </c>
      <c r="F298" s="424" t="e">
        <f t="shared" si="9"/>
        <v>#REF!</v>
      </c>
    </row>
    <row r="299" spans="1:6">
      <c r="A299">
        <v>6920</v>
      </c>
      <c r="B299" t="s">
        <v>826</v>
      </c>
      <c r="C299" s="425">
        <v>919683.55</v>
      </c>
      <c r="D299" s="424">
        <v>424506.37000000005</v>
      </c>
      <c r="E299" s="438">
        <f t="shared" si="8"/>
        <v>2.5250604908399584E-2</v>
      </c>
      <c r="F299" s="424">
        <f t="shared" si="9"/>
        <v>10719.042629968892</v>
      </c>
    </row>
    <row r="300" spans="1:6">
      <c r="B300" t="s">
        <v>195</v>
      </c>
      <c r="C300" s="425">
        <v>919683.55</v>
      </c>
      <c r="D300" s="424">
        <v>424506.37000000005</v>
      </c>
      <c r="E300" s="438">
        <f t="shared" si="8"/>
        <v>2.5250604908399584E-2</v>
      </c>
      <c r="F300" s="424">
        <f t="shared" si="9"/>
        <v>10719.042629968892</v>
      </c>
    </row>
    <row r="301" spans="1:6">
      <c r="A301">
        <v>6940</v>
      </c>
      <c r="B301" t="s">
        <v>827</v>
      </c>
      <c r="D301" s="424" t="e">
        <v>#REF!</v>
      </c>
      <c r="E301" s="438">
        <f t="shared" si="8"/>
        <v>2.5250604908399584E-2</v>
      </c>
      <c r="F301" s="424" t="e">
        <f t="shared" si="9"/>
        <v>#REF!</v>
      </c>
    </row>
    <row r="302" spans="1:6">
      <c r="A302">
        <v>6945</v>
      </c>
      <c r="B302" t="s">
        <v>828</v>
      </c>
      <c r="D302" s="424" t="e">
        <v>#REF!</v>
      </c>
      <c r="E302" s="438">
        <f t="shared" si="8"/>
        <v>2.5250604908399584E-2</v>
      </c>
      <c r="F302" s="424" t="e">
        <f t="shared" si="9"/>
        <v>#REF!</v>
      </c>
    </row>
    <row r="303" spans="1:6">
      <c r="A303">
        <v>6950</v>
      </c>
      <c r="B303" t="s">
        <v>829</v>
      </c>
      <c r="D303" s="424" t="e">
        <v>#REF!</v>
      </c>
      <c r="E303" s="438">
        <f t="shared" si="8"/>
        <v>2.5250604908399584E-2</v>
      </c>
      <c r="F303" s="424" t="e">
        <f t="shared" si="9"/>
        <v>#REF!</v>
      </c>
    </row>
    <row r="304" spans="1:6">
      <c r="A304">
        <v>6955</v>
      </c>
      <c r="B304" t="s">
        <v>830</v>
      </c>
      <c r="D304" s="424" t="e">
        <v>#REF!</v>
      </c>
      <c r="E304" s="438">
        <f t="shared" si="8"/>
        <v>2.5250604908399584E-2</v>
      </c>
      <c r="F304" s="424" t="e">
        <f t="shared" si="9"/>
        <v>#REF!</v>
      </c>
    </row>
    <row r="305" spans="1:6">
      <c r="A305">
        <v>6960</v>
      </c>
      <c r="B305" t="s">
        <v>831</v>
      </c>
      <c r="D305" s="424" t="e">
        <v>#REF!</v>
      </c>
      <c r="E305" s="438">
        <f t="shared" si="8"/>
        <v>2.5250604908399584E-2</v>
      </c>
      <c r="F305" s="424" t="e">
        <f t="shared" si="9"/>
        <v>#REF!</v>
      </c>
    </row>
    <row r="306" spans="1:6">
      <c r="A306">
        <v>6965</v>
      </c>
      <c r="B306" t="s">
        <v>832</v>
      </c>
      <c r="D306" s="424" t="e">
        <v>#REF!</v>
      </c>
      <c r="E306" s="438">
        <f t="shared" si="8"/>
        <v>2.5250604908399584E-2</v>
      </c>
      <c r="F306" s="424" t="e">
        <f t="shared" si="9"/>
        <v>#REF!</v>
      </c>
    </row>
    <row r="307" spans="1:6">
      <c r="B307" t="s">
        <v>196</v>
      </c>
      <c r="D307" s="424" t="e">
        <v>#REF!</v>
      </c>
      <c r="E307" s="438">
        <f t="shared" si="8"/>
        <v>2.5250604908399584E-2</v>
      </c>
      <c r="F307" s="424" t="e">
        <f t="shared" si="9"/>
        <v>#REF!</v>
      </c>
    </row>
    <row r="308" spans="1:6">
      <c r="A308">
        <v>6985</v>
      </c>
      <c r="B308" t="s">
        <v>833</v>
      </c>
      <c r="D308" s="424" t="e">
        <v>#REF!</v>
      </c>
      <c r="E308" s="438">
        <f t="shared" si="8"/>
        <v>2.5250604908399584E-2</v>
      </c>
      <c r="F308" s="424" t="e">
        <f t="shared" si="9"/>
        <v>#REF!</v>
      </c>
    </row>
    <row r="309" spans="1:6">
      <c r="A309">
        <v>6990</v>
      </c>
      <c r="B309" t="s">
        <v>834</v>
      </c>
      <c r="D309" s="424" t="e">
        <v>#REF!</v>
      </c>
      <c r="E309" s="438">
        <f t="shared" si="8"/>
        <v>2.5250604908399584E-2</v>
      </c>
      <c r="F309" s="424" t="e">
        <f t="shared" si="9"/>
        <v>#REF!</v>
      </c>
    </row>
    <row r="310" spans="1:6">
      <c r="A310">
        <v>6995</v>
      </c>
      <c r="B310" t="s">
        <v>835</v>
      </c>
      <c r="D310" s="424" t="e">
        <v>#REF!</v>
      </c>
      <c r="E310" s="438">
        <f t="shared" si="8"/>
        <v>2.5250604908399584E-2</v>
      </c>
      <c r="F310" s="424" t="e">
        <f t="shared" si="9"/>
        <v>#REF!</v>
      </c>
    </row>
    <row r="311" spans="1:6">
      <c r="A311">
        <v>7000</v>
      </c>
      <c r="B311" t="s">
        <v>836</v>
      </c>
      <c r="D311" s="424" t="e">
        <v>#REF!</v>
      </c>
      <c r="E311" s="438">
        <f t="shared" si="8"/>
        <v>2.5250604908399584E-2</v>
      </c>
      <c r="F311" s="424" t="e">
        <f t="shared" si="9"/>
        <v>#REF!</v>
      </c>
    </row>
    <row r="312" spans="1:6">
      <c r="A312">
        <v>7005</v>
      </c>
      <c r="B312" t="s">
        <v>837</v>
      </c>
      <c r="D312" s="424" t="e">
        <v>#REF!</v>
      </c>
      <c r="E312" s="438">
        <f t="shared" si="8"/>
        <v>2.5250604908399584E-2</v>
      </c>
      <c r="F312" s="424" t="e">
        <f t="shared" si="9"/>
        <v>#REF!</v>
      </c>
    </row>
    <row r="313" spans="1:6">
      <c r="A313">
        <v>7010</v>
      </c>
      <c r="B313" t="s">
        <v>838</v>
      </c>
      <c r="D313" s="424" t="e">
        <v>#REF!</v>
      </c>
      <c r="E313" s="438">
        <f t="shared" si="8"/>
        <v>2.5250604908399584E-2</v>
      </c>
      <c r="F313" s="424" t="e">
        <f t="shared" si="9"/>
        <v>#REF!</v>
      </c>
    </row>
    <row r="314" spans="1:6">
      <c r="A314">
        <v>7015</v>
      </c>
      <c r="B314" t="s">
        <v>839</v>
      </c>
      <c r="D314" s="424" t="e">
        <v>#REF!</v>
      </c>
      <c r="E314" s="438">
        <f t="shared" si="8"/>
        <v>2.5250604908399584E-2</v>
      </c>
      <c r="F314" s="424" t="e">
        <f t="shared" si="9"/>
        <v>#REF!</v>
      </c>
    </row>
    <row r="315" spans="1:6">
      <c r="A315">
        <v>7020</v>
      </c>
      <c r="B315" t="s">
        <v>840</v>
      </c>
      <c r="D315" s="424" t="e">
        <v>#REF!</v>
      </c>
      <c r="E315" s="438">
        <f t="shared" si="8"/>
        <v>2.5250604908399584E-2</v>
      </c>
      <c r="F315" s="424" t="e">
        <f t="shared" si="9"/>
        <v>#REF!</v>
      </c>
    </row>
    <row r="316" spans="1:6">
      <c r="A316">
        <v>7025</v>
      </c>
      <c r="B316" t="s">
        <v>841</v>
      </c>
      <c r="D316" s="424" t="e">
        <v>#REF!</v>
      </c>
      <c r="E316" s="438">
        <f t="shared" si="8"/>
        <v>2.5250604908399584E-2</v>
      </c>
      <c r="F316" s="424" t="e">
        <f t="shared" si="9"/>
        <v>#REF!</v>
      </c>
    </row>
    <row r="317" spans="1:6">
      <c r="A317">
        <v>7030</v>
      </c>
      <c r="B317" t="s">
        <v>842</v>
      </c>
      <c r="D317" s="424" t="e">
        <v>#REF!</v>
      </c>
      <c r="E317" s="438">
        <f t="shared" si="8"/>
        <v>2.5250604908399584E-2</v>
      </c>
      <c r="F317" s="424" t="e">
        <f t="shared" si="9"/>
        <v>#REF!</v>
      </c>
    </row>
    <row r="318" spans="1:6">
      <c r="A318">
        <v>7035</v>
      </c>
      <c r="B318" t="s">
        <v>843</v>
      </c>
      <c r="D318" s="424" t="e">
        <v>#REF!</v>
      </c>
      <c r="E318" s="438">
        <f t="shared" si="8"/>
        <v>2.5250604908399584E-2</v>
      </c>
      <c r="F318" s="424" t="e">
        <f t="shared" si="9"/>
        <v>#REF!</v>
      </c>
    </row>
    <row r="319" spans="1:6">
      <c r="A319">
        <v>7040</v>
      </c>
      <c r="B319" t="s">
        <v>844</v>
      </c>
      <c r="D319" s="424" t="e">
        <v>#REF!</v>
      </c>
      <c r="E319" s="438">
        <f t="shared" si="8"/>
        <v>2.5250604908399584E-2</v>
      </c>
      <c r="F319" s="424" t="e">
        <f t="shared" si="9"/>
        <v>#REF!</v>
      </c>
    </row>
    <row r="320" spans="1:6">
      <c r="A320">
        <v>7045</v>
      </c>
      <c r="B320" t="s">
        <v>845</v>
      </c>
      <c r="D320" s="424" t="e">
        <v>#REF!</v>
      </c>
      <c r="E320" s="438">
        <f t="shared" si="8"/>
        <v>2.5250604908399584E-2</v>
      </c>
      <c r="F320" s="424" t="e">
        <f t="shared" si="9"/>
        <v>#REF!</v>
      </c>
    </row>
    <row r="321" spans="1:6">
      <c r="A321">
        <v>7050</v>
      </c>
      <c r="B321" t="s">
        <v>846</v>
      </c>
      <c r="D321" s="424" t="e">
        <v>#REF!</v>
      </c>
      <c r="E321" s="438">
        <f t="shared" si="8"/>
        <v>2.5250604908399584E-2</v>
      </c>
      <c r="F321" s="424" t="e">
        <f t="shared" si="9"/>
        <v>#REF!</v>
      </c>
    </row>
    <row r="322" spans="1:6">
      <c r="A322">
        <v>7055</v>
      </c>
      <c r="B322" t="s">
        <v>847</v>
      </c>
      <c r="D322" s="424" t="e">
        <v>#REF!</v>
      </c>
      <c r="E322" s="438">
        <f t="shared" si="8"/>
        <v>2.5250604908399584E-2</v>
      </c>
      <c r="F322" s="424" t="e">
        <f t="shared" si="9"/>
        <v>#REF!</v>
      </c>
    </row>
    <row r="323" spans="1:6">
      <c r="A323">
        <v>7060</v>
      </c>
      <c r="B323" t="s">
        <v>848</v>
      </c>
      <c r="D323" s="424" t="e">
        <v>#REF!</v>
      </c>
      <c r="E323" s="438">
        <f t="shared" si="8"/>
        <v>2.5250604908399584E-2</v>
      </c>
      <c r="F323" s="424" t="e">
        <f t="shared" si="9"/>
        <v>#REF!</v>
      </c>
    </row>
    <row r="324" spans="1:6">
      <c r="A324">
        <v>7065</v>
      </c>
      <c r="B324" t="s">
        <v>849</v>
      </c>
      <c r="D324" s="424" t="e">
        <v>#REF!</v>
      </c>
      <c r="E324" s="438">
        <f t="shared" si="8"/>
        <v>2.5250604908399584E-2</v>
      </c>
      <c r="F324" s="424" t="e">
        <f t="shared" si="9"/>
        <v>#REF!</v>
      </c>
    </row>
    <row r="325" spans="1:6">
      <c r="A325">
        <v>7070</v>
      </c>
      <c r="B325" t="s">
        <v>850</v>
      </c>
      <c r="D325" s="424" t="e">
        <v>#REF!</v>
      </c>
      <c r="E325" s="438">
        <f t="shared" si="8"/>
        <v>2.5250604908399584E-2</v>
      </c>
      <c r="F325" s="424" t="e">
        <f t="shared" si="9"/>
        <v>#REF!</v>
      </c>
    </row>
    <row r="326" spans="1:6">
      <c r="A326">
        <v>7075</v>
      </c>
      <c r="B326" t="s">
        <v>851</v>
      </c>
      <c r="D326" s="424" t="e">
        <v>#REF!</v>
      </c>
      <c r="E326" s="438">
        <f t="shared" ref="E326:E389" si="10">E$3</f>
        <v>2.5250604908399584E-2</v>
      </c>
      <c r="F326" s="424" t="e">
        <f t="shared" ref="F326:F389" si="11">E326*D326</f>
        <v>#REF!</v>
      </c>
    </row>
    <row r="327" spans="1:6">
      <c r="A327">
        <v>7080</v>
      </c>
      <c r="B327" t="s">
        <v>852</v>
      </c>
      <c r="D327" s="424" t="e">
        <v>#REF!</v>
      </c>
      <c r="E327" s="438">
        <f t="shared" si="10"/>
        <v>2.5250604908399584E-2</v>
      </c>
      <c r="F327" s="424" t="e">
        <f t="shared" si="11"/>
        <v>#REF!</v>
      </c>
    </row>
    <row r="328" spans="1:6">
      <c r="A328">
        <v>7085</v>
      </c>
      <c r="B328" t="s">
        <v>853</v>
      </c>
      <c r="D328" s="424" t="e">
        <v>#REF!</v>
      </c>
      <c r="E328" s="438">
        <f t="shared" si="10"/>
        <v>2.5250604908399584E-2</v>
      </c>
      <c r="F328" s="424" t="e">
        <f t="shared" si="11"/>
        <v>#REF!</v>
      </c>
    </row>
    <row r="329" spans="1:6">
      <c r="A329">
        <v>7090</v>
      </c>
      <c r="B329" t="s">
        <v>854</v>
      </c>
      <c r="D329" s="424" t="e">
        <v>#REF!</v>
      </c>
      <c r="E329" s="438">
        <f t="shared" si="10"/>
        <v>2.5250604908399584E-2</v>
      </c>
      <c r="F329" s="424" t="e">
        <f t="shared" si="11"/>
        <v>#REF!</v>
      </c>
    </row>
    <row r="330" spans="1:6">
      <c r="A330">
        <v>7095</v>
      </c>
      <c r="B330" t="s">
        <v>855</v>
      </c>
      <c r="D330" s="424" t="e">
        <v>#REF!</v>
      </c>
      <c r="E330" s="438">
        <f t="shared" si="10"/>
        <v>2.5250604908399584E-2</v>
      </c>
      <c r="F330" s="424" t="e">
        <f t="shared" si="11"/>
        <v>#REF!</v>
      </c>
    </row>
    <row r="331" spans="1:6">
      <c r="A331">
        <v>7100</v>
      </c>
      <c r="B331" t="s">
        <v>856</v>
      </c>
      <c r="D331" s="424" t="e">
        <v>#REF!</v>
      </c>
      <c r="E331" s="438">
        <f t="shared" si="10"/>
        <v>2.5250604908399584E-2</v>
      </c>
      <c r="F331" s="424" t="e">
        <f t="shared" si="11"/>
        <v>#REF!</v>
      </c>
    </row>
    <row r="332" spans="1:6">
      <c r="A332">
        <v>7105</v>
      </c>
      <c r="B332" t="s">
        <v>857</v>
      </c>
      <c r="D332" s="424" t="e">
        <v>#REF!</v>
      </c>
      <c r="E332" s="438">
        <f t="shared" si="10"/>
        <v>2.5250604908399584E-2</v>
      </c>
      <c r="F332" s="424" t="e">
        <f t="shared" si="11"/>
        <v>#REF!</v>
      </c>
    </row>
    <row r="333" spans="1:6">
      <c r="A333">
        <v>7110</v>
      </c>
      <c r="B333" t="s">
        <v>858</v>
      </c>
      <c r="D333" s="424" t="e">
        <v>#REF!</v>
      </c>
      <c r="E333" s="438">
        <f t="shared" si="10"/>
        <v>2.5250604908399584E-2</v>
      </c>
      <c r="F333" s="424" t="e">
        <f t="shared" si="11"/>
        <v>#REF!</v>
      </c>
    </row>
    <row r="334" spans="1:6">
      <c r="A334">
        <v>7115</v>
      </c>
      <c r="B334" t="s">
        <v>890</v>
      </c>
      <c r="D334" s="424" t="e">
        <v>#REF!</v>
      </c>
      <c r="E334" s="438">
        <f t="shared" si="10"/>
        <v>2.5250604908399584E-2</v>
      </c>
      <c r="F334" s="424" t="e">
        <f t="shared" si="11"/>
        <v>#REF!</v>
      </c>
    </row>
    <row r="335" spans="1:6">
      <c r="A335">
        <v>7120</v>
      </c>
      <c r="B335" t="s">
        <v>891</v>
      </c>
      <c r="D335" s="424" t="e">
        <v>#REF!</v>
      </c>
      <c r="E335" s="438">
        <f t="shared" si="10"/>
        <v>2.5250604908399584E-2</v>
      </c>
      <c r="F335" s="424" t="e">
        <f t="shared" si="11"/>
        <v>#REF!</v>
      </c>
    </row>
    <row r="336" spans="1:6">
      <c r="A336">
        <v>7125</v>
      </c>
      <c r="B336" t="s">
        <v>892</v>
      </c>
      <c r="D336" s="424" t="e">
        <v>#REF!</v>
      </c>
      <c r="E336" s="438">
        <f t="shared" si="10"/>
        <v>2.5250604908399584E-2</v>
      </c>
      <c r="F336" s="424" t="e">
        <f t="shared" si="11"/>
        <v>#REF!</v>
      </c>
    </row>
    <row r="337" spans="1:6">
      <c r="A337">
        <v>7130</v>
      </c>
      <c r="B337" t="s">
        <v>893</v>
      </c>
      <c r="D337" s="424" t="e">
        <v>#REF!</v>
      </c>
      <c r="E337" s="438">
        <f t="shared" si="10"/>
        <v>2.5250604908399584E-2</v>
      </c>
      <c r="F337" s="424" t="e">
        <f t="shared" si="11"/>
        <v>#REF!</v>
      </c>
    </row>
    <row r="338" spans="1:6">
      <c r="A338">
        <v>7135</v>
      </c>
      <c r="B338" t="s">
        <v>894</v>
      </c>
      <c r="D338" s="424" t="e">
        <v>#REF!</v>
      </c>
      <c r="E338" s="438">
        <f t="shared" si="10"/>
        <v>2.5250604908399584E-2</v>
      </c>
      <c r="F338" s="424" t="e">
        <f t="shared" si="11"/>
        <v>#REF!</v>
      </c>
    </row>
    <row r="339" spans="1:6">
      <c r="A339">
        <v>7140</v>
      </c>
      <c r="B339" t="s">
        <v>895</v>
      </c>
      <c r="D339" s="424" t="e">
        <v>#REF!</v>
      </c>
      <c r="E339" s="438">
        <f t="shared" si="10"/>
        <v>2.5250604908399584E-2</v>
      </c>
      <c r="F339" s="424" t="e">
        <f t="shared" si="11"/>
        <v>#REF!</v>
      </c>
    </row>
    <row r="340" spans="1:6">
      <c r="A340">
        <v>7145</v>
      </c>
      <c r="B340" t="s">
        <v>896</v>
      </c>
      <c r="D340" s="424" t="e">
        <v>#REF!</v>
      </c>
      <c r="E340" s="438">
        <f t="shared" si="10"/>
        <v>2.5250604908399584E-2</v>
      </c>
      <c r="F340" s="424" t="e">
        <f t="shared" si="11"/>
        <v>#REF!</v>
      </c>
    </row>
    <row r="341" spans="1:6">
      <c r="A341">
        <v>7150</v>
      </c>
      <c r="B341" t="s">
        <v>897</v>
      </c>
      <c r="D341" s="424" t="e">
        <v>#REF!</v>
      </c>
      <c r="E341" s="438">
        <f t="shared" si="10"/>
        <v>2.5250604908399584E-2</v>
      </c>
      <c r="F341" s="424" t="e">
        <f t="shared" si="11"/>
        <v>#REF!</v>
      </c>
    </row>
    <row r="342" spans="1:6">
      <c r="A342">
        <v>7155</v>
      </c>
      <c r="B342" t="s">
        <v>898</v>
      </c>
      <c r="D342" s="424" t="e">
        <v>#REF!</v>
      </c>
      <c r="E342" s="438">
        <f t="shared" si="10"/>
        <v>2.5250604908399584E-2</v>
      </c>
      <c r="F342" s="424" t="e">
        <f t="shared" si="11"/>
        <v>#REF!</v>
      </c>
    </row>
    <row r="343" spans="1:6">
      <c r="A343">
        <v>7160</v>
      </c>
      <c r="B343" t="s">
        <v>96</v>
      </c>
      <c r="D343" s="424" t="e">
        <v>#REF!</v>
      </c>
      <c r="E343" s="438">
        <f t="shared" si="10"/>
        <v>2.5250604908399584E-2</v>
      </c>
      <c r="F343" s="424" t="e">
        <f t="shared" si="11"/>
        <v>#REF!</v>
      </c>
    </row>
    <row r="344" spans="1:6">
      <c r="A344">
        <v>7165</v>
      </c>
      <c r="B344" t="s">
        <v>97</v>
      </c>
      <c r="D344" s="424" t="e">
        <v>#REF!</v>
      </c>
      <c r="E344" s="438">
        <f t="shared" si="10"/>
        <v>2.5250604908399584E-2</v>
      </c>
      <c r="F344" s="424" t="e">
        <f t="shared" si="11"/>
        <v>#REF!</v>
      </c>
    </row>
    <row r="345" spans="1:6">
      <c r="A345">
        <v>7170</v>
      </c>
      <c r="B345" t="s">
        <v>98</v>
      </c>
      <c r="D345" s="424" t="e">
        <v>#REF!</v>
      </c>
      <c r="E345" s="438">
        <f t="shared" si="10"/>
        <v>2.5250604908399584E-2</v>
      </c>
      <c r="F345" s="424" t="e">
        <f t="shared" si="11"/>
        <v>#REF!</v>
      </c>
    </row>
    <row r="346" spans="1:6">
      <c r="A346">
        <v>7175</v>
      </c>
      <c r="B346" t="s">
        <v>99</v>
      </c>
      <c r="D346" s="424" t="e">
        <v>#REF!</v>
      </c>
      <c r="E346" s="438">
        <f t="shared" si="10"/>
        <v>2.5250604908399584E-2</v>
      </c>
      <c r="F346" s="424" t="e">
        <f t="shared" si="11"/>
        <v>#REF!</v>
      </c>
    </row>
    <row r="347" spans="1:6">
      <c r="A347">
        <v>7180</v>
      </c>
      <c r="B347" t="s">
        <v>100</v>
      </c>
      <c r="D347" s="424" t="e">
        <v>#REF!</v>
      </c>
      <c r="E347" s="438">
        <f t="shared" si="10"/>
        <v>2.5250604908399584E-2</v>
      </c>
      <c r="F347" s="424" t="e">
        <f t="shared" si="11"/>
        <v>#REF!</v>
      </c>
    </row>
    <row r="348" spans="1:6">
      <c r="A348">
        <v>7185</v>
      </c>
      <c r="B348" t="s">
        <v>810</v>
      </c>
      <c r="D348" s="424" t="e">
        <v>#REF!</v>
      </c>
      <c r="E348" s="438">
        <f t="shared" si="10"/>
        <v>2.5250604908399584E-2</v>
      </c>
      <c r="F348" s="424" t="e">
        <f t="shared" si="11"/>
        <v>#REF!</v>
      </c>
    </row>
    <row r="349" spans="1:6">
      <c r="B349" t="s">
        <v>196</v>
      </c>
      <c r="D349" s="424" t="e">
        <v>#REF!</v>
      </c>
      <c r="E349" s="438">
        <f t="shared" si="10"/>
        <v>2.5250604908399584E-2</v>
      </c>
      <c r="F349" s="424" t="e">
        <f t="shared" si="11"/>
        <v>#REF!</v>
      </c>
    </row>
    <row r="350" spans="1:6">
      <c r="B350" t="s">
        <v>197</v>
      </c>
      <c r="D350" s="424" t="e">
        <v>#REF!</v>
      </c>
      <c r="E350" s="438">
        <f t="shared" si="10"/>
        <v>2.5250604908399584E-2</v>
      </c>
      <c r="F350" s="424" t="e">
        <f t="shared" si="11"/>
        <v>#REF!</v>
      </c>
    </row>
    <row r="351" spans="1:6">
      <c r="A351">
        <v>7205</v>
      </c>
      <c r="B351" t="s">
        <v>833</v>
      </c>
      <c r="D351" s="424" t="e">
        <v>#REF!</v>
      </c>
      <c r="E351" s="438">
        <f t="shared" si="10"/>
        <v>2.5250604908399584E-2</v>
      </c>
      <c r="F351" s="424" t="e">
        <f t="shared" si="11"/>
        <v>#REF!</v>
      </c>
    </row>
    <row r="352" spans="1:6">
      <c r="A352">
        <v>7210</v>
      </c>
      <c r="B352" t="s">
        <v>811</v>
      </c>
      <c r="D352" s="424" t="e">
        <v>#REF!</v>
      </c>
      <c r="E352" s="438">
        <f t="shared" si="10"/>
        <v>2.5250604908399584E-2</v>
      </c>
      <c r="F352" s="424" t="e">
        <f t="shared" si="11"/>
        <v>#REF!</v>
      </c>
    </row>
    <row r="353" spans="1:6">
      <c r="A353">
        <v>7215</v>
      </c>
      <c r="B353" t="s">
        <v>812</v>
      </c>
      <c r="D353" s="424" t="e">
        <v>#REF!</v>
      </c>
      <c r="E353" s="438">
        <f t="shared" si="10"/>
        <v>2.5250604908399584E-2</v>
      </c>
      <c r="F353" s="424" t="e">
        <f t="shared" si="11"/>
        <v>#REF!</v>
      </c>
    </row>
    <row r="354" spans="1:6">
      <c r="A354">
        <v>7220</v>
      </c>
      <c r="B354" t="s">
        <v>813</v>
      </c>
      <c r="D354" s="424" t="e">
        <v>#REF!</v>
      </c>
      <c r="E354" s="438">
        <f t="shared" si="10"/>
        <v>2.5250604908399584E-2</v>
      </c>
      <c r="F354" s="424" t="e">
        <f t="shared" si="11"/>
        <v>#REF!</v>
      </c>
    </row>
    <row r="355" spans="1:6">
      <c r="A355">
        <v>7225</v>
      </c>
      <c r="B355" t="s">
        <v>814</v>
      </c>
      <c r="D355" s="424" t="e">
        <v>#REF!</v>
      </c>
      <c r="E355" s="438">
        <f t="shared" si="10"/>
        <v>2.5250604908399584E-2</v>
      </c>
      <c r="F355" s="424" t="e">
        <f t="shared" si="11"/>
        <v>#REF!</v>
      </c>
    </row>
    <row r="356" spans="1:6">
      <c r="A356">
        <v>7230</v>
      </c>
      <c r="B356" t="s">
        <v>330</v>
      </c>
      <c r="D356" s="424" t="e">
        <v>#REF!</v>
      </c>
      <c r="E356" s="438">
        <f t="shared" si="10"/>
        <v>2.5250604908399584E-2</v>
      </c>
      <c r="F356" s="424" t="e">
        <f t="shared" si="11"/>
        <v>#REF!</v>
      </c>
    </row>
    <row r="357" spans="1:6">
      <c r="A357">
        <v>7235</v>
      </c>
      <c r="B357" t="s">
        <v>331</v>
      </c>
      <c r="D357" s="424" t="e">
        <v>#REF!</v>
      </c>
      <c r="E357" s="438">
        <f t="shared" si="10"/>
        <v>2.5250604908399584E-2</v>
      </c>
      <c r="F357" s="424" t="e">
        <f t="shared" si="11"/>
        <v>#REF!</v>
      </c>
    </row>
    <row r="358" spans="1:6">
      <c r="A358">
        <v>7240</v>
      </c>
      <c r="B358" t="s">
        <v>332</v>
      </c>
      <c r="D358" s="424" t="e">
        <v>#REF!</v>
      </c>
      <c r="E358" s="438">
        <f t="shared" si="10"/>
        <v>2.5250604908399584E-2</v>
      </c>
      <c r="F358" s="424" t="e">
        <f t="shared" si="11"/>
        <v>#REF!</v>
      </c>
    </row>
    <row r="359" spans="1:6">
      <c r="A359">
        <v>7245</v>
      </c>
      <c r="B359" t="s">
        <v>333</v>
      </c>
      <c r="D359" s="424" t="e">
        <v>#REF!</v>
      </c>
      <c r="E359" s="438">
        <f t="shared" si="10"/>
        <v>2.5250604908399584E-2</v>
      </c>
      <c r="F359" s="424" t="e">
        <f t="shared" si="11"/>
        <v>#REF!</v>
      </c>
    </row>
    <row r="360" spans="1:6">
      <c r="A360">
        <v>7250</v>
      </c>
      <c r="B360" t="s">
        <v>334</v>
      </c>
      <c r="D360" s="424" t="e">
        <v>#REF!</v>
      </c>
      <c r="E360" s="438">
        <f t="shared" si="10"/>
        <v>2.5250604908399584E-2</v>
      </c>
      <c r="F360" s="424" t="e">
        <f t="shared" si="11"/>
        <v>#REF!</v>
      </c>
    </row>
    <row r="361" spans="1:6">
      <c r="A361">
        <v>7255</v>
      </c>
      <c r="B361" t="s">
        <v>335</v>
      </c>
      <c r="D361" s="424" t="e">
        <v>#REF!</v>
      </c>
      <c r="E361" s="438">
        <f t="shared" si="10"/>
        <v>2.5250604908399584E-2</v>
      </c>
      <c r="F361" s="424" t="e">
        <f t="shared" si="11"/>
        <v>#REF!</v>
      </c>
    </row>
    <row r="362" spans="1:6">
      <c r="A362">
        <v>7260</v>
      </c>
      <c r="B362" t="s">
        <v>336</v>
      </c>
      <c r="D362" s="424" t="e">
        <v>#REF!</v>
      </c>
      <c r="E362" s="438">
        <f t="shared" si="10"/>
        <v>2.5250604908399584E-2</v>
      </c>
      <c r="F362" s="424" t="e">
        <f t="shared" si="11"/>
        <v>#REF!</v>
      </c>
    </row>
    <row r="363" spans="1:6">
      <c r="A363">
        <v>7265</v>
      </c>
      <c r="B363" t="s">
        <v>337</v>
      </c>
      <c r="D363" s="424" t="e">
        <v>#REF!</v>
      </c>
      <c r="E363" s="438">
        <f t="shared" si="10"/>
        <v>2.5250604908399584E-2</v>
      </c>
      <c r="F363" s="424" t="e">
        <f t="shared" si="11"/>
        <v>#REF!</v>
      </c>
    </row>
    <row r="364" spans="1:6">
      <c r="A364">
        <v>7270</v>
      </c>
      <c r="B364" t="s">
        <v>337</v>
      </c>
      <c r="D364" s="424" t="e">
        <v>#REF!</v>
      </c>
      <c r="E364" s="438">
        <f t="shared" si="10"/>
        <v>2.5250604908399584E-2</v>
      </c>
      <c r="F364" s="424" t="e">
        <f t="shared" si="11"/>
        <v>#REF!</v>
      </c>
    </row>
    <row r="365" spans="1:6">
      <c r="A365">
        <v>7275</v>
      </c>
      <c r="B365" t="s">
        <v>338</v>
      </c>
      <c r="D365" s="424" t="e">
        <v>#REF!</v>
      </c>
      <c r="E365" s="438">
        <f t="shared" si="10"/>
        <v>2.5250604908399584E-2</v>
      </c>
      <c r="F365" s="424" t="e">
        <f t="shared" si="11"/>
        <v>#REF!</v>
      </c>
    </row>
    <row r="366" spans="1:6">
      <c r="A366">
        <v>7280</v>
      </c>
      <c r="B366" t="s">
        <v>339</v>
      </c>
      <c r="D366" s="424" t="e">
        <v>#REF!</v>
      </c>
      <c r="E366" s="438">
        <f t="shared" si="10"/>
        <v>2.5250604908399584E-2</v>
      </c>
      <c r="F366" s="424" t="e">
        <f t="shared" si="11"/>
        <v>#REF!</v>
      </c>
    </row>
    <row r="367" spans="1:6">
      <c r="A367">
        <v>7285</v>
      </c>
      <c r="B367" t="s">
        <v>340</v>
      </c>
      <c r="D367" s="424" t="e">
        <v>#REF!</v>
      </c>
      <c r="E367" s="438">
        <f t="shared" si="10"/>
        <v>2.5250604908399584E-2</v>
      </c>
      <c r="F367" s="424" t="e">
        <f t="shared" si="11"/>
        <v>#REF!</v>
      </c>
    </row>
    <row r="368" spans="1:6">
      <c r="A368">
        <v>7290</v>
      </c>
      <c r="B368" t="s">
        <v>341</v>
      </c>
      <c r="D368" s="424" t="e">
        <v>#REF!</v>
      </c>
      <c r="E368" s="438">
        <f t="shared" si="10"/>
        <v>2.5250604908399584E-2</v>
      </c>
      <c r="F368" s="424" t="e">
        <f t="shared" si="11"/>
        <v>#REF!</v>
      </c>
    </row>
    <row r="369" spans="1:6">
      <c r="A369">
        <v>7295</v>
      </c>
      <c r="B369" t="s">
        <v>342</v>
      </c>
      <c r="D369" s="424" t="e">
        <v>#REF!</v>
      </c>
      <c r="E369" s="438">
        <f t="shared" si="10"/>
        <v>2.5250604908399584E-2</v>
      </c>
      <c r="F369" s="424" t="e">
        <f t="shared" si="11"/>
        <v>#REF!</v>
      </c>
    </row>
    <row r="370" spans="1:6">
      <c r="A370">
        <v>7300</v>
      </c>
      <c r="B370" t="s">
        <v>343</v>
      </c>
      <c r="D370" s="424" t="e">
        <v>#REF!</v>
      </c>
      <c r="E370" s="438">
        <f t="shared" si="10"/>
        <v>2.5250604908399584E-2</v>
      </c>
      <c r="F370" s="424" t="e">
        <f t="shared" si="11"/>
        <v>#REF!</v>
      </c>
    </row>
    <row r="371" spans="1:6">
      <c r="A371">
        <v>7305</v>
      </c>
      <c r="B371" t="s">
        <v>344</v>
      </c>
      <c r="D371" s="424" t="e">
        <v>#REF!</v>
      </c>
      <c r="E371" s="438">
        <f t="shared" si="10"/>
        <v>2.5250604908399584E-2</v>
      </c>
      <c r="F371" s="424" t="e">
        <f t="shared" si="11"/>
        <v>#REF!</v>
      </c>
    </row>
    <row r="372" spans="1:6">
      <c r="A372">
        <v>7310</v>
      </c>
      <c r="B372" t="s">
        <v>345</v>
      </c>
      <c r="D372" s="424" t="e">
        <v>#REF!</v>
      </c>
      <c r="E372" s="438">
        <f t="shared" si="10"/>
        <v>2.5250604908399584E-2</v>
      </c>
      <c r="F372" s="424" t="e">
        <f t="shared" si="11"/>
        <v>#REF!</v>
      </c>
    </row>
    <row r="373" spans="1:6">
      <c r="A373">
        <v>7315</v>
      </c>
      <c r="B373" t="s">
        <v>346</v>
      </c>
      <c r="D373" s="424" t="e">
        <v>#REF!</v>
      </c>
      <c r="E373" s="438">
        <f t="shared" si="10"/>
        <v>2.5250604908399584E-2</v>
      </c>
      <c r="F373" s="424" t="e">
        <f t="shared" si="11"/>
        <v>#REF!</v>
      </c>
    </row>
    <row r="374" spans="1:6">
      <c r="A374">
        <v>7320</v>
      </c>
      <c r="B374" t="s">
        <v>347</v>
      </c>
      <c r="D374" s="424" t="e">
        <v>#REF!</v>
      </c>
      <c r="E374" s="438">
        <f t="shared" si="10"/>
        <v>2.5250604908399584E-2</v>
      </c>
      <c r="F374" s="424" t="e">
        <f t="shared" si="11"/>
        <v>#REF!</v>
      </c>
    </row>
    <row r="375" spans="1:6">
      <c r="A375">
        <v>7325</v>
      </c>
      <c r="B375" t="s">
        <v>348</v>
      </c>
      <c r="D375" s="424" t="e">
        <v>#REF!</v>
      </c>
      <c r="E375" s="438">
        <f t="shared" si="10"/>
        <v>2.5250604908399584E-2</v>
      </c>
      <c r="F375" s="424" t="e">
        <f t="shared" si="11"/>
        <v>#REF!</v>
      </c>
    </row>
    <row r="376" spans="1:6">
      <c r="A376">
        <v>7330</v>
      </c>
      <c r="B376" t="s">
        <v>349</v>
      </c>
      <c r="D376" s="424" t="e">
        <v>#REF!</v>
      </c>
      <c r="E376" s="438">
        <f t="shared" si="10"/>
        <v>2.5250604908399584E-2</v>
      </c>
      <c r="F376" s="424" t="e">
        <f t="shared" si="11"/>
        <v>#REF!</v>
      </c>
    </row>
    <row r="377" spans="1:6">
      <c r="A377">
        <v>7335</v>
      </c>
      <c r="B377" t="s">
        <v>350</v>
      </c>
      <c r="D377" s="424" t="e">
        <v>#REF!</v>
      </c>
      <c r="E377" s="438">
        <f t="shared" si="10"/>
        <v>2.5250604908399584E-2</v>
      </c>
      <c r="F377" s="424" t="e">
        <f t="shared" si="11"/>
        <v>#REF!</v>
      </c>
    </row>
    <row r="378" spans="1:6">
      <c r="A378">
        <v>7340</v>
      </c>
      <c r="B378" t="s">
        <v>351</v>
      </c>
      <c r="D378" s="424" t="e">
        <v>#REF!</v>
      </c>
      <c r="E378" s="438">
        <f t="shared" si="10"/>
        <v>2.5250604908399584E-2</v>
      </c>
      <c r="F378" s="424" t="e">
        <f t="shared" si="11"/>
        <v>#REF!</v>
      </c>
    </row>
    <row r="379" spans="1:6">
      <c r="A379">
        <v>7345</v>
      </c>
      <c r="B379" t="s">
        <v>352</v>
      </c>
      <c r="D379" s="424" t="e">
        <v>#REF!</v>
      </c>
      <c r="E379" s="438">
        <f t="shared" si="10"/>
        <v>2.5250604908399584E-2</v>
      </c>
      <c r="F379" s="424" t="e">
        <f t="shared" si="11"/>
        <v>#REF!</v>
      </c>
    </row>
    <row r="380" spans="1:6">
      <c r="A380">
        <v>7350</v>
      </c>
      <c r="B380" t="s">
        <v>353</v>
      </c>
      <c r="D380" s="424" t="e">
        <v>#REF!</v>
      </c>
      <c r="E380" s="438">
        <f t="shared" si="10"/>
        <v>2.5250604908399584E-2</v>
      </c>
      <c r="F380" s="424" t="e">
        <f t="shared" si="11"/>
        <v>#REF!</v>
      </c>
    </row>
    <row r="381" spans="1:6">
      <c r="A381">
        <v>7355</v>
      </c>
      <c r="B381" t="s">
        <v>354</v>
      </c>
      <c r="D381" s="424" t="e">
        <v>#REF!</v>
      </c>
      <c r="E381" s="438">
        <f t="shared" si="10"/>
        <v>2.5250604908399584E-2</v>
      </c>
      <c r="F381" s="424" t="e">
        <f t="shared" si="11"/>
        <v>#REF!</v>
      </c>
    </row>
    <row r="382" spans="1:6">
      <c r="A382">
        <v>7360</v>
      </c>
      <c r="B382" t="s">
        <v>355</v>
      </c>
      <c r="D382" s="424" t="e">
        <v>#REF!</v>
      </c>
      <c r="E382" s="438">
        <f t="shared" si="10"/>
        <v>2.5250604908399584E-2</v>
      </c>
      <c r="F382" s="424" t="e">
        <f t="shared" si="11"/>
        <v>#REF!</v>
      </c>
    </row>
    <row r="383" spans="1:6">
      <c r="A383">
        <v>7365</v>
      </c>
      <c r="B383" t="s">
        <v>356</v>
      </c>
      <c r="D383" s="424" t="e">
        <v>#REF!</v>
      </c>
      <c r="E383" s="438">
        <f t="shared" si="10"/>
        <v>2.5250604908399584E-2</v>
      </c>
      <c r="F383" s="424" t="e">
        <f t="shared" si="11"/>
        <v>#REF!</v>
      </c>
    </row>
    <row r="384" spans="1:6">
      <c r="A384">
        <v>7370</v>
      </c>
      <c r="B384" t="s">
        <v>357</v>
      </c>
      <c r="D384" s="424" t="e">
        <v>#REF!</v>
      </c>
      <c r="E384" s="438">
        <f t="shared" si="10"/>
        <v>2.5250604908399584E-2</v>
      </c>
      <c r="F384" s="424" t="e">
        <f t="shared" si="11"/>
        <v>#REF!</v>
      </c>
    </row>
    <row r="385" spans="1:6">
      <c r="A385">
        <v>7375</v>
      </c>
      <c r="B385" t="s">
        <v>358</v>
      </c>
      <c r="D385" s="424" t="e">
        <v>#REF!</v>
      </c>
      <c r="E385" s="438">
        <f t="shared" si="10"/>
        <v>2.5250604908399584E-2</v>
      </c>
      <c r="F385" s="424" t="e">
        <f t="shared" si="11"/>
        <v>#REF!</v>
      </c>
    </row>
    <row r="386" spans="1:6">
      <c r="A386">
        <v>7380</v>
      </c>
      <c r="B386" t="s">
        <v>359</v>
      </c>
      <c r="D386" s="424" t="e">
        <v>#REF!</v>
      </c>
      <c r="E386" s="438">
        <f t="shared" si="10"/>
        <v>2.5250604908399584E-2</v>
      </c>
      <c r="F386" s="424" t="e">
        <f t="shared" si="11"/>
        <v>#REF!</v>
      </c>
    </row>
    <row r="387" spans="1:6">
      <c r="A387">
        <v>7385</v>
      </c>
      <c r="B387" t="s">
        <v>891</v>
      </c>
      <c r="D387" s="424" t="e">
        <v>#REF!</v>
      </c>
      <c r="E387" s="438">
        <f t="shared" si="10"/>
        <v>2.5250604908399584E-2</v>
      </c>
      <c r="F387" s="424" t="e">
        <f t="shared" si="11"/>
        <v>#REF!</v>
      </c>
    </row>
    <row r="388" spans="1:6">
      <c r="A388">
        <v>7390</v>
      </c>
      <c r="B388" t="s">
        <v>892</v>
      </c>
      <c r="D388" s="424" t="e">
        <v>#REF!</v>
      </c>
      <c r="E388" s="438">
        <f t="shared" si="10"/>
        <v>2.5250604908399584E-2</v>
      </c>
      <c r="F388" s="424" t="e">
        <f t="shared" si="11"/>
        <v>#REF!</v>
      </c>
    </row>
    <row r="389" spans="1:6">
      <c r="A389">
        <v>7395</v>
      </c>
      <c r="B389" t="s">
        <v>893</v>
      </c>
      <c r="D389" s="424" t="e">
        <v>#REF!</v>
      </c>
      <c r="E389" s="438">
        <f t="shared" si="10"/>
        <v>2.5250604908399584E-2</v>
      </c>
      <c r="F389" s="424" t="e">
        <f t="shared" si="11"/>
        <v>#REF!</v>
      </c>
    </row>
    <row r="390" spans="1:6">
      <c r="A390">
        <v>7400</v>
      </c>
      <c r="B390" t="s">
        <v>894</v>
      </c>
      <c r="D390" s="424" t="e">
        <v>#REF!</v>
      </c>
      <c r="E390" s="438">
        <f t="shared" ref="E390:E453" si="12">E$3</f>
        <v>2.5250604908399584E-2</v>
      </c>
      <c r="F390" s="424" t="e">
        <f t="shared" ref="F390:F453" si="13">E390*D390</f>
        <v>#REF!</v>
      </c>
    </row>
    <row r="391" spans="1:6">
      <c r="A391">
        <v>7405</v>
      </c>
      <c r="B391" t="s">
        <v>360</v>
      </c>
      <c r="D391" s="424" t="e">
        <v>#REF!</v>
      </c>
      <c r="E391" s="438">
        <f t="shared" si="12"/>
        <v>2.5250604908399584E-2</v>
      </c>
      <c r="F391" s="424" t="e">
        <f t="shared" si="13"/>
        <v>#REF!</v>
      </c>
    </row>
    <row r="392" spans="1:6">
      <c r="A392">
        <v>7410</v>
      </c>
      <c r="B392" t="s">
        <v>896</v>
      </c>
      <c r="D392" s="424" t="e">
        <v>#REF!</v>
      </c>
      <c r="E392" s="438">
        <f t="shared" si="12"/>
        <v>2.5250604908399584E-2</v>
      </c>
      <c r="F392" s="424" t="e">
        <f t="shared" si="13"/>
        <v>#REF!</v>
      </c>
    </row>
    <row r="393" spans="1:6">
      <c r="A393">
        <v>7415</v>
      </c>
      <c r="B393" t="s">
        <v>897</v>
      </c>
      <c r="D393" s="424" t="e">
        <v>#REF!</v>
      </c>
      <c r="E393" s="438">
        <f t="shared" si="12"/>
        <v>2.5250604908399584E-2</v>
      </c>
      <c r="F393" s="424" t="e">
        <f t="shared" si="13"/>
        <v>#REF!</v>
      </c>
    </row>
    <row r="394" spans="1:6">
      <c r="A394">
        <v>7420</v>
      </c>
      <c r="B394" t="s">
        <v>361</v>
      </c>
      <c r="D394" s="424" t="e">
        <v>#REF!</v>
      </c>
      <c r="E394" s="438">
        <f t="shared" si="12"/>
        <v>2.5250604908399584E-2</v>
      </c>
      <c r="F394" s="424" t="e">
        <f t="shared" si="13"/>
        <v>#REF!</v>
      </c>
    </row>
    <row r="395" spans="1:6">
      <c r="A395">
        <v>7425</v>
      </c>
      <c r="B395" t="s">
        <v>362</v>
      </c>
      <c r="D395" s="424" t="e">
        <v>#REF!</v>
      </c>
      <c r="E395" s="438">
        <f t="shared" si="12"/>
        <v>2.5250604908399584E-2</v>
      </c>
      <c r="F395" s="424" t="e">
        <f t="shared" si="13"/>
        <v>#REF!</v>
      </c>
    </row>
    <row r="396" spans="1:6">
      <c r="A396">
        <v>7430</v>
      </c>
      <c r="B396" t="s">
        <v>363</v>
      </c>
      <c r="D396" s="424" t="e">
        <v>#REF!</v>
      </c>
      <c r="E396" s="438">
        <f t="shared" si="12"/>
        <v>2.5250604908399584E-2</v>
      </c>
      <c r="F396" s="424" t="e">
        <f t="shared" si="13"/>
        <v>#REF!</v>
      </c>
    </row>
    <row r="397" spans="1:6">
      <c r="A397">
        <v>7435</v>
      </c>
      <c r="B397" t="s">
        <v>364</v>
      </c>
      <c r="D397" s="424" t="e">
        <v>#REF!</v>
      </c>
      <c r="E397" s="438">
        <f t="shared" si="12"/>
        <v>2.5250604908399584E-2</v>
      </c>
      <c r="F397" s="424" t="e">
        <f t="shared" si="13"/>
        <v>#REF!</v>
      </c>
    </row>
    <row r="398" spans="1:6">
      <c r="A398">
        <v>7440</v>
      </c>
      <c r="B398" t="s">
        <v>365</v>
      </c>
      <c r="D398" s="424" t="e">
        <v>#REF!</v>
      </c>
      <c r="E398" s="438">
        <f t="shared" si="12"/>
        <v>2.5250604908399584E-2</v>
      </c>
      <c r="F398" s="424" t="e">
        <f t="shared" si="13"/>
        <v>#REF!</v>
      </c>
    </row>
    <row r="399" spans="1:6">
      <c r="A399">
        <v>7445</v>
      </c>
      <c r="B399" t="s">
        <v>366</v>
      </c>
      <c r="D399" s="424" t="e">
        <v>#REF!</v>
      </c>
      <c r="E399" s="438">
        <f t="shared" si="12"/>
        <v>2.5250604908399584E-2</v>
      </c>
      <c r="F399" s="424" t="e">
        <f t="shared" si="13"/>
        <v>#REF!</v>
      </c>
    </row>
    <row r="400" spans="1:6">
      <c r="A400">
        <v>7450</v>
      </c>
      <c r="B400" t="s">
        <v>367</v>
      </c>
      <c r="D400" s="424" t="e">
        <v>#REF!</v>
      </c>
      <c r="E400" s="438">
        <f t="shared" si="12"/>
        <v>2.5250604908399584E-2</v>
      </c>
      <c r="F400" s="424" t="e">
        <f t="shared" si="13"/>
        <v>#REF!</v>
      </c>
    </row>
    <row r="401" spans="1:6">
      <c r="B401" t="s">
        <v>197</v>
      </c>
      <c r="D401" s="424" t="e">
        <v>#REF!</v>
      </c>
      <c r="E401" s="438">
        <f t="shared" si="12"/>
        <v>2.5250604908399584E-2</v>
      </c>
      <c r="F401" s="424" t="e">
        <f t="shared" si="13"/>
        <v>#REF!</v>
      </c>
    </row>
    <row r="402" spans="1:6">
      <c r="B402" t="s">
        <v>198</v>
      </c>
      <c r="D402" s="424" t="e">
        <v>#REF!</v>
      </c>
      <c r="E402" s="438">
        <f t="shared" si="12"/>
        <v>2.5250604908399584E-2</v>
      </c>
      <c r="F402" s="424" t="e">
        <f t="shared" si="13"/>
        <v>#REF!</v>
      </c>
    </row>
    <row r="403" spans="1:6">
      <c r="A403">
        <v>7470</v>
      </c>
      <c r="B403" t="s">
        <v>368</v>
      </c>
      <c r="D403" s="424" t="e">
        <v>#REF!</v>
      </c>
      <c r="E403" s="438">
        <f t="shared" si="12"/>
        <v>2.5250604908399584E-2</v>
      </c>
      <c r="F403" s="424" t="e">
        <f t="shared" si="13"/>
        <v>#REF!</v>
      </c>
    </row>
    <row r="404" spans="1:6">
      <c r="A404">
        <v>7475</v>
      </c>
      <c r="B404" t="s">
        <v>369</v>
      </c>
      <c r="D404" s="424" t="e">
        <v>#REF!</v>
      </c>
      <c r="E404" s="438">
        <f t="shared" si="12"/>
        <v>2.5250604908399584E-2</v>
      </c>
      <c r="F404" s="424" t="e">
        <f t="shared" si="13"/>
        <v>#REF!</v>
      </c>
    </row>
    <row r="405" spans="1:6">
      <c r="A405">
        <v>7480</v>
      </c>
      <c r="B405" t="s">
        <v>370</v>
      </c>
      <c r="D405" s="424" t="e">
        <v>#REF!</v>
      </c>
      <c r="E405" s="438">
        <f t="shared" si="12"/>
        <v>2.5250604908399584E-2</v>
      </c>
      <c r="F405" s="424" t="e">
        <f t="shared" si="13"/>
        <v>#REF!</v>
      </c>
    </row>
    <row r="406" spans="1:6">
      <c r="A406">
        <v>7485</v>
      </c>
      <c r="B406" t="s">
        <v>371</v>
      </c>
      <c r="D406" s="424" t="e">
        <v>#REF!</v>
      </c>
      <c r="E406" s="438">
        <f t="shared" si="12"/>
        <v>2.5250604908399584E-2</v>
      </c>
      <c r="F406" s="424" t="e">
        <f t="shared" si="13"/>
        <v>#REF!</v>
      </c>
    </row>
    <row r="407" spans="1:6">
      <c r="B407" t="s">
        <v>198</v>
      </c>
      <c r="D407" s="424" t="e">
        <v>#REF!</v>
      </c>
      <c r="E407" s="438">
        <f t="shared" si="12"/>
        <v>2.5250604908399584E-2</v>
      </c>
      <c r="F407" s="424" t="e">
        <f t="shared" si="13"/>
        <v>#REF!</v>
      </c>
    </row>
    <row r="408" spans="1:6">
      <c r="A408">
        <v>7495</v>
      </c>
      <c r="B408" t="s">
        <v>372</v>
      </c>
      <c r="D408" s="424" t="e">
        <v>#REF!</v>
      </c>
      <c r="E408" s="438">
        <f t="shared" si="12"/>
        <v>2.5250604908399584E-2</v>
      </c>
      <c r="F408" s="424" t="e">
        <f t="shared" si="13"/>
        <v>#REF!</v>
      </c>
    </row>
    <row r="409" spans="1:6">
      <c r="B409" t="s">
        <v>190</v>
      </c>
      <c r="C409" s="425">
        <v>971144.25</v>
      </c>
      <c r="D409" s="424">
        <v>451075.69</v>
      </c>
      <c r="E409" s="438">
        <f t="shared" si="12"/>
        <v>2.5250604908399584E-2</v>
      </c>
      <c r="F409" s="424">
        <f t="shared" si="13"/>
        <v>11389.934031973729</v>
      </c>
    </row>
    <row r="410" spans="1:6">
      <c r="B410" t="s">
        <v>199</v>
      </c>
      <c r="D410" s="424" t="e">
        <v>#REF!</v>
      </c>
      <c r="E410" s="438">
        <f t="shared" si="12"/>
        <v>2.5250604908399584E-2</v>
      </c>
      <c r="F410" s="424" t="e">
        <f t="shared" si="13"/>
        <v>#REF!</v>
      </c>
    </row>
    <row r="411" spans="1:6">
      <c r="B411" t="s">
        <v>200</v>
      </c>
      <c r="D411" s="424" t="e">
        <v>#REF!</v>
      </c>
      <c r="E411" s="438">
        <f t="shared" si="12"/>
        <v>2.5250604908399584E-2</v>
      </c>
      <c r="F411" s="424" t="e">
        <f t="shared" si="13"/>
        <v>#REF!</v>
      </c>
    </row>
    <row r="412" spans="1:6">
      <c r="A412">
        <v>7510</v>
      </c>
      <c r="B412" t="s">
        <v>373</v>
      </c>
      <c r="C412" s="425">
        <v>175717.55</v>
      </c>
      <c r="D412" s="424">
        <v>67215.909999999989</v>
      </c>
      <c r="E412" s="438">
        <f t="shared" si="12"/>
        <v>2.5250604908399584E-2</v>
      </c>
      <c r="F412" s="424">
        <f t="shared" si="13"/>
        <v>1697.2423869685445</v>
      </c>
    </row>
    <row r="413" spans="1:6">
      <c r="A413">
        <v>7515</v>
      </c>
      <c r="B413" t="s">
        <v>374</v>
      </c>
      <c r="C413" s="425">
        <v>3985.06</v>
      </c>
      <c r="D413" s="424">
        <v>311.21000000000004</v>
      </c>
      <c r="E413" s="438">
        <f t="shared" si="12"/>
        <v>2.5250604908399584E-2</v>
      </c>
      <c r="F413" s="424">
        <f t="shared" si="13"/>
        <v>7.8582407535430354</v>
      </c>
    </row>
    <row r="414" spans="1:6">
      <c r="A414">
        <v>7520</v>
      </c>
      <c r="B414" t="s">
        <v>375</v>
      </c>
      <c r="C414" s="425">
        <v>24100.03</v>
      </c>
      <c r="D414" s="424">
        <v>3332.6699999999983</v>
      </c>
      <c r="E414" s="438">
        <f t="shared" si="12"/>
        <v>2.5250604908399584E-2</v>
      </c>
      <c r="F414" s="424">
        <f t="shared" si="13"/>
        <v>84.151933460075995</v>
      </c>
    </row>
    <row r="415" spans="1:6">
      <c r="B415" t="s">
        <v>200</v>
      </c>
      <c r="C415" s="425">
        <v>203802.64</v>
      </c>
      <c r="D415" s="424">
        <v>70859.790000000008</v>
      </c>
      <c r="E415" s="438">
        <f t="shared" si="12"/>
        <v>2.5250604908399584E-2</v>
      </c>
      <c r="F415" s="424">
        <f t="shared" si="13"/>
        <v>1789.2525611821641</v>
      </c>
    </row>
    <row r="416" spans="1:6">
      <c r="B416" t="s">
        <v>201</v>
      </c>
      <c r="D416" s="424" t="e">
        <v>#REF!</v>
      </c>
      <c r="E416" s="438">
        <f t="shared" si="12"/>
        <v>2.5250604908399584E-2</v>
      </c>
      <c r="F416" s="424" t="e">
        <f t="shared" si="13"/>
        <v>#REF!</v>
      </c>
    </row>
    <row r="417" spans="1:6">
      <c r="A417">
        <v>7535</v>
      </c>
      <c r="B417" t="s">
        <v>376</v>
      </c>
      <c r="C417" s="425">
        <v>60</v>
      </c>
      <c r="D417" s="424">
        <v>0</v>
      </c>
      <c r="E417" s="438">
        <f t="shared" si="12"/>
        <v>2.5250604908399584E-2</v>
      </c>
      <c r="F417" s="424">
        <f t="shared" si="13"/>
        <v>0</v>
      </c>
    </row>
    <row r="418" spans="1:6">
      <c r="A418">
        <v>7540</v>
      </c>
      <c r="B418" t="s">
        <v>377</v>
      </c>
      <c r="D418" s="424" t="e">
        <v>#REF!</v>
      </c>
      <c r="E418" s="438">
        <f t="shared" si="12"/>
        <v>2.5250604908399584E-2</v>
      </c>
      <c r="F418" s="424" t="e">
        <f t="shared" si="13"/>
        <v>#REF!</v>
      </c>
    </row>
    <row r="419" spans="1:6">
      <c r="A419">
        <v>7545</v>
      </c>
      <c r="B419" t="s">
        <v>378</v>
      </c>
      <c r="D419" s="424" t="e">
        <v>#REF!</v>
      </c>
      <c r="E419" s="438">
        <f t="shared" si="12"/>
        <v>2.5250604908399584E-2</v>
      </c>
      <c r="F419" s="424" t="e">
        <f t="shared" si="13"/>
        <v>#REF!</v>
      </c>
    </row>
    <row r="420" spans="1:6">
      <c r="A420">
        <v>7550</v>
      </c>
      <c r="B420" t="s">
        <v>379</v>
      </c>
      <c r="C420" s="425">
        <v>1702.71</v>
      </c>
      <c r="D420" s="424">
        <v>17837</v>
      </c>
      <c r="E420" s="438">
        <f t="shared" si="12"/>
        <v>2.5250604908399584E-2</v>
      </c>
      <c r="F420" s="424">
        <f t="shared" si="13"/>
        <v>450.39503975112336</v>
      </c>
    </row>
    <row r="421" spans="1:6">
      <c r="A421">
        <v>7555</v>
      </c>
      <c r="B421" t="s">
        <v>380</v>
      </c>
      <c r="C421" s="425">
        <v>33911.29</v>
      </c>
      <c r="D421" s="424">
        <v>0</v>
      </c>
      <c r="E421" s="438">
        <f t="shared" si="12"/>
        <v>2.5250604908399584E-2</v>
      </c>
      <c r="F421" s="424">
        <f t="shared" si="13"/>
        <v>0</v>
      </c>
    </row>
    <row r="422" spans="1:6">
      <c r="A422">
        <v>7560</v>
      </c>
      <c r="B422" t="s">
        <v>381</v>
      </c>
      <c r="D422" s="424" t="e">
        <v>#REF!</v>
      </c>
      <c r="E422" s="438">
        <f t="shared" si="12"/>
        <v>2.5250604908399584E-2</v>
      </c>
      <c r="F422" s="424" t="e">
        <f t="shared" si="13"/>
        <v>#REF!</v>
      </c>
    </row>
    <row r="423" spans="1:6">
      <c r="A423">
        <v>7565</v>
      </c>
      <c r="B423" t="s">
        <v>382</v>
      </c>
      <c r="D423" s="424" t="e">
        <v>#REF!</v>
      </c>
      <c r="E423" s="438">
        <f t="shared" si="12"/>
        <v>2.5250604908399584E-2</v>
      </c>
      <c r="F423" s="424" t="e">
        <f t="shared" si="13"/>
        <v>#REF!</v>
      </c>
    </row>
    <row r="424" spans="1:6">
      <c r="A424">
        <v>7570</v>
      </c>
      <c r="B424" t="s">
        <v>383</v>
      </c>
      <c r="D424" s="424" t="e">
        <v>#REF!</v>
      </c>
      <c r="E424" s="438">
        <f t="shared" si="12"/>
        <v>2.5250604908399584E-2</v>
      </c>
      <c r="F424" s="424" t="e">
        <f t="shared" si="13"/>
        <v>#REF!</v>
      </c>
    </row>
    <row r="425" spans="1:6">
      <c r="B425" t="s">
        <v>201</v>
      </c>
      <c r="C425" s="425">
        <v>35674</v>
      </c>
      <c r="D425" s="424">
        <v>17837</v>
      </c>
      <c r="E425" s="438">
        <f t="shared" si="12"/>
        <v>2.5250604908399584E-2</v>
      </c>
      <c r="F425" s="424">
        <f t="shared" si="13"/>
        <v>450.39503975112336</v>
      </c>
    </row>
    <row r="426" spans="1:6">
      <c r="B426" t="s">
        <v>199</v>
      </c>
      <c r="C426" s="425">
        <v>239476.64</v>
      </c>
      <c r="D426" s="424">
        <v>88696.790000000008</v>
      </c>
      <c r="E426" s="438">
        <f t="shared" si="12"/>
        <v>2.5250604908399584E-2</v>
      </c>
      <c r="F426" s="424">
        <f t="shared" si="13"/>
        <v>2239.6476009332873</v>
      </c>
    </row>
    <row r="427" spans="1:6">
      <c r="B427" t="s">
        <v>202</v>
      </c>
      <c r="D427" s="424" t="e">
        <v>#REF!</v>
      </c>
      <c r="E427" s="438">
        <f t="shared" si="12"/>
        <v>2.5250604908399584E-2</v>
      </c>
      <c r="F427" s="424" t="e">
        <f t="shared" si="13"/>
        <v>#REF!</v>
      </c>
    </row>
    <row r="428" spans="1:6">
      <c r="A428">
        <v>7585</v>
      </c>
      <c r="B428" t="s">
        <v>384</v>
      </c>
      <c r="D428" s="424" t="e">
        <v>#REF!</v>
      </c>
      <c r="E428" s="438">
        <f t="shared" si="12"/>
        <v>2.5250604908399584E-2</v>
      </c>
      <c r="F428" s="424" t="e">
        <f t="shared" si="13"/>
        <v>#REF!</v>
      </c>
    </row>
    <row r="429" spans="1:6">
      <c r="A429">
        <v>7590</v>
      </c>
      <c r="B429" t="s">
        <v>385</v>
      </c>
      <c r="D429" s="424" t="e">
        <v>#REF!</v>
      </c>
      <c r="E429" s="438">
        <f t="shared" si="12"/>
        <v>2.5250604908399584E-2</v>
      </c>
      <c r="F429" s="424" t="e">
        <f t="shared" si="13"/>
        <v>#REF!</v>
      </c>
    </row>
    <row r="430" spans="1:6">
      <c r="A430">
        <v>7595</v>
      </c>
      <c r="B430" t="s">
        <v>386</v>
      </c>
      <c r="D430" s="424" t="e">
        <v>#REF!</v>
      </c>
      <c r="E430" s="438">
        <f t="shared" si="12"/>
        <v>2.5250604908399584E-2</v>
      </c>
      <c r="F430" s="424" t="e">
        <f t="shared" si="13"/>
        <v>#REF!</v>
      </c>
    </row>
    <row r="431" spans="1:6">
      <c r="A431">
        <v>7600</v>
      </c>
      <c r="B431" t="s">
        <v>387</v>
      </c>
      <c r="D431" s="424" t="e">
        <v>#REF!</v>
      </c>
      <c r="E431" s="438">
        <f t="shared" si="12"/>
        <v>2.5250604908399584E-2</v>
      </c>
      <c r="F431" s="424" t="e">
        <f t="shared" si="13"/>
        <v>#REF!</v>
      </c>
    </row>
    <row r="432" spans="1:6">
      <c r="A432">
        <v>7605</v>
      </c>
      <c r="B432" t="s">
        <v>388</v>
      </c>
      <c r="D432" s="424" t="e">
        <v>#REF!</v>
      </c>
      <c r="E432" s="438">
        <f t="shared" si="12"/>
        <v>2.5250604908399584E-2</v>
      </c>
      <c r="F432" s="424" t="e">
        <f t="shared" si="13"/>
        <v>#REF!</v>
      </c>
    </row>
    <row r="433" spans="1:6">
      <c r="A433">
        <v>7610</v>
      </c>
      <c r="B433" t="s">
        <v>389</v>
      </c>
      <c r="D433" s="424" t="e">
        <v>#REF!</v>
      </c>
      <c r="E433" s="438">
        <f t="shared" si="12"/>
        <v>2.5250604908399584E-2</v>
      </c>
      <c r="F433" s="424" t="e">
        <f t="shared" si="13"/>
        <v>#REF!</v>
      </c>
    </row>
    <row r="434" spans="1:6">
      <c r="B434" t="s">
        <v>202</v>
      </c>
      <c r="D434" s="424" t="e">
        <v>#REF!</v>
      </c>
      <c r="E434" s="438">
        <f t="shared" si="12"/>
        <v>2.5250604908399584E-2</v>
      </c>
      <c r="F434" s="424" t="e">
        <f t="shared" si="13"/>
        <v>#REF!</v>
      </c>
    </row>
    <row r="435" spans="1:6">
      <c r="B435" t="s">
        <v>165</v>
      </c>
      <c r="C435" s="425">
        <v>10376473.34</v>
      </c>
      <c r="D435" s="424">
        <v>4764116.3499999996</v>
      </c>
      <c r="E435" s="438">
        <f t="shared" si="12"/>
        <v>2.5250604908399584E-2</v>
      </c>
      <c r="F435" s="424">
        <f t="shared" si="13"/>
        <v>120296.8196914967</v>
      </c>
    </row>
    <row r="436" spans="1:6">
      <c r="B436" t="s">
        <v>164</v>
      </c>
      <c r="C436" s="425">
        <v>10376473.34</v>
      </c>
      <c r="D436" s="424">
        <v>4764116.3499999996</v>
      </c>
      <c r="E436" s="438">
        <f t="shared" si="12"/>
        <v>2.5250604908399584E-2</v>
      </c>
      <c r="F436" s="424">
        <f t="shared" si="13"/>
        <v>120296.8196914967</v>
      </c>
    </row>
    <row r="437" spans="1:6">
      <c r="B437" t="s">
        <v>203</v>
      </c>
      <c r="D437" s="424" t="e">
        <v>#REF!</v>
      </c>
      <c r="E437" s="438">
        <f t="shared" si="12"/>
        <v>2.5250604908399584E-2</v>
      </c>
      <c r="F437" s="424" t="e">
        <f t="shared" si="13"/>
        <v>#REF!</v>
      </c>
    </row>
    <row r="438" spans="1:6">
      <c r="B438" t="s">
        <v>204</v>
      </c>
      <c r="D438" s="424" t="e">
        <v>#REF!</v>
      </c>
      <c r="E438" s="438">
        <f t="shared" si="12"/>
        <v>2.5250604908399584E-2</v>
      </c>
      <c r="F438" s="424" t="e">
        <f t="shared" si="13"/>
        <v>#REF!</v>
      </c>
    </row>
    <row r="439" spans="1:6">
      <c r="B439" t="s">
        <v>205</v>
      </c>
      <c r="D439" s="424" t="e">
        <v>#REF!</v>
      </c>
      <c r="E439" s="438">
        <f t="shared" si="12"/>
        <v>2.5250604908399584E-2</v>
      </c>
      <c r="F439" s="424" t="e">
        <f t="shared" si="13"/>
        <v>#REF!</v>
      </c>
    </row>
    <row r="440" spans="1:6">
      <c r="A440">
        <v>7635</v>
      </c>
      <c r="B440" t="s">
        <v>390</v>
      </c>
      <c r="D440" s="424" t="e">
        <v>#REF!</v>
      </c>
      <c r="E440" s="438">
        <f t="shared" si="12"/>
        <v>2.5250604908399584E-2</v>
      </c>
      <c r="F440" s="424" t="e">
        <f t="shared" si="13"/>
        <v>#REF!</v>
      </c>
    </row>
    <row r="441" spans="1:6">
      <c r="A441">
        <v>7640</v>
      </c>
      <c r="B441" t="s">
        <v>391</v>
      </c>
      <c r="D441" s="424" t="e">
        <v>#REF!</v>
      </c>
      <c r="E441" s="438">
        <f t="shared" si="12"/>
        <v>2.5250604908399584E-2</v>
      </c>
      <c r="F441" s="424" t="e">
        <f t="shared" si="13"/>
        <v>#REF!</v>
      </c>
    </row>
    <row r="442" spans="1:6">
      <c r="A442">
        <v>7645</v>
      </c>
      <c r="B442" t="s">
        <v>472</v>
      </c>
      <c r="D442" s="424" t="e">
        <v>#REF!</v>
      </c>
      <c r="E442" s="438">
        <f t="shared" si="12"/>
        <v>2.5250604908399584E-2</v>
      </c>
      <c r="F442" s="424" t="e">
        <f t="shared" si="13"/>
        <v>#REF!</v>
      </c>
    </row>
    <row r="443" spans="1:6">
      <c r="B443" t="s">
        <v>206</v>
      </c>
      <c r="D443" s="424" t="e">
        <v>#REF!</v>
      </c>
      <c r="E443" s="438">
        <f t="shared" si="12"/>
        <v>2.5250604908399584E-2</v>
      </c>
      <c r="F443" s="424" t="e">
        <f t="shared" si="13"/>
        <v>#REF!</v>
      </c>
    </row>
    <row r="444" spans="1:6">
      <c r="A444">
        <v>7655</v>
      </c>
      <c r="B444" t="s">
        <v>473</v>
      </c>
      <c r="D444" s="424" t="e">
        <v>#REF!</v>
      </c>
      <c r="E444" s="438">
        <f t="shared" si="12"/>
        <v>2.5250604908399584E-2</v>
      </c>
      <c r="F444" s="424" t="e">
        <f t="shared" si="13"/>
        <v>#REF!</v>
      </c>
    </row>
    <row r="445" spans="1:6">
      <c r="A445">
        <v>7660</v>
      </c>
      <c r="B445" t="s">
        <v>474</v>
      </c>
      <c r="D445" s="424" t="e">
        <v>#REF!</v>
      </c>
      <c r="E445" s="438">
        <f t="shared" si="12"/>
        <v>2.5250604908399584E-2</v>
      </c>
      <c r="F445" s="424" t="e">
        <f t="shared" si="13"/>
        <v>#REF!</v>
      </c>
    </row>
    <row r="446" spans="1:6">
      <c r="A446">
        <v>7665</v>
      </c>
      <c r="B446" t="s">
        <v>475</v>
      </c>
      <c r="D446" s="424" t="e">
        <v>#REF!</v>
      </c>
      <c r="E446" s="438">
        <f t="shared" si="12"/>
        <v>2.5250604908399584E-2</v>
      </c>
      <c r="F446" s="424" t="e">
        <f t="shared" si="13"/>
        <v>#REF!</v>
      </c>
    </row>
    <row r="447" spans="1:6">
      <c r="A447">
        <v>7670</v>
      </c>
      <c r="B447" t="s">
        <v>476</v>
      </c>
      <c r="D447" s="424" t="e">
        <v>#REF!</v>
      </c>
      <c r="E447" s="438">
        <f t="shared" si="12"/>
        <v>2.5250604908399584E-2</v>
      </c>
      <c r="F447" s="424" t="e">
        <f t="shared" si="13"/>
        <v>#REF!</v>
      </c>
    </row>
    <row r="448" spans="1:6">
      <c r="B448" t="s">
        <v>206</v>
      </c>
      <c r="D448" s="424" t="e">
        <v>#REF!</v>
      </c>
      <c r="E448" s="438">
        <f t="shared" si="12"/>
        <v>2.5250604908399584E-2</v>
      </c>
      <c r="F448" s="424" t="e">
        <f t="shared" si="13"/>
        <v>#REF!</v>
      </c>
    </row>
    <row r="449" spans="1:6">
      <c r="B449" t="s">
        <v>207</v>
      </c>
      <c r="D449" s="424" t="e">
        <v>#REF!</v>
      </c>
      <c r="E449" s="438">
        <f t="shared" si="12"/>
        <v>2.5250604908399584E-2</v>
      </c>
      <c r="F449" s="424" t="e">
        <f t="shared" si="13"/>
        <v>#REF!</v>
      </c>
    </row>
    <row r="450" spans="1:6">
      <c r="A450">
        <v>7680</v>
      </c>
      <c r="B450" t="s">
        <v>477</v>
      </c>
      <c r="D450" s="424" t="e">
        <v>#REF!</v>
      </c>
      <c r="E450" s="438">
        <f t="shared" si="12"/>
        <v>2.5250604908399584E-2</v>
      </c>
      <c r="F450" s="424" t="e">
        <f t="shared" si="13"/>
        <v>#REF!</v>
      </c>
    </row>
    <row r="451" spans="1:6">
      <c r="A451">
        <v>7685</v>
      </c>
      <c r="B451" t="s">
        <v>478</v>
      </c>
      <c r="D451" s="424" t="e">
        <v>#REF!</v>
      </c>
      <c r="E451" s="438">
        <f t="shared" si="12"/>
        <v>2.5250604908399584E-2</v>
      </c>
      <c r="F451" s="424" t="e">
        <f t="shared" si="13"/>
        <v>#REF!</v>
      </c>
    </row>
    <row r="452" spans="1:6">
      <c r="A452">
        <v>7690</v>
      </c>
      <c r="B452" t="s">
        <v>479</v>
      </c>
      <c r="D452" s="424" t="e">
        <v>#REF!</v>
      </c>
      <c r="E452" s="438">
        <f t="shared" si="12"/>
        <v>2.5250604908399584E-2</v>
      </c>
      <c r="F452" s="424" t="e">
        <f t="shared" si="13"/>
        <v>#REF!</v>
      </c>
    </row>
    <row r="453" spans="1:6">
      <c r="A453">
        <v>7691</v>
      </c>
      <c r="B453" t="s">
        <v>480</v>
      </c>
      <c r="D453" s="424" t="e">
        <v>#REF!</v>
      </c>
      <c r="E453" s="438">
        <f t="shared" si="12"/>
        <v>2.5250604908399584E-2</v>
      </c>
      <c r="F453" s="424" t="e">
        <f t="shared" si="13"/>
        <v>#REF!</v>
      </c>
    </row>
    <row r="454" spans="1:6">
      <c r="A454">
        <v>7692</v>
      </c>
      <c r="B454" t="s">
        <v>481</v>
      </c>
      <c r="D454" s="424" t="e">
        <v>#REF!</v>
      </c>
      <c r="E454" s="438">
        <f t="shared" ref="E454:E513" si="14">E$3</f>
        <v>2.5250604908399584E-2</v>
      </c>
      <c r="F454" s="424" t="e">
        <f t="shared" ref="F454:F513" si="15">E454*D454</f>
        <v>#REF!</v>
      </c>
    </row>
    <row r="455" spans="1:6">
      <c r="A455">
        <v>7693</v>
      </c>
      <c r="B455" t="s">
        <v>482</v>
      </c>
      <c r="D455" s="424" t="e">
        <v>#REF!</v>
      </c>
      <c r="E455" s="438">
        <f t="shared" si="14"/>
        <v>2.5250604908399584E-2</v>
      </c>
      <c r="F455" s="424" t="e">
        <f t="shared" si="15"/>
        <v>#REF!</v>
      </c>
    </row>
    <row r="456" spans="1:6">
      <c r="B456" t="s">
        <v>207</v>
      </c>
      <c r="D456" s="424" t="e">
        <v>#REF!</v>
      </c>
      <c r="E456" s="438">
        <f t="shared" si="14"/>
        <v>2.5250604908399584E-2</v>
      </c>
      <c r="F456" s="424" t="e">
        <f t="shared" si="15"/>
        <v>#REF!</v>
      </c>
    </row>
    <row r="457" spans="1:6">
      <c r="B457" t="s">
        <v>205</v>
      </c>
      <c r="D457" s="424" t="e">
        <v>#REF!</v>
      </c>
      <c r="E457" s="438">
        <f t="shared" si="14"/>
        <v>2.5250604908399584E-2</v>
      </c>
      <c r="F457" s="424" t="e">
        <f t="shared" si="15"/>
        <v>#REF!</v>
      </c>
    </row>
    <row r="458" spans="1:6">
      <c r="B458" t="s">
        <v>204</v>
      </c>
      <c r="D458" s="424" t="e">
        <v>#REF!</v>
      </c>
      <c r="E458" s="438">
        <f t="shared" si="14"/>
        <v>2.5250604908399584E-2</v>
      </c>
      <c r="F458" s="424" t="e">
        <f t="shared" si="15"/>
        <v>#REF!</v>
      </c>
    </row>
    <row r="459" spans="1:6">
      <c r="B459" t="s">
        <v>208</v>
      </c>
      <c r="D459" s="424" t="e">
        <v>#REF!</v>
      </c>
      <c r="E459" s="438">
        <f t="shared" si="14"/>
        <v>2.5250604908399584E-2</v>
      </c>
      <c r="F459" s="424" t="e">
        <f t="shared" si="15"/>
        <v>#REF!</v>
      </c>
    </row>
    <row r="460" spans="1:6">
      <c r="B460" t="s">
        <v>209</v>
      </c>
      <c r="D460" s="424" t="e">
        <v>#REF!</v>
      </c>
      <c r="E460" s="438">
        <f t="shared" si="14"/>
        <v>2.5250604908399584E-2</v>
      </c>
      <c r="F460" s="424" t="e">
        <f t="shared" si="15"/>
        <v>#REF!</v>
      </c>
    </row>
    <row r="461" spans="1:6">
      <c r="A461">
        <v>7705</v>
      </c>
      <c r="B461" t="s">
        <v>483</v>
      </c>
      <c r="D461" s="424" t="e">
        <v>#REF!</v>
      </c>
      <c r="E461" s="438">
        <f t="shared" si="14"/>
        <v>2.5250604908399584E-2</v>
      </c>
      <c r="F461" s="424" t="e">
        <f t="shared" si="15"/>
        <v>#REF!</v>
      </c>
    </row>
    <row r="462" spans="1:6">
      <c r="A462">
        <v>7710</v>
      </c>
      <c r="B462" t="s">
        <v>484</v>
      </c>
      <c r="D462" s="424" t="e">
        <v>#REF!</v>
      </c>
      <c r="E462" s="438">
        <f t="shared" si="14"/>
        <v>2.5250604908399584E-2</v>
      </c>
      <c r="F462" s="424" t="e">
        <f t="shared" si="15"/>
        <v>#REF!</v>
      </c>
    </row>
    <row r="463" spans="1:6">
      <c r="B463" t="s">
        <v>210</v>
      </c>
      <c r="D463" s="424" t="e">
        <v>#REF!</v>
      </c>
      <c r="E463" s="438">
        <f t="shared" si="14"/>
        <v>2.5250604908399584E-2</v>
      </c>
      <c r="F463" s="424" t="e">
        <f t="shared" si="15"/>
        <v>#REF!</v>
      </c>
    </row>
    <row r="464" spans="1:6">
      <c r="A464">
        <v>7720</v>
      </c>
      <c r="B464" t="s">
        <v>485</v>
      </c>
      <c r="D464" s="424" t="e">
        <v>#REF!</v>
      </c>
      <c r="E464" s="438">
        <f t="shared" si="14"/>
        <v>2.5250604908399584E-2</v>
      </c>
      <c r="F464" s="424" t="e">
        <f t="shared" si="15"/>
        <v>#REF!</v>
      </c>
    </row>
    <row r="465" spans="1:6">
      <c r="A465">
        <v>7720</v>
      </c>
      <c r="B465" t="s">
        <v>486</v>
      </c>
      <c r="D465" s="424" t="e">
        <v>#REF!</v>
      </c>
      <c r="E465" s="438">
        <f t="shared" si="14"/>
        <v>2.5250604908399584E-2</v>
      </c>
      <c r="F465" s="424" t="e">
        <f t="shared" si="15"/>
        <v>#REF!</v>
      </c>
    </row>
    <row r="466" spans="1:6">
      <c r="A466">
        <v>7720</v>
      </c>
      <c r="B466" t="s">
        <v>487</v>
      </c>
      <c r="D466" s="424" t="e">
        <v>#REF!</v>
      </c>
      <c r="E466" s="438">
        <f t="shared" si="14"/>
        <v>2.5250604908399584E-2</v>
      </c>
      <c r="F466" s="424" t="e">
        <f t="shared" si="15"/>
        <v>#REF!</v>
      </c>
    </row>
    <row r="467" spans="1:6">
      <c r="A467">
        <v>7720</v>
      </c>
      <c r="B467" t="s">
        <v>488</v>
      </c>
      <c r="D467" s="424" t="e">
        <v>#REF!</v>
      </c>
      <c r="E467" s="438">
        <f t="shared" si="14"/>
        <v>2.5250604908399584E-2</v>
      </c>
      <c r="F467" s="424" t="e">
        <f t="shared" si="15"/>
        <v>#REF!</v>
      </c>
    </row>
    <row r="468" spans="1:6">
      <c r="A468">
        <v>7720</v>
      </c>
      <c r="B468" t="s">
        <v>489</v>
      </c>
      <c r="D468" s="424" t="e">
        <v>#REF!</v>
      </c>
      <c r="E468" s="438">
        <f t="shared" si="14"/>
        <v>2.5250604908399584E-2</v>
      </c>
      <c r="F468" s="424" t="e">
        <f t="shared" si="15"/>
        <v>#REF!</v>
      </c>
    </row>
    <row r="469" spans="1:6">
      <c r="A469">
        <v>7720</v>
      </c>
      <c r="B469" t="s">
        <v>490</v>
      </c>
      <c r="D469" s="424" t="e">
        <v>#REF!</v>
      </c>
      <c r="E469" s="438">
        <f t="shared" si="14"/>
        <v>2.5250604908399584E-2</v>
      </c>
      <c r="F469" s="424" t="e">
        <f t="shared" si="15"/>
        <v>#REF!</v>
      </c>
    </row>
    <row r="470" spans="1:6">
      <c r="A470">
        <v>7720</v>
      </c>
      <c r="B470" t="s">
        <v>491</v>
      </c>
      <c r="D470" s="424" t="e">
        <v>#REF!</v>
      </c>
      <c r="E470" s="438">
        <f t="shared" si="14"/>
        <v>2.5250604908399584E-2</v>
      </c>
      <c r="F470" s="424" t="e">
        <f t="shared" si="15"/>
        <v>#REF!</v>
      </c>
    </row>
    <row r="471" spans="1:6">
      <c r="A471">
        <v>7720</v>
      </c>
      <c r="B471" t="s">
        <v>492</v>
      </c>
      <c r="D471" s="424" t="e">
        <v>#REF!</v>
      </c>
      <c r="E471" s="438">
        <f t="shared" si="14"/>
        <v>2.5250604908399584E-2</v>
      </c>
      <c r="F471" s="424" t="e">
        <f t="shared" si="15"/>
        <v>#REF!</v>
      </c>
    </row>
    <row r="472" spans="1:6">
      <c r="A472">
        <v>7720</v>
      </c>
      <c r="B472" t="s">
        <v>493</v>
      </c>
      <c r="D472" s="424" t="e">
        <v>#REF!</v>
      </c>
      <c r="E472" s="438">
        <f t="shared" si="14"/>
        <v>2.5250604908399584E-2</v>
      </c>
      <c r="F472" s="424" t="e">
        <f t="shared" si="15"/>
        <v>#REF!</v>
      </c>
    </row>
    <row r="473" spans="1:6">
      <c r="A473">
        <v>7720</v>
      </c>
      <c r="B473" t="s">
        <v>494</v>
      </c>
      <c r="D473" s="424" t="e">
        <v>#REF!</v>
      </c>
      <c r="E473" s="438">
        <f t="shared" si="14"/>
        <v>2.5250604908399584E-2</v>
      </c>
      <c r="F473" s="424" t="e">
        <f t="shared" si="15"/>
        <v>#REF!</v>
      </c>
    </row>
    <row r="474" spans="1:6">
      <c r="A474">
        <v>7720</v>
      </c>
      <c r="B474" t="s">
        <v>860</v>
      </c>
      <c r="D474" s="424" t="e">
        <v>#REF!</v>
      </c>
      <c r="E474" s="438">
        <f t="shared" si="14"/>
        <v>2.5250604908399584E-2</v>
      </c>
      <c r="F474" s="424" t="e">
        <f t="shared" si="15"/>
        <v>#REF!</v>
      </c>
    </row>
    <row r="475" spans="1:6">
      <c r="A475">
        <v>7720</v>
      </c>
      <c r="B475" t="s">
        <v>861</v>
      </c>
      <c r="D475" s="424" t="e">
        <v>#REF!</v>
      </c>
      <c r="E475" s="438">
        <f t="shared" si="14"/>
        <v>2.5250604908399584E-2</v>
      </c>
      <c r="F475" s="424" t="e">
        <f t="shared" si="15"/>
        <v>#REF!</v>
      </c>
    </row>
    <row r="476" spans="1:6">
      <c r="A476">
        <v>7720</v>
      </c>
      <c r="B476" t="s">
        <v>862</v>
      </c>
      <c r="D476" s="424" t="e">
        <v>#REF!</v>
      </c>
      <c r="E476" s="438">
        <f t="shared" si="14"/>
        <v>2.5250604908399584E-2</v>
      </c>
      <c r="F476" s="424" t="e">
        <f t="shared" si="15"/>
        <v>#REF!</v>
      </c>
    </row>
    <row r="477" spans="1:6">
      <c r="A477">
        <v>7720</v>
      </c>
      <c r="B477" t="s">
        <v>863</v>
      </c>
      <c r="D477" s="424" t="e">
        <v>#REF!</v>
      </c>
      <c r="E477" s="438">
        <f t="shared" si="14"/>
        <v>2.5250604908399584E-2</v>
      </c>
      <c r="F477" s="424" t="e">
        <f t="shared" si="15"/>
        <v>#REF!</v>
      </c>
    </row>
    <row r="478" spans="1:6">
      <c r="A478">
        <v>7720</v>
      </c>
      <c r="B478" t="s">
        <v>864</v>
      </c>
      <c r="D478" s="424" t="e">
        <v>#REF!</v>
      </c>
      <c r="E478" s="438">
        <f t="shared" si="14"/>
        <v>2.5250604908399584E-2</v>
      </c>
      <c r="F478" s="424" t="e">
        <f t="shared" si="15"/>
        <v>#REF!</v>
      </c>
    </row>
    <row r="479" spans="1:6">
      <c r="A479">
        <v>7720</v>
      </c>
      <c r="B479" t="s">
        <v>865</v>
      </c>
      <c r="D479" s="424" t="e">
        <v>#REF!</v>
      </c>
      <c r="E479" s="438">
        <f t="shared" si="14"/>
        <v>2.5250604908399584E-2</v>
      </c>
      <c r="F479" s="424" t="e">
        <f t="shared" si="15"/>
        <v>#REF!</v>
      </c>
    </row>
    <row r="480" spans="1:6">
      <c r="A480">
        <v>7720</v>
      </c>
      <c r="B480" t="s">
        <v>866</v>
      </c>
      <c r="D480" s="424" t="e">
        <v>#REF!</v>
      </c>
      <c r="E480" s="438">
        <f t="shared" si="14"/>
        <v>2.5250604908399584E-2</v>
      </c>
      <c r="F480" s="424" t="e">
        <f t="shared" si="15"/>
        <v>#REF!</v>
      </c>
    </row>
    <row r="481" spans="1:6">
      <c r="A481">
        <v>7720</v>
      </c>
      <c r="B481" t="s">
        <v>867</v>
      </c>
      <c r="D481" s="424" t="e">
        <v>#REF!</v>
      </c>
      <c r="E481" s="438">
        <f t="shared" si="14"/>
        <v>2.5250604908399584E-2</v>
      </c>
      <c r="F481" s="424" t="e">
        <f t="shared" si="15"/>
        <v>#REF!</v>
      </c>
    </row>
    <row r="482" spans="1:6">
      <c r="A482">
        <v>7720</v>
      </c>
      <c r="B482" t="s">
        <v>868</v>
      </c>
      <c r="D482" s="424" t="e">
        <v>#REF!</v>
      </c>
      <c r="E482" s="438">
        <f t="shared" si="14"/>
        <v>2.5250604908399584E-2</v>
      </c>
      <c r="F482" s="424" t="e">
        <f t="shared" si="15"/>
        <v>#REF!</v>
      </c>
    </row>
    <row r="483" spans="1:6">
      <c r="B483" t="s">
        <v>210</v>
      </c>
      <c r="D483" s="424" t="e">
        <v>#REF!</v>
      </c>
      <c r="E483" s="438">
        <f t="shared" si="14"/>
        <v>2.5250604908399584E-2</v>
      </c>
      <c r="F483" s="424" t="e">
        <f t="shared" si="15"/>
        <v>#REF!</v>
      </c>
    </row>
    <row r="484" spans="1:6">
      <c r="A484">
        <v>7725</v>
      </c>
      <c r="B484" t="s">
        <v>119</v>
      </c>
      <c r="D484" s="424" t="e">
        <v>#REF!</v>
      </c>
      <c r="E484" s="438">
        <f t="shared" si="14"/>
        <v>2.5250604908399584E-2</v>
      </c>
      <c r="F484" s="424" t="e">
        <f t="shared" si="15"/>
        <v>#REF!</v>
      </c>
    </row>
    <row r="485" spans="1:6">
      <c r="B485" t="s">
        <v>211</v>
      </c>
      <c r="D485" s="424" t="e">
        <v>#REF!</v>
      </c>
      <c r="E485" s="438">
        <f t="shared" si="14"/>
        <v>2.5250604908399584E-2</v>
      </c>
      <c r="F485" s="424" t="e">
        <f t="shared" si="15"/>
        <v>#REF!</v>
      </c>
    </row>
    <row r="486" spans="1:6">
      <c r="A486">
        <v>7735</v>
      </c>
      <c r="B486" t="s">
        <v>120</v>
      </c>
      <c r="D486" s="424" t="e">
        <v>#REF!</v>
      </c>
      <c r="E486" s="438">
        <f t="shared" si="14"/>
        <v>2.5250604908399584E-2</v>
      </c>
      <c r="F486" s="424" t="e">
        <f t="shared" si="15"/>
        <v>#REF!</v>
      </c>
    </row>
    <row r="487" spans="1:6">
      <c r="A487">
        <v>7735</v>
      </c>
      <c r="B487" t="s">
        <v>121</v>
      </c>
      <c r="D487" s="424" t="e">
        <v>#REF!</v>
      </c>
      <c r="E487" s="438">
        <f t="shared" si="14"/>
        <v>2.5250604908399584E-2</v>
      </c>
      <c r="F487" s="424" t="e">
        <f t="shared" si="15"/>
        <v>#REF!</v>
      </c>
    </row>
    <row r="488" spans="1:6">
      <c r="A488">
        <v>7735</v>
      </c>
      <c r="B488" t="s">
        <v>122</v>
      </c>
      <c r="C488" s="425">
        <v>30306.05</v>
      </c>
      <c r="D488" s="424">
        <v>-5352.0000000000036</v>
      </c>
      <c r="E488" s="438">
        <f t="shared" si="14"/>
        <v>2.5250604908399584E-2</v>
      </c>
      <c r="F488" s="424">
        <f t="shared" si="15"/>
        <v>-135.14123746975466</v>
      </c>
    </row>
    <row r="489" spans="1:6">
      <c r="A489">
        <v>7735</v>
      </c>
      <c r="B489" t="s">
        <v>123</v>
      </c>
      <c r="D489" s="424" t="e">
        <v>#REF!</v>
      </c>
      <c r="E489" s="438">
        <f t="shared" si="14"/>
        <v>2.5250604908399584E-2</v>
      </c>
      <c r="F489" s="424" t="e">
        <f t="shared" si="15"/>
        <v>#REF!</v>
      </c>
    </row>
    <row r="490" spans="1:6">
      <c r="A490">
        <v>7735</v>
      </c>
      <c r="B490" t="s">
        <v>124</v>
      </c>
      <c r="D490" s="424" t="e">
        <v>#REF!</v>
      </c>
      <c r="E490" s="438">
        <f t="shared" si="14"/>
        <v>2.5250604908399584E-2</v>
      </c>
      <c r="F490" s="424" t="e">
        <f t="shared" si="15"/>
        <v>#REF!</v>
      </c>
    </row>
    <row r="491" spans="1:6">
      <c r="A491">
        <v>7735</v>
      </c>
      <c r="B491" t="s">
        <v>125</v>
      </c>
      <c r="D491" s="424" t="e">
        <v>#REF!</v>
      </c>
      <c r="E491" s="438">
        <f t="shared" si="14"/>
        <v>2.5250604908399584E-2</v>
      </c>
      <c r="F491" s="424" t="e">
        <f t="shared" si="15"/>
        <v>#REF!</v>
      </c>
    </row>
    <row r="492" spans="1:6">
      <c r="A492">
        <v>7735</v>
      </c>
      <c r="B492" t="s">
        <v>126</v>
      </c>
      <c r="D492" s="424" t="e">
        <v>#REF!</v>
      </c>
      <c r="E492" s="438">
        <f t="shared" si="14"/>
        <v>2.5250604908399584E-2</v>
      </c>
      <c r="F492" s="424" t="e">
        <f t="shared" si="15"/>
        <v>#REF!</v>
      </c>
    </row>
    <row r="493" spans="1:6">
      <c r="A493">
        <v>7735</v>
      </c>
      <c r="B493" t="s">
        <v>127</v>
      </c>
      <c r="D493" s="424" t="e">
        <v>#REF!</v>
      </c>
      <c r="E493" s="438">
        <f t="shared" si="14"/>
        <v>2.5250604908399584E-2</v>
      </c>
      <c r="F493" s="424" t="e">
        <f t="shared" si="15"/>
        <v>#REF!</v>
      </c>
    </row>
    <row r="494" spans="1:6">
      <c r="A494">
        <v>7735</v>
      </c>
      <c r="B494" t="s">
        <v>128</v>
      </c>
      <c r="D494" s="424" t="e">
        <v>#REF!</v>
      </c>
      <c r="E494" s="438">
        <f t="shared" si="14"/>
        <v>2.5250604908399584E-2</v>
      </c>
      <c r="F494" s="424" t="e">
        <f t="shared" si="15"/>
        <v>#REF!</v>
      </c>
    </row>
    <row r="495" spans="1:6">
      <c r="A495">
        <v>7735</v>
      </c>
      <c r="B495" t="s">
        <v>129</v>
      </c>
      <c r="D495" s="424" t="e">
        <v>#REF!</v>
      </c>
      <c r="E495" s="438">
        <f t="shared" si="14"/>
        <v>2.5250604908399584E-2</v>
      </c>
      <c r="F495" s="424" t="e">
        <f t="shared" si="15"/>
        <v>#REF!</v>
      </c>
    </row>
    <row r="496" spans="1:6">
      <c r="B496" t="s">
        <v>211</v>
      </c>
      <c r="C496" s="425">
        <v>30306.05</v>
      </c>
      <c r="D496" s="424">
        <v>-5352.0000000000036</v>
      </c>
      <c r="E496" s="438">
        <f t="shared" si="14"/>
        <v>2.5250604908399584E-2</v>
      </c>
      <c r="F496" s="424">
        <f t="shared" si="15"/>
        <v>-135.14123746975466</v>
      </c>
    </row>
    <row r="497" spans="1:6">
      <c r="B497" t="s">
        <v>209</v>
      </c>
      <c r="C497" s="425">
        <v>30306.05</v>
      </c>
      <c r="D497" s="424">
        <v>-5352.0000000000036</v>
      </c>
      <c r="E497" s="438">
        <f t="shared" si="14"/>
        <v>2.5250604908399584E-2</v>
      </c>
      <c r="F497" s="424">
        <f t="shared" si="15"/>
        <v>-135.14123746975466</v>
      </c>
    </row>
    <row r="498" spans="1:6">
      <c r="B498" t="s">
        <v>212</v>
      </c>
      <c r="D498" s="424" t="e">
        <v>#REF!</v>
      </c>
      <c r="E498" s="438">
        <f t="shared" si="14"/>
        <v>2.5250604908399584E-2</v>
      </c>
      <c r="F498" s="424" t="e">
        <f t="shared" si="15"/>
        <v>#REF!</v>
      </c>
    </row>
    <row r="499" spans="1:6">
      <c r="A499">
        <v>7750</v>
      </c>
      <c r="B499" t="s">
        <v>130</v>
      </c>
      <c r="D499" s="424" t="e">
        <v>#REF!</v>
      </c>
      <c r="E499" s="438">
        <f t="shared" si="14"/>
        <v>2.5250604908399584E-2</v>
      </c>
      <c r="F499" s="424" t="e">
        <f t="shared" si="15"/>
        <v>#REF!</v>
      </c>
    </row>
    <row r="500" spans="1:6">
      <c r="B500" t="s">
        <v>212</v>
      </c>
      <c r="D500" s="424" t="e">
        <v>#REF!</v>
      </c>
      <c r="E500" s="438">
        <f t="shared" si="14"/>
        <v>2.5250604908399584E-2</v>
      </c>
      <c r="F500" s="424" t="e">
        <f t="shared" si="15"/>
        <v>#REF!</v>
      </c>
    </row>
    <row r="501" spans="1:6">
      <c r="B501" t="s">
        <v>213</v>
      </c>
      <c r="D501" s="424" t="e">
        <v>#REF!</v>
      </c>
      <c r="E501" s="438">
        <f t="shared" si="14"/>
        <v>2.5250604908399584E-2</v>
      </c>
      <c r="F501" s="424" t="e">
        <f t="shared" si="15"/>
        <v>#REF!</v>
      </c>
    </row>
    <row r="502" spans="1:6">
      <c r="A502">
        <v>7765</v>
      </c>
      <c r="B502" t="s">
        <v>131</v>
      </c>
      <c r="D502" s="424" t="e">
        <v>#REF!</v>
      </c>
      <c r="E502" s="438">
        <f t="shared" si="14"/>
        <v>2.5250604908399584E-2</v>
      </c>
      <c r="F502" s="424" t="e">
        <f t="shared" si="15"/>
        <v>#REF!</v>
      </c>
    </row>
    <row r="503" spans="1:6">
      <c r="B503" t="s">
        <v>214</v>
      </c>
      <c r="D503" s="424" t="e">
        <v>#REF!</v>
      </c>
      <c r="E503" s="438">
        <f t="shared" si="14"/>
        <v>2.5250604908399584E-2</v>
      </c>
      <c r="F503" s="424" t="e">
        <f t="shared" si="15"/>
        <v>#REF!</v>
      </c>
    </row>
    <row r="504" spans="1:6">
      <c r="A504">
        <v>7775</v>
      </c>
      <c r="B504" t="s">
        <v>132</v>
      </c>
      <c r="D504" s="424" t="e">
        <v>#REF!</v>
      </c>
      <c r="E504" s="438">
        <f t="shared" si="14"/>
        <v>2.5250604908399584E-2</v>
      </c>
      <c r="F504" s="424" t="e">
        <f t="shared" si="15"/>
        <v>#REF!</v>
      </c>
    </row>
    <row r="505" spans="1:6">
      <c r="A505">
        <v>7780</v>
      </c>
      <c r="B505" t="s">
        <v>133</v>
      </c>
      <c r="D505" s="424" t="e">
        <v>#REF!</v>
      </c>
      <c r="E505" s="438">
        <f t="shared" si="14"/>
        <v>2.5250604908399584E-2</v>
      </c>
      <c r="F505" s="424" t="e">
        <f t="shared" si="15"/>
        <v>#REF!</v>
      </c>
    </row>
    <row r="506" spans="1:6">
      <c r="A506">
        <v>7785</v>
      </c>
      <c r="B506" t="s">
        <v>134</v>
      </c>
      <c r="D506" s="424" t="e">
        <v>#REF!</v>
      </c>
      <c r="E506" s="438">
        <f t="shared" si="14"/>
        <v>2.5250604908399584E-2</v>
      </c>
      <c r="F506" s="424" t="e">
        <f t="shared" si="15"/>
        <v>#REF!</v>
      </c>
    </row>
    <row r="507" spans="1:6">
      <c r="A507">
        <v>7790</v>
      </c>
      <c r="B507" t="s">
        <v>135</v>
      </c>
      <c r="D507" s="424" t="e">
        <v>#REF!</v>
      </c>
      <c r="E507" s="438">
        <f t="shared" si="14"/>
        <v>2.5250604908399584E-2</v>
      </c>
      <c r="F507" s="424" t="e">
        <f t="shared" si="15"/>
        <v>#REF!</v>
      </c>
    </row>
    <row r="508" spans="1:6">
      <c r="A508">
        <v>7795</v>
      </c>
      <c r="B508" t="s">
        <v>136</v>
      </c>
      <c r="D508" s="424" t="e">
        <v>#REF!</v>
      </c>
      <c r="E508" s="438">
        <f t="shared" si="14"/>
        <v>2.5250604908399584E-2</v>
      </c>
      <c r="F508" s="424" t="e">
        <f t="shared" si="15"/>
        <v>#REF!</v>
      </c>
    </row>
    <row r="509" spans="1:6">
      <c r="B509" t="s">
        <v>214</v>
      </c>
      <c r="D509" s="424" t="e">
        <v>#REF!</v>
      </c>
      <c r="E509" s="438">
        <f t="shared" si="14"/>
        <v>2.5250604908399584E-2</v>
      </c>
      <c r="F509" s="424" t="e">
        <f t="shared" si="15"/>
        <v>#REF!</v>
      </c>
    </row>
    <row r="510" spans="1:6">
      <c r="B510" t="s">
        <v>213</v>
      </c>
      <c r="D510" s="424" t="e">
        <v>#REF!</v>
      </c>
      <c r="E510" s="438">
        <f t="shared" si="14"/>
        <v>2.5250604908399584E-2</v>
      </c>
      <c r="F510" s="424" t="e">
        <f t="shared" si="15"/>
        <v>#REF!</v>
      </c>
    </row>
    <row r="511" spans="1:6">
      <c r="B511" t="s">
        <v>208</v>
      </c>
      <c r="C511" s="425">
        <v>30306.05</v>
      </c>
      <c r="D511" s="424">
        <v>-5352.0000000000036</v>
      </c>
      <c r="E511" s="438">
        <f t="shared" si="14"/>
        <v>2.5250604908399584E-2</v>
      </c>
      <c r="F511" s="424">
        <f t="shared" si="15"/>
        <v>-135.14123746975466</v>
      </c>
    </row>
    <row r="512" spans="1:6">
      <c r="B512" t="s">
        <v>203</v>
      </c>
      <c r="C512" s="425">
        <v>30306.05</v>
      </c>
      <c r="D512" s="424">
        <v>-5352.0000000000036</v>
      </c>
      <c r="E512" s="438">
        <f t="shared" si="14"/>
        <v>2.5250604908399584E-2</v>
      </c>
      <c r="F512" s="424">
        <f t="shared" si="15"/>
        <v>-135.14123746975466</v>
      </c>
    </row>
    <row r="513" spans="2:6">
      <c r="B513" t="s">
        <v>215</v>
      </c>
      <c r="C513" s="425">
        <v>10406779.390000001</v>
      </c>
      <c r="D513" s="424">
        <v>4758764.3500000006</v>
      </c>
      <c r="E513" s="438">
        <f t="shared" si="14"/>
        <v>2.5250604908399584E-2</v>
      </c>
      <c r="F513" s="424">
        <f t="shared" si="15"/>
        <v>120161.67845402697</v>
      </c>
    </row>
  </sheetData>
  <phoneticPr fontId="44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H221"/>
  <sheetViews>
    <sheetView view="pageBreakPreview" zoomScale="75" zoomScaleNormal="100" zoomScaleSheetLayoutView="75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8.875" defaultRowHeight="15"/>
  <cols>
    <col min="1" max="1" width="4.125" style="590" customWidth="1"/>
    <col min="2" max="2" width="13.375" style="590" customWidth="1"/>
    <col min="3" max="3" width="13.5" style="590" customWidth="1"/>
    <col min="4" max="4" width="12.125" style="591" customWidth="1"/>
    <col min="5" max="5" width="1.625" style="590" customWidth="1"/>
    <col min="6" max="6" width="10.125" style="591" bestFit="1" customWidth="1"/>
    <col min="7" max="7" width="1.625" style="590" customWidth="1"/>
    <col min="8" max="8" width="23.125" style="579" bestFit="1" customWidth="1"/>
    <col min="9" max="9" width="2.625" style="579" customWidth="1"/>
    <col min="10" max="10" width="11.375" style="590" bestFit="1" customWidth="1"/>
    <col min="11" max="11" width="1.625" style="590" customWidth="1"/>
    <col min="12" max="12" width="10.5" style="590" bestFit="1" customWidth="1"/>
    <col min="13" max="13" width="1.625" style="590" customWidth="1"/>
    <col min="14" max="14" width="13.125" style="590" bestFit="1" customWidth="1"/>
    <col min="15" max="15" width="1.625" style="592" customWidth="1"/>
    <col min="16" max="16" width="13.125" style="590" bestFit="1" customWidth="1"/>
    <col min="17" max="17" width="1.625" style="590" customWidth="1"/>
    <col min="18" max="18" width="12.75" style="590" bestFit="1" customWidth="1"/>
    <col min="19" max="19" width="1.625" style="590" customWidth="1"/>
    <col min="20" max="20" width="13.125" style="590" bestFit="1" customWidth="1"/>
    <col min="21" max="21" width="12.125" style="590" customWidth="1"/>
    <col min="22" max="22" width="13.625" style="590" bestFit="1" customWidth="1"/>
    <col min="23" max="23" width="1.625" style="590" customWidth="1"/>
    <col min="24" max="24" width="13" style="590" bestFit="1" customWidth="1"/>
    <col min="25" max="25" width="1.625" style="590" customWidth="1"/>
    <col min="26" max="26" width="8.875" style="590" customWidth="1"/>
    <col min="27" max="27" width="1.625" style="590" customWidth="1"/>
    <col min="28" max="28" width="11.5" style="590" bestFit="1" customWidth="1"/>
    <col min="29" max="29" width="1.625" style="590" customWidth="1"/>
    <col min="30" max="16384" width="8.875" style="590"/>
  </cols>
  <sheetData>
    <row r="1" spans="1:22">
      <c r="A1" s="589" t="s">
        <v>280</v>
      </c>
      <c r="R1" s="593" t="s">
        <v>323</v>
      </c>
    </row>
    <row r="2" spans="1:22">
      <c r="A2" s="589" t="str">
        <f>'Sch.A-B.S'!D2</f>
        <v>Case No. 2015 - 00382</v>
      </c>
      <c r="R2" s="593"/>
    </row>
    <row r="3" spans="1:22">
      <c r="A3" s="589" t="s">
        <v>277</v>
      </c>
    </row>
    <row r="4" spans="1:22">
      <c r="A4" s="589" t="str">
        <f>'Sch.B-I.S'!A4</f>
        <v>Test Year Ended 6/30/2015</v>
      </c>
    </row>
    <row r="5" spans="1:22">
      <c r="H5" s="594"/>
      <c r="I5" s="594"/>
      <c r="L5" s="595"/>
      <c r="M5" s="595"/>
      <c r="N5" s="596"/>
      <c r="O5" s="597"/>
    </row>
    <row r="6" spans="1:22" s="598" customFormat="1" ht="34.5" customHeight="1">
      <c r="D6" s="599" t="s">
        <v>637</v>
      </c>
      <c r="F6" s="599" t="s">
        <v>638</v>
      </c>
      <c r="H6" s="600" t="s">
        <v>1476</v>
      </c>
      <c r="I6" s="601"/>
      <c r="J6" s="599" t="s">
        <v>639</v>
      </c>
      <c r="L6" s="599" t="s">
        <v>287</v>
      </c>
      <c r="N6" s="599" t="s">
        <v>288</v>
      </c>
      <c r="O6" s="602"/>
      <c r="P6" s="599" t="s">
        <v>714</v>
      </c>
      <c r="R6" s="599" t="s">
        <v>289</v>
      </c>
      <c r="T6" s="326"/>
    </row>
    <row r="7" spans="1:22" s="604" customFormat="1">
      <c r="A7" s="603"/>
      <c r="C7" s="603"/>
      <c r="D7" s="591"/>
      <c r="E7" s="603"/>
      <c r="H7" s="605"/>
      <c r="I7" s="605"/>
      <c r="O7" s="606"/>
      <c r="T7" s="607" t="s">
        <v>290</v>
      </c>
      <c r="U7" s="608" t="s">
        <v>448</v>
      </c>
      <c r="V7" s="608" t="s">
        <v>291</v>
      </c>
    </row>
    <row r="8" spans="1:22" s="604" customFormat="1">
      <c r="A8" s="603" t="s">
        <v>297</v>
      </c>
      <c r="C8" s="603"/>
      <c r="D8" s="591"/>
      <c r="E8" s="603"/>
      <c r="H8" s="605"/>
      <c r="I8" s="605"/>
      <c r="O8" s="606"/>
      <c r="T8" s="607"/>
      <c r="U8" s="608"/>
      <c r="V8" s="608"/>
    </row>
    <row r="9" spans="1:22">
      <c r="B9" s="590" t="s">
        <v>511</v>
      </c>
      <c r="D9" s="326">
        <v>1981</v>
      </c>
      <c r="F9" s="609">
        <v>29587</v>
      </c>
      <c r="G9" s="610"/>
      <c r="H9" s="291">
        <v>3257.48</v>
      </c>
      <c r="J9" s="611">
        <f t="shared" ref="J9:J72" si="0">VLOOKUP(D9,$T$17:$W$55,2,FALSE)</f>
        <v>31</v>
      </c>
      <c r="K9" s="611"/>
      <c r="L9" s="595">
        <f t="shared" ref="L9:L40" si="1">VLOOKUP(B9,$T$9:$U$13,2,FALSE)</f>
        <v>0</v>
      </c>
      <c r="M9" s="595"/>
      <c r="N9" s="613">
        <f t="shared" ref="N9:N40" si="2">IF(L9*J9*H9&gt;H9,H9,L9*J9*H9)</f>
        <v>0</v>
      </c>
      <c r="O9" s="613"/>
      <c r="P9" s="613">
        <f t="shared" ref="P9:P40" si="3">H9-N9</f>
        <v>3257.48</v>
      </c>
      <c r="Q9" s="612"/>
      <c r="R9" s="614" t="str">
        <f t="shared" ref="R9:R40" si="4">IF(N9=H9,"Yes","No")</f>
        <v>No</v>
      </c>
      <c r="S9" s="614"/>
      <c r="T9" s="590" t="s">
        <v>293</v>
      </c>
      <c r="U9" s="46">
        <v>0.02</v>
      </c>
      <c r="V9" s="591">
        <v>50</v>
      </c>
    </row>
    <row r="10" spans="1:22">
      <c r="B10" s="590" t="s">
        <v>511</v>
      </c>
      <c r="D10" s="326">
        <v>1981</v>
      </c>
      <c r="F10" s="609">
        <v>29587</v>
      </c>
      <c r="G10" s="610"/>
      <c r="H10" s="291">
        <v>596</v>
      </c>
      <c r="I10" s="291"/>
      <c r="J10" s="611">
        <f t="shared" si="0"/>
        <v>31</v>
      </c>
      <c r="K10" s="611"/>
      <c r="L10" s="595">
        <f t="shared" si="1"/>
        <v>0</v>
      </c>
      <c r="M10" s="595"/>
      <c r="N10" s="613">
        <f t="shared" si="2"/>
        <v>0</v>
      </c>
      <c r="O10" s="613"/>
      <c r="P10" s="613">
        <f t="shared" si="3"/>
        <v>596</v>
      </c>
      <c r="Q10" s="612"/>
      <c r="R10" s="614" t="str">
        <f t="shared" si="4"/>
        <v>No</v>
      </c>
      <c r="S10" s="614"/>
      <c r="T10" s="590" t="s">
        <v>294</v>
      </c>
      <c r="U10" s="46">
        <f>ROUND(1/V10,3)</f>
        <v>0.25</v>
      </c>
      <c r="V10" s="591">
        <v>4</v>
      </c>
    </row>
    <row r="11" spans="1:22">
      <c r="B11" s="590" t="s">
        <v>511</v>
      </c>
      <c r="D11" s="326">
        <v>1981</v>
      </c>
      <c r="F11" s="609">
        <v>29587</v>
      </c>
      <c r="G11" s="610"/>
      <c r="H11" s="291">
        <v>1234.5</v>
      </c>
      <c r="J11" s="611">
        <f t="shared" si="0"/>
        <v>31</v>
      </c>
      <c r="K11" s="611"/>
      <c r="L11" s="595">
        <f t="shared" si="1"/>
        <v>0</v>
      </c>
      <c r="M11" s="595"/>
      <c r="N11" s="613">
        <f t="shared" si="2"/>
        <v>0</v>
      </c>
      <c r="O11" s="613"/>
      <c r="P11" s="613">
        <f t="shared" si="3"/>
        <v>1234.5</v>
      </c>
      <c r="Q11" s="612"/>
      <c r="R11" s="614" t="str">
        <f t="shared" si="4"/>
        <v>No</v>
      </c>
      <c r="S11" s="614"/>
      <c r="T11" s="590" t="s">
        <v>89</v>
      </c>
      <c r="U11" s="46">
        <v>0.125</v>
      </c>
      <c r="V11" s="591">
        <v>4</v>
      </c>
    </row>
    <row r="12" spans="1:22">
      <c r="B12" s="590" t="s">
        <v>293</v>
      </c>
      <c r="D12" s="326">
        <v>1985</v>
      </c>
      <c r="F12" s="609">
        <v>31372</v>
      </c>
      <c r="G12" s="610"/>
      <c r="H12" s="291">
        <v>13478.2</v>
      </c>
      <c r="J12" s="611">
        <f t="shared" si="0"/>
        <v>27</v>
      </c>
      <c r="K12" s="611"/>
      <c r="L12" s="595">
        <f t="shared" si="1"/>
        <v>0.02</v>
      </c>
      <c r="M12" s="595"/>
      <c r="N12" s="613">
        <f>IF(L12*J12*H12&gt;H12,H12,L12*J12*H12)</f>
        <v>7278.228000000001</v>
      </c>
      <c r="O12" s="613"/>
      <c r="P12" s="613">
        <f t="shared" si="3"/>
        <v>6199.9719999999998</v>
      </c>
      <c r="Q12" s="612"/>
      <c r="R12" s="614" t="str">
        <f t="shared" si="4"/>
        <v>No</v>
      </c>
      <c r="S12" s="614"/>
      <c r="T12" s="590" t="s">
        <v>511</v>
      </c>
      <c r="U12" s="46">
        <v>0</v>
      </c>
      <c r="V12" s="591">
        <v>0</v>
      </c>
    </row>
    <row r="13" spans="1:22">
      <c r="B13" s="590" t="s">
        <v>293</v>
      </c>
      <c r="D13" s="326">
        <v>1985</v>
      </c>
      <c r="F13" s="609">
        <v>31372</v>
      </c>
      <c r="G13" s="610"/>
      <c r="H13" s="291">
        <v>185476.3</v>
      </c>
      <c r="J13" s="611">
        <f t="shared" si="0"/>
        <v>27</v>
      </c>
      <c r="K13" s="611"/>
      <c r="L13" s="595">
        <f t="shared" si="1"/>
        <v>0.02</v>
      </c>
      <c r="M13" s="595"/>
      <c r="N13" s="613">
        <f t="shared" si="2"/>
        <v>100157.202</v>
      </c>
      <c r="O13" s="613"/>
      <c r="P13" s="613">
        <f t="shared" si="3"/>
        <v>85319.097999999984</v>
      </c>
      <c r="Q13" s="612"/>
      <c r="R13" s="614" t="str">
        <f t="shared" si="4"/>
        <v>No</v>
      </c>
      <c r="S13" s="614"/>
      <c r="T13" s="590" t="s">
        <v>466</v>
      </c>
      <c r="U13" s="46">
        <v>0</v>
      </c>
      <c r="V13" s="591">
        <v>0</v>
      </c>
    </row>
    <row r="14" spans="1:22">
      <c r="B14" s="590" t="s">
        <v>293</v>
      </c>
      <c r="D14" s="326">
        <v>1985</v>
      </c>
      <c r="F14" s="609">
        <v>31372</v>
      </c>
      <c r="G14" s="610"/>
      <c r="H14" s="291">
        <v>2641.38</v>
      </c>
      <c r="J14" s="611">
        <f t="shared" si="0"/>
        <v>27</v>
      </c>
      <c r="K14" s="611"/>
      <c r="L14" s="595">
        <f t="shared" si="1"/>
        <v>0.02</v>
      </c>
      <c r="M14" s="595"/>
      <c r="N14" s="613">
        <f t="shared" si="2"/>
        <v>1426.3452000000002</v>
      </c>
      <c r="O14" s="613"/>
      <c r="P14" s="613">
        <f t="shared" si="3"/>
        <v>1215.0347999999999</v>
      </c>
      <c r="Q14" s="612"/>
      <c r="R14" s="614" t="str">
        <f t="shared" si="4"/>
        <v>No</v>
      </c>
      <c r="S14" s="614"/>
      <c r="T14" s="590" t="s">
        <v>295</v>
      </c>
      <c r="U14" s="615"/>
    </row>
    <row r="15" spans="1:22">
      <c r="B15" s="590" t="s">
        <v>293</v>
      </c>
      <c r="D15" s="326">
        <v>1985</v>
      </c>
      <c r="F15" s="609">
        <v>31372</v>
      </c>
      <c r="G15" s="610"/>
      <c r="H15" s="291">
        <v>6336.72</v>
      </c>
      <c r="J15" s="611">
        <f t="shared" si="0"/>
        <v>27</v>
      </c>
      <c r="K15" s="611"/>
      <c r="L15" s="595">
        <f t="shared" si="1"/>
        <v>0.02</v>
      </c>
      <c r="M15" s="595"/>
      <c r="N15" s="613">
        <f t="shared" si="2"/>
        <v>3421.8288000000002</v>
      </c>
      <c r="O15" s="613"/>
      <c r="P15" s="613">
        <f t="shared" si="3"/>
        <v>2914.8912</v>
      </c>
      <c r="Q15" s="612"/>
      <c r="R15" s="614" t="str">
        <f t="shared" si="4"/>
        <v>No</v>
      </c>
      <c r="S15" s="614"/>
    </row>
    <row r="16" spans="1:22">
      <c r="B16" s="590" t="s">
        <v>293</v>
      </c>
      <c r="D16" s="326">
        <v>1985</v>
      </c>
      <c r="F16" s="609">
        <v>31372</v>
      </c>
      <c r="G16" s="610"/>
      <c r="H16" s="291">
        <v>30123.53</v>
      </c>
      <c r="J16" s="611">
        <f t="shared" si="0"/>
        <v>27</v>
      </c>
      <c r="K16" s="611"/>
      <c r="L16" s="595">
        <f t="shared" si="1"/>
        <v>0.02</v>
      </c>
      <c r="M16" s="595"/>
      <c r="N16" s="613">
        <f t="shared" si="2"/>
        <v>16266.706200000001</v>
      </c>
      <c r="O16" s="613"/>
      <c r="P16" s="613">
        <f t="shared" si="3"/>
        <v>13856.823799999998</v>
      </c>
      <c r="Q16" s="612"/>
      <c r="R16" s="614" t="str">
        <f t="shared" si="4"/>
        <v>No</v>
      </c>
      <c r="S16" s="614"/>
      <c r="U16" s="616">
        <v>41274</v>
      </c>
      <c r="V16" s="610"/>
    </row>
    <row r="17" spans="2:21">
      <c r="B17" s="590" t="s">
        <v>293</v>
      </c>
      <c r="D17" s="326">
        <v>1985</v>
      </c>
      <c r="F17" s="609">
        <v>31372</v>
      </c>
      <c r="G17" s="610"/>
      <c r="H17" s="291">
        <v>194242.01</v>
      </c>
      <c r="J17" s="611">
        <f t="shared" si="0"/>
        <v>27</v>
      </c>
      <c r="K17" s="611"/>
      <c r="L17" s="595">
        <f t="shared" si="1"/>
        <v>0.02</v>
      </c>
      <c r="M17" s="595"/>
      <c r="N17" s="613">
        <f t="shared" si="2"/>
        <v>104890.68540000002</v>
      </c>
      <c r="O17" s="613"/>
      <c r="P17" s="613">
        <f t="shared" si="3"/>
        <v>89351.324599999993</v>
      </c>
      <c r="Q17" s="612"/>
      <c r="R17" s="614" t="str">
        <f t="shared" si="4"/>
        <v>No</v>
      </c>
      <c r="S17" s="614"/>
      <c r="T17" s="326">
        <v>1974</v>
      </c>
      <c r="U17" s="590">
        <f>2012-T17</f>
        <v>38</v>
      </c>
    </row>
    <row r="18" spans="2:21">
      <c r="B18" s="590" t="s">
        <v>293</v>
      </c>
      <c r="D18" s="326">
        <v>1985</v>
      </c>
      <c r="F18" s="609">
        <v>31372</v>
      </c>
      <c r="H18" s="291">
        <v>25622.799999999999</v>
      </c>
      <c r="J18" s="611">
        <f t="shared" si="0"/>
        <v>27</v>
      </c>
      <c r="K18" s="611"/>
      <c r="L18" s="595">
        <f t="shared" si="1"/>
        <v>0.02</v>
      </c>
      <c r="M18" s="595"/>
      <c r="N18" s="613">
        <f t="shared" si="2"/>
        <v>13836.312</v>
      </c>
      <c r="O18" s="613"/>
      <c r="P18" s="613">
        <f t="shared" si="3"/>
        <v>11786.487999999999</v>
      </c>
      <c r="Q18" s="612"/>
      <c r="R18" s="614" t="str">
        <f t="shared" si="4"/>
        <v>No</v>
      </c>
      <c r="S18" s="614"/>
      <c r="T18" s="326">
        <v>1975</v>
      </c>
      <c r="U18" s="590">
        <f t="shared" ref="U18:U55" si="5">2012-T18</f>
        <v>37</v>
      </c>
    </row>
    <row r="19" spans="2:21">
      <c r="B19" s="590" t="s">
        <v>293</v>
      </c>
      <c r="D19" s="326">
        <v>1985</v>
      </c>
      <c r="F19" s="609">
        <v>31372</v>
      </c>
      <c r="H19" s="291">
        <v>334189.62</v>
      </c>
      <c r="J19" s="611">
        <f t="shared" si="0"/>
        <v>27</v>
      </c>
      <c r="K19" s="611"/>
      <c r="L19" s="595">
        <f t="shared" si="1"/>
        <v>0.02</v>
      </c>
      <c r="M19" s="595"/>
      <c r="N19" s="613">
        <f t="shared" si="2"/>
        <v>180462.39480000001</v>
      </c>
      <c r="O19" s="613"/>
      <c r="P19" s="613">
        <f t="shared" si="3"/>
        <v>153727.22519999999</v>
      </c>
      <c r="Q19" s="612"/>
      <c r="R19" s="614" t="str">
        <f t="shared" si="4"/>
        <v>No</v>
      </c>
      <c r="S19" s="614"/>
      <c r="T19" s="326">
        <v>1976</v>
      </c>
      <c r="U19" s="590">
        <f t="shared" si="5"/>
        <v>36</v>
      </c>
    </row>
    <row r="20" spans="2:21">
      <c r="B20" s="590" t="s">
        <v>293</v>
      </c>
      <c r="D20" s="326">
        <v>1985</v>
      </c>
      <c r="F20" s="609">
        <v>31372</v>
      </c>
      <c r="H20" s="291">
        <v>13680.34</v>
      </c>
      <c r="J20" s="611">
        <f t="shared" si="0"/>
        <v>27</v>
      </c>
      <c r="K20" s="611"/>
      <c r="L20" s="595">
        <f t="shared" si="1"/>
        <v>0.02</v>
      </c>
      <c r="M20" s="595"/>
      <c r="N20" s="613">
        <f t="shared" si="2"/>
        <v>7387.3836000000001</v>
      </c>
      <c r="O20" s="613"/>
      <c r="P20" s="613">
        <f t="shared" si="3"/>
        <v>6292.9564</v>
      </c>
      <c r="Q20" s="612"/>
      <c r="R20" s="614" t="str">
        <f t="shared" si="4"/>
        <v>No</v>
      </c>
      <c r="S20" s="614"/>
      <c r="T20" s="326">
        <v>1977</v>
      </c>
      <c r="U20" s="590">
        <f t="shared" si="5"/>
        <v>35</v>
      </c>
    </row>
    <row r="21" spans="2:21">
      <c r="B21" s="590" t="s">
        <v>293</v>
      </c>
      <c r="D21" s="326">
        <v>1985</v>
      </c>
      <c r="F21" s="609">
        <v>31372</v>
      </c>
      <c r="H21" s="291">
        <v>10164.719999999999</v>
      </c>
      <c r="J21" s="611">
        <f t="shared" si="0"/>
        <v>27</v>
      </c>
      <c r="K21" s="611"/>
      <c r="L21" s="595">
        <f t="shared" si="1"/>
        <v>0.02</v>
      </c>
      <c r="M21" s="595"/>
      <c r="N21" s="613">
        <f t="shared" si="2"/>
        <v>5488.9488000000001</v>
      </c>
      <c r="O21" s="613"/>
      <c r="P21" s="613">
        <f t="shared" si="3"/>
        <v>4675.7711999999992</v>
      </c>
      <c r="Q21" s="612"/>
      <c r="R21" s="614" t="str">
        <f t="shared" si="4"/>
        <v>No</v>
      </c>
      <c r="S21" s="614"/>
      <c r="T21" s="326">
        <v>1978</v>
      </c>
      <c r="U21" s="590">
        <f t="shared" si="5"/>
        <v>34</v>
      </c>
    </row>
    <row r="22" spans="2:21">
      <c r="B22" s="590" t="s">
        <v>293</v>
      </c>
      <c r="D22" s="326">
        <v>1985</v>
      </c>
      <c r="F22" s="609">
        <v>31372</v>
      </c>
      <c r="H22" s="291">
        <v>312686.93</v>
      </c>
      <c r="J22" s="611">
        <f t="shared" si="0"/>
        <v>27</v>
      </c>
      <c r="K22" s="611"/>
      <c r="L22" s="595">
        <f t="shared" si="1"/>
        <v>0.02</v>
      </c>
      <c r="M22" s="595"/>
      <c r="N22" s="613">
        <f t="shared" si="2"/>
        <v>168850.94220000002</v>
      </c>
      <c r="O22" s="613"/>
      <c r="P22" s="613">
        <f t="shared" si="3"/>
        <v>143835.98779999997</v>
      </c>
      <c r="Q22" s="612"/>
      <c r="R22" s="614" t="str">
        <f t="shared" si="4"/>
        <v>No</v>
      </c>
      <c r="S22" s="614"/>
      <c r="T22" s="326">
        <v>1979</v>
      </c>
      <c r="U22" s="590">
        <f t="shared" si="5"/>
        <v>33</v>
      </c>
    </row>
    <row r="23" spans="2:21">
      <c r="B23" s="590" t="s">
        <v>293</v>
      </c>
      <c r="D23" s="326">
        <v>1985</v>
      </c>
      <c r="F23" s="609">
        <v>31372</v>
      </c>
      <c r="H23" s="291">
        <v>125585.14</v>
      </c>
      <c r="J23" s="611">
        <f t="shared" si="0"/>
        <v>27</v>
      </c>
      <c r="K23" s="611"/>
      <c r="L23" s="595">
        <f t="shared" si="1"/>
        <v>0.02</v>
      </c>
      <c r="M23" s="595"/>
      <c r="N23" s="613">
        <f t="shared" si="2"/>
        <v>67815.975600000005</v>
      </c>
      <c r="O23" s="613"/>
      <c r="P23" s="613">
        <f t="shared" si="3"/>
        <v>57769.164399999994</v>
      </c>
      <c r="Q23" s="612"/>
      <c r="R23" s="614" t="str">
        <f t="shared" si="4"/>
        <v>No</v>
      </c>
      <c r="S23" s="614"/>
      <c r="T23" s="326">
        <v>1980</v>
      </c>
      <c r="U23" s="590">
        <f t="shared" si="5"/>
        <v>32</v>
      </c>
    </row>
    <row r="24" spans="2:21">
      <c r="B24" s="590" t="s">
        <v>293</v>
      </c>
      <c r="D24" s="326">
        <v>1985</v>
      </c>
      <c r="F24" s="609">
        <v>31372</v>
      </c>
      <c r="H24" s="291">
        <v>2264076.4700000002</v>
      </c>
      <c r="J24" s="611">
        <f t="shared" si="0"/>
        <v>27</v>
      </c>
      <c r="K24" s="611"/>
      <c r="L24" s="595">
        <f t="shared" si="1"/>
        <v>0.02</v>
      </c>
      <c r="M24" s="595"/>
      <c r="N24" s="613">
        <f t="shared" si="2"/>
        <v>1222601.2938000001</v>
      </c>
      <c r="O24" s="613"/>
      <c r="P24" s="613">
        <f t="shared" si="3"/>
        <v>1041475.1762000001</v>
      </c>
      <c r="Q24" s="612"/>
      <c r="R24" s="614" t="str">
        <f t="shared" si="4"/>
        <v>No</v>
      </c>
      <c r="S24" s="614"/>
      <c r="T24" s="326">
        <v>1981</v>
      </c>
      <c r="U24" s="590">
        <f t="shared" si="5"/>
        <v>31</v>
      </c>
    </row>
    <row r="25" spans="2:21">
      <c r="B25" s="590" t="s">
        <v>293</v>
      </c>
      <c r="C25" s="592"/>
      <c r="D25" s="326">
        <v>1985</v>
      </c>
      <c r="E25" s="592"/>
      <c r="F25" s="609">
        <v>31372</v>
      </c>
      <c r="G25" s="592"/>
      <c r="H25" s="291">
        <v>283658.51</v>
      </c>
      <c r="J25" s="611">
        <f t="shared" si="0"/>
        <v>27</v>
      </c>
      <c r="K25" s="611"/>
      <c r="L25" s="595">
        <f t="shared" si="1"/>
        <v>0.02</v>
      </c>
      <c r="M25" s="595"/>
      <c r="N25" s="613">
        <f t="shared" si="2"/>
        <v>153175.59540000002</v>
      </c>
      <c r="O25" s="613"/>
      <c r="P25" s="613">
        <f t="shared" si="3"/>
        <v>130482.91459999999</v>
      </c>
      <c r="Q25" s="612"/>
      <c r="R25" s="614" t="str">
        <f t="shared" si="4"/>
        <v>No</v>
      </c>
      <c r="S25" s="614"/>
      <c r="T25" s="326">
        <v>1982</v>
      </c>
      <c r="U25" s="590">
        <f t="shared" si="5"/>
        <v>30</v>
      </c>
    </row>
    <row r="26" spans="2:21">
      <c r="B26" s="590" t="s">
        <v>293</v>
      </c>
      <c r="C26" s="592"/>
      <c r="D26" s="326">
        <v>1985</v>
      </c>
      <c r="E26" s="592"/>
      <c r="F26" s="609">
        <v>31372</v>
      </c>
      <c r="G26" s="617"/>
      <c r="H26" s="291">
        <v>40452.800000000003</v>
      </c>
      <c r="J26" s="611">
        <f t="shared" si="0"/>
        <v>27</v>
      </c>
      <c r="K26" s="611"/>
      <c r="L26" s="595">
        <f t="shared" si="1"/>
        <v>0.02</v>
      </c>
      <c r="M26" s="595"/>
      <c r="N26" s="613">
        <f t="shared" si="2"/>
        <v>21844.512000000002</v>
      </c>
      <c r="O26" s="613"/>
      <c r="P26" s="613">
        <f t="shared" si="3"/>
        <v>18608.288</v>
      </c>
      <c r="Q26" s="612"/>
      <c r="R26" s="614" t="str">
        <f t="shared" si="4"/>
        <v>No</v>
      </c>
      <c r="S26" s="614"/>
      <c r="T26" s="326">
        <v>1983</v>
      </c>
      <c r="U26" s="590">
        <f t="shared" si="5"/>
        <v>29</v>
      </c>
    </row>
    <row r="27" spans="2:21">
      <c r="B27" s="590" t="s">
        <v>293</v>
      </c>
      <c r="C27" s="592"/>
      <c r="D27" s="326">
        <v>1985</v>
      </c>
      <c r="E27" s="592"/>
      <c r="F27" s="609">
        <v>31372</v>
      </c>
      <c r="G27" s="617"/>
      <c r="H27" s="291">
        <v>515437.63</v>
      </c>
      <c r="J27" s="611">
        <f t="shared" si="0"/>
        <v>27</v>
      </c>
      <c r="K27" s="611"/>
      <c r="L27" s="595">
        <f t="shared" si="1"/>
        <v>0.02</v>
      </c>
      <c r="M27" s="595"/>
      <c r="N27" s="613">
        <f t="shared" si="2"/>
        <v>278336.32020000002</v>
      </c>
      <c r="O27" s="613"/>
      <c r="P27" s="613">
        <f t="shared" si="3"/>
        <v>237101.30979999999</v>
      </c>
      <c r="Q27" s="612"/>
      <c r="R27" s="614" t="str">
        <f t="shared" si="4"/>
        <v>No</v>
      </c>
      <c r="S27" s="614"/>
      <c r="T27" s="326">
        <v>1984</v>
      </c>
      <c r="U27" s="590">
        <f t="shared" si="5"/>
        <v>28</v>
      </c>
    </row>
    <row r="28" spans="2:21">
      <c r="B28" s="590" t="s">
        <v>293</v>
      </c>
      <c r="C28" s="592"/>
      <c r="D28" s="326">
        <v>1985</v>
      </c>
      <c r="E28" s="592"/>
      <c r="F28" s="609">
        <v>31372</v>
      </c>
      <c r="G28" s="617"/>
      <c r="H28" s="291">
        <v>78560.820000000007</v>
      </c>
      <c r="J28" s="611">
        <f t="shared" si="0"/>
        <v>27</v>
      </c>
      <c r="K28" s="611"/>
      <c r="L28" s="595">
        <f t="shared" si="1"/>
        <v>0.02</v>
      </c>
      <c r="M28" s="595"/>
      <c r="N28" s="613">
        <f t="shared" si="2"/>
        <v>42422.842800000006</v>
      </c>
      <c r="O28" s="613"/>
      <c r="P28" s="613">
        <f t="shared" si="3"/>
        <v>36137.977200000001</v>
      </c>
      <c r="Q28" s="612"/>
      <c r="R28" s="614" t="str">
        <f t="shared" si="4"/>
        <v>No</v>
      </c>
      <c r="S28" s="614"/>
      <c r="T28" s="326">
        <v>1985</v>
      </c>
      <c r="U28" s="590">
        <f t="shared" si="5"/>
        <v>27</v>
      </c>
    </row>
    <row r="29" spans="2:21">
      <c r="B29" s="590" t="s">
        <v>293</v>
      </c>
      <c r="C29" s="592"/>
      <c r="D29" s="326">
        <v>1985</v>
      </c>
      <c r="E29" s="592"/>
      <c r="F29" s="609">
        <v>31372</v>
      </c>
      <c r="G29" s="617"/>
      <c r="H29" s="291">
        <v>370692.25</v>
      </c>
      <c r="J29" s="611">
        <f t="shared" si="0"/>
        <v>27</v>
      </c>
      <c r="K29" s="611"/>
      <c r="L29" s="595">
        <f t="shared" si="1"/>
        <v>0.02</v>
      </c>
      <c r="M29" s="595"/>
      <c r="N29" s="613">
        <f t="shared" si="2"/>
        <v>200173.815</v>
      </c>
      <c r="O29" s="613"/>
      <c r="P29" s="613">
        <f t="shared" si="3"/>
        <v>170518.435</v>
      </c>
      <c r="Q29" s="612"/>
      <c r="R29" s="614" t="str">
        <f t="shared" si="4"/>
        <v>No</v>
      </c>
      <c r="S29" s="614"/>
      <c r="T29" s="326">
        <v>1986</v>
      </c>
      <c r="U29" s="590">
        <f t="shared" si="5"/>
        <v>26</v>
      </c>
    </row>
    <row r="30" spans="2:21">
      <c r="B30" s="590" t="s">
        <v>293</v>
      </c>
      <c r="C30" s="592"/>
      <c r="D30" s="326">
        <v>1985</v>
      </c>
      <c r="E30" s="592"/>
      <c r="F30" s="609">
        <v>31372</v>
      </c>
      <c r="G30" s="617"/>
      <c r="H30" s="291">
        <v>70195.28</v>
      </c>
      <c r="J30" s="611">
        <f t="shared" si="0"/>
        <v>27</v>
      </c>
      <c r="K30" s="611"/>
      <c r="L30" s="595">
        <f t="shared" si="1"/>
        <v>0.02</v>
      </c>
      <c r="M30" s="595"/>
      <c r="N30" s="613">
        <f t="shared" si="2"/>
        <v>37905.451200000003</v>
      </c>
      <c r="O30" s="613"/>
      <c r="P30" s="613">
        <f t="shared" si="3"/>
        <v>32289.828799999996</v>
      </c>
      <c r="Q30" s="612"/>
      <c r="R30" s="614" t="str">
        <f t="shared" si="4"/>
        <v>No</v>
      </c>
      <c r="S30" s="614"/>
      <c r="T30" s="326">
        <v>1987</v>
      </c>
      <c r="U30" s="590">
        <f t="shared" si="5"/>
        <v>25</v>
      </c>
    </row>
    <row r="31" spans="2:21">
      <c r="B31" s="590" t="s">
        <v>293</v>
      </c>
      <c r="C31" s="592"/>
      <c r="D31" s="326">
        <v>1985</v>
      </c>
      <c r="E31" s="592"/>
      <c r="F31" s="609">
        <v>31372</v>
      </c>
      <c r="G31" s="617"/>
      <c r="H31" s="291">
        <v>145967.76</v>
      </c>
      <c r="J31" s="611">
        <f t="shared" si="0"/>
        <v>27</v>
      </c>
      <c r="K31" s="611"/>
      <c r="L31" s="595">
        <f t="shared" si="1"/>
        <v>0.02</v>
      </c>
      <c r="M31" s="595"/>
      <c r="N31" s="613">
        <f t="shared" si="2"/>
        <v>78822.590400000016</v>
      </c>
      <c r="O31" s="613"/>
      <c r="P31" s="613">
        <f t="shared" si="3"/>
        <v>67145.169599999994</v>
      </c>
      <c r="Q31" s="612"/>
      <c r="R31" s="614" t="str">
        <f t="shared" si="4"/>
        <v>No</v>
      </c>
      <c r="S31" s="614"/>
      <c r="T31" s="326">
        <v>1988</v>
      </c>
      <c r="U31" s="590">
        <f t="shared" si="5"/>
        <v>24</v>
      </c>
    </row>
    <row r="32" spans="2:21">
      <c r="B32" s="590" t="s">
        <v>293</v>
      </c>
      <c r="C32" s="592"/>
      <c r="D32" s="326">
        <v>1985</v>
      </c>
      <c r="E32" s="592"/>
      <c r="F32" s="609">
        <v>31372</v>
      </c>
      <c r="G32" s="617"/>
      <c r="H32" s="291">
        <v>19188.32</v>
      </c>
      <c r="J32" s="611">
        <f t="shared" si="0"/>
        <v>27</v>
      </c>
      <c r="K32" s="611"/>
      <c r="L32" s="595">
        <f t="shared" si="1"/>
        <v>0.02</v>
      </c>
      <c r="M32" s="595"/>
      <c r="N32" s="613">
        <f t="shared" si="2"/>
        <v>10361.692800000001</v>
      </c>
      <c r="O32" s="613"/>
      <c r="P32" s="613">
        <f t="shared" si="3"/>
        <v>8826.627199999999</v>
      </c>
      <c r="Q32" s="612"/>
      <c r="R32" s="614" t="str">
        <f t="shared" si="4"/>
        <v>No</v>
      </c>
      <c r="S32" s="614"/>
      <c r="T32" s="326">
        <v>1989</v>
      </c>
      <c r="U32" s="590">
        <f t="shared" si="5"/>
        <v>23</v>
      </c>
    </row>
    <row r="33" spans="1:21">
      <c r="B33" s="590" t="s">
        <v>293</v>
      </c>
      <c r="C33" s="592"/>
      <c r="D33" s="326">
        <v>1985</v>
      </c>
      <c r="E33" s="592"/>
      <c r="F33" s="609">
        <v>31372</v>
      </c>
      <c r="G33" s="617"/>
      <c r="H33" s="291">
        <v>129343.47</v>
      </c>
      <c r="J33" s="611">
        <f t="shared" si="0"/>
        <v>27</v>
      </c>
      <c r="K33" s="611"/>
      <c r="L33" s="595">
        <f t="shared" si="1"/>
        <v>0.02</v>
      </c>
      <c r="M33" s="595"/>
      <c r="N33" s="613">
        <f t="shared" si="2"/>
        <v>69845.473800000007</v>
      </c>
      <c r="O33" s="613"/>
      <c r="P33" s="613">
        <f t="shared" si="3"/>
        <v>59497.996199999994</v>
      </c>
      <c r="Q33" s="612"/>
      <c r="R33" s="614" t="str">
        <f t="shared" si="4"/>
        <v>No</v>
      </c>
      <c r="S33" s="614"/>
      <c r="T33" s="326">
        <v>1990</v>
      </c>
      <c r="U33" s="590">
        <f t="shared" si="5"/>
        <v>22</v>
      </c>
    </row>
    <row r="34" spans="1:21">
      <c r="B34" s="590" t="s">
        <v>293</v>
      </c>
      <c r="C34" s="592"/>
      <c r="D34" s="326">
        <v>1985</v>
      </c>
      <c r="E34" s="592"/>
      <c r="F34" s="609">
        <v>31372</v>
      </c>
      <c r="G34" s="617"/>
      <c r="H34" s="291">
        <v>21885.34</v>
      </c>
      <c r="J34" s="611">
        <f t="shared" si="0"/>
        <v>27</v>
      </c>
      <c r="K34" s="611"/>
      <c r="L34" s="595">
        <f t="shared" si="1"/>
        <v>0.02</v>
      </c>
      <c r="M34" s="595"/>
      <c r="N34" s="613">
        <f t="shared" si="2"/>
        <v>11818.083600000002</v>
      </c>
      <c r="O34" s="613"/>
      <c r="P34" s="613">
        <f t="shared" si="3"/>
        <v>10067.256399999998</v>
      </c>
      <c r="Q34" s="612"/>
      <c r="R34" s="614" t="str">
        <f t="shared" si="4"/>
        <v>No</v>
      </c>
      <c r="S34" s="614"/>
      <c r="T34" s="326">
        <v>1991</v>
      </c>
      <c r="U34" s="590">
        <f t="shared" si="5"/>
        <v>21</v>
      </c>
    </row>
    <row r="35" spans="1:21">
      <c r="B35" s="590" t="s">
        <v>293</v>
      </c>
      <c r="D35" s="326">
        <v>1997</v>
      </c>
      <c r="F35" s="618">
        <v>35642</v>
      </c>
      <c r="G35" s="619"/>
      <c r="H35" s="291">
        <v>6000.81</v>
      </c>
      <c r="J35" s="611">
        <f t="shared" si="0"/>
        <v>15</v>
      </c>
      <c r="K35" s="611"/>
      <c r="L35" s="595">
        <f t="shared" si="1"/>
        <v>0.02</v>
      </c>
      <c r="M35" s="595"/>
      <c r="N35" s="613">
        <f t="shared" si="2"/>
        <v>1800.2430000000002</v>
      </c>
      <c r="O35" s="613"/>
      <c r="P35" s="613">
        <f t="shared" si="3"/>
        <v>4200.567</v>
      </c>
      <c r="Q35" s="612"/>
      <c r="R35" s="614" t="str">
        <f t="shared" si="4"/>
        <v>No</v>
      </c>
      <c r="S35" s="614"/>
      <c r="T35" s="326">
        <v>1992</v>
      </c>
      <c r="U35" s="590">
        <f t="shared" si="5"/>
        <v>20</v>
      </c>
    </row>
    <row r="36" spans="1:21">
      <c r="B36" s="590" t="s">
        <v>293</v>
      </c>
      <c r="D36" s="326">
        <v>1997</v>
      </c>
      <c r="F36" s="618">
        <v>35642</v>
      </c>
      <c r="G36" s="610"/>
      <c r="H36" s="291">
        <v>677.84</v>
      </c>
      <c r="J36" s="611">
        <f t="shared" si="0"/>
        <v>15</v>
      </c>
      <c r="K36" s="611"/>
      <c r="L36" s="595">
        <f t="shared" si="1"/>
        <v>0.02</v>
      </c>
      <c r="M36" s="595"/>
      <c r="N36" s="613">
        <f t="shared" si="2"/>
        <v>203.352</v>
      </c>
      <c r="O36" s="613"/>
      <c r="P36" s="613">
        <f t="shared" si="3"/>
        <v>474.48800000000006</v>
      </c>
      <c r="Q36" s="612"/>
      <c r="R36" s="614" t="str">
        <f t="shared" si="4"/>
        <v>No</v>
      </c>
      <c r="S36" s="614"/>
      <c r="T36" s="326">
        <v>1993</v>
      </c>
      <c r="U36" s="590">
        <f t="shared" si="5"/>
        <v>19</v>
      </c>
    </row>
    <row r="37" spans="1:21">
      <c r="B37" s="590" t="s">
        <v>293</v>
      </c>
      <c r="D37" s="326">
        <v>1997</v>
      </c>
      <c r="F37" s="618">
        <v>35642</v>
      </c>
      <c r="G37" s="610"/>
      <c r="H37" s="291">
        <v>39951.21</v>
      </c>
      <c r="J37" s="611">
        <f t="shared" si="0"/>
        <v>15</v>
      </c>
      <c r="K37" s="611"/>
      <c r="L37" s="595">
        <f t="shared" si="1"/>
        <v>0.02</v>
      </c>
      <c r="M37" s="595"/>
      <c r="N37" s="613">
        <f t="shared" si="2"/>
        <v>11985.362999999999</v>
      </c>
      <c r="O37" s="613"/>
      <c r="P37" s="613">
        <f t="shared" si="3"/>
        <v>27965.847000000002</v>
      </c>
      <c r="Q37" s="612"/>
      <c r="R37" s="614" t="str">
        <f t="shared" si="4"/>
        <v>No</v>
      </c>
      <c r="S37" s="614"/>
      <c r="T37" s="326">
        <v>1994</v>
      </c>
      <c r="U37" s="590">
        <f t="shared" si="5"/>
        <v>18</v>
      </c>
    </row>
    <row r="38" spans="1:21">
      <c r="B38" s="590" t="s">
        <v>293</v>
      </c>
      <c r="D38" s="326">
        <v>1997</v>
      </c>
      <c r="F38" s="618">
        <v>35642</v>
      </c>
      <c r="G38" s="617"/>
      <c r="H38" s="291">
        <v>18022.240000000002</v>
      </c>
      <c r="J38" s="611">
        <f t="shared" si="0"/>
        <v>15</v>
      </c>
      <c r="K38" s="611"/>
      <c r="L38" s="595">
        <f t="shared" si="1"/>
        <v>0.02</v>
      </c>
      <c r="M38" s="595"/>
      <c r="N38" s="613">
        <f t="shared" si="2"/>
        <v>5406.6720000000005</v>
      </c>
      <c r="O38" s="613"/>
      <c r="P38" s="613">
        <f t="shared" si="3"/>
        <v>12615.568000000001</v>
      </c>
      <c r="Q38" s="612"/>
      <c r="R38" s="614" t="str">
        <f t="shared" si="4"/>
        <v>No</v>
      </c>
      <c r="S38" s="614"/>
      <c r="T38" s="326">
        <v>1995</v>
      </c>
      <c r="U38" s="590">
        <f t="shared" si="5"/>
        <v>17</v>
      </c>
    </row>
    <row r="39" spans="1:21">
      <c r="B39" s="590" t="s">
        <v>293</v>
      </c>
      <c r="D39" s="326">
        <v>1997</v>
      </c>
      <c r="F39" s="609">
        <v>35642</v>
      </c>
      <c r="G39" s="610"/>
      <c r="H39" s="291">
        <v>29151.79</v>
      </c>
      <c r="I39" s="291"/>
      <c r="J39" s="611">
        <f t="shared" si="0"/>
        <v>15</v>
      </c>
      <c r="K39" s="620"/>
      <c r="L39" s="621">
        <f t="shared" si="1"/>
        <v>0.02</v>
      </c>
      <c r="M39" s="621"/>
      <c r="N39" s="613">
        <f t="shared" si="2"/>
        <v>8745.5370000000003</v>
      </c>
      <c r="O39" s="613"/>
      <c r="P39" s="613">
        <f t="shared" si="3"/>
        <v>20406.253000000001</v>
      </c>
      <c r="Q39" s="613"/>
      <c r="R39" s="622" t="str">
        <f t="shared" si="4"/>
        <v>No</v>
      </c>
      <c r="S39" s="614"/>
      <c r="T39" s="326">
        <v>1996</v>
      </c>
      <c r="U39" s="590">
        <f t="shared" si="5"/>
        <v>16</v>
      </c>
    </row>
    <row r="40" spans="1:21">
      <c r="B40" s="590" t="s">
        <v>293</v>
      </c>
      <c r="D40" s="326">
        <v>1997</v>
      </c>
      <c r="F40" s="609">
        <v>35642</v>
      </c>
      <c r="G40" s="610"/>
      <c r="H40" s="291">
        <v>34478.839999999997</v>
      </c>
      <c r="J40" s="611">
        <f t="shared" si="0"/>
        <v>15</v>
      </c>
      <c r="K40" s="620"/>
      <c r="L40" s="621">
        <f t="shared" si="1"/>
        <v>0.02</v>
      </c>
      <c r="M40" s="621"/>
      <c r="N40" s="613">
        <f t="shared" si="2"/>
        <v>10343.651999999998</v>
      </c>
      <c r="O40" s="613"/>
      <c r="P40" s="613">
        <f t="shared" si="3"/>
        <v>24135.187999999998</v>
      </c>
      <c r="Q40" s="613"/>
      <c r="R40" s="622" t="str">
        <f t="shared" si="4"/>
        <v>No</v>
      </c>
      <c r="S40" s="579"/>
      <c r="T40" s="326">
        <v>1997</v>
      </c>
      <c r="U40" s="590">
        <f t="shared" si="5"/>
        <v>15</v>
      </c>
    </row>
    <row r="41" spans="1:21">
      <c r="B41" s="590" t="s">
        <v>293</v>
      </c>
      <c r="D41" s="326">
        <v>1997</v>
      </c>
      <c r="F41" s="609">
        <v>35642</v>
      </c>
      <c r="G41" s="610"/>
      <c r="H41" s="291">
        <v>682.5</v>
      </c>
      <c r="J41" s="611">
        <f t="shared" si="0"/>
        <v>15</v>
      </c>
      <c r="K41" s="620"/>
      <c r="L41" s="621">
        <f t="shared" ref="L41:L77" si="6">VLOOKUP(B41,$T$9:$U$13,2,FALSE)</f>
        <v>0.02</v>
      </c>
      <c r="M41" s="621"/>
      <c r="N41" s="613">
        <f t="shared" ref="N41:N77" si="7">IF(L41*J41*H41&gt;H41,H41,L41*J41*H41)</f>
        <v>204.75</v>
      </c>
      <c r="O41" s="613"/>
      <c r="P41" s="613">
        <f t="shared" ref="P41:P77" si="8">H41-N41</f>
        <v>477.75</v>
      </c>
      <c r="Q41" s="613"/>
      <c r="R41" s="622" t="str">
        <f t="shared" ref="R41:R77" si="9">IF(N41=H41,"Yes","No")</f>
        <v>No</v>
      </c>
      <c r="T41" s="326">
        <v>1998</v>
      </c>
      <c r="U41" s="590">
        <f t="shared" si="5"/>
        <v>14</v>
      </c>
    </row>
    <row r="42" spans="1:21">
      <c r="B42" s="590" t="s">
        <v>293</v>
      </c>
      <c r="D42" s="326">
        <v>1997</v>
      </c>
      <c r="F42" s="609">
        <v>35642</v>
      </c>
      <c r="G42" s="610"/>
      <c r="H42" s="291">
        <v>33053.68</v>
      </c>
      <c r="J42" s="611">
        <f t="shared" si="0"/>
        <v>15</v>
      </c>
      <c r="K42" s="620"/>
      <c r="L42" s="621">
        <f t="shared" si="6"/>
        <v>0.02</v>
      </c>
      <c r="M42" s="621"/>
      <c r="N42" s="613">
        <f t="shared" si="7"/>
        <v>9916.1039999999994</v>
      </c>
      <c r="O42" s="613"/>
      <c r="P42" s="613">
        <f t="shared" si="8"/>
        <v>23137.576000000001</v>
      </c>
      <c r="Q42" s="613"/>
      <c r="R42" s="622" t="str">
        <f t="shared" si="9"/>
        <v>No</v>
      </c>
      <c r="T42" s="326">
        <v>1999</v>
      </c>
      <c r="U42" s="590">
        <f t="shared" si="5"/>
        <v>13</v>
      </c>
    </row>
    <row r="43" spans="1:21">
      <c r="B43" s="590" t="s">
        <v>293</v>
      </c>
      <c r="D43" s="326">
        <v>1997</v>
      </c>
      <c r="F43" s="609">
        <v>35642</v>
      </c>
      <c r="G43" s="610"/>
      <c r="H43" s="291">
        <v>6843.71</v>
      </c>
      <c r="J43" s="611">
        <f t="shared" si="0"/>
        <v>15</v>
      </c>
      <c r="K43" s="620"/>
      <c r="L43" s="621">
        <f t="shared" si="6"/>
        <v>0.02</v>
      </c>
      <c r="M43" s="621"/>
      <c r="N43" s="613">
        <f t="shared" si="7"/>
        <v>2053.1129999999998</v>
      </c>
      <c r="O43" s="613"/>
      <c r="P43" s="613">
        <f t="shared" si="8"/>
        <v>4790.5969999999998</v>
      </c>
      <c r="Q43" s="613"/>
      <c r="R43" s="622" t="str">
        <f t="shared" si="9"/>
        <v>No</v>
      </c>
      <c r="T43" s="326">
        <v>2000</v>
      </c>
      <c r="U43" s="590">
        <f t="shared" si="5"/>
        <v>12</v>
      </c>
    </row>
    <row r="44" spans="1:21">
      <c r="B44" s="590" t="s">
        <v>293</v>
      </c>
      <c r="D44" s="326">
        <v>1997</v>
      </c>
      <c r="F44" s="609">
        <v>35642</v>
      </c>
      <c r="G44" s="610"/>
      <c r="H44" s="291">
        <v>12226.94</v>
      </c>
      <c r="J44" s="611">
        <f t="shared" si="0"/>
        <v>15</v>
      </c>
      <c r="K44" s="620"/>
      <c r="L44" s="621">
        <f t="shared" si="6"/>
        <v>0.02</v>
      </c>
      <c r="M44" s="621"/>
      <c r="N44" s="613">
        <f t="shared" si="7"/>
        <v>3668.0819999999999</v>
      </c>
      <c r="O44" s="613"/>
      <c r="P44" s="613">
        <f t="shared" si="8"/>
        <v>8558.8580000000002</v>
      </c>
      <c r="Q44" s="613"/>
      <c r="R44" s="622" t="str">
        <f t="shared" si="9"/>
        <v>No</v>
      </c>
      <c r="T44" s="326">
        <v>2001</v>
      </c>
      <c r="U44" s="590">
        <f t="shared" si="5"/>
        <v>11</v>
      </c>
    </row>
    <row r="45" spans="1:21">
      <c r="B45" s="590" t="s">
        <v>293</v>
      </c>
      <c r="D45" s="326">
        <v>1997</v>
      </c>
      <c r="F45" s="609">
        <v>35642</v>
      </c>
      <c r="G45" s="610"/>
      <c r="H45" s="291">
        <v>337.29</v>
      </c>
      <c r="J45" s="611">
        <f t="shared" si="0"/>
        <v>15</v>
      </c>
      <c r="K45" s="620"/>
      <c r="L45" s="621">
        <f t="shared" si="6"/>
        <v>0.02</v>
      </c>
      <c r="M45" s="621"/>
      <c r="N45" s="613">
        <f t="shared" si="7"/>
        <v>101.187</v>
      </c>
      <c r="O45" s="613"/>
      <c r="P45" s="613">
        <f t="shared" si="8"/>
        <v>236.10300000000001</v>
      </c>
      <c r="Q45" s="613"/>
      <c r="R45" s="622" t="str">
        <f t="shared" si="9"/>
        <v>No</v>
      </c>
      <c r="T45" s="326">
        <v>2002</v>
      </c>
      <c r="U45" s="590">
        <f t="shared" si="5"/>
        <v>10</v>
      </c>
    </row>
    <row r="46" spans="1:21">
      <c r="B46" s="590" t="s">
        <v>293</v>
      </c>
      <c r="D46" s="326">
        <v>1997</v>
      </c>
      <c r="F46" s="609">
        <v>35642</v>
      </c>
      <c r="G46" s="610"/>
      <c r="H46" s="291">
        <v>25347.95</v>
      </c>
      <c r="J46" s="611">
        <f t="shared" si="0"/>
        <v>15</v>
      </c>
      <c r="K46" s="620"/>
      <c r="L46" s="621">
        <f t="shared" si="6"/>
        <v>0.02</v>
      </c>
      <c r="M46" s="621"/>
      <c r="N46" s="613">
        <f t="shared" si="7"/>
        <v>7604.3850000000002</v>
      </c>
      <c r="O46" s="613"/>
      <c r="P46" s="613">
        <f t="shared" si="8"/>
        <v>17743.565000000002</v>
      </c>
      <c r="Q46" s="613"/>
      <c r="R46" s="622" t="str">
        <f t="shared" si="9"/>
        <v>No</v>
      </c>
      <c r="T46" s="326">
        <v>2003</v>
      </c>
      <c r="U46" s="590">
        <f t="shared" si="5"/>
        <v>9</v>
      </c>
    </row>
    <row r="47" spans="1:21">
      <c r="A47" s="623"/>
      <c r="B47" s="590" t="s">
        <v>293</v>
      </c>
      <c r="D47" s="326">
        <v>1997</v>
      </c>
      <c r="F47" s="609">
        <v>35642</v>
      </c>
      <c r="G47" s="610"/>
      <c r="H47" s="291">
        <v>7520.74</v>
      </c>
      <c r="J47" s="611">
        <f t="shared" si="0"/>
        <v>15</v>
      </c>
      <c r="K47" s="620"/>
      <c r="L47" s="621">
        <f t="shared" si="6"/>
        <v>0.02</v>
      </c>
      <c r="M47" s="621"/>
      <c r="N47" s="613">
        <f t="shared" si="7"/>
        <v>2256.2219999999998</v>
      </c>
      <c r="O47" s="613"/>
      <c r="P47" s="613">
        <f t="shared" si="8"/>
        <v>5264.518</v>
      </c>
      <c r="Q47" s="613"/>
      <c r="R47" s="622" t="str">
        <f t="shared" si="9"/>
        <v>No</v>
      </c>
      <c r="T47" s="326">
        <v>2004</v>
      </c>
      <c r="U47" s="590">
        <f t="shared" si="5"/>
        <v>8</v>
      </c>
    </row>
    <row r="48" spans="1:21">
      <c r="B48" s="590" t="s">
        <v>293</v>
      </c>
      <c r="D48" s="326">
        <v>1997</v>
      </c>
      <c r="F48" s="609">
        <v>35642</v>
      </c>
      <c r="G48" s="610"/>
      <c r="H48" s="291">
        <v>20637.8</v>
      </c>
      <c r="J48" s="611">
        <f t="shared" si="0"/>
        <v>15</v>
      </c>
      <c r="K48" s="620"/>
      <c r="L48" s="621">
        <f t="shared" si="6"/>
        <v>0.02</v>
      </c>
      <c r="M48" s="621"/>
      <c r="N48" s="613">
        <f t="shared" si="7"/>
        <v>6191.3399999999992</v>
      </c>
      <c r="O48" s="613"/>
      <c r="P48" s="613">
        <f t="shared" si="8"/>
        <v>14446.46</v>
      </c>
      <c r="Q48" s="613"/>
      <c r="R48" s="622" t="str">
        <f t="shared" si="9"/>
        <v>No</v>
      </c>
      <c r="S48" s="614"/>
      <c r="T48" s="326">
        <v>2005</v>
      </c>
      <c r="U48" s="590">
        <f t="shared" si="5"/>
        <v>7</v>
      </c>
    </row>
    <row r="49" spans="2:21">
      <c r="B49" s="590" t="s">
        <v>293</v>
      </c>
      <c r="D49" s="326">
        <v>1997</v>
      </c>
      <c r="F49" s="609">
        <v>35642</v>
      </c>
      <c r="G49" s="610"/>
      <c r="H49" s="291">
        <v>3041</v>
      </c>
      <c r="J49" s="611">
        <f t="shared" si="0"/>
        <v>15</v>
      </c>
      <c r="K49" s="620"/>
      <c r="L49" s="621">
        <f t="shared" si="6"/>
        <v>0.02</v>
      </c>
      <c r="M49" s="621"/>
      <c r="N49" s="613">
        <f t="shared" si="7"/>
        <v>912.3</v>
      </c>
      <c r="O49" s="613"/>
      <c r="P49" s="613">
        <f t="shared" si="8"/>
        <v>2128.6999999999998</v>
      </c>
      <c r="Q49" s="613"/>
      <c r="R49" s="622" t="str">
        <f t="shared" si="9"/>
        <v>No</v>
      </c>
      <c r="S49" s="614"/>
      <c r="T49" s="591">
        <v>2006</v>
      </c>
      <c r="U49" s="590">
        <f t="shared" si="5"/>
        <v>6</v>
      </c>
    </row>
    <row r="50" spans="2:21">
      <c r="B50" s="590" t="s">
        <v>293</v>
      </c>
      <c r="D50" s="326">
        <v>1997</v>
      </c>
      <c r="F50" s="609">
        <v>35642</v>
      </c>
      <c r="G50" s="610"/>
      <c r="H50" s="291">
        <v>854.21</v>
      </c>
      <c r="J50" s="611">
        <f t="shared" si="0"/>
        <v>15</v>
      </c>
      <c r="K50" s="620"/>
      <c r="L50" s="621">
        <f t="shared" si="6"/>
        <v>0.02</v>
      </c>
      <c r="M50" s="621"/>
      <c r="N50" s="613">
        <f t="shared" si="7"/>
        <v>256.26299999999998</v>
      </c>
      <c r="O50" s="613"/>
      <c r="P50" s="613">
        <f t="shared" si="8"/>
        <v>597.94700000000012</v>
      </c>
      <c r="Q50" s="613"/>
      <c r="R50" s="622" t="str">
        <f t="shared" si="9"/>
        <v>No</v>
      </c>
      <c r="S50" s="614"/>
      <c r="T50" s="591">
        <v>2007</v>
      </c>
      <c r="U50" s="590">
        <f t="shared" si="5"/>
        <v>5</v>
      </c>
    </row>
    <row r="51" spans="2:21">
      <c r="B51" s="590" t="s">
        <v>293</v>
      </c>
      <c r="C51" s="592"/>
      <c r="D51" s="624">
        <v>1997</v>
      </c>
      <c r="E51" s="592"/>
      <c r="F51" s="625">
        <v>35642</v>
      </c>
      <c r="G51" s="617"/>
      <c r="H51" s="291">
        <v>8920.93</v>
      </c>
      <c r="J51" s="611">
        <f t="shared" si="0"/>
        <v>15</v>
      </c>
      <c r="K51" s="620"/>
      <c r="L51" s="621">
        <f t="shared" si="6"/>
        <v>0.02</v>
      </c>
      <c r="M51" s="621"/>
      <c r="N51" s="613">
        <f t="shared" si="7"/>
        <v>2676.279</v>
      </c>
      <c r="O51" s="613"/>
      <c r="P51" s="613">
        <f t="shared" si="8"/>
        <v>6244.6509999999998</v>
      </c>
      <c r="Q51" s="613"/>
      <c r="R51" s="622" t="str">
        <f t="shared" si="9"/>
        <v>No</v>
      </c>
      <c r="S51" s="614"/>
      <c r="T51" s="626">
        <v>2008</v>
      </c>
      <c r="U51" s="590">
        <f t="shared" si="5"/>
        <v>4</v>
      </c>
    </row>
    <row r="52" spans="2:21">
      <c r="B52" s="590" t="s">
        <v>293</v>
      </c>
      <c r="C52" s="592"/>
      <c r="D52" s="624">
        <v>1997</v>
      </c>
      <c r="E52" s="592"/>
      <c r="F52" s="625">
        <v>35642</v>
      </c>
      <c r="G52" s="617"/>
      <c r="H52" s="291">
        <v>18713.8</v>
      </c>
      <c r="J52" s="611">
        <f t="shared" si="0"/>
        <v>15</v>
      </c>
      <c r="K52" s="620"/>
      <c r="L52" s="621">
        <f t="shared" si="6"/>
        <v>0.02</v>
      </c>
      <c r="M52" s="621"/>
      <c r="N52" s="613">
        <f t="shared" si="7"/>
        <v>5614.1399999999994</v>
      </c>
      <c r="O52" s="613"/>
      <c r="P52" s="613">
        <f t="shared" si="8"/>
        <v>13099.66</v>
      </c>
      <c r="Q52" s="613"/>
      <c r="R52" s="622" t="str">
        <f t="shared" si="9"/>
        <v>No</v>
      </c>
      <c r="S52" s="614"/>
      <c r="T52" s="626">
        <v>2009</v>
      </c>
      <c r="U52" s="590">
        <f t="shared" si="5"/>
        <v>3</v>
      </c>
    </row>
    <row r="53" spans="2:21">
      <c r="B53" s="590" t="s">
        <v>293</v>
      </c>
      <c r="C53" s="592"/>
      <c r="D53" s="624">
        <v>1997</v>
      </c>
      <c r="E53" s="592"/>
      <c r="F53" s="625">
        <v>35642</v>
      </c>
      <c r="G53" s="617"/>
      <c r="H53" s="291">
        <v>42319.97</v>
      </c>
      <c r="J53" s="611">
        <f t="shared" si="0"/>
        <v>15</v>
      </c>
      <c r="K53" s="620"/>
      <c r="L53" s="621">
        <f t="shared" si="6"/>
        <v>0.02</v>
      </c>
      <c r="M53" s="621"/>
      <c r="N53" s="613">
        <f t="shared" si="7"/>
        <v>12695.991</v>
      </c>
      <c r="O53" s="613"/>
      <c r="P53" s="613">
        <f t="shared" si="8"/>
        <v>29623.978999999999</v>
      </c>
      <c r="Q53" s="613"/>
      <c r="R53" s="622" t="str">
        <f t="shared" si="9"/>
        <v>No</v>
      </c>
      <c r="S53" s="614"/>
      <c r="T53" s="626">
        <v>2010</v>
      </c>
      <c r="U53" s="590">
        <f t="shared" si="5"/>
        <v>2</v>
      </c>
    </row>
    <row r="54" spans="2:21">
      <c r="B54" s="590" t="s">
        <v>293</v>
      </c>
      <c r="C54" s="592"/>
      <c r="D54" s="624">
        <v>1997</v>
      </c>
      <c r="E54" s="592"/>
      <c r="F54" s="625">
        <v>35642</v>
      </c>
      <c r="G54" s="617"/>
      <c r="H54" s="291">
        <v>117894.63</v>
      </c>
      <c r="J54" s="611">
        <f t="shared" si="0"/>
        <v>15</v>
      </c>
      <c r="K54" s="620"/>
      <c r="L54" s="621">
        <f t="shared" si="6"/>
        <v>0.02</v>
      </c>
      <c r="M54" s="621"/>
      <c r="N54" s="613">
        <f t="shared" si="7"/>
        <v>35368.389000000003</v>
      </c>
      <c r="O54" s="613"/>
      <c r="P54" s="613">
        <f t="shared" si="8"/>
        <v>82526.241000000009</v>
      </c>
      <c r="Q54" s="613"/>
      <c r="R54" s="622" t="str">
        <f t="shared" si="9"/>
        <v>No</v>
      </c>
      <c r="S54" s="614"/>
      <c r="T54" s="626">
        <v>2011</v>
      </c>
      <c r="U54" s="590">
        <f t="shared" si="5"/>
        <v>1</v>
      </c>
    </row>
    <row r="55" spans="2:21">
      <c r="B55" s="590" t="s">
        <v>293</v>
      </c>
      <c r="C55" s="592"/>
      <c r="D55" s="624">
        <v>1997</v>
      </c>
      <c r="E55" s="592"/>
      <c r="F55" s="625">
        <v>35642</v>
      </c>
      <c r="G55" s="617"/>
      <c r="H55" s="291">
        <v>2383</v>
      </c>
      <c r="J55" s="611">
        <f t="shared" si="0"/>
        <v>15</v>
      </c>
      <c r="K55" s="620"/>
      <c r="L55" s="621">
        <f t="shared" si="6"/>
        <v>0.02</v>
      </c>
      <c r="M55" s="621"/>
      <c r="N55" s="613">
        <f t="shared" si="7"/>
        <v>714.9</v>
      </c>
      <c r="O55" s="613"/>
      <c r="P55" s="613">
        <f t="shared" si="8"/>
        <v>1668.1</v>
      </c>
      <c r="Q55" s="613"/>
      <c r="R55" s="622" t="str">
        <f t="shared" si="9"/>
        <v>No</v>
      </c>
      <c r="S55" s="614"/>
      <c r="T55" s="626">
        <v>2012</v>
      </c>
      <c r="U55" s="590">
        <f t="shared" si="5"/>
        <v>0</v>
      </c>
    </row>
    <row r="56" spans="2:21">
      <c r="B56" s="590" t="s">
        <v>293</v>
      </c>
      <c r="C56" s="592"/>
      <c r="D56" s="624">
        <v>1997</v>
      </c>
      <c r="E56" s="592"/>
      <c r="F56" s="625">
        <v>35642</v>
      </c>
      <c r="G56" s="617"/>
      <c r="H56" s="291">
        <v>454</v>
      </c>
      <c r="J56" s="611">
        <f t="shared" si="0"/>
        <v>15</v>
      </c>
      <c r="K56" s="620"/>
      <c r="L56" s="621">
        <f t="shared" si="6"/>
        <v>0.02</v>
      </c>
      <c r="M56" s="621"/>
      <c r="N56" s="613">
        <f t="shared" si="7"/>
        <v>136.19999999999999</v>
      </c>
      <c r="O56" s="613"/>
      <c r="P56" s="613">
        <f t="shared" si="8"/>
        <v>317.8</v>
      </c>
      <c r="Q56" s="613"/>
      <c r="R56" s="622" t="str">
        <f t="shared" si="9"/>
        <v>No</v>
      </c>
      <c r="S56" s="614"/>
    </row>
    <row r="57" spans="2:21">
      <c r="B57" s="590" t="s">
        <v>511</v>
      </c>
      <c r="D57" s="326">
        <v>1997</v>
      </c>
      <c r="F57" s="609">
        <v>35642</v>
      </c>
      <c r="G57" s="610"/>
      <c r="H57" s="291">
        <v>840.8</v>
      </c>
      <c r="J57" s="611">
        <f t="shared" si="0"/>
        <v>15</v>
      </c>
      <c r="K57" s="620"/>
      <c r="L57" s="621">
        <f t="shared" si="6"/>
        <v>0</v>
      </c>
      <c r="M57" s="621"/>
      <c r="N57" s="613">
        <f t="shared" si="7"/>
        <v>0</v>
      </c>
      <c r="O57" s="613"/>
      <c r="P57" s="613">
        <f t="shared" si="8"/>
        <v>840.8</v>
      </c>
      <c r="Q57" s="613"/>
      <c r="R57" s="622" t="str">
        <f t="shared" si="9"/>
        <v>No</v>
      </c>
      <c r="S57" s="614"/>
    </row>
    <row r="58" spans="2:21">
      <c r="B58" s="590" t="s">
        <v>511</v>
      </c>
      <c r="D58" s="326">
        <v>1997</v>
      </c>
      <c r="F58" s="609">
        <v>35642</v>
      </c>
      <c r="G58" s="610"/>
      <c r="H58" s="291">
        <v>6853</v>
      </c>
      <c r="J58" s="611">
        <f t="shared" si="0"/>
        <v>15</v>
      </c>
      <c r="K58" s="620"/>
      <c r="L58" s="621">
        <f t="shared" si="6"/>
        <v>0</v>
      </c>
      <c r="M58" s="621"/>
      <c r="N58" s="613">
        <f t="shared" si="7"/>
        <v>0</v>
      </c>
      <c r="O58" s="613"/>
      <c r="P58" s="613">
        <f t="shared" si="8"/>
        <v>6853</v>
      </c>
      <c r="Q58" s="613"/>
      <c r="R58" s="622" t="str">
        <f t="shared" si="9"/>
        <v>No</v>
      </c>
      <c r="S58" s="614"/>
    </row>
    <row r="59" spans="2:21">
      <c r="B59" s="590" t="s">
        <v>511</v>
      </c>
      <c r="D59" s="326">
        <v>1997</v>
      </c>
      <c r="F59" s="609">
        <v>35642</v>
      </c>
      <c r="G59" s="610"/>
      <c r="H59" s="291">
        <v>628.83000000000004</v>
      </c>
      <c r="J59" s="611">
        <f t="shared" si="0"/>
        <v>15</v>
      </c>
      <c r="K59" s="620"/>
      <c r="L59" s="621">
        <f t="shared" si="6"/>
        <v>0</v>
      </c>
      <c r="M59" s="621"/>
      <c r="N59" s="613">
        <f t="shared" si="7"/>
        <v>0</v>
      </c>
      <c r="O59" s="613"/>
      <c r="P59" s="613">
        <f t="shared" si="8"/>
        <v>628.83000000000004</v>
      </c>
      <c r="Q59" s="613"/>
      <c r="R59" s="622" t="str">
        <f t="shared" si="9"/>
        <v>No</v>
      </c>
      <c r="S59" s="614"/>
    </row>
    <row r="60" spans="2:21">
      <c r="B60" s="590" t="s">
        <v>511</v>
      </c>
      <c r="D60" s="326">
        <v>1997</v>
      </c>
      <c r="F60" s="609">
        <v>35642</v>
      </c>
      <c r="G60" s="610"/>
      <c r="H60" s="291">
        <v>1025.44</v>
      </c>
      <c r="J60" s="611">
        <f t="shared" si="0"/>
        <v>15</v>
      </c>
      <c r="K60" s="620"/>
      <c r="L60" s="621">
        <f t="shared" si="6"/>
        <v>0</v>
      </c>
      <c r="M60" s="621"/>
      <c r="N60" s="613">
        <f t="shared" si="7"/>
        <v>0</v>
      </c>
      <c r="O60" s="613"/>
      <c r="P60" s="613">
        <f t="shared" si="8"/>
        <v>1025.44</v>
      </c>
      <c r="Q60" s="613"/>
      <c r="R60" s="622" t="str">
        <f t="shared" si="9"/>
        <v>No</v>
      </c>
      <c r="S60" s="614"/>
    </row>
    <row r="61" spans="2:21">
      <c r="B61" s="590" t="s">
        <v>511</v>
      </c>
      <c r="D61" s="326">
        <v>1997</v>
      </c>
      <c r="F61" s="609">
        <v>35642</v>
      </c>
      <c r="G61" s="610"/>
      <c r="H61" s="291">
        <v>5496</v>
      </c>
      <c r="J61" s="611">
        <f t="shared" si="0"/>
        <v>15</v>
      </c>
      <c r="K61" s="620"/>
      <c r="L61" s="621">
        <f t="shared" si="6"/>
        <v>0</v>
      </c>
      <c r="M61" s="621"/>
      <c r="N61" s="613">
        <f t="shared" si="7"/>
        <v>0</v>
      </c>
      <c r="O61" s="613"/>
      <c r="P61" s="613">
        <f t="shared" si="8"/>
        <v>5496</v>
      </c>
      <c r="Q61" s="613"/>
      <c r="R61" s="622" t="str">
        <f t="shared" si="9"/>
        <v>No</v>
      </c>
      <c r="S61" s="614"/>
    </row>
    <row r="62" spans="2:21">
      <c r="B62" s="590" t="s">
        <v>511</v>
      </c>
      <c r="D62" s="326">
        <v>1997</v>
      </c>
      <c r="F62" s="609">
        <v>35642</v>
      </c>
      <c r="G62" s="610"/>
      <c r="H62" s="291">
        <v>112</v>
      </c>
      <c r="J62" s="611">
        <f t="shared" si="0"/>
        <v>15</v>
      </c>
      <c r="K62" s="620"/>
      <c r="L62" s="621">
        <f t="shared" si="6"/>
        <v>0</v>
      </c>
      <c r="M62" s="621"/>
      <c r="N62" s="613">
        <f t="shared" si="7"/>
        <v>0</v>
      </c>
      <c r="O62" s="613"/>
      <c r="P62" s="613">
        <f t="shared" si="8"/>
        <v>112</v>
      </c>
      <c r="Q62" s="613"/>
      <c r="R62" s="622" t="str">
        <f t="shared" si="9"/>
        <v>No</v>
      </c>
      <c r="S62" s="614"/>
    </row>
    <row r="63" spans="2:21">
      <c r="B63" s="592" t="s">
        <v>294</v>
      </c>
      <c r="C63" s="592"/>
      <c r="D63" s="624">
        <v>1997</v>
      </c>
      <c r="E63" s="592"/>
      <c r="F63" s="625">
        <v>35642</v>
      </c>
      <c r="G63" s="617"/>
      <c r="H63" s="291">
        <v>91200.55</v>
      </c>
      <c r="J63" s="611">
        <f t="shared" si="0"/>
        <v>15</v>
      </c>
      <c r="K63" s="620"/>
      <c r="L63" s="621">
        <f t="shared" si="6"/>
        <v>0.25</v>
      </c>
      <c r="M63" s="621"/>
      <c r="N63" s="613">
        <f t="shared" si="7"/>
        <v>91200.55</v>
      </c>
      <c r="O63" s="613"/>
      <c r="P63" s="613">
        <f t="shared" si="8"/>
        <v>0</v>
      </c>
      <c r="Q63" s="613"/>
      <c r="R63" s="622" t="str">
        <f t="shared" si="9"/>
        <v>Yes</v>
      </c>
      <c r="S63" s="614"/>
    </row>
    <row r="64" spans="2:21">
      <c r="B64" s="592" t="s">
        <v>294</v>
      </c>
      <c r="C64" s="592"/>
      <c r="D64" s="624">
        <v>1997</v>
      </c>
      <c r="E64" s="592"/>
      <c r="F64" s="625">
        <v>35642</v>
      </c>
      <c r="G64" s="617"/>
      <c r="H64" s="291">
        <v>23193.71</v>
      </c>
      <c r="J64" s="611">
        <f t="shared" si="0"/>
        <v>15</v>
      </c>
      <c r="K64" s="620"/>
      <c r="L64" s="621">
        <f t="shared" si="6"/>
        <v>0.25</v>
      </c>
      <c r="M64" s="621"/>
      <c r="N64" s="613">
        <f t="shared" si="7"/>
        <v>23193.71</v>
      </c>
      <c r="O64" s="613"/>
      <c r="P64" s="613">
        <f t="shared" si="8"/>
        <v>0</v>
      </c>
      <c r="Q64" s="613"/>
      <c r="R64" s="622" t="str">
        <f t="shared" si="9"/>
        <v>Yes</v>
      </c>
      <c r="S64" s="614"/>
    </row>
    <row r="65" spans="2:34">
      <c r="B65" s="592" t="s">
        <v>294</v>
      </c>
      <c r="C65" s="592"/>
      <c r="D65" s="624">
        <v>1997</v>
      </c>
      <c r="E65" s="592"/>
      <c r="F65" s="625">
        <v>35642</v>
      </c>
      <c r="G65" s="617"/>
      <c r="H65" s="291">
        <v>30641.95</v>
      </c>
      <c r="J65" s="611">
        <f t="shared" si="0"/>
        <v>15</v>
      </c>
      <c r="K65" s="620"/>
      <c r="L65" s="621">
        <f t="shared" si="6"/>
        <v>0.25</v>
      </c>
      <c r="M65" s="621"/>
      <c r="N65" s="613">
        <f t="shared" si="7"/>
        <v>30641.95</v>
      </c>
      <c r="O65" s="613"/>
      <c r="P65" s="613">
        <f t="shared" si="8"/>
        <v>0</v>
      </c>
      <c r="Q65" s="613"/>
      <c r="R65" s="622" t="str">
        <f t="shared" si="9"/>
        <v>Yes</v>
      </c>
      <c r="S65" s="614"/>
    </row>
    <row r="66" spans="2:34">
      <c r="B66" s="592" t="s">
        <v>294</v>
      </c>
      <c r="C66" s="592"/>
      <c r="D66" s="624">
        <v>1997</v>
      </c>
      <c r="E66" s="592"/>
      <c r="F66" s="625">
        <v>35642</v>
      </c>
      <c r="G66" s="617"/>
      <c r="H66" s="291">
        <v>3289</v>
      </c>
      <c r="J66" s="611">
        <f t="shared" si="0"/>
        <v>15</v>
      </c>
      <c r="K66" s="620"/>
      <c r="L66" s="621">
        <f t="shared" si="6"/>
        <v>0.25</v>
      </c>
      <c r="M66" s="621"/>
      <c r="N66" s="613">
        <f t="shared" si="7"/>
        <v>3289</v>
      </c>
      <c r="O66" s="613"/>
      <c r="P66" s="613">
        <f t="shared" si="8"/>
        <v>0</v>
      </c>
      <c r="Q66" s="613"/>
      <c r="R66" s="622" t="str">
        <f t="shared" si="9"/>
        <v>Yes</v>
      </c>
      <c r="S66" s="614"/>
    </row>
    <row r="67" spans="2:34">
      <c r="B67" s="592" t="s">
        <v>294</v>
      </c>
      <c r="C67" s="592"/>
      <c r="D67" s="624">
        <v>1997</v>
      </c>
      <c r="E67" s="592"/>
      <c r="F67" s="625">
        <v>35642</v>
      </c>
      <c r="G67" s="617"/>
      <c r="H67" s="291">
        <v>626</v>
      </c>
      <c r="J67" s="611">
        <f t="shared" si="0"/>
        <v>15</v>
      </c>
      <c r="K67" s="620"/>
      <c r="L67" s="621">
        <f t="shared" si="6"/>
        <v>0.25</v>
      </c>
      <c r="M67" s="621"/>
      <c r="N67" s="613">
        <f t="shared" si="7"/>
        <v>626</v>
      </c>
      <c r="O67" s="613"/>
      <c r="P67" s="613">
        <f t="shared" si="8"/>
        <v>0</v>
      </c>
      <c r="Q67" s="613"/>
      <c r="R67" s="622" t="str">
        <f t="shared" si="9"/>
        <v>Yes</v>
      </c>
      <c r="S67" s="614"/>
    </row>
    <row r="68" spans="2:34">
      <c r="B68" s="592" t="s">
        <v>294</v>
      </c>
      <c r="C68" s="592"/>
      <c r="D68" s="624">
        <v>1999</v>
      </c>
      <c r="E68" s="592"/>
      <c r="F68" s="625">
        <v>36342</v>
      </c>
      <c r="G68" s="617"/>
      <c r="H68" s="291">
        <v>23723</v>
      </c>
      <c r="J68" s="611">
        <f t="shared" si="0"/>
        <v>13</v>
      </c>
      <c r="K68" s="620"/>
      <c r="L68" s="621">
        <f t="shared" si="6"/>
        <v>0.25</v>
      </c>
      <c r="M68" s="621"/>
      <c r="N68" s="613">
        <f t="shared" si="7"/>
        <v>23723</v>
      </c>
      <c r="O68" s="613"/>
      <c r="P68" s="613">
        <f t="shared" si="8"/>
        <v>0</v>
      </c>
      <c r="Q68" s="613"/>
      <c r="R68" s="622" t="str">
        <f t="shared" si="9"/>
        <v>Yes</v>
      </c>
      <c r="S68" s="614"/>
    </row>
    <row r="69" spans="2:34">
      <c r="B69" s="590" t="s">
        <v>293</v>
      </c>
      <c r="C69" s="592"/>
      <c r="D69" s="624">
        <v>2000</v>
      </c>
      <c r="E69" s="592"/>
      <c r="F69" s="625">
        <v>36861</v>
      </c>
      <c r="G69" s="617"/>
      <c r="H69" s="291">
        <v>69976</v>
      </c>
      <c r="J69" s="611">
        <f t="shared" si="0"/>
        <v>12</v>
      </c>
      <c r="K69" s="620"/>
      <c r="L69" s="621">
        <f t="shared" si="6"/>
        <v>0.02</v>
      </c>
      <c r="M69" s="621"/>
      <c r="N69" s="613">
        <f t="shared" si="7"/>
        <v>16794.239999999998</v>
      </c>
      <c r="O69" s="613"/>
      <c r="P69" s="613">
        <f t="shared" si="8"/>
        <v>53181.760000000002</v>
      </c>
      <c r="Q69" s="613"/>
      <c r="R69" s="622" t="str">
        <f t="shared" si="9"/>
        <v>No</v>
      </c>
      <c r="S69" s="614"/>
    </row>
    <row r="70" spans="2:34">
      <c r="B70" s="592" t="s">
        <v>294</v>
      </c>
      <c r="C70" s="592"/>
      <c r="D70" s="624">
        <v>2000</v>
      </c>
      <c r="E70" s="592"/>
      <c r="F70" s="625">
        <v>36526</v>
      </c>
      <c r="G70" s="617"/>
      <c r="H70" s="291">
        <v>21601</v>
      </c>
      <c r="J70" s="611">
        <f t="shared" si="0"/>
        <v>12</v>
      </c>
      <c r="K70" s="620"/>
      <c r="L70" s="621">
        <f t="shared" si="6"/>
        <v>0.25</v>
      </c>
      <c r="M70" s="621"/>
      <c r="N70" s="613">
        <f t="shared" si="7"/>
        <v>21601</v>
      </c>
      <c r="O70" s="613"/>
      <c r="P70" s="613">
        <f t="shared" si="8"/>
        <v>0</v>
      </c>
      <c r="Q70" s="613"/>
      <c r="R70" s="622" t="str">
        <f t="shared" si="9"/>
        <v>Yes</v>
      </c>
      <c r="S70" s="614"/>
    </row>
    <row r="71" spans="2:34">
      <c r="B71" s="592" t="s">
        <v>294</v>
      </c>
      <c r="C71" s="592"/>
      <c r="D71" s="624">
        <v>2000</v>
      </c>
      <c r="E71" s="592"/>
      <c r="F71" s="625">
        <v>36586</v>
      </c>
      <c r="G71" s="617"/>
      <c r="H71" s="291">
        <v>24098</v>
      </c>
      <c r="I71" s="291"/>
      <c r="J71" s="611">
        <f t="shared" si="0"/>
        <v>12</v>
      </c>
      <c r="K71" s="620"/>
      <c r="L71" s="621">
        <f t="shared" si="6"/>
        <v>0.25</v>
      </c>
      <c r="M71" s="621"/>
      <c r="N71" s="613">
        <f t="shared" si="7"/>
        <v>24098</v>
      </c>
      <c r="O71" s="613"/>
      <c r="P71" s="613">
        <f t="shared" si="8"/>
        <v>0</v>
      </c>
      <c r="Q71" s="613"/>
      <c r="R71" s="622" t="str">
        <f t="shared" si="9"/>
        <v>Yes</v>
      </c>
      <c r="S71" s="614"/>
    </row>
    <row r="72" spans="2:34">
      <c r="B72" s="592" t="s">
        <v>294</v>
      </c>
      <c r="C72" s="592"/>
      <c r="D72" s="624">
        <v>2001</v>
      </c>
      <c r="E72" s="592"/>
      <c r="F72" s="625">
        <v>36951</v>
      </c>
      <c r="G72" s="617"/>
      <c r="H72" s="291">
        <v>32326</v>
      </c>
      <c r="I72" s="291"/>
      <c r="J72" s="611">
        <f t="shared" si="0"/>
        <v>11</v>
      </c>
      <c r="K72" s="620"/>
      <c r="L72" s="621">
        <f t="shared" si="6"/>
        <v>0.25</v>
      </c>
      <c r="M72" s="621"/>
      <c r="N72" s="613">
        <f t="shared" si="7"/>
        <v>32326</v>
      </c>
      <c r="O72" s="613"/>
      <c r="P72" s="613">
        <f t="shared" si="8"/>
        <v>0</v>
      </c>
      <c r="Q72" s="613"/>
      <c r="R72" s="622" t="str">
        <f t="shared" si="9"/>
        <v>Yes</v>
      </c>
      <c r="S72" s="614"/>
    </row>
    <row r="73" spans="2:34" s="592" customFormat="1">
      <c r="B73" s="592" t="s">
        <v>466</v>
      </c>
      <c r="D73" s="624">
        <v>2002</v>
      </c>
      <c r="F73" s="625"/>
      <c r="G73" s="617"/>
      <c r="H73" s="291">
        <v>102864.3</v>
      </c>
      <c r="I73" s="291"/>
      <c r="J73" s="611">
        <f t="shared" ref="J73:J95" si="10">VLOOKUP(D73,$T$17:$W$55,2,FALSE)</f>
        <v>10</v>
      </c>
      <c r="K73" s="620"/>
      <c r="L73" s="621">
        <f t="shared" si="6"/>
        <v>0</v>
      </c>
      <c r="M73" s="621"/>
      <c r="N73" s="613">
        <f t="shared" si="7"/>
        <v>0</v>
      </c>
      <c r="O73" s="613"/>
      <c r="P73" s="613">
        <f t="shared" si="8"/>
        <v>102864.3</v>
      </c>
      <c r="Q73" s="613"/>
      <c r="R73" s="622" t="str">
        <f t="shared" si="9"/>
        <v>No</v>
      </c>
      <c r="S73" s="622"/>
    </row>
    <row r="74" spans="2:34" s="592" customFormat="1">
      <c r="B74" s="592" t="s">
        <v>466</v>
      </c>
      <c r="D74" s="624">
        <v>2002</v>
      </c>
      <c r="F74" s="625"/>
      <c r="G74" s="617"/>
      <c r="H74" s="291">
        <v>36282.69</v>
      </c>
      <c r="I74" s="291"/>
      <c r="J74" s="611">
        <f t="shared" si="10"/>
        <v>10</v>
      </c>
      <c r="K74" s="620"/>
      <c r="L74" s="621">
        <f t="shared" si="6"/>
        <v>0</v>
      </c>
      <c r="M74" s="621"/>
      <c r="N74" s="613">
        <f t="shared" si="7"/>
        <v>0</v>
      </c>
      <c r="O74" s="613"/>
      <c r="P74" s="613">
        <f t="shared" si="8"/>
        <v>36282.69</v>
      </c>
      <c r="Q74" s="613"/>
      <c r="R74" s="622" t="str">
        <f t="shared" si="9"/>
        <v>No</v>
      </c>
      <c r="S74" s="622"/>
    </row>
    <row r="75" spans="2:34" s="592" customFormat="1">
      <c r="B75" s="592" t="s">
        <v>293</v>
      </c>
      <c r="D75" s="624">
        <v>2002</v>
      </c>
      <c r="F75" s="625"/>
      <c r="G75" s="617"/>
      <c r="H75" s="291">
        <f>1346.14+366.2+173.49+197.97+464+1363+33.65+767.77+876.23+324+1440-360+304.5+161.53+1624+95.5+43.83+41.59+65.53+405.01+31.1+999.95+314.76+20.35+942.64+202.5+73.18+4413.36+957+337.36+819.4+89.72+181.45+884.16+299+3500+7000+1206.7+27.18+30.75-55.15+73.74+28.41+24.11+48.65+163.78+524.7+4384.93+42.54+478.34+465.27</f>
        <v>38243.82</v>
      </c>
      <c r="I75" s="291"/>
      <c r="J75" s="611">
        <f t="shared" si="10"/>
        <v>10</v>
      </c>
      <c r="K75" s="620"/>
      <c r="L75" s="621">
        <f t="shared" si="6"/>
        <v>0.02</v>
      </c>
      <c r="M75" s="621"/>
      <c r="N75" s="613">
        <f t="shared" si="7"/>
        <v>7648.7640000000001</v>
      </c>
      <c r="O75" s="613"/>
      <c r="P75" s="613">
        <f t="shared" si="8"/>
        <v>30595.056</v>
      </c>
      <c r="Q75" s="613"/>
      <c r="R75" s="622" t="str">
        <f t="shared" si="9"/>
        <v>No</v>
      </c>
      <c r="S75" s="622"/>
    </row>
    <row r="76" spans="2:34" s="592" customFormat="1">
      <c r="B76" s="592" t="s">
        <v>89</v>
      </c>
      <c r="D76" s="624">
        <v>2002</v>
      </c>
      <c r="F76" s="625"/>
      <c r="G76" s="617"/>
      <c r="H76" s="291">
        <f>3671.16+2108.99</f>
        <v>5780.15</v>
      </c>
      <c r="I76" s="291"/>
      <c r="J76" s="611">
        <f t="shared" si="10"/>
        <v>10</v>
      </c>
      <c r="K76" s="620"/>
      <c r="L76" s="621">
        <f t="shared" si="6"/>
        <v>0.125</v>
      </c>
      <c r="M76" s="621"/>
      <c r="N76" s="613">
        <f t="shared" si="7"/>
        <v>5780.15</v>
      </c>
      <c r="O76" s="613"/>
      <c r="P76" s="613">
        <f t="shared" si="8"/>
        <v>0</v>
      </c>
      <c r="Q76" s="613"/>
      <c r="R76" s="622" t="str">
        <f t="shared" si="9"/>
        <v>Yes</v>
      </c>
      <c r="S76" s="622"/>
    </row>
    <row r="77" spans="2:34" s="592" customFormat="1">
      <c r="B77" s="592" t="s">
        <v>294</v>
      </c>
      <c r="D77" s="624">
        <v>2002</v>
      </c>
      <c r="F77" s="625"/>
      <c r="G77" s="617"/>
      <c r="H77" s="291">
        <v>25878.91</v>
      </c>
      <c r="I77" s="291"/>
      <c r="J77" s="611">
        <f t="shared" si="10"/>
        <v>10</v>
      </c>
      <c r="K77" s="620"/>
      <c r="L77" s="621">
        <f t="shared" si="6"/>
        <v>0.25</v>
      </c>
      <c r="M77" s="621"/>
      <c r="N77" s="613">
        <f t="shared" si="7"/>
        <v>25878.91</v>
      </c>
      <c r="O77" s="613"/>
      <c r="P77" s="613">
        <f t="shared" si="8"/>
        <v>0</v>
      </c>
      <c r="Q77" s="613"/>
      <c r="R77" s="622" t="str">
        <f t="shared" si="9"/>
        <v>Yes</v>
      </c>
      <c r="S77" s="622"/>
    </row>
    <row r="78" spans="2:34">
      <c r="B78" s="590" t="s">
        <v>293</v>
      </c>
      <c r="D78" s="326">
        <v>2003</v>
      </c>
      <c r="F78" s="609"/>
      <c r="G78" s="610"/>
      <c r="H78" s="291">
        <f>303778.27-H79-H80-H81</f>
        <v>210574.95</v>
      </c>
      <c r="J78" s="611">
        <f t="shared" si="10"/>
        <v>9</v>
      </c>
      <c r="K78" s="611"/>
      <c r="L78" s="595">
        <f>VLOOKUP(B78,$T$9:$U$13,2,FALSE)</f>
        <v>0.02</v>
      </c>
      <c r="M78" s="595"/>
      <c r="N78" s="613">
        <f t="shared" ref="N78:N95" si="11">IF(L78*J78*H78&gt;H78,H78,L78*J78*H78)</f>
        <v>37903.491000000002</v>
      </c>
      <c r="O78" s="613"/>
      <c r="P78" s="613">
        <f t="shared" ref="P78:P95" si="12">H78-N78</f>
        <v>172671.459</v>
      </c>
      <c r="Q78" s="612"/>
      <c r="R78" s="614" t="str">
        <f t="shared" ref="R78:R95" si="13">IF(N78=H78,"Yes","No")</f>
        <v>No</v>
      </c>
      <c r="T78" s="616"/>
      <c r="U78" s="627"/>
      <c r="V78" s="616"/>
      <c r="W78" s="579"/>
      <c r="Y78" s="579"/>
      <c r="Z78" s="579"/>
      <c r="AA78" s="579"/>
      <c r="AB78" s="579"/>
      <c r="AC78" s="579"/>
      <c r="AD78" s="579"/>
      <c r="AE78" s="579"/>
      <c r="AF78" s="579"/>
      <c r="AG78" s="579"/>
      <c r="AH78" s="579"/>
    </row>
    <row r="79" spans="2:34">
      <c r="B79" s="590" t="s">
        <v>89</v>
      </c>
      <c r="D79" s="326">
        <v>2003</v>
      </c>
      <c r="F79" s="609"/>
      <c r="G79" s="610"/>
      <c r="H79" s="291">
        <f>3592.2</f>
        <v>3592.2</v>
      </c>
      <c r="J79" s="611">
        <f t="shared" si="10"/>
        <v>9</v>
      </c>
      <c r="K79" s="611"/>
      <c r="L79" s="595">
        <v>0.125</v>
      </c>
      <c r="M79" s="595"/>
      <c r="N79" s="613">
        <f t="shared" si="11"/>
        <v>3592.2</v>
      </c>
      <c r="O79" s="613"/>
      <c r="P79" s="613">
        <f t="shared" si="12"/>
        <v>0</v>
      </c>
      <c r="Q79" s="612"/>
      <c r="R79" s="614" t="str">
        <f t="shared" si="13"/>
        <v>Yes</v>
      </c>
      <c r="T79" s="579"/>
      <c r="U79" s="579"/>
      <c r="V79" s="579"/>
      <c r="W79" s="579"/>
      <c r="X79" s="579"/>
      <c r="Y79" s="579"/>
      <c r="Z79" s="579"/>
      <c r="AA79" s="579"/>
      <c r="AB79" s="579"/>
      <c r="AC79" s="579"/>
      <c r="AD79" s="579"/>
      <c r="AE79" s="579"/>
      <c r="AF79" s="579"/>
      <c r="AG79" s="579"/>
      <c r="AH79" s="579"/>
    </row>
    <row r="80" spans="2:34">
      <c r="B80" s="590" t="s">
        <v>294</v>
      </c>
      <c r="D80" s="326">
        <v>2003</v>
      </c>
      <c r="F80" s="609"/>
      <c r="G80" s="610"/>
      <c r="H80" s="291">
        <v>66712.73</v>
      </c>
      <c r="J80" s="611">
        <f t="shared" si="10"/>
        <v>9</v>
      </c>
      <c r="K80" s="611"/>
      <c r="L80" s="595">
        <f>VLOOKUP(B80,$T$9:$U$13,2,FALSE)</f>
        <v>0.25</v>
      </c>
      <c r="M80" s="595"/>
      <c r="N80" s="613">
        <f t="shared" si="11"/>
        <v>66712.73</v>
      </c>
      <c r="O80" s="613"/>
      <c r="P80" s="613">
        <f t="shared" si="12"/>
        <v>0</v>
      </c>
      <c r="Q80" s="612"/>
      <c r="R80" s="614" t="str">
        <f t="shared" si="13"/>
        <v>Yes</v>
      </c>
      <c r="T80" s="579"/>
      <c r="U80" s="579"/>
      <c r="V80" s="579"/>
      <c r="W80" s="579"/>
      <c r="X80" s="579"/>
      <c r="Y80" s="579"/>
      <c r="Z80" s="579"/>
      <c r="AA80" s="579"/>
      <c r="AB80" s="579"/>
      <c r="AC80" s="579"/>
      <c r="AD80" s="579"/>
      <c r="AE80" s="579"/>
      <c r="AF80" s="579"/>
      <c r="AG80" s="579"/>
      <c r="AH80" s="579"/>
    </row>
    <row r="81" spans="2:34">
      <c r="B81" s="590" t="s">
        <v>466</v>
      </c>
      <c r="D81" s="326">
        <v>2003</v>
      </c>
      <c r="F81" s="609"/>
      <c r="G81" s="610"/>
      <c r="H81" s="291">
        <v>22898.39</v>
      </c>
      <c r="I81" s="291"/>
      <c r="J81" s="611">
        <f t="shared" si="10"/>
        <v>9</v>
      </c>
      <c r="K81" s="611"/>
      <c r="L81" s="595">
        <f>VLOOKUP(B81,$T$9:$U$13,2,FALSE)</f>
        <v>0</v>
      </c>
      <c r="M81" s="595"/>
      <c r="N81" s="613">
        <f t="shared" si="11"/>
        <v>0</v>
      </c>
      <c r="O81" s="613"/>
      <c r="P81" s="613">
        <f t="shared" si="12"/>
        <v>22898.39</v>
      </c>
      <c r="Q81" s="613"/>
      <c r="R81" s="614" t="str">
        <f t="shared" si="13"/>
        <v>No</v>
      </c>
      <c r="T81" s="579"/>
      <c r="U81" s="579"/>
      <c r="V81" s="579"/>
      <c r="W81" s="579"/>
      <c r="X81" s="579"/>
      <c r="Y81" s="579"/>
      <c r="Z81" s="579"/>
      <c r="AA81" s="579"/>
      <c r="AB81" s="579"/>
      <c r="AC81" s="579"/>
      <c r="AD81" s="579"/>
      <c r="AE81" s="579"/>
      <c r="AF81" s="579"/>
      <c r="AG81" s="579"/>
      <c r="AH81" s="579"/>
    </row>
    <row r="82" spans="2:34">
      <c r="B82" s="590" t="s">
        <v>293</v>
      </c>
      <c r="D82" s="326">
        <v>2004</v>
      </c>
      <c r="F82" s="609"/>
      <c r="G82" s="610"/>
      <c r="H82" s="291">
        <f>517659.51-H83-H84-H85</f>
        <v>456980.02999999997</v>
      </c>
      <c r="J82" s="611">
        <f t="shared" si="10"/>
        <v>8</v>
      </c>
      <c r="K82" s="611"/>
      <c r="L82" s="595">
        <f>VLOOKUP(B82,$T$9:$U$13,2,FALSE)</f>
        <v>0.02</v>
      </c>
      <c r="M82" s="595"/>
      <c r="N82" s="613">
        <f t="shared" si="11"/>
        <v>73116.804799999998</v>
      </c>
      <c r="O82" s="613"/>
      <c r="P82" s="613">
        <f t="shared" si="12"/>
        <v>383863.22519999999</v>
      </c>
      <c r="Q82" s="612"/>
      <c r="R82" s="614" t="str">
        <f t="shared" si="13"/>
        <v>No</v>
      </c>
      <c r="U82" s="579"/>
      <c r="V82" s="579"/>
      <c r="W82" s="579"/>
      <c r="X82" s="579"/>
      <c r="Y82" s="579"/>
      <c r="Z82" s="579"/>
      <c r="AA82" s="579"/>
      <c r="AB82" s="579"/>
      <c r="AC82" s="579"/>
      <c r="AD82" s="579"/>
      <c r="AE82" s="579"/>
      <c r="AF82" s="579"/>
      <c r="AG82" s="579"/>
      <c r="AH82" s="579"/>
    </row>
    <row r="83" spans="2:34">
      <c r="B83" s="590" t="s">
        <v>89</v>
      </c>
      <c r="D83" s="326">
        <v>2004</v>
      </c>
      <c r="F83" s="609"/>
      <c r="G83" s="610"/>
      <c r="H83" s="291">
        <f>2282.04+619.92</f>
        <v>2901.96</v>
      </c>
      <c r="J83" s="611">
        <f t="shared" si="10"/>
        <v>8</v>
      </c>
      <c r="K83" s="611"/>
      <c r="L83" s="595">
        <v>0.125</v>
      </c>
      <c r="M83" s="595"/>
      <c r="N83" s="613">
        <f t="shared" si="11"/>
        <v>2901.96</v>
      </c>
      <c r="O83" s="613"/>
      <c r="P83" s="613">
        <f t="shared" si="12"/>
        <v>0</v>
      </c>
      <c r="Q83" s="612"/>
      <c r="R83" s="614" t="str">
        <f t="shared" si="13"/>
        <v>Yes</v>
      </c>
      <c r="T83" s="579"/>
      <c r="U83" s="579"/>
      <c r="V83" s="579"/>
      <c r="W83" s="579"/>
      <c r="X83" s="579"/>
      <c r="Y83" s="579"/>
      <c r="Z83" s="579"/>
      <c r="AA83" s="579"/>
      <c r="AB83" s="579"/>
      <c r="AC83" s="579"/>
      <c r="AD83" s="579"/>
      <c r="AE83" s="579"/>
      <c r="AF83" s="579"/>
      <c r="AG83" s="579"/>
      <c r="AH83" s="579"/>
    </row>
    <row r="84" spans="2:34">
      <c r="B84" s="590" t="s">
        <v>294</v>
      </c>
      <c r="D84" s="326">
        <v>2004</v>
      </c>
      <c r="F84" s="609"/>
      <c r="G84" s="610"/>
      <c r="H84" s="291">
        <v>55831.7</v>
      </c>
      <c r="J84" s="611">
        <f t="shared" si="10"/>
        <v>8</v>
      </c>
      <c r="K84" s="611"/>
      <c r="L84" s="595">
        <f>VLOOKUP(B84,$T$9:$U$13,2,FALSE)</f>
        <v>0.25</v>
      </c>
      <c r="M84" s="595"/>
      <c r="N84" s="613">
        <f t="shared" si="11"/>
        <v>55831.7</v>
      </c>
      <c r="O84" s="613"/>
      <c r="P84" s="613">
        <f t="shared" si="12"/>
        <v>0</v>
      </c>
      <c r="Q84" s="612"/>
      <c r="R84" s="614" t="str">
        <f t="shared" si="13"/>
        <v>Yes</v>
      </c>
      <c r="T84" s="579"/>
      <c r="U84" s="579"/>
      <c r="V84" s="579"/>
      <c r="W84" s="579"/>
      <c r="X84" s="579"/>
      <c r="Y84" s="579"/>
      <c r="Z84" s="579"/>
      <c r="AA84" s="579"/>
      <c r="AB84" s="579"/>
      <c r="AC84" s="579"/>
      <c r="AD84" s="579"/>
      <c r="AE84" s="579"/>
      <c r="AF84" s="579"/>
      <c r="AG84" s="579"/>
      <c r="AH84" s="579"/>
    </row>
    <row r="85" spans="2:34">
      <c r="B85" s="590" t="s">
        <v>466</v>
      </c>
      <c r="D85" s="326">
        <v>2004</v>
      </c>
      <c r="F85" s="609"/>
      <c r="G85" s="610"/>
      <c r="H85" s="291">
        <v>1945.82</v>
      </c>
      <c r="I85" s="291"/>
      <c r="J85" s="611">
        <f t="shared" si="10"/>
        <v>8</v>
      </c>
      <c r="K85" s="611"/>
      <c r="L85" s="595">
        <f>VLOOKUP(B85,$T$9:$U$13,2,FALSE)</f>
        <v>0</v>
      </c>
      <c r="M85" s="595"/>
      <c r="N85" s="613">
        <f t="shared" si="11"/>
        <v>0</v>
      </c>
      <c r="O85" s="613"/>
      <c r="P85" s="613">
        <f t="shared" si="12"/>
        <v>1945.82</v>
      </c>
      <c r="Q85" s="613"/>
      <c r="R85" s="614" t="str">
        <f t="shared" si="13"/>
        <v>No</v>
      </c>
      <c r="T85" s="579"/>
      <c r="U85" s="579"/>
      <c r="V85" s="579"/>
      <c r="W85" s="579"/>
      <c r="X85" s="579"/>
      <c r="Y85" s="579"/>
      <c r="Z85" s="579"/>
      <c r="AA85" s="579"/>
      <c r="AB85" s="579"/>
      <c r="AC85" s="579"/>
      <c r="AD85" s="579"/>
      <c r="AE85" s="579"/>
      <c r="AF85" s="579"/>
      <c r="AG85" s="579"/>
      <c r="AH85" s="579"/>
    </row>
    <row r="86" spans="2:34">
      <c r="B86" s="590" t="s">
        <v>293</v>
      </c>
      <c r="D86" s="326">
        <v>2005</v>
      </c>
      <c r="F86" s="609"/>
      <c r="G86" s="610"/>
      <c r="H86" s="291">
        <f>7256830.51-6546728.58-H89</f>
        <v>709699.02999999968</v>
      </c>
      <c r="J86" s="611">
        <f t="shared" si="10"/>
        <v>7</v>
      </c>
      <c r="K86" s="611"/>
      <c r="L86" s="595">
        <f>VLOOKUP(B86,$T$9:$U$13,2,FALSE)</f>
        <v>0.02</v>
      </c>
      <c r="M86" s="595"/>
      <c r="N86" s="613">
        <f t="shared" si="11"/>
        <v>99357.864199999967</v>
      </c>
      <c r="O86" s="613"/>
      <c r="P86" s="613">
        <f t="shared" si="12"/>
        <v>610341.16579999973</v>
      </c>
      <c r="Q86" s="612"/>
      <c r="R86" s="614" t="str">
        <f t="shared" si="13"/>
        <v>No</v>
      </c>
      <c r="U86" s="579"/>
      <c r="V86" s="579"/>
      <c r="W86" s="579"/>
      <c r="X86" s="579"/>
      <c r="Y86" s="579"/>
      <c r="Z86" s="579"/>
      <c r="AA86" s="579"/>
      <c r="AB86" s="579"/>
      <c r="AC86" s="579"/>
      <c r="AD86" s="579"/>
      <c r="AE86" s="579"/>
      <c r="AF86" s="579"/>
      <c r="AG86" s="579"/>
      <c r="AH86" s="579"/>
    </row>
    <row r="87" spans="2:34">
      <c r="B87" s="590" t="s">
        <v>89</v>
      </c>
      <c r="D87" s="326">
        <v>2005</v>
      </c>
      <c r="F87" s="609"/>
      <c r="G87" s="610"/>
      <c r="H87" s="291">
        <f>16432.23-12274.31</f>
        <v>4157.92</v>
      </c>
      <c r="J87" s="611">
        <f t="shared" si="10"/>
        <v>7</v>
      </c>
      <c r="K87" s="611"/>
      <c r="L87" s="595">
        <v>0.125</v>
      </c>
      <c r="M87" s="595"/>
      <c r="N87" s="613">
        <f t="shared" si="11"/>
        <v>3638.1800000000003</v>
      </c>
      <c r="O87" s="613"/>
      <c r="P87" s="613">
        <f t="shared" si="12"/>
        <v>519.73999999999978</v>
      </c>
      <c r="Q87" s="612"/>
      <c r="R87" s="614" t="str">
        <f t="shared" si="13"/>
        <v>No</v>
      </c>
      <c r="T87" s="579"/>
      <c r="U87" s="579"/>
      <c r="V87" s="579"/>
      <c r="W87" s="579"/>
      <c r="X87" s="579"/>
      <c r="Y87" s="579"/>
      <c r="Z87" s="579"/>
      <c r="AA87" s="579"/>
      <c r="AB87" s="579"/>
      <c r="AC87" s="579"/>
      <c r="AD87" s="579"/>
      <c r="AE87" s="579"/>
      <c r="AF87" s="579"/>
      <c r="AG87" s="579"/>
      <c r="AH87" s="579"/>
    </row>
    <row r="88" spans="2:34">
      <c r="B88" s="590" t="s">
        <v>294</v>
      </c>
      <c r="D88" s="326">
        <v>2005</v>
      </c>
      <c r="F88" s="609"/>
      <c r="G88" s="610"/>
      <c r="H88" s="291">
        <f>419015.19-399122.55</f>
        <v>19892.640000000014</v>
      </c>
      <c r="J88" s="611">
        <f t="shared" si="10"/>
        <v>7</v>
      </c>
      <c r="K88" s="611"/>
      <c r="L88" s="595">
        <f>VLOOKUP(B88,$T$9:$U$13,2,FALSE)</f>
        <v>0.25</v>
      </c>
      <c r="M88" s="595"/>
      <c r="N88" s="613">
        <f t="shared" si="11"/>
        <v>19892.640000000014</v>
      </c>
      <c r="O88" s="613"/>
      <c r="P88" s="613">
        <f t="shared" si="12"/>
        <v>0</v>
      </c>
      <c r="Q88" s="612"/>
      <c r="R88" s="614" t="str">
        <f t="shared" si="13"/>
        <v>Yes</v>
      </c>
      <c r="T88" s="579"/>
      <c r="U88" s="579"/>
      <c r="V88" s="579"/>
      <c r="W88" s="579"/>
      <c r="X88" s="579"/>
      <c r="Y88" s="579"/>
      <c r="Z88" s="579"/>
      <c r="AA88" s="579"/>
      <c r="AB88" s="579"/>
      <c r="AC88" s="579"/>
      <c r="AD88" s="579"/>
      <c r="AE88" s="579"/>
      <c r="AF88" s="579"/>
      <c r="AG88" s="579"/>
      <c r="AH88" s="579"/>
    </row>
    <row r="89" spans="2:34">
      <c r="B89" s="590" t="s">
        <v>466</v>
      </c>
      <c r="D89" s="326">
        <v>2005</v>
      </c>
      <c r="F89" s="609"/>
      <c r="G89" s="610"/>
      <c r="H89" s="291">
        <f>128111.41-127708.51</f>
        <v>402.90000000000873</v>
      </c>
      <c r="I89" s="291"/>
      <c r="J89" s="611">
        <f t="shared" si="10"/>
        <v>7</v>
      </c>
      <c r="K89" s="611"/>
      <c r="L89" s="595">
        <f>VLOOKUP(B89,$T$9:$U$13,2,FALSE)</f>
        <v>0</v>
      </c>
      <c r="M89" s="595"/>
      <c r="N89" s="613">
        <f t="shared" si="11"/>
        <v>0</v>
      </c>
      <c r="O89" s="613"/>
      <c r="P89" s="613">
        <f t="shared" si="12"/>
        <v>402.90000000000873</v>
      </c>
      <c r="Q89" s="613"/>
      <c r="R89" s="614" t="str">
        <f t="shared" si="13"/>
        <v>No</v>
      </c>
      <c r="T89" s="579"/>
      <c r="U89" s="579"/>
      <c r="V89" s="579"/>
      <c r="W89" s="579"/>
      <c r="X89" s="579"/>
      <c r="Y89" s="579"/>
      <c r="Z89" s="579"/>
      <c r="AA89" s="579"/>
      <c r="AB89" s="579"/>
      <c r="AC89" s="579"/>
      <c r="AD89" s="579"/>
      <c r="AE89" s="579"/>
      <c r="AF89" s="579"/>
      <c r="AG89" s="579"/>
      <c r="AH89" s="579"/>
    </row>
    <row r="90" spans="2:34">
      <c r="B90" s="590" t="s">
        <v>293</v>
      </c>
      <c r="D90" s="326">
        <v>2006</v>
      </c>
      <c r="F90" s="609"/>
      <c r="G90" s="610"/>
      <c r="H90" s="291">
        <f>7730565.26-7256830.51</f>
        <v>473734.75</v>
      </c>
      <c r="J90" s="611">
        <f t="shared" si="10"/>
        <v>6</v>
      </c>
      <c r="K90" s="611"/>
      <c r="L90" s="595">
        <f>VLOOKUP(B90,$T$9:$U$13,2,FALSE)</f>
        <v>0.02</v>
      </c>
      <c r="M90" s="595"/>
      <c r="N90" s="613">
        <f t="shared" si="11"/>
        <v>56848.17</v>
      </c>
      <c r="O90" s="613"/>
      <c r="P90" s="613">
        <f t="shared" si="12"/>
        <v>416886.58</v>
      </c>
      <c r="Q90" s="612"/>
      <c r="R90" s="614" t="str">
        <f t="shared" si="13"/>
        <v>No</v>
      </c>
      <c r="U90" s="579"/>
      <c r="V90" s="579"/>
      <c r="W90" s="579"/>
      <c r="X90" s="579"/>
      <c r="Y90" s="579"/>
      <c r="Z90" s="579"/>
      <c r="AA90" s="579"/>
      <c r="AB90" s="579"/>
      <c r="AC90" s="579"/>
      <c r="AD90" s="579"/>
      <c r="AE90" s="579"/>
      <c r="AF90" s="579"/>
      <c r="AG90" s="579"/>
      <c r="AH90" s="579"/>
    </row>
    <row r="91" spans="2:34">
      <c r="B91" s="590" t="s">
        <v>89</v>
      </c>
      <c r="D91" s="326">
        <v>2006</v>
      </c>
      <c r="F91" s="609"/>
      <c r="G91" s="610"/>
      <c r="H91" s="291">
        <f>18544.52-16432.23</f>
        <v>2112.2900000000009</v>
      </c>
      <c r="J91" s="611">
        <f t="shared" si="10"/>
        <v>6</v>
      </c>
      <c r="K91" s="611"/>
      <c r="L91" s="595">
        <v>0.125</v>
      </c>
      <c r="M91" s="595"/>
      <c r="N91" s="613">
        <f t="shared" si="11"/>
        <v>1584.2175000000007</v>
      </c>
      <c r="O91" s="613"/>
      <c r="P91" s="613">
        <f t="shared" si="12"/>
        <v>528.07250000000022</v>
      </c>
      <c r="Q91" s="612"/>
      <c r="R91" s="614" t="str">
        <f t="shared" si="13"/>
        <v>No</v>
      </c>
      <c r="T91" s="579"/>
      <c r="U91" s="579"/>
      <c r="V91" s="579"/>
      <c r="W91" s="579"/>
      <c r="X91" s="579"/>
      <c r="Y91" s="579"/>
      <c r="Z91" s="579"/>
      <c r="AA91" s="579"/>
      <c r="AB91" s="579"/>
      <c r="AC91" s="579"/>
      <c r="AD91" s="579"/>
      <c r="AE91" s="579"/>
      <c r="AF91" s="579"/>
      <c r="AG91" s="579"/>
      <c r="AH91" s="579"/>
    </row>
    <row r="92" spans="2:34">
      <c r="B92" s="590" t="s">
        <v>294</v>
      </c>
      <c r="D92" s="326">
        <v>2006</v>
      </c>
      <c r="F92" s="609"/>
      <c r="G92" s="610"/>
      <c r="H92" s="291">
        <f>434621.09-419015.19</f>
        <v>15605.900000000023</v>
      </c>
      <c r="J92" s="611">
        <f t="shared" si="10"/>
        <v>6</v>
      </c>
      <c r="K92" s="611"/>
      <c r="L92" s="595">
        <f>VLOOKUP(B92,$T$9:$U$13,2,FALSE)</f>
        <v>0.25</v>
      </c>
      <c r="M92" s="595"/>
      <c r="N92" s="613">
        <f t="shared" si="11"/>
        <v>15605.900000000023</v>
      </c>
      <c r="O92" s="613"/>
      <c r="P92" s="613">
        <f t="shared" si="12"/>
        <v>0</v>
      </c>
      <c r="Q92" s="612"/>
      <c r="R92" s="614" t="str">
        <f t="shared" si="13"/>
        <v>Yes</v>
      </c>
      <c r="T92" s="579"/>
      <c r="U92" s="579"/>
      <c r="V92" s="579"/>
      <c r="W92" s="579"/>
      <c r="X92" s="579"/>
      <c r="Y92" s="579"/>
      <c r="Z92" s="579"/>
      <c r="AA92" s="579"/>
      <c r="AB92" s="579"/>
      <c r="AC92" s="579"/>
      <c r="AD92" s="579"/>
      <c r="AE92" s="579"/>
      <c r="AF92" s="579"/>
      <c r="AG92" s="579"/>
      <c r="AH92" s="579"/>
    </row>
    <row r="93" spans="2:34">
      <c r="B93" s="590" t="s">
        <v>293</v>
      </c>
      <c r="D93" s="591">
        <v>2007</v>
      </c>
      <c r="H93" s="291">
        <f>7955405.05-7730565.26+334.96</f>
        <v>225174.75000000003</v>
      </c>
      <c r="J93" s="611">
        <f t="shared" si="10"/>
        <v>5</v>
      </c>
      <c r="K93" s="611"/>
      <c r="L93" s="595">
        <f>VLOOKUP(B93,$T$9:$U$13,2,FALSE)</f>
        <v>0.02</v>
      </c>
      <c r="N93" s="613">
        <f t="shared" si="11"/>
        <v>22517.475000000006</v>
      </c>
      <c r="P93" s="613">
        <f t="shared" si="12"/>
        <v>202657.27500000002</v>
      </c>
      <c r="R93" s="614" t="str">
        <f t="shared" si="13"/>
        <v>No</v>
      </c>
      <c r="T93" s="579"/>
      <c r="U93" s="579"/>
      <c r="V93" s="579"/>
      <c r="W93" s="579"/>
      <c r="X93" s="579"/>
      <c r="Y93" s="579"/>
      <c r="Z93" s="579"/>
      <c r="AA93" s="579"/>
      <c r="AB93" s="579"/>
      <c r="AC93" s="579"/>
      <c r="AD93" s="579"/>
      <c r="AE93" s="579"/>
      <c r="AF93" s="579"/>
      <c r="AG93" s="579"/>
      <c r="AH93" s="579"/>
    </row>
    <row r="94" spans="2:34">
      <c r="B94" s="590" t="s">
        <v>89</v>
      </c>
      <c r="D94" s="591">
        <v>2007</v>
      </c>
      <c r="H94" s="291">
        <f>157170.13-(15307.04+3237.48)</f>
        <v>138625.61000000002</v>
      </c>
      <c r="J94" s="611">
        <f t="shared" si="10"/>
        <v>5</v>
      </c>
      <c r="K94" s="611"/>
      <c r="L94" s="595">
        <v>0.125</v>
      </c>
      <c r="N94" s="613">
        <f t="shared" si="11"/>
        <v>86641.006250000006</v>
      </c>
      <c r="P94" s="613">
        <f t="shared" si="12"/>
        <v>51984.603750000009</v>
      </c>
      <c r="R94" s="614" t="str">
        <f t="shared" si="13"/>
        <v>No</v>
      </c>
      <c r="T94" s="579"/>
      <c r="U94" s="579"/>
      <c r="V94" s="579"/>
      <c r="W94" s="579"/>
      <c r="X94" s="579"/>
      <c r="Y94" s="579"/>
      <c r="Z94" s="579"/>
      <c r="AA94" s="579"/>
      <c r="AB94" s="579"/>
      <c r="AC94" s="579"/>
      <c r="AD94" s="579"/>
      <c r="AE94" s="579"/>
      <c r="AF94" s="579"/>
      <c r="AG94" s="579"/>
      <c r="AH94" s="579"/>
    </row>
    <row r="95" spans="2:34">
      <c r="B95" s="590" t="s">
        <v>294</v>
      </c>
      <c r="D95" s="591">
        <v>2007</v>
      </c>
      <c r="H95" s="628">
        <f>467157.6-434621.09</f>
        <v>32536.509999999951</v>
      </c>
      <c r="J95" s="611">
        <f t="shared" si="10"/>
        <v>5</v>
      </c>
      <c r="K95" s="611"/>
      <c r="L95" s="595">
        <f>VLOOKUP(B95,$T$9:$U$13,2,FALSE)</f>
        <v>0.25</v>
      </c>
      <c r="N95" s="629">
        <f t="shared" si="11"/>
        <v>32536.509999999951</v>
      </c>
      <c r="P95" s="629">
        <f t="shared" si="12"/>
        <v>0</v>
      </c>
      <c r="R95" s="614" t="str">
        <f t="shared" si="13"/>
        <v>Yes</v>
      </c>
      <c r="T95" s="579"/>
      <c r="U95" s="579"/>
      <c r="V95" s="579"/>
      <c r="W95" s="579"/>
      <c r="X95" s="579"/>
      <c r="Y95" s="579"/>
      <c r="Z95" s="579"/>
      <c r="AA95" s="579"/>
      <c r="AB95" s="579"/>
      <c r="AC95" s="579"/>
      <c r="AD95" s="579"/>
      <c r="AE95" s="579"/>
      <c r="AF95" s="579"/>
      <c r="AG95" s="579"/>
      <c r="AH95" s="579"/>
    </row>
    <row r="96" spans="2:34">
      <c r="F96" s="591" t="s">
        <v>298</v>
      </c>
      <c r="H96" s="579">
        <f>SUM(H9:H95)</f>
        <v>8616350.4300000016</v>
      </c>
      <c r="N96" s="579">
        <f>SUM(N9:N95)</f>
        <v>3818927.2103499989</v>
      </c>
      <c r="P96" s="579">
        <f>SUM(P9:P95)</f>
        <v>4797423.2196499985</v>
      </c>
      <c r="T96" s="579"/>
      <c r="U96" s="579"/>
      <c r="V96" s="579"/>
      <c r="W96" s="579"/>
      <c r="X96" s="579"/>
      <c r="Y96" s="579"/>
      <c r="Z96" s="579"/>
      <c r="AA96" s="579"/>
      <c r="AB96" s="579"/>
      <c r="AC96" s="579"/>
      <c r="AD96" s="579"/>
      <c r="AE96" s="579"/>
      <c r="AF96" s="579"/>
      <c r="AG96" s="579"/>
      <c r="AH96" s="579"/>
    </row>
    <row r="97" spans="1:34">
      <c r="T97" s="579"/>
      <c r="U97" s="579"/>
      <c r="V97" s="579"/>
      <c r="W97" s="579"/>
      <c r="X97" s="579"/>
      <c r="Y97" s="579"/>
      <c r="Z97" s="579"/>
      <c r="AA97" s="579"/>
      <c r="AB97" s="579"/>
      <c r="AC97" s="579"/>
      <c r="AD97" s="579"/>
      <c r="AE97" s="579"/>
      <c r="AF97" s="579"/>
      <c r="AG97" s="579"/>
      <c r="AH97" s="579"/>
    </row>
    <row r="98" spans="1:34">
      <c r="A98" s="623" t="s">
        <v>1342</v>
      </c>
      <c r="T98" s="579"/>
      <c r="U98" s="579"/>
      <c r="V98" s="579"/>
      <c r="W98" s="579"/>
      <c r="X98" s="579"/>
      <c r="Y98" s="579"/>
      <c r="Z98" s="579"/>
      <c r="AA98" s="579"/>
      <c r="AB98" s="579"/>
      <c r="AC98" s="579"/>
      <c r="AD98" s="579"/>
      <c r="AE98" s="579"/>
      <c r="AF98" s="579"/>
      <c r="AG98" s="579"/>
      <c r="AH98" s="579"/>
    </row>
    <row r="99" spans="1:34">
      <c r="B99" s="590" t="s">
        <v>293</v>
      </c>
      <c r="D99" s="591">
        <v>2008</v>
      </c>
      <c r="H99" s="579">
        <v>625518.99</v>
      </c>
      <c r="J99" s="611">
        <f t="shared" ref="J99:J103" si="14">VLOOKUP(D99,$T$17:$W$55,2,FALSE)</f>
        <v>4</v>
      </c>
      <c r="L99" s="595">
        <f>VLOOKUP(B99,$T$9:$U$13,2,FALSE)</f>
        <v>0.02</v>
      </c>
      <c r="N99" s="612">
        <f>IF(L99*J99*H99&gt;H99,H99,L99*J99*H99)</f>
        <v>50041.519200000002</v>
      </c>
      <c r="P99" s="612">
        <f>H99-N99</f>
        <v>575477.47080000001</v>
      </c>
      <c r="R99" s="614" t="str">
        <f>IF(N99=H99,"Yes","No")</f>
        <v>No</v>
      </c>
      <c r="T99" s="579"/>
      <c r="U99" s="579"/>
      <c r="V99" s="579"/>
      <c r="W99" s="579"/>
      <c r="X99" s="579"/>
      <c r="Y99" s="579"/>
      <c r="Z99" s="579"/>
      <c r="AA99" s="579"/>
      <c r="AB99" s="579"/>
      <c r="AC99" s="579"/>
      <c r="AD99" s="579"/>
      <c r="AE99" s="579"/>
      <c r="AF99" s="579"/>
      <c r="AG99" s="579"/>
      <c r="AH99" s="579"/>
    </row>
    <row r="100" spans="1:34">
      <c r="B100" s="590" t="s">
        <v>89</v>
      </c>
      <c r="D100" s="591">
        <v>2008</v>
      </c>
      <c r="H100" s="579">
        <v>502208</v>
      </c>
      <c r="J100" s="611">
        <f t="shared" si="14"/>
        <v>4</v>
      </c>
      <c r="L100" s="595">
        <v>0.125</v>
      </c>
      <c r="N100" s="612">
        <f>IF(L100*J100*H100&gt;H100,H100,L100*J100*H100)</f>
        <v>251104</v>
      </c>
      <c r="P100" s="612">
        <f>H100-N100</f>
        <v>251104</v>
      </c>
      <c r="R100" s="614" t="str">
        <f>IF(N100=H100,"Yes","No")</f>
        <v>No</v>
      </c>
      <c r="T100" s="579"/>
      <c r="U100" s="579"/>
      <c r="V100" s="579"/>
      <c r="W100" s="579"/>
      <c r="X100" s="579"/>
      <c r="Y100" s="579"/>
      <c r="Z100" s="579"/>
      <c r="AA100" s="579"/>
      <c r="AB100" s="579"/>
      <c r="AC100" s="579"/>
      <c r="AD100" s="579"/>
      <c r="AE100" s="579"/>
      <c r="AF100" s="579"/>
      <c r="AG100" s="579"/>
      <c r="AH100" s="579"/>
    </row>
    <row r="101" spans="1:34">
      <c r="B101" s="590" t="s">
        <v>294</v>
      </c>
      <c r="D101" s="591">
        <v>2008</v>
      </c>
      <c r="H101" s="579">
        <v>24039.77</v>
      </c>
      <c r="J101" s="611">
        <f t="shared" si="14"/>
        <v>4</v>
      </c>
      <c r="L101" s="595">
        <f>VLOOKUP(B101,$T$9:$U$13,2,FALSE)</f>
        <v>0.25</v>
      </c>
      <c r="N101" s="612">
        <f>IF(L101*J101*H101&gt;H101,H101,L101*J101*H101)</f>
        <v>24039.77</v>
      </c>
      <c r="P101" s="612">
        <f>H101-N101</f>
        <v>0</v>
      </c>
      <c r="R101" s="614" t="str">
        <f>IF(N101=H101,"Yes","No")</f>
        <v>Yes</v>
      </c>
      <c r="T101" s="579"/>
      <c r="U101" s="579"/>
      <c r="V101" s="579"/>
      <c r="W101" s="579"/>
      <c r="X101" s="579"/>
      <c r="Y101" s="579"/>
      <c r="Z101" s="579"/>
      <c r="AA101" s="579"/>
      <c r="AB101" s="579"/>
      <c r="AC101" s="579"/>
      <c r="AD101" s="579"/>
      <c r="AE101" s="579"/>
      <c r="AF101" s="579"/>
      <c r="AG101" s="579"/>
      <c r="AH101" s="579"/>
    </row>
    <row r="102" spans="1:34">
      <c r="B102" s="590" t="s">
        <v>511</v>
      </c>
      <c r="D102" s="591">
        <v>2008</v>
      </c>
      <c r="H102" s="579">
        <v>484.54</v>
      </c>
      <c r="J102" s="611">
        <f t="shared" si="14"/>
        <v>4</v>
      </c>
      <c r="L102" s="595">
        <f>VLOOKUP(B102,$T$9:$U$13,2,FALSE)</f>
        <v>0</v>
      </c>
      <c r="N102" s="612">
        <f>IF(L102*J102*H102&gt;H102,H102,L102*J102*H102)</f>
        <v>0</v>
      </c>
      <c r="P102" s="612">
        <f>H102-N102</f>
        <v>484.54</v>
      </c>
      <c r="R102" s="614" t="str">
        <f>IF(N102=H102,"Yes","No")</f>
        <v>No</v>
      </c>
      <c r="T102" s="579"/>
      <c r="U102" s="579"/>
      <c r="V102" s="579"/>
      <c r="W102" s="579"/>
      <c r="X102" s="579"/>
      <c r="Y102" s="579"/>
      <c r="Z102" s="579"/>
      <c r="AA102" s="579"/>
      <c r="AB102" s="579"/>
      <c r="AC102" s="579"/>
      <c r="AD102" s="579"/>
      <c r="AE102" s="579"/>
      <c r="AF102" s="579"/>
      <c r="AG102" s="579"/>
      <c r="AH102" s="579"/>
    </row>
    <row r="103" spans="1:34">
      <c r="B103" s="590" t="s">
        <v>466</v>
      </c>
      <c r="D103" s="591">
        <v>2008</v>
      </c>
      <c r="H103" s="628">
        <v>0</v>
      </c>
      <c r="J103" s="611">
        <f t="shared" si="14"/>
        <v>4</v>
      </c>
      <c r="L103" s="595">
        <f>VLOOKUP(B103,$T$9:$U$13,2,FALSE)</f>
        <v>0</v>
      </c>
      <c r="N103" s="629">
        <f>IF(L103*J103*H103&gt;H103,H103,L103*J103*H103)</f>
        <v>0</v>
      </c>
      <c r="P103" s="629">
        <f>H103-N103</f>
        <v>0</v>
      </c>
      <c r="R103" s="614" t="str">
        <f>IF(N103=H103,"Yes","No")</f>
        <v>Yes</v>
      </c>
      <c r="T103" s="579"/>
      <c r="U103" s="579"/>
      <c r="V103" s="579"/>
      <c r="W103" s="579"/>
      <c r="X103" s="579"/>
      <c r="Y103" s="579"/>
      <c r="Z103" s="579"/>
      <c r="AA103" s="579"/>
      <c r="AB103" s="579"/>
      <c r="AC103" s="579"/>
      <c r="AD103" s="579"/>
      <c r="AE103" s="579"/>
      <c r="AF103" s="579"/>
      <c r="AG103" s="579"/>
      <c r="AH103" s="579"/>
    </row>
    <row r="104" spans="1:34">
      <c r="F104" s="591" t="s">
        <v>298</v>
      </c>
      <c r="H104" s="612">
        <f>SUM(H99:H103)</f>
        <v>1152251.3</v>
      </c>
      <c r="N104" s="612">
        <f>SUM(N99:N103)</f>
        <v>325185.2892</v>
      </c>
      <c r="P104" s="612">
        <f>SUM(P99:P103)</f>
        <v>827066.01080000005</v>
      </c>
      <c r="T104" s="579"/>
      <c r="U104" s="579"/>
      <c r="V104" s="579"/>
      <c r="W104" s="579"/>
      <c r="X104" s="579"/>
      <c r="Y104" s="579"/>
      <c r="Z104" s="579"/>
      <c r="AA104" s="579"/>
      <c r="AB104" s="579"/>
      <c r="AC104" s="579"/>
      <c r="AD104" s="579"/>
      <c r="AE104" s="579"/>
      <c r="AF104" s="579"/>
      <c r="AG104" s="579"/>
      <c r="AH104" s="579"/>
    </row>
    <row r="105" spans="1:34">
      <c r="H105" s="612"/>
      <c r="J105" s="425"/>
      <c r="L105" s="612"/>
      <c r="N105" s="612"/>
      <c r="P105" s="612"/>
      <c r="T105" s="579"/>
      <c r="U105" s="579"/>
      <c r="V105" s="579"/>
      <c r="W105" s="579"/>
      <c r="X105" s="579"/>
      <c r="Y105" s="579"/>
      <c r="Z105" s="579"/>
      <c r="AA105" s="579"/>
      <c r="AB105" s="579"/>
      <c r="AC105" s="579"/>
      <c r="AD105" s="579"/>
      <c r="AE105" s="579"/>
      <c r="AF105" s="579"/>
      <c r="AG105" s="579"/>
      <c r="AH105" s="579"/>
    </row>
    <row r="106" spans="1:34">
      <c r="A106" s="623" t="s">
        <v>1343</v>
      </c>
      <c r="H106" s="612"/>
      <c r="N106" s="612"/>
      <c r="P106" s="612"/>
      <c r="T106" s="579"/>
      <c r="U106" s="579"/>
      <c r="V106" s="579"/>
      <c r="W106" s="579"/>
      <c r="X106" s="579"/>
      <c r="Y106" s="579"/>
      <c r="Z106" s="579"/>
      <c r="AA106" s="579"/>
      <c r="AB106" s="579"/>
      <c r="AC106" s="579"/>
      <c r="AD106" s="579"/>
      <c r="AE106" s="579"/>
      <c r="AF106" s="579"/>
      <c r="AG106" s="579"/>
      <c r="AH106" s="579"/>
    </row>
    <row r="107" spans="1:34">
      <c r="B107" s="590" t="s">
        <v>293</v>
      </c>
      <c r="D107" s="591">
        <v>2009</v>
      </c>
      <c r="H107" s="612">
        <v>126895.36</v>
      </c>
      <c r="J107" s="611">
        <f t="shared" ref="J107:J111" si="15">VLOOKUP(D107,$T$17:$W$55,2,FALSE)</f>
        <v>3</v>
      </c>
      <c r="L107" s="595">
        <f>VLOOKUP(B107,$T$9:$U$13,2,FALSE)</f>
        <v>0.02</v>
      </c>
      <c r="N107" s="612">
        <f>IF(L107*J107*H107&gt;H107,H107,L107*J107*H107)</f>
        <v>7613.7215999999999</v>
      </c>
      <c r="P107" s="612">
        <f>H107-N107</f>
        <v>119281.6384</v>
      </c>
      <c r="R107" s="614" t="str">
        <f>IF(N107=H107,"Yes","No")</f>
        <v>No</v>
      </c>
      <c r="T107" s="579"/>
      <c r="U107" s="579"/>
      <c r="V107" s="579"/>
      <c r="W107" s="579"/>
      <c r="X107" s="579"/>
      <c r="Y107" s="579"/>
      <c r="Z107" s="579"/>
      <c r="AA107" s="579"/>
      <c r="AB107" s="579"/>
      <c r="AC107" s="579"/>
      <c r="AD107" s="579"/>
      <c r="AE107" s="579"/>
      <c r="AF107" s="579"/>
      <c r="AG107" s="579"/>
      <c r="AH107" s="579"/>
    </row>
    <row r="108" spans="1:34">
      <c r="B108" s="590" t="s">
        <v>89</v>
      </c>
      <c r="D108" s="591">
        <v>2009</v>
      </c>
      <c r="H108" s="612">
        <v>59822.39</v>
      </c>
      <c r="J108" s="611">
        <f t="shared" si="15"/>
        <v>3</v>
      </c>
      <c r="L108" s="595">
        <v>0.125</v>
      </c>
      <c r="N108" s="612">
        <f>IF(L108*J108*H108&gt;H108,H108,L108*J108*H108)</f>
        <v>22433.396249999998</v>
      </c>
      <c r="P108" s="612">
        <f>H108-N108</f>
        <v>37388.993750000001</v>
      </c>
      <c r="R108" s="614" t="str">
        <f>IF(N108=H108,"Yes","No")</f>
        <v>No</v>
      </c>
      <c r="T108" s="579"/>
      <c r="U108" s="579"/>
      <c r="V108" s="579"/>
      <c r="W108" s="579"/>
      <c r="X108" s="579"/>
      <c r="Y108" s="579"/>
      <c r="Z108" s="579"/>
      <c r="AA108" s="579"/>
      <c r="AB108" s="579"/>
      <c r="AC108" s="579"/>
      <c r="AD108" s="579"/>
      <c r="AE108" s="579"/>
      <c r="AF108" s="579"/>
      <c r="AG108" s="579"/>
      <c r="AH108" s="579"/>
    </row>
    <row r="109" spans="1:34">
      <c r="B109" s="590" t="s">
        <v>294</v>
      </c>
      <c r="D109" s="591">
        <v>2009</v>
      </c>
      <c r="H109" s="612">
        <v>-1334.63</v>
      </c>
      <c r="J109" s="611">
        <f t="shared" si="15"/>
        <v>3</v>
      </c>
      <c r="L109" s="595">
        <f>VLOOKUP(B109,$T$9:$U$13,2,FALSE)</f>
        <v>0.25</v>
      </c>
      <c r="N109" s="612">
        <f>H109*L109</f>
        <v>-333.65750000000003</v>
      </c>
      <c r="P109" s="612">
        <f>H109-N109</f>
        <v>-1000.9725000000001</v>
      </c>
      <c r="R109" s="614" t="str">
        <f>IF(N109=H109,"Yes","No")</f>
        <v>No</v>
      </c>
      <c r="T109" s="579"/>
      <c r="U109" s="579"/>
      <c r="V109" s="579"/>
      <c r="W109" s="579"/>
      <c r="X109" s="579"/>
      <c r="Y109" s="579"/>
      <c r="Z109" s="579"/>
      <c r="AA109" s="579"/>
      <c r="AB109" s="579"/>
      <c r="AC109" s="579"/>
      <c r="AD109" s="579"/>
      <c r="AE109" s="579"/>
      <c r="AF109" s="579"/>
      <c r="AG109" s="579"/>
      <c r="AH109" s="579"/>
    </row>
    <row r="110" spans="1:34">
      <c r="B110" s="590" t="s">
        <v>511</v>
      </c>
      <c r="D110" s="591">
        <v>2009</v>
      </c>
      <c r="H110" s="612">
        <v>173.08</v>
      </c>
      <c r="J110" s="611">
        <f t="shared" si="15"/>
        <v>3</v>
      </c>
      <c r="L110" s="595">
        <f>VLOOKUP(B110,$T$9:$U$13,2,FALSE)</f>
        <v>0</v>
      </c>
      <c r="N110" s="612">
        <f>IF(L110*J110*H110&gt;H110,H110,L110*J110*H110)</f>
        <v>0</v>
      </c>
      <c r="P110" s="612">
        <f>H110-N110</f>
        <v>173.08</v>
      </c>
      <c r="R110" s="614" t="str">
        <f>IF(N110=H110,"Yes","No")</f>
        <v>No</v>
      </c>
      <c r="T110" s="579"/>
      <c r="U110" s="579"/>
      <c r="V110" s="579"/>
      <c r="W110" s="579"/>
      <c r="X110" s="579"/>
      <c r="Y110" s="579"/>
      <c r="Z110" s="579"/>
      <c r="AA110" s="579"/>
      <c r="AB110" s="579"/>
      <c r="AC110" s="579"/>
      <c r="AD110" s="579"/>
      <c r="AE110" s="579"/>
      <c r="AF110" s="579"/>
      <c r="AG110" s="579"/>
      <c r="AH110" s="579"/>
    </row>
    <row r="111" spans="1:34">
      <c r="B111" s="590" t="s">
        <v>466</v>
      </c>
      <c r="D111" s="591">
        <v>2009</v>
      </c>
      <c r="H111" s="629"/>
      <c r="J111" s="611">
        <f t="shared" si="15"/>
        <v>3</v>
      </c>
      <c r="L111" s="595">
        <f>VLOOKUP(B111,$T$9:$U$13,2,FALSE)</f>
        <v>0</v>
      </c>
      <c r="N111" s="629">
        <f>IF(L111*J111*H111&gt;H111,H111,L111*J111*H111)</f>
        <v>0</v>
      </c>
      <c r="P111" s="629">
        <f>H111-N111</f>
        <v>0</v>
      </c>
      <c r="R111" s="614" t="str">
        <f>IF(N111=H111,"Yes","No")</f>
        <v>Yes</v>
      </c>
      <c r="T111" s="579"/>
      <c r="U111" s="579"/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H111" s="579"/>
    </row>
    <row r="112" spans="1:34">
      <c r="F112" s="591" t="s">
        <v>298</v>
      </c>
      <c r="H112" s="612">
        <f>SUM(H107:H111)</f>
        <v>185556.19999999998</v>
      </c>
      <c r="N112" s="612">
        <f>SUM(N107:N111)</f>
        <v>29713.460349999998</v>
      </c>
      <c r="P112" s="612">
        <f>SUM(P107:P111)</f>
        <v>155842.73964999997</v>
      </c>
      <c r="R112" s="614"/>
      <c r="T112" s="579"/>
      <c r="U112" s="579"/>
      <c r="V112" s="579"/>
      <c r="W112" s="579"/>
      <c r="X112" s="579"/>
      <c r="Y112" s="579"/>
      <c r="Z112" s="579"/>
      <c r="AA112" s="579"/>
      <c r="AB112" s="579"/>
      <c r="AC112" s="579"/>
      <c r="AD112" s="579"/>
      <c r="AE112" s="579"/>
      <c r="AF112" s="579"/>
      <c r="AG112" s="579"/>
      <c r="AH112" s="579"/>
    </row>
    <row r="113" spans="1:34">
      <c r="H113" s="612"/>
      <c r="J113" s="611"/>
      <c r="L113" s="595"/>
      <c r="N113" s="613"/>
      <c r="P113" s="613"/>
      <c r="R113" s="614"/>
      <c r="T113" s="579"/>
      <c r="U113" s="579"/>
      <c r="V113" s="579"/>
      <c r="W113" s="579"/>
      <c r="X113" s="579"/>
      <c r="Y113" s="579"/>
      <c r="Z113" s="579"/>
      <c r="AA113" s="579"/>
      <c r="AB113" s="579"/>
      <c r="AC113" s="579"/>
      <c r="AD113" s="579"/>
      <c r="AE113" s="579"/>
      <c r="AF113" s="579"/>
      <c r="AG113" s="579"/>
      <c r="AH113" s="579"/>
    </row>
    <row r="114" spans="1:34">
      <c r="A114" s="623" t="s">
        <v>1344</v>
      </c>
      <c r="H114" s="612"/>
      <c r="N114" s="612"/>
      <c r="P114" s="612"/>
      <c r="T114" s="579"/>
      <c r="U114" s="579"/>
      <c r="V114" s="579"/>
      <c r="W114" s="579"/>
      <c r="X114" s="579"/>
      <c r="Y114" s="579"/>
      <c r="Z114" s="579"/>
      <c r="AA114" s="579"/>
      <c r="AB114" s="579"/>
      <c r="AC114" s="579"/>
      <c r="AD114" s="579"/>
      <c r="AE114" s="579"/>
      <c r="AF114" s="579"/>
      <c r="AG114" s="579"/>
      <c r="AH114" s="579"/>
    </row>
    <row r="115" spans="1:34">
      <c r="B115" s="590" t="s">
        <v>293</v>
      </c>
      <c r="D115" s="591">
        <v>2010</v>
      </c>
      <c r="H115" s="612">
        <v>122369.31999999999</v>
      </c>
      <c r="J115" s="611">
        <f t="shared" ref="J115:J119" si="16">VLOOKUP(D115,$T$17:$W$55,2,FALSE)</f>
        <v>2</v>
      </c>
      <c r="L115" s="595">
        <f>VLOOKUP(B115,$T$9:$U$13,2,FALSE)</f>
        <v>0.02</v>
      </c>
      <c r="N115" s="612">
        <f>IF(L115*J115*H115&gt;H115,H115,L115*J115*H115)</f>
        <v>4894.7727999999997</v>
      </c>
      <c r="P115" s="612">
        <f>H115-N115</f>
        <v>117474.54719999999</v>
      </c>
      <c r="R115" s="614" t="str">
        <f>IF(N115=H115,"Yes","No")</f>
        <v>No</v>
      </c>
      <c r="T115" s="579"/>
      <c r="U115" s="579"/>
      <c r="V115" s="579"/>
      <c r="W115" s="579"/>
      <c r="X115" s="579"/>
      <c r="Y115" s="579"/>
      <c r="Z115" s="579"/>
      <c r="AA115" s="579"/>
      <c r="AB115" s="579"/>
      <c r="AC115" s="579"/>
      <c r="AD115" s="579"/>
      <c r="AE115" s="579"/>
      <c r="AF115" s="579"/>
      <c r="AG115" s="579"/>
      <c r="AH115" s="579"/>
    </row>
    <row r="116" spans="1:34">
      <c r="B116" s="590" t="s">
        <v>89</v>
      </c>
      <c r="D116" s="591">
        <v>2010</v>
      </c>
      <c r="H116" s="612">
        <v>29825.15</v>
      </c>
      <c r="J116" s="611">
        <f t="shared" si="16"/>
        <v>2</v>
      </c>
      <c r="L116" s="595">
        <v>0.125</v>
      </c>
      <c r="N116" s="612">
        <f>IF(L116*J116*H116&gt;H116,H116,L116*J116*H116)</f>
        <v>7456.2875000000004</v>
      </c>
      <c r="P116" s="612">
        <f>H116-N116</f>
        <v>22368.862500000003</v>
      </c>
      <c r="R116" s="614" t="str">
        <f>IF(N116=H116,"Yes","No")</f>
        <v>No</v>
      </c>
      <c r="T116" s="579"/>
      <c r="U116" s="579"/>
      <c r="V116" s="579"/>
      <c r="W116" s="579"/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H116" s="579"/>
    </row>
    <row r="117" spans="1:34">
      <c r="B117" s="590" t="s">
        <v>294</v>
      </c>
      <c r="D117" s="591">
        <v>2010</v>
      </c>
      <c r="H117" s="612">
        <v>-746.89</v>
      </c>
      <c r="J117" s="611">
        <f t="shared" si="16"/>
        <v>2</v>
      </c>
      <c r="L117" s="595">
        <f>VLOOKUP(B117,$T$9:$U$13,2,FALSE)</f>
        <v>0.25</v>
      </c>
      <c r="N117" s="612">
        <f>IF(L117*J117*H117&gt;H117,H117,L117*J117*H117)</f>
        <v>-746.89</v>
      </c>
      <c r="P117" s="612">
        <f>H117+N117</f>
        <v>-1493.78</v>
      </c>
      <c r="R117" s="614" t="str">
        <f>IF(N117=H117,"Yes","No")</f>
        <v>Yes</v>
      </c>
      <c r="T117" s="579"/>
      <c r="U117" s="579"/>
      <c r="V117" s="579"/>
      <c r="W117" s="579"/>
      <c r="X117" s="579"/>
      <c r="Y117" s="579"/>
      <c r="Z117" s="579"/>
      <c r="AA117" s="579"/>
      <c r="AB117" s="579"/>
      <c r="AC117" s="579"/>
      <c r="AD117" s="579"/>
      <c r="AE117" s="579"/>
      <c r="AF117" s="579"/>
      <c r="AG117" s="579"/>
      <c r="AH117" s="579"/>
    </row>
    <row r="118" spans="1:34">
      <c r="B118" s="590" t="s">
        <v>511</v>
      </c>
      <c r="D118" s="591">
        <v>2010</v>
      </c>
      <c r="H118" s="612">
        <v>67.58</v>
      </c>
      <c r="J118" s="611">
        <f t="shared" si="16"/>
        <v>2</v>
      </c>
      <c r="L118" s="595">
        <f>VLOOKUP(B118,$T$9:$U$13,2,FALSE)</f>
        <v>0</v>
      </c>
      <c r="N118" s="612">
        <f>IF(L118*J118*H118&gt;H118,H118,L118*J118*H118)</f>
        <v>0</v>
      </c>
      <c r="P118" s="612">
        <f>H118-N118</f>
        <v>67.58</v>
      </c>
      <c r="R118" s="614" t="str">
        <f>IF(N118=H118,"Yes","No")</f>
        <v>No</v>
      </c>
      <c r="T118" s="579"/>
      <c r="U118" s="579"/>
      <c r="V118" s="579"/>
      <c r="W118" s="579"/>
      <c r="X118" s="579"/>
      <c r="Y118" s="579"/>
      <c r="Z118" s="579"/>
      <c r="AA118" s="579"/>
      <c r="AB118" s="579"/>
      <c r="AC118" s="579"/>
      <c r="AD118" s="579"/>
      <c r="AE118" s="579"/>
      <c r="AF118" s="579"/>
      <c r="AG118" s="579"/>
      <c r="AH118" s="579"/>
    </row>
    <row r="119" spans="1:34">
      <c r="B119" s="590" t="s">
        <v>466</v>
      </c>
      <c r="D119" s="591">
        <v>2010</v>
      </c>
      <c r="H119" s="629"/>
      <c r="J119" s="611">
        <f t="shared" si="16"/>
        <v>2</v>
      </c>
      <c r="L119" s="595">
        <f>VLOOKUP(B119,$T$9:$U$13,2,FALSE)</f>
        <v>0</v>
      </c>
      <c r="N119" s="629">
        <f>IF(L119*J119*H119&gt;H119,H119,L119*J119*H119)</f>
        <v>0</v>
      </c>
      <c r="P119" s="629">
        <f>H119-N119</f>
        <v>0</v>
      </c>
      <c r="R119" s="614" t="str">
        <f>IF(N119=H119,"Yes","No")</f>
        <v>Yes</v>
      </c>
      <c r="T119" s="579"/>
      <c r="U119" s="579"/>
      <c r="V119" s="579"/>
      <c r="W119" s="579"/>
      <c r="X119" s="579"/>
      <c r="Y119" s="579"/>
      <c r="Z119" s="579"/>
      <c r="AA119" s="579"/>
      <c r="AB119" s="579"/>
      <c r="AC119" s="579"/>
      <c r="AD119" s="579"/>
      <c r="AE119" s="579"/>
      <c r="AF119" s="579"/>
      <c r="AG119" s="579"/>
      <c r="AH119" s="579"/>
    </row>
    <row r="120" spans="1:34">
      <c r="F120" s="591" t="s">
        <v>298</v>
      </c>
      <c r="H120" s="612">
        <f>SUM(H115:H119)</f>
        <v>151515.15999999997</v>
      </c>
      <c r="N120" s="612">
        <f>SUM(N115:N119)</f>
        <v>11604.170300000002</v>
      </c>
      <c r="P120" s="612">
        <f>SUM(P115:P119)</f>
        <v>138417.20969999998</v>
      </c>
      <c r="T120" s="579"/>
      <c r="U120" s="579"/>
      <c r="V120" s="579"/>
      <c r="W120" s="579"/>
      <c r="X120" s="579"/>
      <c r="Y120" s="579"/>
      <c r="Z120" s="579"/>
      <c r="AA120" s="579"/>
      <c r="AB120" s="579"/>
      <c r="AC120" s="579"/>
      <c r="AD120" s="579"/>
      <c r="AE120" s="579"/>
      <c r="AF120" s="579"/>
      <c r="AG120" s="579"/>
      <c r="AH120" s="579"/>
    </row>
    <row r="121" spans="1:34">
      <c r="T121" s="579"/>
      <c r="U121" s="579"/>
      <c r="V121" s="579"/>
      <c r="W121" s="579"/>
      <c r="X121" s="579"/>
      <c r="Y121" s="579"/>
      <c r="Z121" s="579"/>
      <c r="AA121" s="579"/>
      <c r="AB121" s="579"/>
      <c r="AC121" s="579"/>
      <c r="AD121" s="579"/>
      <c r="AE121" s="579"/>
      <c r="AF121" s="579"/>
      <c r="AG121" s="579"/>
      <c r="AH121" s="579"/>
    </row>
    <row r="122" spans="1:34">
      <c r="A122" s="623" t="s">
        <v>1754</v>
      </c>
      <c r="T122" s="579"/>
      <c r="U122" s="579"/>
      <c r="V122" s="579"/>
      <c r="W122" s="579"/>
      <c r="X122" s="579"/>
      <c r="Y122" s="579"/>
      <c r="Z122" s="579"/>
      <c r="AA122" s="579"/>
      <c r="AB122" s="579"/>
      <c r="AC122" s="579"/>
      <c r="AD122" s="579"/>
      <c r="AE122" s="579"/>
      <c r="AF122" s="579"/>
      <c r="AG122" s="579"/>
      <c r="AH122" s="579"/>
    </row>
    <row r="123" spans="1:34">
      <c r="B123" s="590" t="s">
        <v>293</v>
      </c>
      <c r="D123" s="591">
        <v>2011</v>
      </c>
      <c r="H123" s="579">
        <v>106255.28</v>
      </c>
      <c r="J123" s="611">
        <f t="shared" ref="J123:J127" si="17">VLOOKUP(D123,$T$17:$W$55,2,FALSE)</f>
        <v>1</v>
      </c>
      <c r="L123" s="595">
        <f>VLOOKUP(B123,$T$9:$U$13,2,FALSE)</f>
        <v>0.02</v>
      </c>
      <c r="N123" s="612">
        <f t="shared" ref="N123:N127" si="18">IF(L123*J123*H123&gt;H123,H123,L123*J123*H123)</f>
        <v>2125.1055999999999</v>
      </c>
      <c r="P123" s="612">
        <f>H123-N123</f>
        <v>104130.1744</v>
      </c>
      <c r="R123" s="614" t="str">
        <f>IF(N123=H123,"Yes","No")</f>
        <v>No</v>
      </c>
      <c r="T123" s="579"/>
      <c r="U123" s="579"/>
      <c r="V123" s="579"/>
      <c r="W123" s="579"/>
      <c r="X123" s="579"/>
      <c r="Y123" s="579"/>
      <c r="Z123" s="579"/>
      <c r="AA123" s="579"/>
      <c r="AB123" s="579"/>
      <c r="AC123" s="579"/>
      <c r="AD123" s="579"/>
      <c r="AE123" s="579"/>
      <c r="AF123" s="579"/>
      <c r="AG123" s="579"/>
      <c r="AH123" s="579"/>
    </row>
    <row r="124" spans="1:34">
      <c r="B124" s="590" t="s">
        <v>89</v>
      </c>
      <c r="D124" s="591">
        <v>2011</v>
      </c>
      <c r="H124" s="579">
        <v>10032.86</v>
      </c>
      <c r="J124" s="611">
        <f t="shared" si="17"/>
        <v>1</v>
      </c>
      <c r="L124" s="595">
        <v>0.125</v>
      </c>
      <c r="N124" s="612">
        <f t="shared" si="18"/>
        <v>1254.1075000000001</v>
      </c>
      <c r="P124" s="612">
        <f>H124-N124</f>
        <v>8778.7525000000005</v>
      </c>
      <c r="R124" s="614" t="str">
        <f>IF(N124=H124,"Yes","No")</f>
        <v>No</v>
      </c>
      <c r="T124" s="579"/>
      <c r="U124" s="579"/>
      <c r="V124" s="579"/>
      <c r="W124" s="579"/>
      <c r="X124" s="579"/>
      <c r="Y124" s="579"/>
      <c r="Z124" s="579"/>
      <c r="AA124" s="579"/>
      <c r="AB124" s="579"/>
      <c r="AC124" s="579"/>
      <c r="AD124" s="579"/>
      <c r="AE124" s="579"/>
      <c r="AF124" s="579"/>
      <c r="AG124" s="579"/>
      <c r="AH124" s="579"/>
    </row>
    <row r="125" spans="1:34">
      <c r="B125" s="590" t="s">
        <v>294</v>
      </c>
      <c r="D125" s="591">
        <v>2011</v>
      </c>
      <c r="H125" s="579">
        <v>83996.02</v>
      </c>
      <c r="J125" s="611">
        <f t="shared" si="17"/>
        <v>1</v>
      </c>
      <c r="L125" s="595">
        <f>VLOOKUP(B125,$T$9:$U$13,2,FALSE)</f>
        <v>0.25</v>
      </c>
      <c r="N125" s="612">
        <f t="shared" si="18"/>
        <v>20999.005000000001</v>
      </c>
      <c r="P125" s="612">
        <f>H125+N125</f>
        <v>104995.02500000001</v>
      </c>
      <c r="R125" s="614" t="str">
        <f>IF(N125=H125,"Yes","No")</f>
        <v>No</v>
      </c>
      <c r="T125" s="579"/>
      <c r="U125" s="579"/>
      <c r="V125" s="579"/>
      <c r="W125" s="579"/>
      <c r="X125" s="579"/>
      <c r="Y125" s="579"/>
      <c r="Z125" s="579"/>
      <c r="AA125" s="579"/>
      <c r="AB125" s="579"/>
      <c r="AC125" s="579"/>
      <c r="AD125" s="579"/>
      <c r="AE125" s="579"/>
      <c r="AF125" s="579"/>
      <c r="AG125" s="579"/>
      <c r="AH125" s="579"/>
    </row>
    <row r="126" spans="1:34">
      <c r="B126" s="590" t="s">
        <v>511</v>
      </c>
      <c r="D126" s="591">
        <v>2011</v>
      </c>
      <c r="H126" s="579">
        <v>9.01</v>
      </c>
      <c r="J126" s="611">
        <f t="shared" si="17"/>
        <v>1</v>
      </c>
      <c r="L126" s="595">
        <f>VLOOKUP(B126,$T$9:$U$13,2,FALSE)</f>
        <v>0</v>
      </c>
      <c r="N126" s="612">
        <f t="shared" si="18"/>
        <v>0</v>
      </c>
      <c r="P126" s="612">
        <f>H126-N126</f>
        <v>9.01</v>
      </c>
      <c r="R126" s="614" t="str">
        <f>IF(N126=H126,"Yes","No")</f>
        <v>No</v>
      </c>
      <c r="T126" s="579"/>
      <c r="U126" s="579"/>
      <c r="V126" s="579"/>
      <c r="W126" s="579"/>
      <c r="X126" s="579"/>
      <c r="Y126" s="579"/>
      <c r="Z126" s="579"/>
      <c r="AA126" s="579"/>
      <c r="AB126" s="579"/>
      <c r="AC126" s="579"/>
      <c r="AD126" s="579"/>
      <c r="AE126" s="579"/>
      <c r="AF126" s="579"/>
      <c r="AG126" s="579"/>
      <c r="AH126" s="579"/>
    </row>
    <row r="127" spans="1:34">
      <c r="B127" s="590" t="s">
        <v>466</v>
      </c>
      <c r="D127" s="591">
        <v>2011</v>
      </c>
      <c r="H127" s="628">
        <v>0</v>
      </c>
      <c r="J127" s="611">
        <f t="shared" si="17"/>
        <v>1</v>
      </c>
      <c r="L127" s="595">
        <f>VLOOKUP(B127,$T$9:$U$13,2,FALSE)</f>
        <v>0</v>
      </c>
      <c r="N127" s="629">
        <f t="shared" si="18"/>
        <v>0</v>
      </c>
      <c r="P127" s="629">
        <f>H127-N127</f>
        <v>0</v>
      </c>
      <c r="R127" s="614" t="str">
        <f>IF(N127=H127,"Yes","No")</f>
        <v>Yes</v>
      </c>
      <c r="T127" s="579"/>
      <c r="U127" s="579"/>
      <c r="V127" s="579"/>
      <c r="W127" s="579"/>
      <c r="X127" s="579"/>
      <c r="Y127" s="579"/>
      <c r="Z127" s="579"/>
      <c r="AA127" s="579"/>
      <c r="AB127" s="579"/>
      <c r="AC127" s="579"/>
      <c r="AD127" s="579"/>
      <c r="AE127" s="579"/>
      <c r="AF127" s="579"/>
      <c r="AG127" s="579"/>
      <c r="AH127" s="579"/>
    </row>
    <row r="128" spans="1:34">
      <c r="F128" s="591" t="s">
        <v>298</v>
      </c>
      <c r="H128" s="612">
        <f>SUM(H123:H127)</f>
        <v>200293.17</v>
      </c>
      <c r="J128" s="611"/>
      <c r="N128" s="612">
        <f>SUM(N123:N127)</f>
        <v>24378.218100000002</v>
      </c>
      <c r="P128" s="612">
        <f>SUM(P123:P127)</f>
        <v>217912.96190000002</v>
      </c>
      <c r="T128" s="579"/>
      <c r="U128" s="579"/>
      <c r="V128" s="579"/>
      <c r="W128" s="579"/>
      <c r="X128" s="579"/>
      <c r="Y128" s="579"/>
      <c r="Z128" s="579"/>
      <c r="AA128" s="579"/>
      <c r="AB128" s="579"/>
      <c r="AC128" s="579"/>
      <c r="AD128" s="579"/>
      <c r="AE128" s="579"/>
      <c r="AF128" s="579"/>
      <c r="AG128" s="579"/>
      <c r="AH128" s="579"/>
    </row>
    <row r="129" spans="1:34">
      <c r="J129" s="611"/>
      <c r="T129" s="579"/>
      <c r="U129" s="579"/>
      <c r="V129" s="579"/>
      <c r="W129" s="579"/>
      <c r="X129" s="579"/>
      <c r="Y129" s="579"/>
      <c r="Z129" s="579"/>
      <c r="AA129" s="579"/>
      <c r="AB129" s="579"/>
      <c r="AC129" s="579"/>
      <c r="AD129" s="579"/>
      <c r="AE129" s="579"/>
      <c r="AF129" s="579"/>
      <c r="AG129" s="579"/>
      <c r="AH129" s="579"/>
    </row>
    <row r="130" spans="1:34">
      <c r="A130" s="623" t="s">
        <v>1753</v>
      </c>
      <c r="T130" s="579"/>
      <c r="U130" s="579"/>
      <c r="V130" s="579"/>
      <c r="W130" s="579"/>
      <c r="X130" s="579"/>
      <c r="Y130" s="579"/>
      <c r="Z130" s="579"/>
      <c r="AA130" s="579"/>
      <c r="AB130" s="579"/>
      <c r="AC130" s="579"/>
      <c r="AD130" s="579"/>
      <c r="AE130" s="579"/>
      <c r="AF130" s="579"/>
      <c r="AG130" s="579"/>
      <c r="AH130" s="579"/>
    </row>
    <row r="131" spans="1:34">
      <c r="B131" s="590" t="s">
        <v>293</v>
      </c>
      <c r="D131" s="591">
        <v>2012</v>
      </c>
      <c r="H131" s="579">
        <v>371869.15</v>
      </c>
      <c r="J131" s="611">
        <f t="shared" ref="J131:J135" si="19">VLOOKUP(D131,$T$17:$W$55,2,FALSE)</f>
        <v>0</v>
      </c>
      <c r="L131" s="595">
        <f>VLOOKUP(B131,$T$9:$U$13,2,FALSE)</f>
        <v>0.02</v>
      </c>
      <c r="N131" s="612">
        <f t="shared" ref="N131:N135" si="20">IF(L131*J131*H131&gt;H131,H131,L131*J131*H131)</f>
        <v>0</v>
      </c>
      <c r="P131" s="612">
        <f>H131-N131</f>
        <v>371869.15</v>
      </c>
      <c r="R131" s="614" t="str">
        <f>IF(N131=H131,"Yes","No")</f>
        <v>No</v>
      </c>
      <c r="T131" s="579"/>
      <c r="U131" s="579"/>
      <c r="V131" s="579"/>
      <c r="W131" s="579"/>
      <c r="X131" s="579"/>
      <c r="Y131" s="579"/>
      <c r="Z131" s="579"/>
      <c r="AA131" s="579"/>
      <c r="AB131" s="579"/>
      <c r="AC131" s="579"/>
      <c r="AD131" s="579"/>
      <c r="AE131" s="579"/>
      <c r="AF131" s="579"/>
      <c r="AG131" s="579"/>
      <c r="AH131" s="579"/>
    </row>
    <row r="132" spans="1:34">
      <c r="B132" s="590" t="s">
        <v>89</v>
      </c>
      <c r="D132" s="591">
        <v>2012</v>
      </c>
      <c r="H132" s="579">
        <v>15103.98</v>
      </c>
      <c r="J132" s="611">
        <f t="shared" si="19"/>
        <v>0</v>
      </c>
      <c r="L132" s="595">
        <v>0.125</v>
      </c>
      <c r="N132" s="612">
        <f t="shared" si="20"/>
        <v>0</v>
      </c>
      <c r="P132" s="612">
        <f>H132-N132</f>
        <v>15103.98</v>
      </c>
      <c r="R132" s="614" t="str">
        <f>IF(N132=H132,"Yes","No")</f>
        <v>No</v>
      </c>
      <c r="T132" s="579"/>
      <c r="U132" s="579"/>
      <c r="V132" s="579"/>
      <c r="W132" s="579"/>
      <c r="X132" s="579"/>
      <c r="Y132" s="579"/>
      <c r="Z132" s="579"/>
      <c r="AA132" s="579"/>
      <c r="AB132" s="579"/>
      <c r="AC132" s="579"/>
      <c r="AD132" s="579"/>
      <c r="AE132" s="579"/>
      <c r="AF132" s="579"/>
      <c r="AG132" s="579"/>
      <c r="AH132" s="579"/>
    </row>
    <row r="133" spans="1:34">
      <c r="B133" s="590" t="s">
        <v>294</v>
      </c>
      <c r="D133" s="591">
        <v>2012</v>
      </c>
      <c r="H133" s="579">
        <v>734.38</v>
      </c>
      <c r="J133" s="611">
        <f t="shared" si="19"/>
        <v>0</v>
      </c>
      <c r="L133" s="595">
        <f>VLOOKUP(B133,$T$9:$U$13,2,FALSE)</f>
        <v>0.25</v>
      </c>
      <c r="N133" s="612">
        <f t="shared" si="20"/>
        <v>0</v>
      </c>
      <c r="P133" s="612">
        <f>H133+N133</f>
        <v>734.38</v>
      </c>
      <c r="R133" s="614" t="str">
        <f>IF(N133=H133,"Yes","No")</f>
        <v>No</v>
      </c>
      <c r="T133" s="579"/>
      <c r="U133" s="579"/>
      <c r="V133" s="579"/>
      <c r="W133" s="579"/>
      <c r="X133" s="579"/>
      <c r="Y133" s="579"/>
      <c r="Z133" s="579"/>
      <c r="AA133" s="579"/>
      <c r="AB133" s="579"/>
      <c r="AC133" s="579"/>
      <c r="AD133" s="579"/>
      <c r="AE133" s="579"/>
      <c r="AF133" s="579"/>
      <c r="AG133" s="579"/>
      <c r="AH133" s="579"/>
    </row>
    <row r="134" spans="1:34">
      <c r="B134" s="590" t="s">
        <v>511</v>
      </c>
      <c r="D134" s="591">
        <v>2012</v>
      </c>
      <c r="H134" s="579">
        <v>40.369999999999997</v>
      </c>
      <c r="J134" s="611">
        <f t="shared" si="19"/>
        <v>0</v>
      </c>
      <c r="L134" s="595">
        <f>VLOOKUP(B134,$T$9:$U$13,2,FALSE)</f>
        <v>0</v>
      </c>
      <c r="N134" s="612">
        <f t="shared" si="20"/>
        <v>0</v>
      </c>
      <c r="P134" s="612">
        <f>H134-N134</f>
        <v>40.369999999999997</v>
      </c>
      <c r="R134" s="614" t="str">
        <f>IF(N134=H134,"Yes","No")</f>
        <v>No</v>
      </c>
      <c r="T134" s="579"/>
      <c r="U134" s="579"/>
      <c r="V134" s="579"/>
      <c r="W134" s="579"/>
      <c r="X134" s="579"/>
      <c r="Y134" s="579"/>
      <c r="Z134" s="579"/>
      <c r="AA134" s="579"/>
      <c r="AB134" s="579"/>
      <c r="AC134" s="579"/>
      <c r="AD134" s="579"/>
      <c r="AE134" s="579"/>
      <c r="AF134" s="579"/>
      <c r="AG134" s="579"/>
      <c r="AH134" s="579"/>
    </row>
    <row r="135" spans="1:34">
      <c r="B135" s="590" t="s">
        <v>466</v>
      </c>
      <c r="D135" s="591">
        <v>2012</v>
      </c>
      <c r="H135" s="628">
        <v>0</v>
      </c>
      <c r="J135" s="611">
        <f t="shared" si="19"/>
        <v>0</v>
      </c>
      <c r="L135" s="595">
        <f>VLOOKUP(B135,$T$9:$U$13,2,FALSE)</f>
        <v>0</v>
      </c>
      <c r="N135" s="629">
        <f t="shared" si="20"/>
        <v>0</v>
      </c>
      <c r="P135" s="629">
        <f>H135-N135</f>
        <v>0</v>
      </c>
      <c r="R135" s="614" t="str">
        <f>IF(N135=H135,"Yes","No")</f>
        <v>Yes</v>
      </c>
      <c r="T135" s="579"/>
      <c r="U135" s="579"/>
      <c r="V135" s="579"/>
      <c r="W135" s="579"/>
      <c r="X135" s="579"/>
      <c r="Y135" s="579"/>
      <c r="Z135" s="579"/>
      <c r="AA135" s="579"/>
      <c r="AB135" s="579"/>
      <c r="AC135" s="579"/>
      <c r="AD135" s="579"/>
      <c r="AE135" s="579"/>
      <c r="AF135" s="579"/>
      <c r="AG135" s="579"/>
      <c r="AH135" s="579"/>
    </row>
    <row r="136" spans="1:34">
      <c r="F136" s="591" t="s">
        <v>298</v>
      </c>
      <c r="H136" s="612">
        <f>SUM(H131:H135)</f>
        <v>387747.88</v>
      </c>
      <c r="J136" s="611"/>
      <c r="N136" s="612">
        <f>SUM(N131:N135)</f>
        <v>0</v>
      </c>
      <c r="P136" s="612">
        <f>SUM(P131:P135)</f>
        <v>387747.88</v>
      </c>
      <c r="T136" s="579"/>
      <c r="U136" s="579"/>
      <c r="V136" s="579"/>
      <c r="W136" s="579"/>
      <c r="X136" s="579"/>
      <c r="Y136" s="579"/>
      <c r="Z136" s="579"/>
      <c r="AA136" s="579"/>
      <c r="AB136" s="579"/>
      <c r="AC136" s="579"/>
      <c r="AD136" s="579"/>
      <c r="AE136" s="579"/>
      <c r="AF136" s="579"/>
      <c r="AG136" s="579"/>
      <c r="AH136" s="579"/>
    </row>
    <row r="137" spans="1:34">
      <c r="T137" s="579"/>
      <c r="U137" s="579"/>
      <c r="V137" s="579"/>
      <c r="W137" s="579"/>
      <c r="X137" s="579"/>
      <c r="Y137" s="579"/>
      <c r="Z137" s="579"/>
      <c r="AA137" s="579"/>
      <c r="AB137" s="579"/>
      <c r="AC137" s="579"/>
      <c r="AD137" s="579"/>
      <c r="AE137" s="579"/>
      <c r="AF137" s="579"/>
      <c r="AG137" s="579"/>
      <c r="AH137" s="579"/>
    </row>
    <row r="138" spans="1:34">
      <c r="T138" s="579"/>
      <c r="U138" s="579"/>
      <c r="V138" s="579"/>
      <c r="W138" s="579"/>
      <c r="X138" s="579"/>
      <c r="Y138" s="579"/>
      <c r="Z138" s="579"/>
      <c r="AA138" s="579"/>
      <c r="AB138" s="579"/>
      <c r="AC138" s="579"/>
      <c r="AD138" s="579"/>
      <c r="AE138" s="579"/>
      <c r="AF138" s="579"/>
      <c r="AG138" s="579"/>
      <c r="AH138" s="579"/>
    </row>
    <row r="139" spans="1:34">
      <c r="T139" s="579"/>
      <c r="U139" s="579"/>
      <c r="V139" s="579"/>
      <c r="W139" s="579"/>
      <c r="X139" s="579"/>
      <c r="Y139" s="579"/>
      <c r="Z139" s="579"/>
      <c r="AA139" s="579"/>
      <c r="AB139" s="579"/>
      <c r="AC139" s="579"/>
      <c r="AD139" s="579"/>
      <c r="AE139" s="579"/>
      <c r="AF139" s="579"/>
      <c r="AG139" s="579"/>
      <c r="AH139" s="579"/>
    </row>
    <row r="140" spans="1:34">
      <c r="T140" s="579"/>
      <c r="U140" s="579"/>
      <c r="V140" s="579"/>
      <c r="W140" s="579"/>
      <c r="X140" s="579"/>
      <c r="Y140" s="579"/>
      <c r="Z140" s="579"/>
      <c r="AA140" s="579"/>
      <c r="AB140" s="579"/>
      <c r="AC140" s="579"/>
      <c r="AD140" s="579"/>
      <c r="AE140" s="579"/>
      <c r="AF140" s="579"/>
      <c r="AG140" s="579"/>
      <c r="AH140" s="579"/>
    </row>
    <row r="141" spans="1:34">
      <c r="T141" s="579"/>
      <c r="U141" s="579"/>
      <c r="V141" s="579"/>
      <c r="W141" s="579"/>
      <c r="X141" s="579"/>
      <c r="Y141" s="579"/>
      <c r="Z141" s="579"/>
      <c r="AA141" s="579"/>
      <c r="AB141" s="579"/>
      <c r="AC141" s="579"/>
      <c r="AD141" s="579"/>
      <c r="AE141" s="579"/>
      <c r="AF141" s="579"/>
      <c r="AG141" s="579"/>
      <c r="AH141" s="579"/>
    </row>
    <row r="142" spans="1:34" ht="15.75" thickBot="1">
      <c r="F142" s="591" t="s">
        <v>314</v>
      </c>
      <c r="H142" s="630">
        <f>+H104+H96+H112+H120+H128+H136</f>
        <v>10693714.140000002</v>
      </c>
      <c r="L142" s="612"/>
      <c r="N142" s="630">
        <f>+N104+N96+N112+N120+N128+N136</f>
        <v>4209808.3482999988</v>
      </c>
      <c r="P142" s="630">
        <f>+P104+P96+P112+P120+P128+P136</f>
        <v>6524410.0216999985</v>
      </c>
      <c r="Q142" s="579"/>
    </row>
    <row r="143" spans="1:34" ht="15.75" thickTop="1">
      <c r="H143" s="291"/>
      <c r="L143" s="612"/>
      <c r="N143" s="291"/>
      <c r="P143" s="291"/>
      <c r="Q143" s="579"/>
    </row>
    <row r="144" spans="1:34">
      <c r="H144" s="291"/>
      <c r="N144" s="291"/>
      <c r="P144" s="291"/>
      <c r="Q144" s="579"/>
    </row>
    <row r="145" spans="1:18">
      <c r="H145" s="291"/>
      <c r="N145" s="291"/>
      <c r="P145" s="291"/>
      <c r="Q145" s="579"/>
    </row>
    <row r="148" spans="1:18">
      <c r="A148" s="631" t="s">
        <v>649</v>
      </c>
      <c r="B148" s="592"/>
      <c r="C148" s="592"/>
      <c r="D148" s="624"/>
    </row>
    <row r="149" spans="1:18">
      <c r="A149" s="592"/>
      <c r="B149" s="592" t="s">
        <v>293</v>
      </c>
      <c r="C149" s="592"/>
      <c r="D149" s="624">
        <v>1991</v>
      </c>
      <c r="F149" s="625">
        <v>33434</v>
      </c>
      <c r="G149" s="617"/>
      <c r="H149" s="291">
        <v>11611.3</v>
      </c>
      <c r="J149" s="611">
        <f t="shared" ref="J149:J159" si="21">VLOOKUP(D149,$T$17:$W$55,2,FALSE)</f>
        <v>21</v>
      </c>
      <c r="K149" s="611"/>
      <c r="L149" s="595">
        <f t="shared" ref="L149:L159" si="22">VLOOKUP(B149,$T$9:$U$13,2,FALSE)</f>
        <v>0.02</v>
      </c>
      <c r="M149" s="595"/>
      <c r="N149" s="612">
        <f t="shared" ref="N149:N159" si="23">IF(L149*J149*H149&gt;H149,H149,L149*J149*H149)</f>
        <v>4876.7459999999992</v>
      </c>
      <c r="O149" s="613"/>
      <c r="P149" s="612">
        <f t="shared" ref="P149:P159" si="24">H149-N149</f>
        <v>6734.5540000000001</v>
      </c>
      <c r="Q149" s="612"/>
      <c r="R149" s="614" t="str">
        <f t="shared" ref="R149:R159" si="25">IF(N149=H149,"Yes","No")</f>
        <v>No</v>
      </c>
    </row>
    <row r="150" spans="1:18">
      <c r="A150" s="592"/>
      <c r="B150" s="592" t="s">
        <v>293</v>
      </c>
      <c r="C150" s="592"/>
      <c r="D150" s="624">
        <v>1993</v>
      </c>
      <c r="F150" s="625">
        <v>34318</v>
      </c>
      <c r="G150" s="617"/>
      <c r="H150" s="291">
        <v>1938.5</v>
      </c>
      <c r="J150" s="611">
        <f t="shared" si="21"/>
        <v>19</v>
      </c>
      <c r="K150" s="611"/>
      <c r="L150" s="595">
        <f t="shared" si="22"/>
        <v>0.02</v>
      </c>
      <c r="M150" s="595"/>
      <c r="N150" s="612">
        <f t="shared" si="23"/>
        <v>736.63</v>
      </c>
      <c r="O150" s="613"/>
      <c r="P150" s="612">
        <f t="shared" si="24"/>
        <v>1201.8699999999999</v>
      </c>
      <c r="Q150" s="612"/>
      <c r="R150" s="614" t="str">
        <f t="shared" si="25"/>
        <v>No</v>
      </c>
    </row>
    <row r="151" spans="1:18">
      <c r="A151" s="592"/>
      <c r="B151" s="592" t="s">
        <v>293</v>
      </c>
      <c r="C151" s="592"/>
      <c r="D151" s="624">
        <v>1995</v>
      </c>
      <c r="F151" s="625">
        <v>34710</v>
      </c>
      <c r="G151" s="617"/>
      <c r="H151" s="291">
        <v>5579.76</v>
      </c>
      <c r="J151" s="611">
        <f t="shared" si="21"/>
        <v>17</v>
      </c>
      <c r="K151" s="611"/>
      <c r="L151" s="595">
        <f t="shared" si="22"/>
        <v>0.02</v>
      </c>
      <c r="M151" s="595"/>
      <c r="N151" s="612">
        <f t="shared" si="23"/>
        <v>1897.1184000000003</v>
      </c>
      <c r="O151" s="613"/>
      <c r="P151" s="612">
        <f t="shared" si="24"/>
        <v>3682.6415999999999</v>
      </c>
      <c r="Q151" s="612"/>
      <c r="R151" s="614" t="str">
        <f t="shared" si="25"/>
        <v>No</v>
      </c>
    </row>
    <row r="152" spans="1:18">
      <c r="A152" s="592"/>
      <c r="B152" s="592" t="s">
        <v>293</v>
      </c>
      <c r="C152" s="592"/>
      <c r="D152" s="624">
        <v>1995</v>
      </c>
      <c r="F152" s="625">
        <v>34773</v>
      </c>
      <c r="G152" s="617"/>
      <c r="H152" s="291">
        <v>22218.75</v>
      </c>
      <c r="J152" s="611">
        <f t="shared" si="21"/>
        <v>17</v>
      </c>
      <c r="K152" s="611"/>
      <c r="L152" s="595">
        <f t="shared" si="22"/>
        <v>0.02</v>
      </c>
      <c r="M152" s="595"/>
      <c r="N152" s="612">
        <f t="shared" si="23"/>
        <v>7554.3750000000009</v>
      </c>
      <c r="O152" s="613"/>
      <c r="P152" s="612">
        <f t="shared" si="24"/>
        <v>14664.375</v>
      </c>
      <c r="Q152" s="612"/>
      <c r="R152" s="614" t="str">
        <f t="shared" si="25"/>
        <v>No</v>
      </c>
    </row>
    <row r="153" spans="1:18">
      <c r="A153" s="592"/>
      <c r="B153" s="592" t="s">
        <v>293</v>
      </c>
      <c r="C153" s="592"/>
      <c r="D153" s="624">
        <v>1995</v>
      </c>
      <c r="F153" s="625">
        <v>34773</v>
      </c>
      <c r="G153" s="617"/>
      <c r="H153" s="291">
        <v>7500</v>
      </c>
      <c r="J153" s="611">
        <f t="shared" si="21"/>
        <v>17</v>
      </c>
      <c r="K153" s="611"/>
      <c r="L153" s="595">
        <f t="shared" si="22"/>
        <v>0.02</v>
      </c>
      <c r="M153" s="595"/>
      <c r="N153" s="612">
        <f t="shared" si="23"/>
        <v>2550</v>
      </c>
      <c r="O153" s="613"/>
      <c r="P153" s="612">
        <f t="shared" si="24"/>
        <v>4950</v>
      </c>
      <c r="Q153" s="612"/>
      <c r="R153" s="614" t="str">
        <f t="shared" si="25"/>
        <v>No</v>
      </c>
    </row>
    <row r="154" spans="1:18">
      <c r="A154" s="592"/>
      <c r="B154" s="590" t="s">
        <v>293</v>
      </c>
      <c r="C154" s="592"/>
      <c r="D154" s="624">
        <v>1997</v>
      </c>
      <c r="F154" s="625">
        <v>35625</v>
      </c>
      <c r="G154" s="617"/>
      <c r="H154" s="291">
        <v>8730.5</v>
      </c>
      <c r="J154" s="611">
        <f t="shared" si="21"/>
        <v>15</v>
      </c>
      <c r="K154" s="611"/>
      <c r="L154" s="595">
        <f t="shared" si="22"/>
        <v>0.02</v>
      </c>
      <c r="M154" s="595"/>
      <c r="N154" s="612">
        <f t="shared" si="23"/>
        <v>2619.15</v>
      </c>
      <c r="O154" s="613"/>
      <c r="P154" s="612">
        <f t="shared" si="24"/>
        <v>6111.35</v>
      </c>
      <c r="Q154" s="612"/>
      <c r="R154" s="614" t="str">
        <f t="shared" si="25"/>
        <v>No</v>
      </c>
    </row>
    <row r="155" spans="1:18">
      <c r="A155" s="592"/>
      <c r="B155" s="592" t="s">
        <v>293</v>
      </c>
      <c r="C155" s="592"/>
      <c r="D155" s="624">
        <v>1997</v>
      </c>
      <c r="F155" s="625">
        <v>35611</v>
      </c>
      <c r="G155" s="617"/>
      <c r="H155" s="291">
        <v>23736.03</v>
      </c>
      <c r="J155" s="611">
        <f t="shared" si="21"/>
        <v>15</v>
      </c>
      <c r="K155" s="611"/>
      <c r="L155" s="595">
        <f t="shared" si="22"/>
        <v>0.02</v>
      </c>
      <c r="M155" s="595"/>
      <c r="N155" s="612">
        <f t="shared" si="23"/>
        <v>7120.8089999999993</v>
      </c>
      <c r="O155" s="613"/>
      <c r="P155" s="612">
        <f t="shared" si="24"/>
        <v>16615.220999999998</v>
      </c>
      <c r="Q155" s="612"/>
      <c r="R155" s="614" t="str">
        <f t="shared" si="25"/>
        <v>No</v>
      </c>
    </row>
    <row r="156" spans="1:18">
      <c r="A156" s="592"/>
      <c r="B156" s="592" t="s">
        <v>293</v>
      </c>
      <c r="C156" s="592"/>
      <c r="D156" s="624">
        <v>1999</v>
      </c>
      <c r="F156" s="625">
        <v>36397</v>
      </c>
      <c r="G156" s="617"/>
      <c r="H156" s="291">
        <v>10148.14</v>
      </c>
      <c r="J156" s="611">
        <f t="shared" si="21"/>
        <v>13</v>
      </c>
      <c r="K156" s="611"/>
      <c r="L156" s="595">
        <f t="shared" si="22"/>
        <v>0.02</v>
      </c>
      <c r="M156" s="595"/>
      <c r="N156" s="612">
        <f t="shared" si="23"/>
        <v>2638.5164</v>
      </c>
      <c r="O156" s="613"/>
      <c r="P156" s="612">
        <f t="shared" si="24"/>
        <v>7509.623599999999</v>
      </c>
      <c r="Q156" s="612"/>
      <c r="R156" s="614" t="str">
        <f t="shared" si="25"/>
        <v>No</v>
      </c>
    </row>
    <row r="157" spans="1:18">
      <c r="A157" s="592"/>
      <c r="B157" s="592" t="s">
        <v>293</v>
      </c>
      <c r="C157" s="592"/>
      <c r="D157" s="624">
        <v>2000</v>
      </c>
      <c r="F157" s="625">
        <v>36801</v>
      </c>
      <c r="G157" s="617"/>
      <c r="H157" s="291">
        <v>1866.2</v>
      </c>
      <c r="J157" s="611">
        <f t="shared" si="21"/>
        <v>12</v>
      </c>
      <c r="K157" s="611"/>
      <c r="L157" s="595">
        <f t="shared" si="22"/>
        <v>0.02</v>
      </c>
      <c r="M157" s="595"/>
      <c r="N157" s="612">
        <f t="shared" si="23"/>
        <v>447.88799999999998</v>
      </c>
      <c r="O157" s="613"/>
      <c r="P157" s="612">
        <f t="shared" si="24"/>
        <v>1418.3120000000001</v>
      </c>
      <c r="Q157" s="612"/>
      <c r="R157" s="614" t="str">
        <f t="shared" si="25"/>
        <v>No</v>
      </c>
    </row>
    <row r="158" spans="1:18">
      <c r="A158" s="592"/>
      <c r="B158" s="592" t="s">
        <v>293</v>
      </c>
      <c r="C158" s="592"/>
      <c r="D158" s="624">
        <v>2000</v>
      </c>
      <c r="F158" s="625">
        <v>36633</v>
      </c>
      <c r="G158" s="617"/>
      <c r="H158" s="291">
        <v>11617.18</v>
      </c>
      <c r="J158" s="611">
        <f t="shared" si="21"/>
        <v>12</v>
      </c>
      <c r="K158" s="611"/>
      <c r="L158" s="595">
        <f t="shared" si="22"/>
        <v>0.02</v>
      </c>
      <c r="M158" s="595"/>
      <c r="N158" s="612">
        <f t="shared" si="23"/>
        <v>2788.1232</v>
      </c>
      <c r="O158" s="613"/>
      <c r="P158" s="612">
        <f t="shared" si="24"/>
        <v>8829.0568000000003</v>
      </c>
      <c r="Q158" s="612"/>
      <c r="R158" s="614" t="str">
        <f t="shared" si="25"/>
        <v>No</v>
      </c>
    </row>
    <row r="159" spans="1:18">
      <c r="A159" s="592"/>
      <c r="B159" s="592" t="s">
        <v>293</v>
      </c>
      <c r="C159" s="592"/>
      <c r="D159" s="624">
        <v>2000</v>
      </c>
      <c r="F159" s="625">
        <v>36572</v>
      </c>
      <c r="G159" s="617"/>
      <c r="H159" s="291">
        <v>8134.17</v>
      </c>
      <c r="J159" s="611">
        <f t="shared" si="21"/>
        <v>12</v>
      </c>
      <c r="K159" s="611"/>
      <c r="L159" s="595">
        <f t="shared" si="22"/>
        <v>0.02</v>
      </c>
      <c r="M159" s="595"/>
      <c r="N159" s="612">
        <f t="shared" si="23"/>
        <v>1952.2007999999998</v>
      </c>
      <c r="O159" s="613"/>
      <c r="P159" s="612">
        <f t="shared" si="24"/>
        <v>6181.9692000000005</v>
      </c>
      <c r="Q159" s="612"/>
      <c r="R159" s="614" t="str">
        <f t="shared" si="25"/>
        <v>No</v>
      </c>
    </row>
    <row r="160" spans="1:18">
      <c r="F160" s="591" t="s">
        <v>298</v>
      </c>
      <c r="H160" s="338">
        <f>SUM(H149:H159)</f>
        <v>113080.52999999998</v>
      </c>
      <c r="J160" s="790"/>
      <c r="N160" s="632">
        <f>SUM(N149:N159)</f>
        <v>35181.556799999998</v>
      </c>
      <c r="P160" s="632">
        <f>SUM(P149:P159)</f>
        <v>77898.973200000008</v>
      </c>
    </row>
    <row r="161" spans="1:18">
      <c r="J161" s="790"/>
    </row>
    <row r="162" spans="1:18" ht="15.75" thickBot="1">
      <c r="F162" s="591" t="s">
        <v>314</v>
      </c>
      <c r="H162" s="630">
        <f>H160</f>
        <v>113080.52999999998</v>
      </c>
      <c r="J162" s="790"/>
      <c r="N162" s="630">
        <f>N160</f>
        <v>35181.556799999998</v>
      </c>
      <c r="P162" s="630">
        <f>P160</f>
        <v>77898.973200000008</v>
      </c>
    </row>
    <row r="163" spans="1:18" ht="15.75" thickTop="1">
      <c r="J163" s="790"/>
      <c r="N163" s="579"/>
      <c r="P163" s="579"/>
    </row>
    <row r="164" spans="1:18">
      <c r="J164" s="790"/>
      <c r="N164" s="579"/>
      <c r="P164" s="579"/>
    </row>
    <row r="165" spans="1:18">
      <c r="A165" s="631" t="s">
        <v>296</v>
      </c>
      <c r="B165" s="592"/>
      <c r="C165" s="592"/>
      <c r="D165" s="624"/>
      <c r="E165" s="592"/>
      <c r="F165" s="625"/>
      <c r="G165" s="617"/>
      <c r="H165" s="291"/>
      <c r="J165" s="790"/>
    </row>
    <row r="166" spans="1:18">
      <c r="A166" s="592"/>
      <c r="B166" s="592" t="s">
        <v>293</v>
      </c>
      <c r="C166" s="592"/>
      <c r="D166" s="624">
        <v>1988</v>
      </c>
      <c r="E166" s="592"/>
      <c r="F166" s="625">
        <v>32336</v>
      </c>
      <c r="G166" s="617"/>
      <c r="H166" s="291">
        <v>9255</v>
      </c>
      <c r="J166" s="611">
        <f t="shared" ref="J166:J174" si="26">VLOOKUP(D166,$T$17:$W$55,2,FALSE)</f>
        <v>24</v>
      </c>
      <c r="K166" s="611"/>
      <c r="L166" s="595">
        <f t="shared" ref="L166:L174" si="27">VLOOKUP(B166,$T$9:$U$13,2,FALSE)</f>
        <v>0.02</v>
      </c>
      <c r="M166" s="595"/>
      <c r="N166" s="612">
        <f t="shared" ref="N166:N174" si="28">IF(L166*J166*H166&gt;H166,H166,L166*J166*H166)</f>
        <v>4442.3999999999996</v>
      </c>
      <c r="O166" s="613"/>
      <c r="P166" s="612">
        <f t="shared" ref="P166:P174" si="29">H166-N166</f>
        <v>4812.6000000000004</v>
      </c>
      <c r="Q166" s="612"/>
      <c r="R166" s="614" t="str">
        <f t="shared" ref="R166:R174" si="30">IF(N166=H166,"Yes","No")</f>
        <v>No</v>
      </c>
    </row>
    <row r="167" spans="1:18">
      <c r="A167" s="592"/>
      <c r="B167" s="592" t="s">
        <v>293</v>
      </c>
      <c r="C167" s="592"/>
      <c r="D167" s="624">
        <v>1990</v>
      </c>
      <c r="E167" s="592"/>
      <c r="F167" s="625"/>
      <c r="G167" s="617"/>
      <c r="H167" s="291">
        <v>19145.650000000001</v>
      </c>
      <c r="J167" s="611">
        <f t="shared" si="26"/>
        <v>22</v>
      </c>
      <c r="K167" s="611"/>
      <c r="L167" s="595">
        <f t="shared" si="27"/>
        <v>0.02</v>
      </c>
      <c r="M167" s="595"/>
      <c r="N167" s="612">
        <f t="shared" si="28"/>
        <v>8424.0860000000011</v>
      </c>
      <c r="O167" s="613"/>
      <c r="P167" s="612">
        <f t="shared" si="29"/>
        <v>10721.564</v>
      </c>
      <c r="Q167" s="612"/>
      <c r="R167" s="614" t="str">
        <f t="shared" si="30"/>
        <v>No</v>
      </c>
    </row>
    <row r="168" spans="1:18">
      <c r="A168" s="592"/>
      <c r="B168" s="592" t="s">
        <v>293</v>
      </c>
      <c r="C168" s="592"/>
      <c r="D168" s="624">
        <v>1990</v>
      </c>
      <c r="E168" s="592"/>
      <c r="F168" s="625"/>
      <c r="G168" s="617"/>
      <c r="H168" s="291">
        <v>2885.35</v>
      </c>
      <c r="J168" s="611">
        <f t="shared" si="26"/>
        <v>22</v>
      </c>
      <c r="K168" s="611"/>
      <c r="L168" s="595">
        <f t="shared" si="27"/>
        <v>0.02</v>
      </c>
      <c r="M168" s="595"/>
      <c r="N168" s="612">
        <f t="shared" si="28"/>
        <v>1269.5539999999999</v>
      </c>
      <c r="O168" s="613"/>
      <c r="P168" s="612">
        <f t="shared" si="29"/>
        <v>1615.796</v>
      </c>
      <c r="Q168" s="612"/>
      <c r="R168" s="614" t="str">
        <f t="shared" si="30"/>
        <v>No</v>
      </c>
    </row>
    <row r="169" spans="1:18">
      <c r="A169" s="592"/>
      <c r="B169" s="592" t="s">
        <v>293</v>
      </c>
      <c r="C169" s="592"/>
      <c r="D169" s="624">
        <v>1992</v>
      </c>
      <c r="E169" s="592"/>
      <c r="F169" s="625">
        <v>33706</v>
      </c>
      <c r="G169" s="617"/>
      <c r="H169" s="291">
        <v>38770.04</v>
      </c>
      <c r="J169" s="611">
        <f t="shared" si="26"/>
        <v>20</v>
      </c>
      <c r="K169" s="611"/>
      <c r="L169" s="595">
        <f t="shared" si="27"/>
        <v>0.02</v>
      </c>
      <c r="M169" s="595"/>
      <c r="N169" s="612">
        <f t="shared" si="28"/>
        <v>15508.016000000001</v>
      </c>
      <c r="O169" s="613"/>
      <c r="P169" s="612">
        <f t="shared" si="29"/>
        <v>23262.023999999998</v>
      </c>
      <c r="Q169" s="612"/>
      <c r="R169" s="614" t="str">
        <f t="shared" si="30"/>
        <v>No</v>
      </c>
    </row>
    <row r="170" spans="1:18">
      <c r="A170" s="592"/>
      <c r="B170" s="592" t="s">
        <v>293</v>
      </c>
      <c r="C170" s="592"/>
      <c r="D170" s="624">
        <v>1994</v>
      </c>
      <c r="E170" s="592"/>
      <c r="F170" s="625">
        <v>34511</v>
      </c>
      <c r="G170" s="617"/>
      <c r="H170" s="291">
        <v>3600</v>
      </c>
      <c r="J170" s="611">
        <f t="shared" si="26"/>
        <v>18</v>
      </c>
      <c r="K170" s="611"/>
      <c r="L170" s="595">
        <f t="shared" si="27"/>
        <v>0.02</v>
      </c>
      <c r="M170" s="595"/>
      <c r="N170" s="612">
        <f t="shared" si="28"/>
        <v>1296</v>
      </c>
      <c r="O170" s="613"/>
      <c r="P170" s="612">
        <f t="shared" si="29"/>
        <v>2304</v>
      </c>
      <c r="Q170" s="612"/>
      <c r="R170" s="614" t="str">
        <f t="shared" si="30"/>
        <v>No</v>
      </c>
    </row>
    <row r="171" spans="1:18">
      <c r="A171" s="592"/>
      <c r="B171" s="592" t="s">
        <v>293</v>
      </c>
      <c r="C171" s="592"/>
      <c r="D171" s="624">
        <v>1997</v>
      </c>
      <c r="E171" s="592"/>
      <c r="F171" s="625">
        <v>35488</v>
      </c>
      <c r="G171" s="617"/>
      <c r="H171" s="291">
        <v>592.4</v>
      </c>
      <c r="J171" s="611">
        <f t="shared" si="26"/>
        <v>15</v>
      </c>
      <c r="K171" s="611"/>
      <c r="L171" s="595">
        <f t="shared" si="27"/>
        <v>0.02</v>
      </c>
      <c r="M171" s="595"/>
      <c r="N171" s="612">
        <f t="shared" si="28"/>
        <v>177.72</v>
      </c>
      <c r="O171" s="613"/>
      <c r="P171" s="612">
        <f t="shared" si="29"/>
        <v>414.67999999999995</v>
      </c>
      <c r="Q171" s="612"/>
      <c r="R171" s="614" t="str">
        <f t="shared" si="30"/>
        <v>No</v>
      </c>
    </row>
    <row r="172" spans="1:18">
      <c r="A172" s="592"/>
      <c r="B172" s="592" t="s">
        <v>293</v>
      </c>
      <c r="C172" s="592"/>
      <c r="D172" s="624">
        <v>1998</v>
      </c>
      <c r="E172" s="592"/>
      <c r="F172" s="625">
        <v>35905</v>
      </c>
      <c r="G172" s="617"/>
      <c r="H172" s="291">
        <v>6393.4</v>
      </c>
      <c r="J172" s="611">
        <f t="shared" si="26"/>
        <v>14</v>
      </c>
      <c r="K172" s="611"/>
      <c r="L172" s="595">
        <f t="shared" si="27"/>
        <v>0.02</v>
      </c>
      <c r="M172" s="595"/>
      <c r="N172" s="612">
        <f t="shared" si="28"/>
        <v>1790.152</v>
      </c>
      <c r="O172" s="613"/>
      <c r="P172" s="612">
        <f t="shared" si="29"/>
        <v>4603.2479999999996</v>
      </c>
      <c r="Q172" s="612"/>
      <c r="R172" s="614" t="str">
        <f t="shared" si="30"/>
        <v>No</v>
      </c>
    </row>
    <row r="173" spans="1:18">
      <c r="A173" s="592"/>
      <c r="B173" s="592" t="s">
        <v>293</v>
      </c>
      <c r="C173" s="592"/>
      <c r="D173" s="624">
        <v>1998</v>
      </c>
      <c r="E173" s="592"/>
      <c r="F173" s="625">
        <v>35912</v>
      </c>
      <c r="G173" s="617"/>
      <c r="H173" s="291">
        <v>3543.75</v>
      </c>
      <c r="J173" s="611">
        <f t="shared" si="26"/>
        <v>14</v>
      </c>
      <c r="K173" s="611"/>
      <c r="L173" s="595">
        <f t="shared" si="27"/>
        <v>0.02</v>
      </c>
      <c r="M173" s="595"/>
      <c r="N173" s="612">
        <f t="shared" si="28"/>
        <v>992.25000000000011</v>
      </c>
      <c r="O173" s="613"/>
      <c r="P173" s="612">
        <f t="shared" si="29"/>
        <v>2551.5</v>
      </c>
      <c r="Q173" s="612"/>
      <c r="R173" s="614" t="str">
        <f t="shared" si="30"/>
        <v>No</v>
      </c>
    </row>
    <row r="174" spans="1:18">
      <c r="A174" s="592"/>
      <c r="B174" s="592" t="s">
        <v>293</v>
      </c>
      <c r="C174" s="592"/>
      <c r="D174" s="624">
        <v>1999</v>
      </c>
      <c r="E174" s="592"/>
      <c r="F174" s="625">
        <v>36403</v>
      </c>
      <c r="G174" s="617"/>
      <c r="H174" s="291">
        <v>5087.76</v>
      </c>
      <c r="J174" s="611">
        <f t="shared" si="26"/>
        <v>13</v>
      </c>
      <c r="K174" s="611"/>
      <c r="L174" s="595">
        <f t="shared" si="27"/>
        <v>0.02</v>
      </c>
      <c r="M174" s="595"/>
      <c r="N174" s="612">
        <f t="shared" si="28"/>
        <v>1322.8176000000001</v>
      </c>
      <c r="O174" s="613"/>
      <c r="P174" s="612">
        <f t="shared" si="29"/>
        <v>3764.9423999999999</v>
      </c>
      <c r="Q174" s="612"/>
      <c r="R174" s="614" t="str">
        <f t="shared" si="30"/>
        <v>No</v>
      </c>
    </row>
    <row r="175" spans="1:18">
      <c r="F175" s="591" t="s">
        <v>298</v>
      </c>
      <c r="H175" s="338">
        <f>SUM(H166:H174)</f>
        <v>89273.349999999991</v>
      </c>
      <c r="J175" s="790"/>
      <c r="N175" s="632">
        <f>SUM(N166:N174)</f>
        <v>35222.995600000009</v>
      </c>
      <c r="P175" s="632">
        <f>SUM(P166:P174)</f>
        <v>54050.354399999997</v>
      </c>
    </row>
    <row r="176" spans="1:18">
      <c r="J176" s="790"/>
    </row>
    <row r="177" spans="1:18">
      <c r="A177" s="623" t="s">
        <v>299</v>
      </c>
      <c r="J177" s="790"/>
    </row>
    <row r="178" spans="1:18">
      <c r="B178" s="592" t="s">
        <v>293</v>
      </c>
      <c r="C178" s="592"/>
      <c r="D178" s="624">
        <v>2003</v>
      </c>
      <c r="H178" s="579">
        <v>8249.36</v>
      </c>
      <c r="J178" s="611">
        <f>VLOOKUP(D178,$T$17:$W$55,2,FALSE)</f>
        <v>9</v>
      </c>
      <c r="K178" s="611"/>
      <c r="L178" s="595">
        <f>VLOOKUP(B178,$T$9:$U$13,2,FALSE)</f>
        <v>0.02</v>
      </c>
      <c r="M178" s="595"/>
      <c r="N178" s="612">
        <f>H178*J178*L178</f>
        <v>1484.8848</v>
      </c>
      <c r="O178" s="613"/>
      <c r="P178" s="612">
        <f>H178-N178</f>
        <v>6764.4752000000008</v>
      </c>
      <c r="Q178" s="612"/>
      <c r="R178" s="614" t="str">
        <f>IF(N178=H178,"Yes","No")</f>
        <v>No</v>
      </c>
    </row>
    <row r="179" spans="1:18">
      <c r="B179" s="592" t="s">
        <v>293</v>
      </c>
      <c r="C179" s="592"/>
      <c r="D179" s="624">
        <v>2003</v>
      </c>
      <c r="H179" s="579">
        <v>221</v>
      </c>
      <c r="J179" s="611">
        <f>VLOOKUP(D179,$T$17:$W$55,2,FALSE)</f>
        <v>9</v>
      </c>
      <c r="K179" s="611"/>
      <c r="L179" s="595">
        <f>VLOOKUP(B179,$T$9:$U$13,2,FALSE)</f>
        <v>0.02</v>
      </c>
      <c r="M179" s="595"/>
      <c r="N179" s="612">
        <f>IF(L179*J179*H179&gt;H179,H179,L179*J179*H179)</f>
        <v>39.78</v>
      </c>
      <c r="O179" s="613"/>
      <c r="P179" s="612">
        <f>H179-N179</f>
        <v>181.22</v>
      </c>
      <c r="Q179" s="612"/>
      <c r="R179" s="614" t="str">
        <f>IF(N179=H179,"Yes","No")</f>
        <v>No</v>
      </c>
    </row>
    <row r="180" spans="1:18">
      <c r="F180" s="591" t="s">
        <v>298</v>
      </c>
      <c r="H180" s="338">
        <f>SUM(H178:H179)</f>
        <v>8470.36</v>
      </c>
      <c r="J180" s="790"/>
      <c r="N180" s="632">
        <f>SUM(N178:N179)</f>
        <v>1524.6648</v>
      </c>
      <c r="P180" s="632">
        <f>SUM(P178:P179)</f>
        <v>6945.695200000001</v>
      </c>
    </row>
    <row r="181" spans="1:18">
      <c r="H181" s="291"/>
      <c r="J181" s="790"/>
      <c r="N181" s="613"/>
      <c r="P181" s="613"/>
    </row>
    <row r="182" spans="1:18">
      <c r="A182" s="623" t="s">
        <v>515</v>
      </c>
      <c r="H182" s="291"/>
      <c r="J182" s="790"/>
      <c r="N182" s="613"/>
      <c r="P182" s="613"/>
    </row>
    <row r="183" spans="1:18">
      <c r="B183" s="592" t="s">
        <v>293</v>
      </c>
      <c r="C183" s="592"/>
      <c r="D183" s="624">
        <v>2007</v>
      </c>
      <c r="H183" s="579">
        <v>6646.02</v>
      </c>
      <c r="J183" s="611">
        <f>VLOOKUP(D183,$T$17:$W$55,2,FALSE)</f>
        <v>5</v>
      </c>
      <c r="K183" s="611"/>
      <c r="L183" s="595">
        <f>VLOOKUP(B183,$T$9:$U$13,2,FALSE)</f>
        <v>0.02</v>
      </c>
      <c r="M183" s="595"/>
      <c r="N183" s="612">
        <f>H183*J183*L183</f>
        <v>664.60200000000009</v>
      </c>
      <c r="O183" s="613"/>
      <c r="P183" s="612">
        <f>H183-N183</f>
        <v>5981.4180000000006</v>
      </c>
      <c r="Q183" s="612"/>
      <c r="R183" s="614" t="str">
        <f>IF(N183=H183,"Yes","No")</f>
        <v>No</v>
      </c>
    </row>
    <row r="184" spans="1:18">
      <c r="B184" s="592" t="s">
        <v>293</v>
      </c>
      <c r="C184" s="592"/>
      <c r="D184" s="624">
        <v>2007</v>
      </c>
      <c r="H184" s="579">
        <v>0</v>
      </c>
      <c r="J184" s="611">
        <f>VLOOKUP(D184,$T$17:$W$55,2,FALSE)</f>
        <v>5</v>
      </c>
      <c r="K184" s="611"/>
      <c r="L184" s="595">
        <f>VLOOKUP(B184,$T$9:$U$13,2,FALSE)</f>
        <v>0.02</v>
      </c>
      <c r="M184" s="595"/>
      <c r="N184" s="612">
        <f>IF(L184*J184*H184&gt;H184,H184,L184*J184*H184)</f>
        <v>0</v>
      </c>
      <c r="O184" s="613"/>
      <c r="P184" s="612">
        <f>H184-N184</f>
        <v>0</v>
      </c>
      <c r="Q184" s="612"/>
      <c r="R184" s="614" t="str">
        <f>IF(N184=H184,"Yes","No")</f>
        <v>Yes</v>
      </c>
    </row>
    <row r="185" spans="1:18">
      <c r="F185" s="591" t="s">
        <v>298</v>
      </c>
      <c r="H185" s="338">
        <f>SUM(H183:H184)</f>
        <v>6646.02</v>
      </c>
      <c r="J185" s="790"/>
      <c r="N185" s="632">
        <f>SUM(N183:N184)</f>
        <v>664.60200000000009</v>
      </c>
      <c r="P185" s="632">
        <f>SUM(P183:P184)</f>
        <v>5981.4180000000006</v>
      </c>
    </row>
    <row r="186" spans="1:18">
      <c r="H186" s="291"/>
      <c r="J186" s="790"/>
      <c r="N186" s="613"/>
      <c r="P186" s="613"/>
    </row>
    <row r="187" spans="1:18">
      <c r="A187" s="623" t="s">
        <v>516</v>
      </c>
      <c r="H187" s="291"/>
      <c r="J187" s="790"/>
      <c r="N187" s="613"/>
      <c r="P187" s="613"/>
    </row>
    <row r="188" spans="1:18">
      <c r="B188" s="592" t="s">
        <v>293</v>
      </c>
      <c r="C188" s="592"/>
      <c r="D188" s="624">
        <v>2008</v>
      </c>
      <c r="H188" s="579">
        <v>0</v>
      </c>
      <c r="J188" s="611">
        <f>VLOOKUP(D188,$T$17:$W$55,2,FALSE)</f>
        <v>4</v>
      </c>
      <c r="K188" s="611"/>
      <c r="L188" s="595">
        <f>VLOOKUP(B188,$T$9:$U$13,2,FALSE)</f>
        <v>0.02</v>
      </c>
      <c r="M188" s="595"/>
      <c r="N188" s="612">
        <f>H188*J188*L188</f>
        <v>0</v>
      </c>
      <c r="O188" s="613"/>
      <c r="P188" s="612">
        <f>H188-N188</f>
        <v>0</v>
      </c>
      <c r="Q188" s="612"/>
      <c r="R188" s="614" t="str">
        <f>IF(N188=H188,"Yes","No")</f>
        <v>Yes</v>
      </c>
    </row>
    <row r="189" spans="1:18">
      <c r="B189" s="592" t="s">
        <v>293</v>
      </c>
      <c r="C189" s="592"/>
      <c r="D189" s="624">
        <v>2008</v>
      </c>
      <c r="H189" s="579">
        <v>0</v>
      </c>
      <c r="J189" s="611">
        <f>VLOOKUP(D189,$T$17:$W$55,2,FALSE)</f>
        <v>4</v>
      </c>
      <c r="K189" s="611"/>
      <c r="L189" s="595">
        <f>VLOOKUP(B189,$T$9:$U$13,2,FALSE)</f>
        <v>0.02</v>
      </c>
      <c r="M189" s="595"/>
      <c r="N189" s="612">
        <f>IF(L189*J189*H189&gt;H189,H189,L189*J189*H189)</f>
        <v>0</v>
      </c>
      <c r="O189" s="613"/>
      <c r="P189" s="612">
        <f>H189-N189</f>
        <v>0</v>
      </c>
      <c r="Q189" s="612"/>
      <c r="R189" s="614" t="str">
        <f>IF(N189=H189,"Yes","No")</f>
        <v>Yes</v>
      </c>
    </row>
    <row r="190" spans="1:18">
      <c r="F190" s="591" t="s">
        <v>298</v>
      </c>
      <c r="H190" s="338">
        <f>SUM(H188:H189)</f>
        <v>0</v>
      </c>
      <c r="N190" s="632">
        <f>SUM(N188:N189)</f>
        <v>0</v>
      </c>
      <c r="P190" s="632">
        <f>SUM(P188:P189)</f>
        <v>0</v>
      </c>
    </row>
    <row r="191" spans="1:18">
      <c r="H191" s="291"/>
      <c r="J191" s="790"/>
      <c r="N191" s="613"/>
      <c r="P191" s="613"/>
    </row>
    <row r="192" spans="1:18">
      <c r="A192" s="623" t="s">
        <v>1756</v>
      </c>
      <c r="H192" s="291"/>
      <c r="J192" s="790"/>
      <c r="N192" s="613"/>
      <c r="P192" s="613"/>
    </row>
    <row r="193" spans="1:18">
      <c r="B193" s="592" t="s">
        <v>293</v>
      </c>
      <c r="C193" s="592"/>
      <c r="D193" s="624">
        <v>2009</v>
      </c>
      <c r="H193" s="579">
        <v>0</v>
      </c>
      <c r="J193" s="611">
        <f>VLOOKUP(D193,$T$17:$W$55,2,FALSE)</f>
        <v>3</v>
      </c>
      <c r="K193" s="611"/>
      <c r="L193" s="595">
        <f>VLOOKUP(B193,$T$9:$U$13,2,FALSE)</f>
        <v>0.02</v>
      </c>
      <c r="M193" s="595"/>
      <c r="N193" s="612">
        <f>H193*J193*L193</f>
        <v>0</v>
      </c>
      <c r="O193" s="613"/>
      <c r="P193" s="612">
        <f>H193-N193</f>
        <v>0</v>
      </c>
      <c r="Q193" s="612"/>
      <c r="R193" s="614" t="str">
        <f>IF(N193=H193,"Yes","No")</f>
        <v>Yes</v>
      </c>
    </row>
    <row r="194" spans="1:18">
      <c r="B194" s="592" t="s">
        <v>293</v>
      </c>
      <c r="C194" s="592"/>
      <c r="D194" s="624">
        <v>2009</v>
      </c>
      <c r="H194" s="579">
        <v>0</v>
      </c>
      <c r="J194" s="611">
        <f>VLOOKUP(D194,$T$17:$W$55,2,FALSE)</f>
        <v>3</v>
      </c>
      <c r="K194" s="611"/>
      <c r="L194" s="595">
        <f>VLOOKUP(B194,$T$9:$U$13,2,FALSE)</f>
        <v>0.02</v>
      </c>
      <c r="M194" s="595"/>
      <c r="N194" s="612">
        <f>IF(L194*J194*H194&gt;H194,H194,L194*J194*H194)</f>
        <v>0</v>
      </c>
      <c r="O194" s="613"/>
      <c r="P194" s="612">
        <f>H194-N194</f>
        <v>0</v>
      </c>
      <c r="Q194" s="612"/>
      <c r="R194" s="614" t="str">
        <f>IF(N194=H194,"Yes","No")</f>
        <v>Yes</v>
      </c>
    </row>
    <row r="195" spans="1:18">
      <c r="F195" s="591" t="s">
        <v>298</v>
      </c>
      <c r="H195" s="338">
        <f>SUM(H193:H194)</f>
        <v>0</v>
      </c>
      <c r="N195" s="632">
        <f>SUM(N193:N194)</f>
        <v>0</v>
      </c>
      <c r="P195" s="632">
        <f>SUM(P193:P194)</f>
        <v>0</v>
      </c>
    </row>
    <row r="196" spans="1:18">
      <c r="H196" s="291"/>
      <c r="N196" s="613"/>
      <c r="P196" s="613"/>
    </row>
    <row r="197" spans="1:18">
      <c r="A197" s="623" t="s">
        <v>1755</v>
      </c>
      <c r="H197" s="291"/>
      <c r="J197" s="790"/>
      <c r="N197" s="613"/>
      <c r="P197" s="613"/>
    </row>
    <row r="198" spans="1:18">
      <c r="B198" s="592" t="s">
        <v>293</v>
      </c>
      <c r="C198" s="592"/>
      <c r="D198" s="624">
        <v>2010</v>
      </c>
      <c r="H198" s="579">
        <v>92348.5</v>
      </c>
      <c r="J198" s="611">
        <f>VLOOKUP(D198,$T$17:$W$55,2,FALSE)</f>
        <v>2</v>
      </c>
      <c r="K198" s="611"/>
      <c r="L198" s="595">
        <f>VLOOKUP(B198,$T$9:$U$13,2,FALSE)</f>
        <v>0.02</v>
      </c>
      <c r="M198" s="595"/>
      <c r="N198" s="612">
        <f>H198*J198*L198</f>
        <v>3693.94</v>
      </c>
      <c r="O198" s="613"/>
      <c r="P198" s="612">
        <f>H198-N198</f>
        <v>88654.56</v>
      </c>
      <c r="Q198" s="612"/>
      <c r="R198" s="614" t="str">
        <f>IF(N198=H198,"Yes","No")</f>
        <v>No</v>
      </c>
    </row>
    <row r="199" spans="1:18">
      <c r="B199" s="592" t="s">
        <v>293</v>
      </c>
      <c r="C199" s="592"/>
      <c r="D199" s="624">
        <v>2010</v>
      </c>
      <c r="H199" s="579">
        <v>0</v>
      </c>
      <c r="J199" s="611">
        <f>VLOOKUP(D199,$T$17:$W$55,2,FALSE)</f>
        <v>2</v>
      </c>
      <c r="K199" s="611"/>
      <c r="L199" s="595">
        <f>VLOOKUP(B199,$T$9:$U$13,2,FALSE)</f>
        <v>0.02</v>
      </c>
      <c r="M199" s="595"/>
      <c r="N199" s="612">
        <f>IF(L199*J199*H199&gt;H199,H199,L199*J199*H199)</f>
        <v>0</v>
      </c>
      <c r="O199" s="613"/>
      <c r="P199" s="612">
        <f>H199-N199</f>
        <v>0</v>
      </c>
      <c r="Q199" s="612"/>
      <c r="R199" s="614" t="str">
        <f>IF(N199=H199,"Yes","No")</f>
        <v>Yes</v>
      </c>
    </row>
    <row r="200" spans="1:18">
      <c r="F200" s="591" t="s">
        <v>298</v>
      </c>
      <c r="H200" s="338">
        <f>SUM(H198:H199)</f>
        <v>92348.5</v>
      </c>
      <c r="N200" s="632">
        <f>SUM(N198:N199)</f>
        <v>3693.94</v>
      </c>
      <c r="P200" s="632">
        <f>SUM(P198:P199)</f>
        <v>88654.56</v>
      </c>
    </row>
    <row r="201" spans="1:18">
      <c r="H201" s="291"/>
      <c r="N201" s="613"/>
      <c r="P201" s="613"/>
    </row>
    <row r="202" spans="1:18">
      <c r="A202" s="623" t="s">
        <v>1757</v>
      </c>
      <c r="H202" s="291"/>
      <c r="J202" s="790"/>
      <c r="N202" s="613"/>
      <c r="P202" s="613"/>
    </row>
    <row r="203" spans="1:18">
      <c r="B203" s="592" t="s">
        <v>293</v>
      </c>
      <c r="C203" s="592"/>
      <c r="D203" s="624">
        <v>2011</v>
      </c>
      <c r="H203" s="579">
        <v>10128.25</v>
      </c>
      <c r="J203" s="611">
        <f>VLOOKUP(D203,$T$17:$W$55,2,FALSE)</f>
        <v>1</v>
      </c>
      <c r="K203" s="611"/>
      <c r="L203" s="595">
        <f>VLOOKUP(B203,$T$9:$U$13,2,FALSE)</f>
        <v>0.02</v>
      </c>
      <c r="M203" s="595"/>
      <c r="N203" s="612">
        <f>H203*J203*L203</f>
        <v>202.565</v>
      </c>
      <c r="O203" s="613"/>
      <c r="P203" s="612">
        <f>H203-N203</f>
        <v>9925.6849999999995</v>
      </c>
      <c r="Q203" s="612"/>
      <c r="R203" s="614" t="str">
        <f>IF(N203=H203,"Yes","No")</f>
        <v>No</v>
      </c>
    </row>
    <row r="204" spans="1:18">
      <c r="B204" s="592" t="s">
        <v>293</v>
      </c>
      <c r="C204" s="592"/>
      <c r="D204" s="624">
        <v>2011</v>
      </c>
      <c r="H204" s="579">
        <v>0</v>
      </c>
      <c r="J204" s="611">
        <f>VLOOKUP(D204,$T$17:$W$55,2,FALSE)</f>
        <v>1</v>
      </c>
      <c r="K204" s="611"/>
      <c r="L204" s="595">
        <f>VLOOKUP(B204,$T$9:$U$13,2,FALSE)</f>
        <v>0.02</v>
      </c>
      <c r="M204" s="595"/>
      <c r="N204" s="612">
        <f>IF(L204*J204*H204&gt;H204,H204,L204*J204*H204)</f>
        <v>0</v>
      </c>
      <c r="O204" s="613"/>
      <c r="P204" s="612">
        <f>H204-N204</f>
        <v>0</v>
      </c>
      <c r="Q204" s="612"/>
      <c r="R204" s="614" t="str">
        <f>IF(N204=H204,"Yes","No")</f>
        <v>Yes</v>
      </c>
    </row>
    <row r="205" spans="1:18">
      <c r="F205" s="591" t="s">
        <v>298</v>
      </c>
      <c r="H205" s="338">
        <f>SUM(H203:H204)</f>
        <v>10128.25</v>
      </c>
      <c r="N205" s="632">
        <f>SUM(N203:N204)</f>
        <v>202.565</v>
      </c>
      <c r="P205" s="632">
        <f>SUM(P203:P204)</f>
        <v>9925.6849999999995</v>
      </c>
    </row>
    <row r="206" spans="1:18">
      <c r="H206" s="291"/>
      <c r="N206" s="613"/>
      <c r="P206" s="613"/>
    </row>
    <row r="207" spans="1:18">
      <c r="A207" s="623" t="s">
        <v>1758</v>
      </c>
      <c r="H207" s="291"/>
      <c r="J207" s="790"/>
      <c r="N207" s="613"/>
      <c r="P207" s="613"/>
    </row>
    <row r="208" spans="1:18">
      <c r="B208" s="592" t="s">
        <v>293</v>
      </c>
      <c r="C208" s="592"/>
      <c r="D208" s="624">
        <v>2012</v>
      </c>
      <c r="H208" s="579">
        <v>4603.75</v>
      </c>
      <c r="J208" s="611">
        <f>VLOOKUP(D208,$T$17:$W$55,2,FALSE)</f>
        <v>0</v>
      </c>
      <c r="K208" s="611"/>
      <c r="L208" s="595">
        <f>VLOOKUP(B208,$T$9:$U$13,2,FALSE)</f>
        <v>0.02</v>
      </c>
      <c r="M208" s="595"/>
      <c r="N208" s="612">
        <f>H208*J208*L208</f>
        <v>0</v>
      </c>
      <c r="O208" s="613"/>
      <c r="P208" s="612">
        <f>H208-N208</f>
        <v>4603.75</v>
      </c>
      <c r="Q208" s="612"/>
      <c r="R208" s="614" t="str">
        <f>IF(N208=H208,"Yes","No")</f>
        <v>No</v>
      </c>
    </row>
    <row r="209" spans="2:18">
      <c r="B209" s="592" t="s">
        <v>293</v>
      </c>
      <c r="C209" s="592"/>
      <c r="D209" s="624">
        <v>2012</v>
      </c>
      <c r="H209" s="579">
        <v>0</v>
      </c>
      <c r="J209" s="611">
        <f>VLOOKUP(D209,$T$17:$W$55,2,FALSE)</f>
        <v>0</v>
      </c>
      <c r="K209" s="611"/>
      <c r="L209" s="595">
        <f>VLOOKUP(B209,$T$9:$U$13,2,FALSE)</f>
        <v>0.02</v>
      </c>
      <c r="M209" s="595"/>
      <c r="N209" s="612">
        <f>IF(L209*J209*H209&gt;H209,H209,L209*J209*H209)</f>
        <v>0</v>
      </c>
      <c r="O209" s="613"/>
      <c r="P209" s="612">
        <f>H209-N209</f>
        <v>0</v>
      </c>
      <c r="Q209" s="612"/>
      <c r="R209" s="614" t="str">
        <f>IF(N209=H209,"Yes","No")</f>
        <v>Yes</v>
      </c>
    </row>
    <row r="210" spans="2:18">
      <c r="F210" s="591" t="s">
        <v>298</v>
      </c>
      <c r="H210" s="338">
        <f>SUM(H208:H209)</f>
        <v>4603.75</v>
      </c>
      <c r="N210" s="632">
        <f>SUM(N208:N209)</f>
        <v>0</v>
      </c>
      <c r="P210" s="632">
        <f>SUM(P208:P209)</f>
        <v>4603.75</v>
      </c>
    </row>
    <row r="211" spans="2:18">
      <c r="H211" s="291"/>
      <c r="N211" s="613"/>
      <c r="P211" s="613"/>
    </row>
    <row r="212" spans="2:18">
      <c r="H212" s="291"/>
      <c r="N212" s="613"/>
      <c r="P212" s="613"/>
    </row>
    <row r="213" spans="2:18">
      <c r="H213" s="291"/>
      <c r="N213" s="613"/>
      <c r="P213" s="613"/>
    </row>
    <row r="214" spans="2:18">
      <c r="H214" s="291"/>
      <c r="N214" s="613"/>
      <c r="P214" s="613"/>
    </row>
    <row r="215" spans="2:18">
      <c r="H215" s="291"/>
      <c r="N215" s="613"/>
      <c r="P215" s="613"/>
    </row>
    <row r="216" spans="2:18">
      <c r="H216" s="291"/>
      <c r="N216" s="613"/>
      <c r="P216" s="613"/>
    </row>
    <row r="217" spans="2:18">
      <c r="H217" s="291"/>
      <c r="N217" s="613"/>
      <c r="P217" s="613"/>
    </row>
    <row r="219" spans="2:18" ht="15.75" thickBot="1">
      <c r="F219" s="591" t="s">
        <v>314</v>
      </c>
      <c r="H219" s="630">
        <f>H175+H180+H185+H190+H195+H200+H205+H210</f>
        <v>211470.22999999998</v>
      </c>
      <c r="N219" s="630">
        <f>N175+N180+N185+N190+N195+N200+N205+N210</f>
        <v>41308.767400000012</v>
      </c>
      <c r="P219" s="630">
        <f>P175+P180+P185+P190+P195+P200+P205+P210</f>
        <v>170161.4626</v>
      </c>
    </row>
    <row r="220" spans="2:18" ht="15.75" thickTop="1">
      <c r="H220" s="579">
        <f>'Linked TB'!F234+'Linked TB'!F235+'Linked TB'!F236</f>
        <v>-239021.94</v>
      </c>
    </row>
    <row r="221" spans="2:18">
      <c r="H221" s="579">
        <f>SUM(H219:H220)</f>
        <v>-27551.710000000021</v>
      </c>
    </row>
  </sheetData>
  <phoneticPr fontId="27" type="noConversion"/>
  <pageMargins left="0.75" right="0.75" top="1" bottom="1" header="0.5" footer="0.5"/>
  <pageSetup scale="65" orientation="landscape" r:id="rId1"/>
  <headerFooter alignWithMargins="0"/>
  <rowBreaks count="2" manualBreakCount="2">
    <brk id="45" max="17" man="1"/>
    <brk id="146" max="17" man="1"/>
  </rowBreaks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213"/>
  <sheetViews>
    <sheetView view="pageBreakPreview" zoomScale="75" zoomScaleNormal="100" zoomScaleSheetLayoutView="75" workbookViewId="0">
      <pane xSplit="2" ySplit="6" topLeftCell="C73" activePane="bottomRight" state="frozen"/>
      <selection pane="topRight"/>
      <selection pane="bottomLeft"/>
      <selection pane="bottomRight"/>
    </sheetView>
  </sheetViews>
  <sheetFormatPr defaultColWidth="8.875" defaultRowHeight="15"/>
  <cols>
    <col min="1" max="1" width="4.125" style="298" customWidth="1"/>
    <col min="2" max="2" width="13.375" style="298" customWidth="1"/>
    <col min="3" max="3" width="1.625" style="298" customWidth="1"/>
    <col min="4" max="4" width="12.125" style="299" customWidth="1"/>
    <col min="5" max="5" width="1.625" style="298" customWidth="1"/>
    <col min="6" max="6" width="10.125" style="299" bestFit="1" customWidth="1"/>
    <col min="7" max="7" width="1.625" style="298" customWidth="1"/>
    <col min="8" max="8" width="13" style="197" bestFit="1" customWidth="1"/>
    <col min="9" max="9" width="1.625" style="197" customWidth="1"/>
    <col min="10" max="10" width="11.375" style="298" bestFit="1" customWidth="1"/>
    <col min="11" max="11" width="1.625" style="298" customWidth="1"/>
    <col min="12" max="12" width="10.25" style="298" bestFit="1" customWidth="1"/>
    <col min="13" max="13" width="1.625" style="298" customWidth="1"/>
    <col min="14" max="14" width="26.625" style="298" customWidth="1"/>
    <col min="15" max="15" width="1.625" style="298" customWidth="1"/>
    <col min="16" max="16" width="13" style="298" bestFit="1" customWidth="1"/>
    <col min="17" max="17" width="1.625" style="298" customWidth="1"/>
    <col min="18" max="18" width="12.625" style="298" customWidth="1"/>
    <col min="19" max="19" width="1.625" style="298" customWidth="1"/>
    <col min="20" max="20" width="13.125" style="298" bestFit="1" customWidth="1"/>
    <col min="21" max="21" width="11.5" style="298" bestFit="1" customWidth="1"/>
    <col min="22" max="22" width="10.5" style="298" bestFit="1" customWidth="1"/>
    <col min="23" max="16384" width="8.875" style="298"/>
  </cols>
  <sheetData>
    <row r="1" spans="1:22">
      <c r="A1" s="297" t="s">
        <v>280</v>
      </c>
      <c r="R1" s="339" t="s">
        <v>300</v>
      </c>
    </row>
    <row r="2" spans="1:22">
      <c r="A2" s="297" t="str">
        <f>'Sch.A-B.S'!D2</f>
        <v>Case No. 2015 - 00382</v>
      </c>
      <c r="R2" s="339"/>
    </row>
    <row r="3" spans="1:22">
      <c r="A3" s="297" t="s">
        <v>277</v>
      </c>
    </row>
    <row r="4" spans="1:22">
      <c r="A4" s="297" t="s">
        <v>278</v>
      </c>
    </row>
    <row r="5" spans="1:22">
      <c r="L5" s="300"/>
      <c r="M5" s="300"/>
      <c r="N5" s="301"/>
      <c r="O5" s="301"/>
    </row>
    <row r="6" spans="1:22" s="302" customFormat="1" ht="34.5" customHeight="1">
      <c r="D6" s="1017" t="s">
        <v>637</v>
      </c>
      <c r="F6" s="1017" t="s">
        <v>638</v>
      </c>
      <c r="H6" s="1018" t="s">
        <v>450</v>
      </c>
      <c r="I6" s="303"/>
      <c r="J6" s="1017" t="s">
        <v>639</v>
      </c>
      <c r="L6" s="1017" t="s">
        <v>287</v>
      </c>
      <c r="N6" s="1017" t="s">
        <v>288</v>
      </c>
      <c r="P6" s="1017" t="s">
        <v>714</v>
      </c>
      <c r="R6" s="1017" t="s">
        <v>289</v>
      </c>
      <c r="T6" s="304"/>
    </row>
    <row r="7" spans="1:22" s="306" customFormat="1">
      <c r="A7" s="305"/>
      <c r="C7" s="305"/>
      <c r="D7" s="299"/>
      <c r="E7" s="305"/>
      <c r="H7" s="307"/>
      <c r="I7" s="307"/>
      <c r="T7" s="308" t="s">
        <v>290</v>
      </c>
      <c r="U7" s="309" t="s">
        <v>448</v>
      </c>
      <c r="V7" s="309" t="s">
        <v>291</v>
      </c>
    </row>
    <row r="8" spans="1:22" s="306" customFormat="1">
      <c r="A8" s="305" t="s">
        <v>292</v>
      </c>
      <c r="C8" s="305"/>
      <c r="D8" s="299"/>
      <c r="E8" s="305"/>
      <c r="H8" s="307"/>
      <c r="I8" s="307"/>
      <c r="T8" s="308"/>
      <c r="U8" s="309"/>
      <c r="V8" s="309"/>
    </row>
    <row r="9" spans="1:22">
      <c r="B9" s="298" t="s">
        <v>511</v>
      </c>
      <c r="D9" s="304">
        <v>1981</v>
      </c>
      <c r="F9" s="310">
        <v>29587</v>
      </c>
      <c r="G9" s="311"/>
      <c r="H9" s="197">
        <v>3257.48</v>
      </c>
      <c r="J9" s="312">
        <f>+'wp-p-restate(audit)'!J9</f>
        <v>31</v>
      </c>
      <c r="K9" s="312"/>
      <c r="L9" s="300">
        <f t="shared" ref="L9:L40" si="0">VLOOKUP(B9,$T$9:$U$13,2,FALSE)</f>
        <v>0</v>
      </c>
      <c r="M9" s="300"/>
      <c r="N9" s="313">
        <f t="shared" ref="N9:N40" si="1">IF(L9*J9*H9&gt;H9,H9,L9*J9*H9)</f>
        <v>0</v>
      </c>
      <c r="O9" s="313"/>
      <c r="P9" s="313">
        <f t="shared" ref="P9:P40" si="2">H9-N9</f>
        <v>3257.48</v>
      </c>
      <c r="Q9" s="313"/>
      <c r="R9" s="314" t="str">
        <f t="shared" ref="R9:R40" si="3">IF(N9=H9,"Yes","No")</f>
        <v>No</v>
      </c>
      <c r="S9" s="314"/>
      <c r="T9" s="298" t="s">
        <v>293</v>
      </c>
      <c r="U9" s="315">
        <v>0.02</v>
      </c>
      <c r="V9" s="299">
        <v>50</v>
      </c>
    </row>
    <row r="10" spans="1:22">
      <c r="B10" s="298" t="s">
        <v>511</v>
      </c>
      <c r="D10" s="304">
        <v>1981</v>
      </c>
      <c r="F10" s="310">
        <v>29587</v>
      </c>
      <c r="G10" s="311"/>
      <c r="H10" s="197">
        <v>596</v>
      </c>
      <c r="J10" s="312">
        <f>+'wp-p-restate(audit)'!J10</f>
        <v>31</v>
      </c>
      <c r="K10" s="312"/>
      <c r="L10" s="300">
        <f t="shared" si="0"/>
        <v>0</v>
      </c>
      <c r="M10" s="300"/>
      <c r="N10" s="313">
        <f t="shared" si="1"/>
        <v>0</v>
      </c>
      <c r="O10" s="313"/>
      <c r="P10" s="313">
        <f t="shared" si="2"/>
        <v>596</v>
      </c>
      <c r="Q10" s="313"/>
      <c r="R10" s="314" t="str">
        <f t="shared" si="3"/>
        <v>No</v>
      </c>
      <c r="S10" s="314"/>
      <c r="T10" s="298" t="s">
        <v>294</v>
      </c>
      <c r="U10" s="315">
        <f>ROUND(1/V10,3)</f>
        <v>0.25</v>
      </c>
      <c r="V10" s="299">
        <v>4</v>
      </c>
    </row>
    <row r="11" spans="1:22">
      <c r="B11" s="298" t="s">
        <v>511</v>
      </c>
      <c r="D11" s="304">
        <v>1981</v>
      </c>
      <c r="F11" s="310">
        <v>29587</v>
      </c>
      <c r="G11" s="311"/>
      <c r="H11" s="197">
        <v>1234.5</v>
      </c>
      <c r="J11" s="312">
        <f>+'wp-p-restate(audit)'!J11</f>
        <v>31</v>
      </c>
      <c r="K11" s="312"/>
      <c r="L11" s="300">
        <f t="shared" si="0"/>
        <v>0</v>
      </c>
      <c r="M11" s="300"/>
      <c r="N11" s="313">
        <f t="shared" si="1"/>
        <v>0</v>
      </c>
      <c r="O11" s="313"/>
      <c r="P11" s="313">
        <f t="shared" si="2"/>
        <v>1234.5</v>
      </c>
      <c r="Q11" s="313"/>
      <c r="R11" s="314" t="str">
        <f t="shared" si="3"/>
        <v>No</v>
      </c>
      <c r="S11" s="314"/>
      <c r="T11" s="298" t="s">
        <v>89</v>
      </c>
      <c r="U11" s="315">
        <f>ROUND(1/V11,3)</f>
        <v>0.25</v>
      </c>
      <c r="V11" s="299">
        <v>4</v>
      </c>
    </row>
    <row r="12" spans="1:22">
      <c r="B12" s="298" t="s">
        <v>293</v>
      </c>
      <c r="D12" s="304">
        <v>1985</v>
      </c>
      <c r="F12" s="310">
        <v>31372</v>
      </c>
      <c r="G12" s="311"/>
      <c r="H12" s="197">
        <v>13478.2</v>
      </c>
      <c r="J12" s="312">
        <f>+'wp-p-restate(audit)'!J12</f>
        <v>27</v>
      </c>
      <c r="K12" s="312"/>
      <c r="L12" s="300">
        <f t="shared" si="0"/>
        <v>0.02</v>
      </c>
      <c r="M12" s="300"/>
      <c r="N12" s="313">
        <f t="shared" si="1"/>
        <v>7278.228000000001</v>
      </c>
      <c r="O12" s="313"/>
      <c r="P12" s="313">
        <f t="shared" si="2"/>
        <v>6199.9719999999998</v>
      </c>
      <c r="Q12" s="313"/>
      <c r="R12" s="314" t="str">
        <f t="shared" si="3"/>
        <v>No</v>
      </c>
      <c r="S12" s="314"/>
      <c r="T12" s="298" t="s">
        <v>511</v>
      </c>
      <c r="U12" s="315">
        <v>0</v>
      </c>
      <c r="V12" s="299">
        <v>0</v>
      </c>
    </row>
    <row r="13" spans="1:22">
      <c r="B13" s="298" t="s">
        <v>293</v>
      </c>
      <c r="D13" s="304">
        <v>1985</v>
      </c>
      <c r="F13" s="310">
        <v>31372</v>
      </c>
      <c r="G13" s="311"/>
      <c r="H13" s="197">
        <v>185476.3</v>
      </c>
      <c r="J13" s="312">
        <f>+'wp-p-restate(audit)'!J13</f>
        <v>27</v>
      </c>
      <c r="K13" s="312"/>
      <c r="L13" s="300">
        <f t="shared" si="0"/>
        <v>0.02</v>
      </c>
      <c r="M13" s="300"/>
      <c r="N13" s="313">
        <f t="shared" si="1"/>
        <v>100157.202</v>
      </c>
      <c r="O13" s="313"/>
      <c r="P13" s="313">
        <f t="shared" si="2"/>
        <v>85319.097999999984</v>
      </c>
      <c r="Q13" s="313"/>
      <c r="R13" s="314" t="str">
        <f t="shared" si="3"/>
        <v>No</v>
      </c>
      <c r="S13" s="314"/>
      <c r="T13" s="298" t="s">
        <v>466</v>
      </c>
      <c r="U13" s="315">
        <v>0</v>
      </c>
      <c r="V13" s="299">
        <v>0</v>
      </c>
    </row>
    <row r="14" spans="1:22">
      <c r="B14" s="298" t="s">
        <v>293</v>
      </c>
      <c r="D14" s="304">
        <v>1985</v>
      </c>
      <c r="F14" s="310">
        <v>31372</v>
      </c>
      <c r="G14" s="311"/>
      <c r="H14" s="197">
        <v>2641.38</v>
      </c>
      <c r="J14" s="312">
        <f>+'wp-p-restate(audit)'!J14</f>
        <v>27</v>
      </c>
      <c r="K14" s="312"/>
      <c r="L14" s="300">
        <f t="shared" si="0"/>
        <v>0.02</v>
      </c>
      <c r="M14" s="300"/>
      <c r="N14" s="313">
        <f t="shared" si="1"/>
        <v>1426.3452000000002</v>
      </c>
      <c r="O14" s="313"/>
      <c r="P14" s="313">
        <f t="shared" si="2"/>
        <v>1215.0347999999999</v>
      </c>
      <c r="Q14" s="313"/>
      <c r="R14" s="314" t="str">
        <f t="shared" si="3"/>
        <v>No</v>
      </c>
      <c r="S14" s="314"/>
      <c r="T14" s="298" t="s">
        <v>295</v>
      </c>
      <c r="U14" s="316"/>
    </row>
    <row r="15" spans="1:22">
      <c r="B15" s="298" t="s">
        <v>293</v>
      </c>
      <c r="D15" s="304">
        <v>1985</v>
      </c>
      <c r="F15" s="310">
        <v>31372</v>
      </c>
      <c r="G15" s="311"/>
      <c r="H15" s="197">
        <v>6336.72</v>
      </c>
      <c r="J15" s="312">
        <f>+'wp-p-restate(audit)'!J15</f>
        <v>27</v>
      </c>
      <c r="K15" s="312"/>
      <c r="L15" s="300">
        <f t="shared" si="0"/>
        <v>0.02</v>
      </c>
      <c r="M15" s="300"/>
      <c r="N15" s="313">
        <f t="shared" si="1"/>
        <v>3421.8288000000002</v>
      </c>
      <c r="O15" s="313"/>
      <c r="P15" s="313">
        <f t="shared" si="2"/>
        <v>2914.8912</v>
      </c>
      <c r="Q15" s="313"/>
      <c r="R15" s="314" t="str">
        <f t="shared" si="3"/>
        <v>No</v>
      </c>
      <c r="S15" s="314"/>
    </row>
    <row r="16" spans="1:22">
      <c r="B16" s="298" t="s">
        <v>293</v>
      </c>
      <c r="D16" s="304">
        <v>1985</v>
      </c>
      <c r="F16" s="310">
        <v>31372</v>
      </c>
      <c r="G16" s="311"/>
      <c r="H16" s="32">
        <v>30123.53</v>
      </c>
      <c r="I16" s="32"/>
      <c r="J16" s="312">
        <f>+'wp-p-restate(audit)'!J16</f>
        <v>27</v>
      </c>
      <c r="K16" s="317"/>
      <c r="L16" s="318">
        <f t="shared" si="0"/>
        <v>0.02</v>
      </c>
      <c r="M16" s="318"/>
      <c r="N16" s="319">
        <f t="shared" si="1"/>
        <v>16266.706200000001</v>
      </c>
      <c r="O16" s="319"/>
      <c r="P16" s="319">
        <f t="shared" si="2"/>
        <v>13856.823799999998</v>
      </c>
      <c r="Q16" s="313"/>
      <c r="R16" s="314" t="str">
        <f t="shared" si="3"/>
        <v>No</v>
      </c>
      <c r="S16" s="314"/>
      <c r="U16" s="320">
        <v>38717</v>
      </c>
      <c r="V16" s="311">
        <v>37529</v>
      </c>
    </row>
    <row r="17" spans="2:22">
      <c r="B17" s="298" t="s">
        <v>293</v>
      </c>
      <c r="D17" s="304">
        <v>1985</v>
      </c>
      <c r="F17" s="310">
        <v>31372</v>
      </c>
      <c r="G17" s="311"/>
      <c r="H17" s="32">
        <v>194242.01</v>
      </c>
      <c r="I17" s="32"/>
      <c r="J17" s="312">
        <f>+'wp-p-restate(audit)'!J17</f>
        <v>27</v>
      </c>
      <c r="K17" s="317"/>
      <c r="L17" s="318">
        <f t="shared" si="0"/>
        <v>0.02</v>
      </c>
      <c r="M17" s="318"/>
      <c r="N17" s="319">
        <f t="shared" si="1"/>
        <v>104890.68540000002</v>
      </c>
      <c r="O17" s="319"/>
      <c r="P17" s="319">
        <f t="shared" si="2"/>
        <v>89351.324599999993</v>
      </c>
      <c r="Q17" s="319"/>
      <c r="R17" s="314" t="str">
        <f t="shared" si="3"/>
        <v>No</v>
      </c>
      <c r="S17" s="314"/>
      <c r="T17" s="304">
        <v>1974</v>
      </c>
      <c r="U17" s="298">
        <f t="shared" ref="U17:U47" si="4">2005-T17+0.5</f>
        <v>31.5</v>
      </c>
      <c r="V17" s="298">
        <f t="shared" ref="V17:V45" si="5">2001-T17+0.5+0.75</f>
        <v>28.25</v>
      </c>
    </row>
    <row r="18" spans="2:22">
      <c r="B18" s="298" t="s">
        <v>293</v>
      </c>
      <c r="D18" s="304">
        <v>1985</v>
      </c>
      <c r="F18" s="310">
        <v>31372</v>
      </c>
      <c r="H18" s="197">
        <v>25622.799999999999</v>
      </c>
      <c r="J18" s="312">
        <f>+'wp-p-restate(audit)'!J18</f>
        <v>27</v>
      </c>
      <c r="K18" s="317"/>
      <c r="L18" s="318">
        <f t="shared" si="0"/>
        <v>0.02</v>
      </c>
      <c r="M18" s="318"/>
      <c r="N18" s="319">
        <f t="shared" si="1"/>
        <v>13836.312</v>
      </c>
      <c r="O18" s="319"/>
      <c r="P18" s="319">
        <f t="shared" si="2"/>
        <v>11786.487999999999</v>
      </c>
      <c r="Q18" s="319"/>
      <c r="R18" s="314" t="str">
        <f t="shared" si="3"/>
        <v>No</v>
      </c>
      <c r="S18" s="314"/>
      <c r="T18" s="304">
        <v>1975</v>
      </c>
      <c r="U18" s="298">
        <f t="shared" si="4"/>
        <v>30.5</v>
      </c>
      <c r="V18" s="298">
        <f t="shared" si="5"/>
        <v>27.25</v>
      </c>
    </row>
    <row r="19" spans="2:22">
      <c r="B19" s="298" t="s">
        <v>293</v>
      </c>
      <c r="D19" s="304">
        <v>1985</v>
      </c>
      <c r="F19" s="310">
        <v>31372</v>
      </c>
      <c r="H19" s="197">
        <v>334189.62</v>
      </c>
      <c r="J19" s="312">
        <f>+'wp-p-restate(audit)'!J19</f>
        <v>27</v>
      </c>
      <c r="K19" s="317"/>
      <c r="L19" s="318">
        <f t="shared" si="0"/>
        <v>0.02</v>
      </c>
      <c r="M19" s="318"/>
      <c r="N19" s="319">
        <f t="shared" si="1"/>
        <v>180462.39480000001</v>
      </c>
      <c r="O19" s="319"/>
      <c r="P19" s="319">
        <f t="shared" si="2"/>
        <v>153727.22519999999</v>
      </c>
      <c r="Q19" s="319"/>
      <c r="R19" s="314" t="str">
        <f t="shared" si="3"/>
        <v>No</v>
      </c>
      <c r="S19" s="314"/>
      <c r="T19" s="304">
        <v>1976</v>
      </c>
      <c r="U19" s="298">
        <f t="shared" si="4"/>
        <v>29.5</v>
      </c>
      <c r="V19" s="298">
        <f t="shared" si="5"/>
        <v>26.25</v>
      </c>
    </row>
    <row r="20" spans="2:22">
      <c r="B20" s="298" t="s">
        <v>293</v>
      </c>
      <c r="D20" s="304">
        <v>1985</v>
      </c>
      <c r="F20" s="310">
        <v>31372</v>
      </c>
      <c r="H20" s="197">
        <v>13680.34</v>
      </c>
      <c r="J20" s="312">
        <f>+'wp-p-restate(audit)'!J20</f>
        <v>27</v>
      </c>
      <c r="K20" s="317"/>
      <c r="L20" s="318">
        <f t="shared" si="0"/>
        <v>0.02</v>
      </c>
      <c r="M20" s="318"/>
      <c r="N20" s="319">
        <f t="shared" si="1"/>
        <v>7387.3836000000001</v>
      </c>
      <c r="O20" s="319"/>
      <c r="P20" s="319">
        <f t="shared" si="2"/>
        <v>6292.9564</v>
      </c>
      <c r="Q20" s="319"/>
      <c r="R20" s="314" t="str">
        <f t="shared" si="3"/>
        <v>No</v>
      </c>
      <c r="S20" s="314"/>
      <c r="T20" s="304">
        <v>1977</v>
      </c>
      <c r="U20" s="298">
        <f t="shared" si="4"/>
        <v>28.5</v>
      </c>
      <c r="V20" s="298">
        <f t="shared" si="5"/>
        <v>25.25</v>
      </c>
    </row>
    <row r="21" spans="2:22">
      <c r="B21" s="298" t="s">
        <v>293</v>
      </c>
      <c r="D21" s="304">
        <v>1985</v>
      </c>
      <c r="F21" s="310">
        <v>31372</v>
      </c>
      <c r="H21" s="197">
        <v>10164.719999999999</v>
      </c>
      <c r="J21" s="312">
        <f>+'wp-p-restate(audit)'!J21</f>
        <v>27</v>
      </c>
      <c r="K21" s="317"/>
      <c r="L21" s="318">
        <f t="shared" si="0"/>
        <v>0.02</v>
      </c>
      <c r="M21" s="318"/>
      <c r="N21" s="319">
        <f t="shared" si="1"/>
        <v>5488.9488000000001</v>
      </c>
      <c r="O21" s="319"/>
      <c r="P21" s="319">
        <f t="shared" si="2"/>
        <v>4675.7711999999992</v>
      </c>
      <c r="Q21" s="319"/>
      <c r="R21" s="314" t="str">
        <f t="shared" si="3"/>
        <v>No</v>
      </c>
      <c r="S21" s="314"/>
      <c r="T21" s="304">
        <v>1978</v>
      </c>
      <c r="U21" s="298">
        <f t="shared" si="4"/>
        <v>27.5</v>
      </c>
      <c r="V21" s="298">
        <f t="shared" si="5"/>
        <v>24.25</v>
      </c>
    </row>
    <row r="22" spans="2:22">
      <c r="B22" s="298" t="s">
        <v>293</v>
      </c>
      <c r="D22" s="304">
        <v>1985</v>
      </c>
      <c r="F22" s="310">
        <v>31372</v>
      </c>
      <c r="H22" s="197">
        <v>312686.93</v>
      </c>
      <c r="J22" s="312">
        <f>+'wp-p-restate(audit)'!J22</f>
        <v>27</v>
      </c>
      <c r="K22" s="317"/>
      <c r="L22" s="318">
        <f t="shared" si="0"/>
        <v>0.02</v>
      </c>
      <c r="M22" s="318"/>
      <c r="N22" s="319">
        <f t="shared" si="1"/>
        <v>168850.94220000002</v>
      </c>
      <c r="O22" s="319"/>
      <c r="P22" s="319">
        <f t="shared" si="2"/>
        <v>143835.98779999997</v>
      </c>
      <c r="Q22" s="319"/>
      <c r="R22" s="314" t="str">
        <f t="shared" si="3"/>
        <v>No</v>
      </c>
      <c r="S22" s="314"/>
      <c r="T22" s="304">
        <v>1979</v>
      </c>
      <c r="U22" s="298">
        <f t="shared" si="4"/>
        <v>26.5</v>
      </c>
      <c r="V22" s="298">
        <f t="shared" si="5"/>
        <v>23.25</v>
      </c>
    </row>
    <row r="23" spans="2:22">
      <c r="B23" s="298" t="s">
        <v>293</v>
      </c>
      <c r="D23" s="304">
        <v>1985</v>
      </c>
      <c r="F23" s="310">
        <v>31372</v>
      </c>
      <c r="H23" s="197">
        <v>125585.14</v>
      </c>
      <c r="J23" s="312">
        <f>+'wp-p-restate(audit)'!J23</f>
        <v>27</v>
      </c>
      <c r="K23" s="317"/>
      <c r="L23" s="318">
        <f t="shared" si="0"/>
        <v>0.02</v>
      </c>
      <c r="M23" s="318"/>
      <c r="N23" s="319">
        <f t="shared" si="1"/>
        <v>67815.975600000005</v>
      </c>
      <c r="O23" s="319"/>
      <c r="P23" s="319">
        <f t="shared" si="2"/>
        <v>57769.164399999994</v>
      </c>
      <c r="Q23" s="319"/>
      <c r="R23" s="314" t="str">
        <f t="shared" si="3"/>
        <v>No</v>
      </c>
      <c r="S23" s="314"/>
      <c r="T23" s="304">
        <v>1980</v>
      </c>
      <c r="U23" s="298">
        <f t="shared" si="4"/>
        <v>25.5</v>
      </c>
      <c r="V23" s="298">
        <f t="shared" si="5"/>
        <v>22.25</v>
      </c>
    </row>
    <row r="24" spans="2:22">
      <c r="B24" s="298" t="s">
        <v>293</v>
      </c>
      <c r="D24" s="304">
        <v>1985</v>
      </c>
      <c r="F24" s="310">
        <v>31372</v>
      </c>
      <c r="H24" s="197">
        <v>2264076.4700000002</v>
      </c>
      <c r="J24" s="312">
        <f>+'wp-p-restate(audit)'!J24</f>
        <v>27</v>
      </c>
      <c r="K24" s="317"/>
      <c r="L24" s="318">
        <f t="shared" si="0"/>
        <v>0.02</v>
      </c>
      <c r="M24" s="318"/>
      <c r="N24" s="319">
        <f t="shared" si="1"/>
        <v>1222601.2938000001</v>
      </c>
      <c r="O24" s="319"/>
      <c r="P24" s="319">
        <f t="shared" si="2"/>
        <v>1041475.1762000001</v>
      </c>
      <c r="Q24" s="319"/>
      <c r="R24" s="314" t="str">
        <f t="shared" si="3"/>
        <v>No</v>
      </c>
      <c r="S24" s="314"/>
      <c r="T24" s="304">
        <v>1981</v>
      </c>
      <c r="U24" s="298">
        <f t="shared" si="4"/>
        <v>24.5</v>
      </c>
      <c r="V24" s="298">
        <f t="shared" si="5"/>
        <v>21.25</v>
      </c>
    </row>
    <row r="25" spans="2:22">
      <c r="B25" s="298" t="s">
        <v>293</v>
      </c>
      <c r="C25" s="321"/>
      <c r="D25" s="304">
        <v>1985</v>
      </c>
      <c r="E25" s="321"/>
      <c r="F25" s="310">
        <v>31372</v>
      </c>
      <c r="G25" s="321"/>
      <c r="H25" s="32">
        <v>283658.51</v>
      </c>
      <c r="I25" s="32"/>
      <c r="J25" s="312">
        <f>+'wp-p-restate(audit)'!J25</f>
        <v>27</v>
      </c>
      <c r="K25" s="317"/>
      <c r="L25" s="318">
        <f t="shared" si="0"/>
        <v>0.02</v>
      </c>
      <c r="M25" s="318"/>
      <c r="N25" s="319">
        <f t="shared" si="1"/>
        <v>153175.59540000002</v>
      </c>
      <c r="O25" s="319"/>
      <c r="P25" s="319">
        <f t="shared" si="2"/>
        <v>130482.91459999999</v>
      </c>
      <c r="Q25" s="319"/>
      <c r="R25" s="314" t="str">
        <f t="shared" si="3"/>
        <v>No</v>
      </c>
      <c r="S25" s="314"/>
      <c r="T25" s="304">
        <v>1982</v>
      </c>
      <c r="U25" s="298">
        <f t="shared" si="4"/>
        <v>23.5</v>
      </c>
      <c r="V25" s="298">
        <f t="shared" si="5"/>
        <v>20.25</v>
      </c>
    </row>
    <row r="26" spans="2:22">
      <c r="B26" s="298" t="s">
        <v>293</v>
      </c>
      <c r="C26" s="321"/>
      <c r="D26" s="304">
        <v>1985</v>
      </c>
      <c r="E26" s="321"/>
      <c r="F26" s="310">
        <v>31372</v>
      </c>
      <c r="G26" s="322"/>
      <c r="H26" s="32">
        <v>40452.800000000003</v>
      </c>
      <c r="I26" s="32"/>
      <c r="J26" s="312">
        <f>+'wp-p-restate(audit)'!J26</f>
        <v>27</v>
      </c>
      <c r="K26" s="317"/>
      <c r="L26" s="318">
        <f t="shared" si="0"/>
        <v>0.02</v>
      </c>
      <c r="M26" s="318"/>
      <c r="N26" s="319">
        <f t="shared" si="1"/>
        <v>21844.512000000002</v>
      </c>
      <c r="O26" s="319"/>
      <c r="P26" s="319">
        <f t="shared" si="2"/>
        <v>18608.288</v>
      </c>
      <c r="Q26" s="319"/>
      <c r="R26" s="314" t="str">
        <f t="shared" si="3"/>
        <v>No</v>
      </c>
      <c r="S26" s="314"/>
      <c r="T26" s="304">
        <v>1983</v>
      </c>
      <c r="U26" s="298">
        <f t="shared" si="4"/>
        <v>22.5</v>
      </c>
      <c r="V26" s="298">
        <f t="shared" si="5"/>
        <v>19.25</v>
      </c>
    </row>
    <row r="27" spans="2:22">
      <c r="B27" s="298" t="s">
        <v>293</v>
      </c>
      <c r="C27" s="321"/>
      <c r="D27" s="304">
        <v>1985</v>
      </c>
      <c r="E27" s="321"/>
      <c r="F27" s="310">
        <v>31372</v>
      </c>
      <c r="G27" s="322"/>
      <c r="H27" s="32">
        <v>515437.63</v>
      </c>
      <c r="I27" s="32"/>
      <c r="J27" s="312">
        <f>+'wp-p-restate(audit)'!J27</f>
        <v>27</v>
      </c>
      <c r="K27" s="317"/>
      <c r="L27" s="318">
        <f t="shared" si="0"/>
        <v>0.02</v>
      </c>
      <c r="M27" s="318"/>
      <c r="N27" s="319">
        <f t="shared" si="1"/>
        <v>278336.32020000002</v>
      </c>
      <c r="O27" s="319"/>
      <c r="P27" s="319">
        <f t="shared" si="2"/>
        <v>237101.30979999999</v>
      </c>
      <c r="Q27" s="319"/>
      <c r="R27" s="314" t="str">
        <f t="shared" si="3"/>
        <v>No</v>
      </c>
      <c r="S27" s="314"/>
      <c r="T27" s="304">
        <v>1984</v>
      </c>
      <c r="U27" s="298">
        <f t="shared" si="4"/>
        <v>21.5</v>
      </c>
      <c r="V27" s="298">
        <f t="shared" si="5"/>
        <v>18.25</v>
      </c>
    </row>
    <row r="28" spans="2:22">
      <c r="B28" s="298" t="s">
        <v>293</v>
      </c>
      <c r="C28" s="321"/>
      <c r="D28" s="304">
        <v>1985</v>
      </c>
      <c r="E28" s="321"/>
      <c r="F28" s="310">
        <v>31372</v>
      </c>
      <c r="G28" s="322"/>
      <c r="H28" s="32">
        <v>78560.820000000007</v>
      </c>
      <c r="I28" s="32"/>
      <c r="J28" s="312">
        <f>+'wp-p-restate(audit)'!J28</f>
        <v>27</v>
      </c>
      <c r="K28" s="317"/>
      <c r="L28" s="318">
        <f t="shared" si="0"/>
        <v>0.02</v>
      </c>
      <c r="M28" s="318"/>
      <c r="N28" s="319">
        <f t="shared" si="1"/>
        <v>42422.842800000006</v>
      </c>
      <c r="O28" s="319"/>
      <c r="P28" s="319">
        <f t="shared" si="2"/>
        <v>36137.977200000001</v>
      </c>
      <c r="Q28" s="319"/>
      <c r="R28" s="314" t="str">
        <f t="shared" si="3"/>
        <v>No</v>
      </c>
      <c r="S28" s="314"/>
      <c r="T28" s="304">
        <v>1985</v>
      </c>
      <c r="U28" s="298">
        <f t="shared" si="4"/>
        <v>20.5</v>
      </c>
      <c r="V28" s="298">
        <f t="shared" si="5"/>
        <v>17.25</v>
      </c>
    </row>
    <row r="29" spans="2:22">
      <c r="B29" s="298" t="s">
        <v>293</v>
      </c>
      <c r="C29" s="321"/>
      <c r="D29" s="304">
        <v>1985</v>
      </c>
      <c r="E29" s="321"/>
      <c r="F29" s="310">
        <v>31372</v>
      </c>
      <c r="G29" s="322"/>
      <c r="H29" s="32">
        <v>370692.25</v>
      </c>
      <c r="I29" s="32"/>
      <c r="J29" s="312">
        <f>+'wp-p-restate(audit)'!J29</f>
        <v>27</v>
      </c>
      <c r="K29" s="317"/>
      <c r="L29" s="318">
        <f t="shared" si="0"/>
        <v>0.02</v>
      </c>
      <c r="M29" s="318"/>
      <c r="N29" s="319">
        <f t="shared" si="1"/>
        <v>200173.815</v>
      </c>
      <c r="O29" s="319"/>
      <c r="P29" s="319">
        <f t="shared" si="2"/>
        <v>170518.435</v>
      </c>
      <c r="Q29" s="319"/>
      <c r="R29" s="314" t="str">
        <f t="shared" si="3"/>
        <v>No</v>
      </c>
      <c r="S29" s="314"/>
      <c r="T29" s="304">
        <v>1986</v>
      </c>
      <c r="U29" s="298">
        <f t="shared" si="4"/>
        <v>19.5</v>
      </c>
      <c r="V29" s="298">
        <f t="shared" si="5"/>
        <v>16.25</v>
      </c>
    </row>
    <row r="30" spans="2:22">
      <c r="B30" s="298" t="s">
        <v>293</v>
      </c>
      <c r="C30" s="321"/>
      <c r="D30" s="304">
        <v>1985</v>
      </c>
      <c r="E30" s="321"/>
      <c r="F30" s="310">
        <v>31372</v>
      </c>
      <c r="G30" s="322"/>
      <c r="H30" s="32">
        <v>70195.28</v>
      </c>
      <c r="I30" s="32"/>
      <c r="J30" s="312">
        <f>+'wp-p-restate(audit)'!J30</f>
        <v>27</v>
      </c>
      <c r="K30" s="317"/>
      <c r="L30" s="318">
        <f t="shared" si="0"/>
        <v>0.02</v>
      </c>
      <c r="M30" s="318"/>
      <c r="N30" s="319">
        <f t="shared" si="1"/>
        <v>37905.451200000003</v>
      </c>
      <c r="O30" s="319"/>
      <c r="P30" s="319">
        <f t="shared" si="2"/>
        <v>32289.828799999996</v>
      </c>
      <c r="Q30" s="319"/>
      <c r="R30" s="314" t="str">
        <f t="shared" si="3"/>
        <v>No</v>
      </c>
      <c r="S30" s="314"/>
      <c r="T30" s="304">
        <v>1987</v>
      </c>
      <c r="U30" s="298">
        <f t="shared" si="4"/>
        <v>18.5</v>
      </c>
      <c r="V30" s="298">
        <f t="shared" si="5"/>
        <v>15.25</v>
      </c>
    </row>
    <row r="31" spans="2:22">
      <c r="B31" s="298" t="s">
        <v>293</v>
      </c>
      <c r="C31" s="321"/>
      <c r="D31" s="304">
        <v>1985</v>
      </c>
      <c r="E31" s="321"/>
      <c r="F31" s="310">
        <v>31372</v>
      </c>
      <c r="G31" s="322"/>
      <c r="H31" s="32">
        <v>145967.76</v>
      </c>
      <c r="I31" s="32"/>
      <c r="J31" s="312">
        <f>+'wp-p-restate(audit)'!J31</f>
        <v>27</v>
      </c>
      <c r="K31" s="317"/>
      <c r="L31" s="318">
        <f t="shared" si="0"/>
        <v>0.02</v>
      </c>
      <c r="M31" s="318"/>
      <c r="N31" s="319">
        <f t="shared" si="1"/>
        <v>78822.590400000016</v>
      </c>
      <c r="O31" s="319"/>
      <c r="P31" s="319">
        <f t="shared" si="2"/>
        <v>67145.169599999994</v>
      </c>
      <c r="Q31" s="319"/>
      <c r="R31" s="314" t="str">
        <f t="shared" si="3"/>
        <v>No</v>
      </c>
      <c r="S31" s="314"/>
      <c r="T31" s="304">
        <v>1988</v>
      </c>
      <c r="U31" s="298">
        <f t="shared" si="4"/>
        <v>17.5</v>
      </c>
      <c r="V31" s="298">
        <f t="shared" si="5"/>
        <v>14.25</v>
      </c>
    </row>
    <row r="32" spans="2:22">
      <c r="B32" s="298" t="s">
        <v>293</v>
      </c>
      <c r="C32" s="321"/>
      <c r="D32" s="304">
        <v>1985</v>
      </c>
      <c r="E32" s="321"/>
      <c r="F32" s="310">
        <v>31372</v>
      </c>
      <c r="G32" s="322"/>
      <c r="H32" s="32">
        <v>19188.32</v>
      </c>
      <c r="I32" s="32"/>
      <c r="J32" s="312">
        <f>+'wp-p-restate(audit)'!J32</f>
        <v>27</v>
      </c>
      <c r="K32" s="317"/>
      <c r="L32" s="318">
        <f t="shared" si="0"/>
        <v>0.02</v>
      </c>
      <c r="M32" s="318"/>
      <c r="N32" s="319">
        <f t="shared" si="1"/>
        <v>10361.692800000001</v>
      </c>
      <c r="O32" s="319"/>
      <c r="P32" s="319">
        <f t="shared" si="2"/>
        <v>8826.627199999999</v>
      </c>
      <c r="Q32" s="319"/>
      <c r="R32" s="314" t="str">
        <f t="shared" si="3"/>
        <v>No</v>
      </c>
      <c r="S32" s="314"/>
      <c r="T32" s="304">
        <v>1989</v>
      </c>
      <c r="U32" s="298">
        <f t="shared" si="4"/>
        <v>16.5</v>
      </c>
      <c r="V32" s="298">
        <f t="shared" si="5"/>
        <v>13.25</v>
      </c>
    </row>
    <row r="33" spans="1:22">
      <c r="B33" s="298" t="s">
        <v>293</v>
      </c>
      <c r="C33" s="321"/>
      <c r="D33" s="304">
        <v>1985</v>
      </c>
      <c r="E33" s="321"/>
      <c r="F33" s="310">
        <v>31372</v>
      </c>
      <c r="G33" s="322"/>
      <c r="H33" s="32">
        <v>129343.47</v>
      </c>
      <c r="I33" s="32"/>
      <c r="J33" s="312">
        <f>+'wp-p-restate(audit)'!J33</f>
        <v>27</v>
      </c>
      <c r="K33" s="317"/>
      <c r="L33" s="318">
        <f t="shared" si="0"/>
        <v>0.02</v>
      </c>
      <c r="M33" s="318"/>
      <c r="N33" s="319">
        <f t="shared" si="1"/>
        <v>69845.473800000007</v>
      </c>
      <c r="O33" s="319"/>
      <c r="P33" s="319">
        <f t="shared" si="2"/>
        <v>59497.996199999994</v>
      </c>
      <c r="Q33" s="319"/>
      <c r="R33" s="314" t="str">
        <f t="shared" si="3"/>
        <v>No</v>
      </c>
      <c r="S33" s="314"/>
      <c r="T33" s="304">
        <v>1990</v>
      </c>
      <c r="U33" s="298">
        <f t="shared" si="4"/>
        <v>15.5</v>
      </c>
      <c r="V33" s="298">
        <f t="shared" si="5"/>
        <v>12.25</v>
      </c>
    </row>
    <row r="34" spans="1:22">
      <c r="B34" s="298" t="s">
        <v>293</v>
      </c>
      <c r="C34" s="321"/>
      <c r="D34" s="304">
        <v>1985</v>
      </c>
      <c r="E34" s="321"/>
      <c r="F34" s="310">
        <v>31372</v>
      </c>
      <c r="G34" s="322"/>
      <c r="H34" s="32">
        <v>21885.34</v>
      </c>
      <c r="I34" s="32"/>
      <c r="J34" s="312">
        <f>+'wp-p-restate(audit)'!J34</f>
        <v>27</v>
      </c>
      <c r="K34" s="317"/>
      <c r="L34" s="318">
        <f t="shared" si="0"/>
        <v>0.02</v>
      </c>
      <c r="M34" s="318"/>
      <c r="N34" s="319">
        <f t="shared" si="1"/>
        <v>11818.083600000002</v>
      </c>
      <c r="O34" s="319"/>
      <c r="P34" s="319">
        <f t="shared" si="2"/>
        <v>10067.256399999998</v>
      </c>
      <c r="Q34" s="319"/>
      <c r="R34" s="314" t="str">
        <f t="shared" si="3"/>
        <v>No</v>
      </c>
      <c r="S34" s="314"/>
      <c r="T34" s="304">
        <v>1991</v>
      </c>
      <c r="U34" s="298">
        <f t="shared" si="4"/>
        <v>14.5</v>
      </c>
      <c r="V34" s="298">
        <f t="shared" si="5"/>
        <v>11.25</v>
      </c>
    </row>
    <row r="35" spans="1:22">
      <c r="B35" s="298" t="s">
        <v>293</v>
      </c>
      <c r="D35" s="304">
        <v>1997</v>
      </c>
      <c r="F35" s="323">
        <v>35642</v>
      </c>
      <c r="G35" s="324"/>
      <c r="H35" s="197">
        <v>6000.81</v>
      </c>
      <c r="J35" s="312">
        <f>+'wp-p-restate(audit)'!J35</f>
        <v>15</v>
      </c>
      <c r="K35" s="312"/>
      <c r="L35" s="300">
        <f t="shared" si="0"/>
        <v>0.02</v>
      </c>
      <c r="M35" s="300"/>
      <c r="N35" s="313">
        <f t="shared" si="1"/>
        <v>1800.2430000000002</v>
      </c>
      <c r="O35" s="313"/>
      <c r="P35" s="313">
        <f t="shared" si="2"/>
        <v>4200.567</v>
      </c>
      <c r="Q35" s="313"/>
      <c r="R35" s="314" t="str">
        <f t="shared" si="3"/>
        <v>No</v>
      </c>
      <c r="S35" s="314"/>
      <c r="T35" s="304">
        <v>1992</v>
      </c>
      <c r="U35" s="298">
        <f t="shared" si="4"/>
        <v>13.5</v>
      </c>
      <c r="V35" s="298">
        <f t="shared" si="5"/>
        <v>10.25</v>
      </c>
    </row>
    <row r="36" spans="1:22">
      <c r="B36" s="298" t="s">
        <v>293</v>
      </c>
      <c r="D36" s="304">
        <v>1997</v>
      </c>
      <c r="F36" s="323">
        <v>35642</v>
      </c>
      <c r="G36" s="311"/>
      <c r="H36" s="197">
        <v>677.84</v>
      </c>
      <c r="J36" s="312">
        <f>+'wp-p-restate(audit)'!J36</f>
        <v>15</v>
      </c>
      <c r="K36" s="312"/>
      <c r="L36" s="300">
        <f t="shared" si="0"/>
        <v>0.02</v>
      </c>
      <c r="M36" s="300"/>
      <c r="N36" s="313">
        <f t="shared" si="1"/>
        <v>203.352</v>
      </c>
      <c r="O36" s="313"/>
      <c r="P36" s="313">
        <f t="shared" si="2"/>
        <v>474.48800000000006</v>
      </c>
      <c r="Q36" s="313"/>
      <c r="R36" s="314" t="str">
        <f t="shared" si="3"/>
        <v>No</v>
      </c>
      <c r="S36" s="314"/>
      <c r="T36" s="304">
        <v>1993</v>
      </c>
      <c r="U36" s="298">
        <f t="shared" si="4"/>
        <v>12.5</v>
      </c>
      <c r="V36" s="298">
        <f t="shared" si="5"/>
        <v>9.25</v>
      </c>
    </row>
    <row r="37" spans="1:22">
      <c r="B37" s="298" t="s">
        <v>293</v>
      </c>
      <c r="D37" s="304">
        <v>1997</v>
      </c>
      <c r="F37" s="323">
        <v>35642</v>
      </c>
      <c r="G37" s="311"/>
      <c r="H37" s="197">
        <v>39951.21</v>
      </c>
      <c r="J37" s="312">
        <f>+'wp-p-restate(audit)'!J37</f>
        <v>15</v>
      </c>
      <c r="K37" s="312"/>
      <c r="L37" s="300">
        <f t="shared" si="0"/>
        <v>0.02</v>
      </c>
      <c r="M37" s="300"/>
      <c r="N37" s="313">
        <f t="shared" si="1"/>
        <v>11985.362999999999</v>
      </c>
      <c r="O37" s="313"/>
      <c r="P37" s="313">
        <f t="shared" si="2"/>
        <v>27965.847000000002</v>
      </c>
      <c r="Q37" s="313"/>
      <c r="R37" s="314" t="str">
        <f t="shared" si="3"/>
        <v>No</v>
      </c>
      <c r="S37" s="314"/>
      <c r="T37" s="304">
        <v>1994</v>
      </c>
      <c r="U37" s="298">
        <f t="shared" si="4"/>
        <v>11.5</v>
      </c>
      <c r="V37" s="298">
        <f t="shared" si="5"/>
        <v>8.25</v>
      </c>
    </row>
    <row r="38" spans="1:22">
      <c r="B38" s="298" t="s">
        <v>293</v>
      </c>
      <c r="D38" s="304">
        <v>1997</v>
      </c>
      <c r="F38" s="323">
        <v>35642</v>
      </c>
      <c r="G38" s="322"/>
      <c r="H38" s="32">
        <v>18022.240000000002</v>
      </c>
      <c r="I38" s="32"/>
      <c r="J38" s="312">
        <f>+'wp-p-restate(audit)'!J38</f>
        <v>15</v>
      </c>
      <c r="K38" s="312"/>
      <c r="L38" s="300">
        <f t="shared" si="0"/>
        <v>0.02</v>
      </c>
      <c r="M38" s="300"/>
      <c r="N38" s="313">
        <f t="shared" si="1"/>
        <v>5406.6720000000005</v>
      </c>
      <c r="O38" s="313"/>
      <c r="P38" s="313">
        <f t="shared" si="2"/>
        <v>12615.568000000001</v>
      </c>
      <c r="Q38" s="313"/>
      <c r="R38" s="314" t="str">
        <f t="shared" si="3"/>
        <v>No</v>
      </c>
      <c r="S38" s="314"/>
      <c r="T38" s="304">
        <v>1995</v>
      </c>
      <c r="U38" s="298">
        <f t="shared" si="4"/>
        <v>10.5</v>
      </c>
      <c r="V38" s="298">
        <f t="shared" si="5"/>
        <v>7.25</v>
      </c>
    </row>
    <row r="39" spans="1:22">
      <c r="B39" s="298" t="s">
        <v>293</v>
      </c>
      <c r="D39" s="304">
        <v>1997</v>
      </c>
      <c r="F39" s="310">
        <v>35642</v>
      </c>
      <c r="G39" s="311"/>
      <c r="H39" s="197">
        <v>29151.79</v>
      </c>
      <c r="J39" s="312">
        <f>+'wp-p-restate(audit)'!J39</f>
        <v>15</v>
      </c>
      <c r="K39" s="312"/>
      <c r="L39" s="300">
        <f t="shared" si="0"/>
        <v>0.02</v>
      </c>
      <c r="M39" s="300"/>
      <c r="N39" s="313">
        <f t="shared" si="1"/>
        <v>8745.5370000000003</v>
      </c>
      <c r="O39" s="313"/>
      <c r="P39" s="313">
        <f t="shared" si="2"/>
        <v>20406.253000000001</v>
      </c>
      <c r="Q39" s="313"/>
      <c r="R39" s="314" t="str">
        <f t="shared" si="3"/>
        <v>No</v>
      </c>
      <c r="S39" s="314"/>
      <c r="T39" s="304">
        <v>1996</v>
      </c>
      <c r="U39" s="298">
        <f t="shared" si="4"/>
        <v>9.5</v>
      </c>
      <c r="V39" s="298">
        <f t="shared" si="5"/>
        <v>6.25</v>
      </c>
    </row>
    <row r="40" spans="1:22">
      <c r="B40" s="298" t="s">
        <v>293</v>
      </c>
      <c r="D40" s="304">
        <v>1997</v>
      </c>
      <c r="F40" s="310">
        <v>35642</v>
      </c>
      <c r="G40" s="311"/>
      <c r="H40" s="197">
        <v>34478.839999999997</v>
      </c>
      <c r="J40" s="312">
        <f>+'wp-p-restate(audit)'!J40</f>
        <v>15</v>
      </c>
      <c r="K40" s="312"/>
      <c r="L40" s="300">
        <f t="shared" si="0"/>
        <v>0.02</v>
      </c>
      <c r="M40" s="300"/>
      <c r="N40" s="313">
        <f t="shared" si="1"/>
        <v>10343.651999999998</v>
      </c>
      <c r="O40" s="313"/>
      <c r="P40" s="313">
        <f t="shared" si="2"/>
        <v>24135.187999999998</v>
      </c>
      <c r="Q40" s="313"/>
      <c r="R40" s="314" t="str">
        <f t="shared" si="3"/>
        <v>No</v>
      </c>
      <c r="S40" s="197"/>
      <c r="T40" s="304">
        <v>1997</v>
      </c>
      <c r="U40" s="298">
        <f t="shared" si="4"/>
        <v>8.5</v>
      </c>
      <c r="V40" s="298">
        <f t="shared" si="5"/>
        <v>5.25</v>
      </c>
    </row>
    <row r="41" spans="1:22">
      <c r="B41" s="298" t="s">
        <v>293</v>
      </c>
      <c r="D41" s="304">
        <v>1997</v>
      </c>
      <c r="F41" s="310">
        <v>35642</v>
      </c>
      <c r="G41" s="311"/>
      <c r="H41" s="197">
        <v>682.5</v>
      </c>
      <c r="J41" s="312">
        <f>+'wp-p-restate(audit)'!J41</f>
        <v>15</v>
      </c>
      <c r="K41" s="312"/>
      <c r="L41" s="300">
        <f t="shared" ref="L41:L73" si="6">VLOOKUP(B41,$T$9:$U$13,2,FALSE)</f>
        <v>0.02</v>
      </c>
      <c r="M41" s="300"/>
      <c r="N41" s="313">
        <f t="shared" ref="N41:N73" si="7">IF(L41*J41*H41&gt;H41,H41,L41*J41*H41)</f>
        <v>204.75</v>
      </c>
      <c r="O41" s="313"/>
      <c r="P41" s="313">
        <f t="shared" ref="P41:P73" si="8">H41-N41</f>
        <v>477.75</v>
      </c>
      <c r="Q41" s="313"/>
      <c r="R41" s="314" t="str">
        <f t="shared" ref="R41:R73" si="9">IF(N41=H41,"Yes","No")</f>
        <v>No</v>
      </c>
      <c r="T41" s="304">
        <v>1998</v>
      </c>
      <c r="U41" s="298">
        <f t="shared" si="4"/>
        <v>7.5</v>
      </c>
      <c r="V41" s="298">
        <f t="shared" si="5"/>
        <v>4.25</v>
      </c>
    </row>
    <row r="42" spans="1:22">
      <c r="B42" s="298" t="s">
        <v>293</v>
      </c>
      <c r="D42" s="304">
        <v>1997</v>
      </c>
      <c r="F42" s="310">
        <v>35642</v>
      </c>
      <c r="G42" s="311"/>
      <c r="H42" s="197">
        <v>33053.68</v>
      </c>
      <c r="J42" s="312">
        <f>+'wp-p-restate(audit)'!J42</f>
        <v>15</v>
      </c>
      <c r="K42" s="312"/>
      <c r="L42" s="300">
        <f t="shared" si="6"/>
        <v>0.02</v>
      </c>
      <c r="M42" s="300"/>
      <c r="N42" s="313">
        <f t="shared" si="7"/>
        <v>9916.1039999999994</v>
      </c>
      <c r="O42" s="313"/>
      <c r="P42" s="313">
        <f t="shared" si="8"/>
        <v>23137.576000000001</v>
      </c>
      <c r="Q42" s="313"/>
      <c r="R42" s="314" t="str">
        <f t="shared" si="9"/>
        <v>No</v>
      </c>
      <c r="T42" s="304">
        <v>1999</v>
      </c>
      <c r="U42" s="298">
        <f t="shared" si="4"/>
        <v>6.5</v>
      </c>
      <c r="V42" s="298">
        <f t="shared" si="5"/>
        <v>3.25</v>
      </c>
    </row>
    <row r="43" spans="1:22">
      <c r="B43" s="298" t="s">
        <v>293</v>
      </c>
      <c r="D43" s="304">
        <v>1997</v>
      </c>
      <c r="F43" s="310">
        <v>35642</v>
      </c>
      <c r="G43" s="311"/>
      <c r="H43" s="197">
        <v>6843.71</v>
      </c>
      <c r="J43" s="312">
        <f>+'wp-p-restate(audit)'!J43</f>
        <v>15</v>
      </c>
      <c r="K43" s="312"/>
      <c r="L43" s="300">
        <f t="shared" si="6"/>
        <v>0.02</v>
      </c>
      <c r="M43" s="300"/>
      <c r="N43" s="313">
        <f t="shared" si="7"/>
        <v>2053.1129999999998</v>
      </c>
      <c r="O43" s="313"/>
      <c r="P43" s="313">
        <f t="shared" si="8"/>
        <v>4790.5969999999998</v>
      </c>
      <c r="Q43" s="313"/>
      <c r="R43" s="314" t="str">
        <f t="shared" si="9"/>
        <v>No</v>
      </c>
      <c r="T43" s="304">
        <v>2000</v>
      </c>
      <c r="U43" s="298">
        <f t="shared" si="4"/>
        <v>5.5</v>
      </c>
      <c r="V43" s="298">
        <f t="shared" si="5"/>
        <v>2.25</v>
      </c>
    </row>
    <row r="44" spans="1:22">
      <c r="B44" s="298" t="s">
        <v>293</v>
      </c>
      <c r="D44" s="304">
        <v>1997</v>
      </c>
      <c r="F44" s="310">
        <v>35642</v>
      </c>
      <c r="G44" s="311"/>
      <c r="H44" s="197">
        <v>12226.94</v>
      </c>
      <c r="J44" s="312">
        <f>+'wp-p-restate(audit)'!J44</f>
        <v>15</v>
      </c>
      <c r="K44" s="312"/>
      <c r="L44" s="300">
        <f t="shared" si="6"/>
        <v>0.02</v>
      </c>
      <c r="M44" s="300"/>
      <c r="N44" s="313">
        <f t="shared" si="7"/>
        <v>3668.0819999999999</v>
      </c>
      <c r="O44" s="313"/>
      <c r="P44" s="313">
        <f t="shared" si="8"/>
        <v>8558.8580000000002</v>
      </c>
      <c r="Q44" s="313"/>
      <c r="R44" s="314" t="str">
        <f t="shared" si="9"/>
        <v>No</v>
      </c>
      <c r="T44" s="304">
        <v>2001</v>
      </c>
      <c r="U44" s="298">
        <f t="shared" si="4"/>
        <v>4.5</v>
      </c>
      <c r="V44" s="298">
        <f t="shared" si="5"/>
        <v>1.25</v>
      </c>
    </row>
    <row r="45" spans="1:22">
      <c r="B45" s="298" t="s">
        <v>293</v>
      </c>
      <c r="D45" s="304">
        <v>1997</v>
      </c>
      <c r="F45" s="310">
        <v>35642</v>
      </c>
      <c r="G45" s="311"/>
      <c r="H45" s="197">
        <v>337.29</v>
      </c>
      <c r="J45" s="312">
        <f>+'wp-p-restate(audit)'!J45</f>
        <v>15</v>
      </c>
      <c r="K45" s="312"/>
      <c r="L45" s="300">
        <f t="shared" si="6"/>
        <v>0.02</v>
      </c>
      <c r="M45" s="300"/>
      <c r="N45" s="313">
        <f t="shared" si="7"/>
        <v>101.187</v>
      </c>
      <c r="O45" s="313"/>
      <c r="P45" s="313">
        <f t="shared" si="8"/>
        <v>236.10300000000001</v>
      </c>
      <c r="Q45" s="313"/>
      <c r="R45" s="314" t="str">
        <f t="shared" si="9"/>
        <v>No</v>
      </c>
      <c r="T45" s="304">
        <v>2002</v>
      </c>
      <c r="U45" s="298">
        <f t="shared" si="4"/>
        <v>3.5</v>
      </c>
      <c r="V45" s="298">
        <f t="shared" si="5"/>
        <v>0.25</v>
      </c>
    </row>
    <row r="46" spans="1:22">
      <c r="B46" s="298" t="s">
        <v>293</v>
      </c>
      <c r="D46" s="304">
        <v>1997</v>
      </c>
      <c r="F46" s="310">
        <v>35642</v>
      </c>
      <c r="G46" s="311"/>
      <c r="H46" s="197">
        <v>25347.95</v>
      </c>
      <c r="J46" s="312">
        <f>+'wp-p-restate(audit)'!J46</f>
        <v>15</v>
      </c>
      <c r="K46" s="312"/>
      <c r="L46" s="300">
        <f t="shared" si="6"/>
        <v>0.02</v>
      </c>
      <c r="M46" s="300"/>
      <c r="N46" s="313">
        <f t="shared" si="7"/>
        <v>7604.3850000000002</v>
      </c>
      <c r="O46" s="313"/>
      <c r="P46" s="313">
        <f t="shared" si="8"/>
        <v>17743.565000000002</v>
      </c>
      <c r="Q46" s="313"/>
      <c r="R46" s="314" t="str">
        <f t="shared" si="9"/>
        <v>No</v>
      </c>
      <c r="T46" s="304">
        <v>2003</v>
      </c>
      <c r="U46" s="298">
        <f t="shared" si="4"/>
        <v>2.5</v>
      </c>
    </row>
    <row r="47" spans="1:22">
      <c r="A47" s="325"/>
      <c r="B47" s="298" t="s">
        <v>293</v>
      </c>
      <c r="D47" s="304">
        <v>1997</v>
      </c>
      <c r="F47" s="310">
        <v>35642</v>
      </c>
      <c r="G47" s="311"/>
      <c r="H47" s="197">
        <v>7520.74</v>
      </c>
      <c r="J47" s="312">
        <f>+'wp-p-restate(audit)'!J47</f>
        <v>15</v>
      </c>
      <c r="K47" s="312"/>
      <c r="L47" s="300">
        <f t="shared" si="6"/>
        <v>0.02</v>
      </c>
      <c r="M47" s="300"/>
      <c r="N47" s="313">
        <f t="shared" si="7"/>
        <v>2256.2219999999998</v>
      </c>
      <c r="O47" s="313"/>
      <c r="P47" s="313">
        <f t="shared" si="8"/>
        <v>5264.518</v>
      </c>
      <c r="Q47" s="313"/>
      <c r="R47" s="314" t="str">
        <f t="shared" si="9"/>
        <v>No</v>
      </c>
      <c r="T47" s="304">
        <v>2004</v>
      </c>
      <c r="U47" s="298">
        <f t="shared" si="4"/>
        <v>1.5</v>
      </c>
    </row>
    <row r="48" spans="1:22">
      <c r="A48" s="321"/>
      <c r="B48" s="298" t="s">
        <v>293</v>
      </c>
      <c r="D48" s="304">
        <v>1997</v>
      </c>
      <c r="F48" s="310">
        <v>35642</v>
      </c>
      <c r="G48" s="311"/>
      <c r="H48" s="197">
        <v>20637.8</v>
      </c>
      <c r="J48" s="312">
        <f>+'wp-p-restate(audit)'!J48</f>
        <v>15</v>
      </c>
      <c r="K48" s="312"/>
      <c r="L48" s="300">
        <f t="shared" si="6"/>
        <v>0.02</v>
      </c>
      <c r="M48" s="300"/>
      <c r="N48" s="313">
        <f t="shared" si="7"/>
        <v>6191.3399999999992</v>
      </c>
      <c r="O48" s="313"/>
      <c r="P48" s="313">
        <f t="shared" si="8"/>
        <v>14446.46</v>
      </c>
      <c r="Q48" s="313"/>
      <c r="R48" s="314" t="str">
        <f t="shared" si="9"/>
        <v>No</v>
      </c>
      <c r="S48" s="314"/>
      <c r="T48" s="326">
        <v>2005</v>
      </c>
      <c r="U48" s="327">
        <v>1</v>
      </c>
    </row>
    <row r="49" spans="1:19">
      <c r="A49" s="321"/>
      <c r="B49" s="298" t="s">
        <v>293</v>
      </c>
      <c r="D49" s="304">
        <v>1997</v>
      </c>
      <c r="F49" s="310">
        <v>35642</v>
      </c>
      <c r="G49" s="311"/>
      <c r="H49" s="197">
        <v>3041</v>
      </c>
      <c r="J49" s="312">
        <f>+'wp-p-restate(audit)'!J49</f>
        <v>15</v>
      </c>
      <c r="K49" s="312"/>
      <c r="L49" s="300">
        <f t="shared" si="6"/>
        <v>0.02</v>
      </c>
      <c r="M49" s="300"/>
      <c r="N49" s="313">
        <f t="shared" si="7"/>
        <v>912.3</v>
      </c>
      <c r="O49" s="313"/>
      <c r="P49" s="313">
        <f t="shared" si="8"/>
        <v>2128.6999999999998</v>
      </c>
      <c r="Q49" s="313"/>
      <c r="R49" s="314" t="str">
        <f t="shared" si="9"/>
        <v>No</v>
      </c>
      <c r="S49" s="314"/>
    </row>
    <row r="50" spans="1:19">
      <c r="A50" s="321"/>
      <c r="B50" s="298" t="s">
        <v>293</v>
      </c>
      <c r="D50" s="304">
        <v>1997</v>
      </c>
      <c r="F50" s="310">
        <v>35642</v>
      </c>
      <c r="G50" s="311"/>
      <c r="H50" s="197">
        <v>854.21</v>
      </c>
      <c r="J50" s="312">
        <f>+'wp-p-restate(audit)'!J50</f>
        <v>15</v>
      </c>
      <c r="K50" s="312"/>
      <c r="L50" s="300">
        <f t="shared" si="6"/>
        <v>0.02</v>
      </c>
      <c r="M50" s="300"/>
      <c r="N50" s="313">
        <f t="shared" si="7"/>
        <v>256.26299999999998</v>
      </c>
      <c r="O50" s="313"/>
      <c r="P50" s="313">
        <f t="shared" si="8"/>
        <v>597.94700000000012</v>
      </c>
      <c r="Q50" s="313"/>
      <c r="R50" s="314" t="str">
        <f t="shared" si="9"/>
        <v>No</v>
      </c>
      <c r="S50" s="314"/>
    </row>
    <row r="51" spans="1:19">
      <c r="A51" s="321"/>
      <c r="B51" s="298" t="s">
        <v>293</v>
      </c>
      <c r="C51" s="321"/>
      <c r="D51" s="328">
        <v>1997</v>
      </c>
      <c r="E51" s="321"/>
      <c r="F51" s="329">
        <v>35642</v>
      </c>
      <c r="G51" s="322"/>
      <c r="H51" s="32">
        <v>8920.93</v>
      </c>
      <c r="I51" s="32"/>
      <c r="J51" s="312">
        <f>+'wp-p-restate(audit)'!J51</f>
        <v>15</v>
      </c>
      <c r="K51" s="317"/>
      <c r="L51" s="318">
        <f t="shared" si="6"/>
        <v>0.02</v>
      </c>
      <c r="M51" s="318"/>
      <c r="N51" s="319">
        <f t="shared" si="7"/>
        <v>2676.279</v>
      </c>
      <c r="O51" s="319"/>
      <c r="P51" s="319">
        <f t="shared" si="8"/>
        <v>6244.6509999999998</v>
      </c>
      <c r="Q51" s="319"/>
      <c r="R51" s="314" t="str">
        <f t="shared" si="9"/>
        <v>No</v>
      </c>
      <c r="S51" s="314"/>
    </row>
    <row r="52" spans="1:19">
      <c r="A52" s="321"/>
      <c r="B52" s="298" t="s">
        <v>293</v>
      </c>
      <c r="C52" s="321"/>
      <c r="D52" s="328">
        <v>1997</v>
      </c>
      <c r="E52" s="321"/>
      <c r="F52" s="329">
        <v>35642</v>
      </c>
      <c r="G52" s="322"/>
      <c r="H52" s="32">
        <v>18713.8</v>
      </c>
      <c r="I52" s="32"/>
      <c r="J52" s="312">
        <f>+'wp-p-restate(audit)'!J52</f>
        <v>15</v>
      </c>
      <c r="K52" s="317"/>
      <c r="L52" s="318">
        <f t="shared" si="6"/>
        <v>0.02</v>
      </c>
      <c r="M52" s="318"/>
      <c r="N52" s="319">
        <f t="shared" si="7"/>
        <v>5614.1399999999994</v>
      </c>
      <c r="O52" s="319"/>
      <c r="P52" s="319">
        <f t="shared" si="8"/>
        <v>13099.66</v>
      </c>
      <c r="Q52" s="319"/>
      <c r="R52" s="314" t="str">
        <f t="shared" si="9"/>
        <v>No</v>
      </c>
      <c r="S52" s="314"/>
    </row>
    <row r="53" spans="1:19">
      <c r="A53" s="321"/>
      <c r="B53" s="298" t="s">
        <v>293</v>
      </c>
      <c r="C53" s="321"/>
      <c r="D53" s="328">
        <v>1997</v>
      </c>
      <c r="E53" s="321"/>
      <c r="F53" s="329">
        <v>35642</v>
      </c>
      <c r="G53" s="322"/>
      <c r="H53" s="32">
        <v>42319.97</v>
      </c>
      <c r="I53" s="32"/>
      <c r="J53" s="312">
        <f>+'wp-p-restate(audit)'!J53</f>
        <v>15</v>
      </c>
      <c r="K53" s="317"/>
      <c r="L53" s="318">
        <f t="shared" si="6"/>
        <v>0.02</v>
      </c>
      <c r="M53" s="318"/>
      <c r="N53" s="319">
        <f t="shared" si="7"/>
        <v>12695.991</v>
      </c>
      <c r="O53" s="319"/>
      <c r="P53" s="319">
        <f t="shared" si="8"/>
        <v>29623.978999999999</v>
      </c>
      <c r="Q53" s="319"/>
      <c r="R53" s="314" t="str">
        <f t="shared" si="9"/>
        <v>No</v>
      </c>
      <c r="S53" s="314"/>
    </row>
    <row r="54" spans="1:19">
      <c r="A54" s="321"/>
      <c r="B54" s="298" t="s">
        <v>293</v>
      </c>
      <c r="C54" s="321"/>
      <c r="D54" s="328">
        <v>1997</v>
      </c>
      <c r="E54" s="321"/>
      <c r="F54" s="329">
        <v>35642</v>
      </c>
      <c r="G54" s="322"/>
      <c r="H54" s="32">
        <v>117894.63</v>
      </c>
      <c r="I54" s="32"/>
      <c r="J54" s="312">
        <f>+'wp-p-restate(audit)'!J54</f>
        <v>15</v>
      </c>
      <c r="K54" s="317"/>
      <c r="L54" s="318">
        <f t="shared" si="6"/>
        <v>0.02</v>
      </c>
      <c r="M54" s="318"/>
      <c r="N54" s="319">
        <f t="shared" si="7"/>
        <v>35368.389000000003</v>
      </c>
      <c r="O54" s="319"/>
      <c r="P54" s="319">
        <f t="shared" si="8"/>
        <v>82526.241000000009</v>
      </c>
      <c r="Q54" s="319"/>
      <c r="R54" s="314" t="str">
        <f t="shared" si="9"/>
        <v>No</v>
      </c>
      <c r="S54" s="314"/>
    </row>
    <row r="55" spans="1:19">
      <c r="A55" s="321"/>
      <c r="B55" s="298" t="s">
        <v>293</v>
      </c>
      <c r="C55" s="321"/>
      <c r="D55" s="328">
        <v>1997</v>
      </c>
      <c r="E55" s="321"/>
      <c r="F55" s="329">
        <v>35642</v>
      </c>
      <c r="G55" s="322"/>
      <c r="H55" s="32">
        <v>2383</v>
      </c>
      <c r="I55" s="32"/>
      <c r="J55" s="312">
        <f>+'wp-p-restate(audit)'!J55</f>
        <v>15</v>
      </c>
      <c r="K55" s="317"/>
      <c r="L55" s="318">
        <f t="shared" si="6"/>
        <v>0.02</v>
      </c>
      <c r="M55" s="318"/>
      <c r="N55" s="319">
        <f t="shared" si="7"/>
        <v>714.9</v>
      </c>
      <c r="O55" s="319"/>
      <c r="P55" s="319">
        <f t="shared" si="8"/>
        <v>1668.1</v>
      </c>
      <c r="Q55" s="319"/>
      <c r="R55" s="314" t="str">
        <f t="shared" si="9"/>
        <v>No</v>
      </c>
      <c r="S55" s="314"/>
    </row>
    <row r="56" spans="1:19">
      <c r="A56" s="321"/>
      <c r="B56" s="298" t="s">
        <v>293</v>
      </c>
      <c r="C56" s="321"/>
      <c r="D56" s="328">
        <v>1997</v>
      </c>
      <c r="E56" s="321"/>
      <c r="F56" s="329">
        <v>35642</v>
      </c>
      <c r="G56" s="322"/>
      <c r="H56" s="32">
        <v>454</v>
      </c>
      <c r="I56" s="32"/>
      <c r="J56" s="312">
        <f>+'wp-p-restate(audit)'!J56</f>
        <v>15</v>
      </c>
      <c r="K56" s="317"/>
      <c r="L56" s="318">
        <f t="shared" si="6"/>
        <v>0.02</v>
      </c>
      <c r="M56" s="318"/>
      <c r="N56" s="319">
        <f t="shared" si="7"/>
        <v>136.19999999999999</v>
      </c>
      <c r="O56" s="319"/>
      <c r="P56" s="319">
        <f t="shared" si="8"/>
        <v>317.8</v>
      </c>
      <c r="Q56" s="319"/>
      <c r="R56" s="314" t="str">
        <f t="shared" si="9"/>
        <v>No</v>
      </c>
      <c r="S56" s="314"/>
    </row>
    <row r="57" spans="1:19">
      <c r="A57" s="321"/>
      <c r="B57" s="298" t="s">
        <v>511</v>
      </c>
      <c r="D57" s="304">
        <v>1997</v>
      </c>
      <c r="F57" s="310">
        <v>35642</v>
      </c>
      <c r="G57" s="311"/>
      <c r="H57" s="197">
        <v>840.8</v>
      </c>
      <c r="J57" s="312">
        <f>+'wp-p-restate(audit)'!J57</f>
        <v>15</v>
      </c>
      <c r="K57" s="312"/>
      <c r="L57" s="300">
        <f t="shared" si="6"/>
        <v>0</v>
      </c>
      <c r="M57" s="300"/>
      <c r="N57" s="313">
        <f t="shared" si="7"/>
        <v>0</v>
      </c>
      <c r="O57" s="313"/>
      <c r="P57" s="313">
        <f t="shared" si="8"/>
        <v>840.8</v>
      </c>
      <c r="Q57" s="313"/>
      <c r="R57" s="314" t="str">
        <f t="shared" si="9"/>
        <v>No</v>
      </c>
      <c r="S57" s="314"/>
    </row>
    <row r="58" spans="1:19">
      <c r="A58" s="321"/>
      <c r="B58" s="298" t="s">
        <v>511</v>
      </c>
      <c r="D58" s="304">
        <v>1997</v>
      </c>
      <c r="F58" s="310">
        <v>35642</v>
      </c>
      <c r="G58" s="311"/>
      <c r="H58" s="197">
        <v>6853</v>
      </c>
      <c r="J58" s="312">
        <f>+'wp-p-restate(audit)'!J58</f>
        <v>15</v>
      </c>
      <c r="K58" s="312"/>
      <c r="L58" s="300">
        <f t="shared" si="6"/>
        <v>0</v>
      </c>
      <c r="M58" s="300"/>
      <c r="N58" s="313">
        <f t="shared" si="7"/>
        <v>0</v>
      </c>
      <c r="O58" s="313"/>
      <c r="P58" s="313">
        <f t="shared" si="8"/>
        <v>6853</v>
      </c>
      <c r="Q58" s="313"/>
      <c r="R58" s="314" t="str">
        <f t="shared" si="9"/>
        <v>No</v>
      </c>
      <c r="S58" s="314"/>
    </row>
    <row r="59" spans="1:19">
      <c r="A59" s="321"/>
      <c r="B59" s="298" t="s">
        <v>511</v>
      </c>
      <c r="D59" s="304">
        <v>1997</v>
      </c>
      <c r="F59" s="310">
        <v>35642</v>
      </c>
      <c r="G59" s="311"/>
      <c r="H59" s="197">
        <v>628.83000000000004</v>
      </c>
      <c r="J59" s="312">
        <f>+'wp-p-restate(audit)'!J59</f>
        <v>15</v>
      </c>
      <c r="K59" s="312"/>
      <c r="L59" s="300">
        <f t="shared" si="6"/>
        <v>0</v>
      </c>
      <c r="M59" s="300"/>
      <c r="N59" s="313">
        <f t="shared" si="7"/>
        <v>0</v>
      </c>
      <c r="O59" s="313"/>
      <c r="P59" s="313">
        <f t="shared" si="8"/>
        <v>628.83000000000004</v>
      </c>
      <c r="Q59" s="313"/>
      <c r="R59" s="314" t="str">
        <f t="shared" si="9"/>
        <v>No</v>
      </c>
      <c r="S59" s="314"/>
    </row>
    <row r="60" spans="1:19">
      <c r="A60" s="321"/>
      <c r="B60" s="298" t="s">
        <v>511</v>
      </c>
      <c r="D60" s="304">
        <v>1997</v>
      </c>
      <c r="F60" s="310">
        <v>35642</v>
      </c>
      <c r="G60" s="311"/>
      <c r="H60" s="197">
        <v>1025.44</v>
      </c>
      <c r="J60" s="312">
        <f>+'wp-p-restate(audit)'!J60</f>
        <v>15</v>
      </c>
      <c r="K60" s="312"/>
      <c r="L60" s="300">
        <f t="shared" si="6"/>
        <v>0</v>
      </c>
      <c r="M60" s="300"/>
      <c r="N60" s="313">
        <f t="shared" si="7"/>
        <v>0</v>
      </c>
      <c r="O60" s="313"/>
      <c r="P60" s="313">
        <f t="shared" si="8"/>
        <v>1025.44</v>
      </c>
      <c r="Q60" s="313"/>
      <c r="R60" s="314" t="str">
        <f t="shared" si="9"/>
        <v>No</v>
      </c>
      <c r="S60" s="314"/>
    </row>
    <row r="61" spans="1:19">
      <c r="A61" s="321"/>
      <c r="B61" s="298" t="s">
        <v>511</v>
      </c>
      <c r="D61" s="304">
        <v>1997</v>
      </c>
      <c r="F61" s="310">
        <v>35642</v>
      </c>
      <c r="G61" s="311"/>
      <c r="H61" s="197">
        <v>5496</v>
      </c>
      <c r="J61" s="312">
        <f>+'wp-p-restate(audit)'!J61</f>
        <v>15</v>
      </c>
      <c r="K61" s="312"/>
      <c r="L61" s="300">
        <f t="shared" si="6"/>
        <v>0</v>
      </c>
      <c r="M61" s="300"/>
      <c r="N61" s="313">
        <f t="shared" si="7"/>
        <v>0</v>
      </c>
      <c r="O61" s="313"/>
      <c r="P61" s="313">
        <f t="shared" si="8"/>
        <v>5496</v>
      </c>
      <c r="Q61" s="313"/>
      <c r="R61" s="314" t="str">
        <f t="shared" si="9"/>
        <v>No</v>
      </c>
      <c r="S61" s="314"/>
    </row>
    <row r="62" spans="1:19">
      <c r="A62" s="321"/>
      <c r="B62" s="298" t="s">
        <v>511</v>
      </c>
      <c r="D62" s="304">
        <v>1997</v>
      </c>
      <c r="F62" s="310">
        <v>35642</v>
      </c>
      <c r="G62" s="311"/>
      <c r="H62" s="197">
        <v>112</v>
      </c>
      <c r="J62" s="312">
        <f>+'wp-p-restate(audit)'!J62</f>
        <v>15</v>
      </c>
      <c r="K62" s="312"/>
      <c r="L62" s="300">
        <f t="shared" si="6"/>
        <v>0</v>
      </c>
      <c r="M62" s="300"/>
      <c r="N62" s="313">
        <f t="shared" si="7"/>
        <v>0</v>
      </c>
      <c r="O62" s="313"/>
      <c r="P62" s="313">
        <f t="shared" si="8"/>
        <v>112</v>
      </c>
      <c r="Q62" s="313"/>
      <c r="R62" s="314" t="str">
        <f t="shared" si="9"/>
        <v>No</v>
      </c>
      <c r="S62" s="314"/>
    </row>
    <row r="63" spans="1:19">
      <c r="A63" s="321"/>
      <c r="B63" s="321" t="s">
        <v>294</v>
      </c>
      <c r="C63" s="321"/>
      <c r="D63" s="328">
        <v>1997</v>
      </c>
      <c r="E63" s="321"/>
      <c r="F63" s="329">
        <v>35642</v>
      </c>
      <c r="G63" s="322"/>
      <c r="H63" s="32">
        <v>91200.55</v>
      </c>
      <c r="I63" s="32"/>
      <c r="J63" s="312">
        <f>+'wp-p-restate(audit)'!J63</f>
        <v>15</v>
      </c>
      <c r="K63" s="317"/>
      <c r="L63" s="318">
        <f t="shared" si="6"/>
        <v>0.25</v>
      </c>
      <c r="M63" s="318"/>
      <c r="N63" s="319">
        <f t="shared" si="7"/>
        <v>91200.55</v>
      </c>
      <c r="O63" s="319"/>
      <c r="P63" s="319">
        <f t="shared" si="8"/>
        <v>0</v>
      </c>
      <c r="Q63" s="319"/>
      <c r="R63" s="330" t="str">
        <f t="shared" si="9"/>
        <v>Yes</v>
      </c>
      <c r="S63" s="314"/>
    </row>
    <row r="64" spans="1:19">
      <c r="A64" s="321"/>
      <c r="B64" s="321" t="s">
        <v>294</v>
      </c>
      <c r="C64" s="321"/>
      <c r="D64" s="328">
        <v>1997</v>
      </c>
      <c r="E64" s="321"/>
      <c r="F64" s="329">
        <v>35642</v>
      </c>
      <c r="G64" s="322"/>
      <c r="H64" s="32">
        <v>23193.71</v>
      </c>
      <c r="I64" s="32"/>
      <c r="J64" s="312">
        <f>+'wp-p-restate(audit)'!J64</f>
        <v>15</v>
      </c>
      <c r="K64" s="317"/>
      <c r="L64" s="318">
        <f t="shared" si="6"/>
        <v>0.25</v>
      </c>
      <c r="M64" s="318"/>
      <c r="N64" s="319">
        <f t="shared" si="7"/>
        <v>23193.71</v>
      </c>
      <c r="O64" s="319"/>
      <c r="P64" s="319">
        <f t="shared" si="8"/>
        <v>0</v>
      </c>
      <c r="Q64" s="319"/>
      <c r="R64" s="330" t="str">
        <f t="shared" si="9"/>
        <v>Yes</v>
      </c>
      <c r="S64" s="314"/>
    </row>
    <row r="65" spans="1:19">
      <c r="A65" s="321"/>
      <c r="B65" s="321" t="s">
        <v>294</v>
      </c>
      <c r="C65" s="321"/>
      <c r="D65" s="328">
        <v>1997</v>
      </c>
      <c r="E65" s="321"/>
      <c r="F65" s="329">
        <v>35642</v>
      </c>
      <c r="G65" s="322"/>
      <c r="H65" s="32">
        <v>30641.95</v>
      </c>
      <c r="I65" s="32"/>
      <c r="J65" s="312">
        <f>+'wp-p-restate(audit)'!J65</f>
        <v>15</v>
      </c>
      <c r="K65" s="317"/>
      <c r="L65" s="318">
        <f t="shared" si="6"/>
        <v>0.25</v>
      </c>
      <c r="M65" s="318"/>
      <c r="N65" s="319">
        <f t="shared" si="7"/>
        <v>30641.95</v>
      </c>
      <c r="O65" s="319"/>
      <c r="P65" s="319">
        <f t="shared" si="8"/>
        <v>0</v>
      </c>
      <c r="Q65" s="319"/>
      <c r="R65" s="330" t="str">
        <f t="shared" si="9"/>
        <v>Yes</v>
      </c>
      <c r="S65" s="314"/>
    </row>
    <row r="66" spans="1:19">
      <c r="A66" s="321"/>
      <c r="B66" s="321" t="s">
        <v>294</v>
      </c>
      <c r="C66" s="321"/>
      <c r="D66" s="328">
        <v>1997</v>
      </c>
      <c r="E66" s="321"/>
      <c r="F66" s="329">
        <v>35642</v>
      </c>
      <c r="G66" s="322"/>
      <c r="H66" s="32">
        <v>3289</v>
      </c>
      <c r="I66" s="32"/>
      <c r="J66" s="312">
        <f>+'wp-p-restate(audit)'!J66</f>
        <v>15</v>
      </c>
      <c r="K66" s="317"/>
      <c r="L66" s="318">
        <f t="shared" si="6"/>
        <v>0.25</v>
      </c>
      <c r="M66" s="318"/>
      <c r="N66" s="319">
        <f t="shared" si="7"/>
        <v>3289</v>
      </c>
      <c r="O66" s="319"/>
      <c r="P66" s="319">
        <f t="shared" si="8"/>
        <v>0</v>
      </c>
      <c r="Q66" s="319"/>
      <c r="R66" s="330" t="str">
        <f t="shared" si="9"/>
        <v>Yes</v>
      </c>
      <c r="S66" s="314"/>
    </row>
    <row r="67" spans="1:19">
      <c r="A67" s="321"/>
      <c r="B67" s="321" t="s">
        <v>294</v>
      </c>
      <c r="C67" s="321"/>
      <c r="D67" s="328">
        <v>1997</v>
      </c>
      <c r="E67" s="321"/>
      <c r="F67" s="329">
        <v>35642</v>
      </c>
      <c r="G67" s="322"/>
      <c r="H67" s="32">
        <v>626</v>
      </c>
      <c r="I67" s="32"/>
      <c r="J67" s="312">
        <f>+'wp-p-restate(audit)'!J67</f>
        <v>15</v>
      </c>
      <c r="K67" s="317"/>
      <c r="L67" s="318">
        <f t="shared" si="6"/>
        <v>0.25</v>
      </c>
      <c r="M67" s="318"/>
      <c r="N67" s="319">
        <f t="shared" si="7"/>
        <v>626</v>
      </c>
      <c r="O67" s="319"/>
      <c r="P67" s="319">
        <f t="shared" si="8"/>
        <v>0</v>
      </c>
      <c r="Q67" s="319"/>
      <c r="R67" s="330" t="str">
        <f t="shared" si="9"/>
        <v>Yes</v>
      </c>
      <c r="S67" s="314"/>
    </row>
    <row r="68" spans="1:19">
      <c r="A68" s="321"/>
      <c r="B68" s="321" t="s">
        <v>294</v>
      </c>
      <c r="C68" s="321"/>
      <c r="D68" s="328">
        <v>1999</v>
      </c>
      <c r="E68" s="321"/>
      <c r="F68" s="329">
        <v>36342</v>
      </c>
      <c r="G68" s="322"/>
      <c r="H68" s="32">
        <v>23723</v>
      </c>
      <c r="I68" s="32"/>
      <c r="J68" s="312">
        <f>+'wp-p-restate(audit)'!J68</f>
        <v>13</v>
      </c>
      <c r="K68" s="317"/>
      <c r="L68" s="318">
        <f t="shared" si="6"/>
        <v>0.25</v>
      </c>
      <c r="M68" s="318"/>
      <c r="N68" s="319">
        <f t="shared" si="7"/>
        <v>23723</v>
      </c>
      <c r="O68" s="319"/>
      <c r="P68" s="319">
        <f t="shared" si="8"/>
        <v>0</v>
      </c>
      <c r="Q68" s="319"/>
      <c r="R68" s="330" t="str">
        <f t="shared" si="9"/>
        <v>Yes</v>
      </c>
      <c r="S68" s="314"/>
    </row>
    <row r="69" spans="1:19">
      <c r="A69" s="321"/>
      <c r="B69" s="298" t="s">
        <v>293</v>
      </c>
      <c r="C69" s="321"/>
      <c r="D69" s="328">
        <v>2000</v>
      </c>
      <c r="E69" s="321"/>
      <c r="F69" s="329">
        <v>36861</v>
      </c>
      <c r="G69" s="322"/>
      <c r="H69" s="32">
        <v>69976</v>
      </c>
      <c r="I69" s="32"/>
      <c r="J69" s="312">
        <f>+'wp-p-restate(audit)'!J69</f>
        <v>12</v>
      </c>
      <c r="K69" s="317"/>
      <c r="L69" s="318">
        <f t="shared" si="6"/>
        <v>0.02</v>
      </c>
      <c r="M69" s="318"/>
      <c r="N69" s="319">
        <f t="shared" si="7"/>
        <v>16794.239999999998</v>
      </c>
      <c r="O69" s="319"/>
      <c r="P69" s="319">
        <f t="shared" si="8"/>
        <v>53181.760000000002</v>
      </c>
      <c r="Q69" s="319"/>
      <c r="R69" s="314" t="str">
        <f t="shared" si="9"/>
        <v>No</v>
      </c>
      <c r="S69" s="314"/>
    </row>
    <row r="70" spans="1:19">
      <c r="A70" s="321"/>
      <c r="B70" s="321" t="s">
        <v>294</v>
      </c>
      <c r="C70" s="321"/>
      <c r="D70" s="328">
        <v>2000</v>
      </c>
      <c r="E70" s="321"/>
      <c r="F70" s="329">
        <v>36526</v>
      </c>
      <c r="G70" s="322"/>
      <c r="H70" s="32">
        <v>21601</v>
      </c>
      <c r="I70" s="32"/>
      <c r="J70" s="312">
        <f>+'wp-p-restate(audit)'!J70</f>
        <v>12</v>
      </c>
      <c r="K70" s="317"/>
      <c r="L70" s="318">
        <f t="shared" si="6"/>
        <v>0.25</v>
      </c>
      <c r="M70" s="318"/>
      <c r="N70" s="319">
        <f t="shared" si="7"/>
        <v>21601</v>
      </c>
      <c r="O70" s="319"/>
      <c r="P70" s="319">
        <f t="shared" si="8"/>
        <v>0</v>
      </c>
      <c r="Q70" s="319"/>
      <c r="R70" s="330" t="str">
        <f t="shared" si="9"/>
        <v>Yes</v>
      </c>
      <c r="S70" s="314"/>
    </row>
    <row r="71" spans="1:19">
      <c r="A71" s="321"/>
      <c r="B71" s="321" t="s">
        <v>294</v>
      </c>
      <c r="C71" s="321"/>
      <c r="D71" s="328">
        <v>2000</v>
      </c>
      <c r="E71" s="321"/>
      <c r="F71" s="329">
        <v>36586</v>
      </c>
      <c r="G71" s="322"/>
      <c r="H71" s="32">
        <v>24098</v>
      </c>
      <c r="I71" s="32"/>
      <c r="J71" s="312">
        <f>+'wp-p-restate(audit)'!J71</f>
        <v>12</v>
      </c>
      <c r="K71" s="317"/>
      <c r="L71" s="318">
        <f t="shared" si="6"/>
        <v>0.25</v>
      </c>
      <c r="M71" s="318"/>
      <c r="N71" s="319">
        <f t="shared" si="7"/>
        <v>24098</v>
      </c>
      <c r="O71" s="319"/>
      <c r="P71" s="319">
        <f t="shared" si="8"/>
        <v>0</v>
      </c>
      <c r="Q71" s="319"/>
      <c r="R71" s="330" t="str">
        <f t="shared" si="9"/>
        <v>Yes</v>
      </c>
      <c r="S71" s="314"/>
    </row>
    <row r="72" spans="1:19">
      <c r="A72" s="321"/>
      <c r="B72" s="321" t="s">
        <v>294</v>
      </c>
      <c r="C72" s="321"/>
      <c r="D72" s="328">
        <v>2001</v>
      </c>
      <c r="E72" s="321"/>
      <c r="F72" s="329">
        <v>36951</v>
      </c>
      <c r="G72" s="322"/>
      <c r="H72" s="32">
        <v>32326</v>
      </c>
      <c r="I72" s="32"/>
      <c r="J72" s="312">
        <f>+'wp-p-restate(audit)'!J72</f>
        <v>11</v>
      </c>
      <c r="K72" s="317"/>
      <c r="L72" s="318">
        <f t="shared" si="6"/>
        <v>0.25</v>
      </c>
      <c r="M72" s="318"/>
      <c r="N72" s="319">
        <f t="shared" si="7"/>
        <v>32326</v>
      </c>
      <c r="O72" s="319"/>
      <c r="P72" s="319">
        <f t="shared" si="8"/>
        <v>0</v>
      </c>
      <c r="Q72" s="319"/>
      <c r="R72" s="330" t="str">
        <f t="shared" si="9"/>
        <v>Yes</v>
      </c>
      <c r="S72" s="314"/>
    </row>
    <row r="73" spans="1:19">
      <c r="A73" s="321"/>
      <c r="B73" s="321" t="s">
        <v>466</v>
      </c>
      <c r="C73" s="321"/>
      <c r="D73" s="328">
        <v>2002</v>
      </c>
      <c r="E73" s="321"/>
      <c r="F73" s="329"/>
      <c r="G73" s="322"/>
      <c r="H73" s="32">
        <v>36282.69</v>
      </c>
      <c r="I73" s="32"/>
      <c r="J73" s="312">
        <f>+'wp-p-restate(audit)'!J73</f>
        <v>10</v>
      </c>
      <c r="K73" s="317"/>
      <c r="L73" s="318">
        <f t="shared" si="6"/>
        <v>0</v>
      </c>
      <c r="M73" s="318"/>
      <c r="N73" s="319">
        <f t="shared" si="7"/>
        <v>0</v>
      </c>
      <c r="O73" s="319"/>
      <c r="P73" s="319">
        <f t="shared" si="8"/>
        <v>36282.69</v>
      </c>
      <c r="Q73" s="319"/>
      <c r="R73" s="330" t="str">
        <f t="shared" si="9"/>
        <v>No</v>
      </c>
      <c r="S73" s="314"/>
    </row>
    <row r="74" spans="1:19">
      <c r="A74" s="321"/>
      <c r="B74" s="321"/>
      <c r="C74" s="321"/>
      <c r="D74" s="328"/>
      <c r="E74" s="321"/>
      <c r="F74" s="329"/>
      <c r="G74" s="322"/>
      <c r="H74" s="296">
        <f>SUM(H9:H73)</f>
        <v>6000203.1699999999</v>
      </c>
      <c r="I74" s="32"/>
      <c r="J74" s="317"/>
      <c r="K74" s="317"/>
      <c r="L74" s="318"/>
      <c r="M74" s="318"/>
      <c r="N74" s="331">
        <f>SUM(N9:N73)</f>
        <v>3200938.5375999985</v>
      </c>
      <c r="O74" s="319"/>
      <c r="P74" s="331">
        <f>SUM(P9:P73)</f>
        <v>2799264.6323999995</v>
      </c>
      <c r="Q74" s="319"/>
      <c r="R74" s="330"/>
      <c r="S74" s="314"/>
    </row>
    <row r="75" spans="1:19">
      <c r="A75" s="321"/>
      <c r="B75" s="321"/>
      <c r="C75" s="321"/>
      <c r="D75" s="328"/>
      <c r="E75" s="321"/>
      <c r="F75" s="329"/>
      <c r="G75" s="322"/>
      <c r="H75" s="32"/>
      <c r="I75" s="32"/>
      <c r="J75" s="317"/>
      <c r="K75" s="317"/>
      <c r="L75" s="318"/>
      <c r="M75" s="318"/>
      <c r="N75" s="319"/>
      <c r="O75" s="319"/>
      <c r="P75" s="319"/>
      <c r="Q75" s="319"/>
      <c r="R75" s="330"/>
      <c r="S75" s="314"/>
    </row>
    <row r="76" spans="1:19">
      <c r="A76" s="321"/>
      <c r="B76" s="321"/>
      <c r="C76" s="321"/>
      <c r="D76" s="328"/>
      <c r="E76" s="321"/>
      <c r="F76" s="329"/>
      <c r="G76" s="322"/>
      <c r="H76" s="32"/>
      <c r="I76" s="32"/>
      <c r="J76" s="317"/>
      <c r="K76" s="317"/>
      <c r="L76" s="318"/>
      <c r="M76" s="318"/>
      <c r="N76" s="319"/>
      <c r="O76" s="319"/>
      <c r="P76" s="319"/>
      <c r="Q76" s="319"/>
      <c r="R76" s="330"/>
      <c r="S76" s="314"/>
    </row>
    <row r="77" spans="1:19">
      <c r="A77" s="325" t="s">
        <v>649</v>
      </c>
      <c r="B77" s="321"/>
      <c r="C77" s="321"/>
      <c r="D77" s="328"/>
      <c r="E77" s="321"/>
      <c r="F77" s="329"/>
      <c r="G77" s="322"/>
      <c r="H77" s="32"/>
      <c r="I77" s="32"/>
      <c r="J77" s="317"/>
      <c r="K77" s="317"/>
      <c r="L77" s="318"/>
      <c r="M77" s="318"/>
      <c r="N77" s="319"/>
      <c r="O77" s="319"/>
      <c r="P77" s="319"/>
      <c r="Q77" s="319"/>
      <c r="R77" s="330"/>
      <c r="S77" s="314"/>
    </row>
    <row r="78" spans="1:19">
      <c r="A78" s="321"/>
      <c r="B78" s="321" t="s">
        <v>293</v>
      </c>
      <c r="C78" s="321"/>
      <c r="D78" s="328">
        <v>1991</v>
      </c>
      <c r="E78" s="321"/>
      <c r="F78" s="329">
        <v>33434</v>
      </c>
      <c r="G78" s="322"/>
      <c r="H78" s="32">
        <v>11611.3</v>
      </c>
      <c r="I78" s="32"/>
      <c r="J78" s="317">
        <f>+'wp-p-restate(audit)'!J149</f>
        <v>21</v>
      </c>
      <c r="K78" s="317"/>
      <c r="L78" s="318">
        <f t="shared" ref="L78:L88" si="10">VLOOKUP(B78,$T$9:$U$13,2,FALSE)</f>
        <v>0.02</v>
      </c>
      <c r="M78" s="318"/>
      <c r="N78" s="319">
        <f t="shared" ref="N78:N88" si="11">IF(L78*J78*H78&gt;H78,H78,L78*J78*H78)</f>
        <v>4876.7459999999992</v>
      </c>
      <c r="O78" s="319"/>
      <c r="P78" s="319">
        <f t="shared" ref="P78:P88" si="12">H78-N78</f>
        <v>6734.5540000000001</v>
      </c>
      <c r="Q78" s="319"/>
      <c r="R78" s="314" t="str">
        <f t="shared" ref="R78:R88" si="13">IF(N78=H78,"Yes","No")</f>
        <v>No</v>
      </c>
      <c r="S78" s="314"/>
    </row>
    <row r="79" spans="1:19">
      <c r="A79" s="321"/>
      <c r="B79" s="321" t="s">
        <v>293</v>
      </c>
      <c r="C79" s="321"/>
      <c r="D79" s="328">
        <v>1993</v>
      </c>
      <c r="E79" s="321"/>
      <c r="F79" s="329">
        <v>34318</v>
      </c>
      <c r="G79" s="322"/>
      <c r="H79" s="32">
        <v>1938.5</v>
      </c>
      <c r="I79" s="32"/>
      <c r="J79" s="317">
        <f>+'wp-p-restate(audit)'!J150</f>
        <v>19</v>
      </c>
      <c r="K79" s="317"/>
      <c r="L79" s="318">
        <f t="shared" si="10"/>
        <v>0.02</v>
      </c>
      <c r="M79" s="318"/>
      <c r="N79" s="319">
        <f t="shared" si="11"/>
        <v>736.63</v>
      </c>
      <c r="O79" s="319"/>
      <c r="P79" s="319">
        <f t="shared" si="12"/>
        <v>1201.8699999999999</v>
      </c>
      <c r="Q79" s="319"/>
      <c r="R79" s="314" t="str">
        <f t="shared" si="13"/>
        <v>No</v>
      </c>
      <c r="S79" s="314"/>
    </row>
    <row r="80" spans="1:19">
      <c r="A80" s="321"/>
      <c r="B80" s="321" t="s">
        <v>293</v>
      </c>
      <c r="C80" s="321"/>
      <c r="D80" s="328">
        <v>1995</v>
      </c>
      <c r="E80" s="321"/>
      <c r="F80" s="329">
        <v>34710</v>
      </c>
      <c r="G80" s="322"/>
      <c r="H80" s="32">
        <v>5579.76</v>
      </c>
      <c r="I80" s="32"/>
      <c r="J80" s="317">
        <f>+'wp-p-restate(audit)'!J151</f>
        <v>17</v>
      </c>
      <c r="K80" s="317"/>
      <c r="L80" s="318">
        <f t="shared" si="10"/>
        <v>0.02</v>
      </c>
      <c r="M80" s="318"/>
      <c r="N80" s="319">
        <f t="shared" si="11"/>
        <v>1897.1184000000003</v>
      </c>
      <c r="O80" s="319"/>
      <c r="P80" s="319">
        <f t="shared" si="12"/>
        <v>3682.6415999999999</v>
      </c>
      <c r="Q80" s="319"/>
      <c r="R80" s="314" t="str">
        <f t="shared" si="13"/>
        <v>No</v>
      </c>
      <c r="S80" s="314"/>
    </row>
    <row r="81" spans="1:19">
      <c r="A81" s="321"/>
      <c r="B81" s="321" t="s">
        <v>293</v>
      </c>
      <c r="C81" s="321"/>
      <c r="D81" s="328">
        <v>1995</v>
      </c>
      <c r="E81" s="321"/>
      <c r="F81" s="329">
        <v>34773</v>
      </c>
      <c r="G81" s="322"/>
      <c r="H81" s="32">
        <v>22218.75</v>
      </c>
      <c r="I81" s="32"/>
      <c r="J81" s="317">
        <f>+'wp-p-restate(audit)'!J152</f>
        <v>17</v>
      </c>
      <c r="K81" s="317"/>
      <c r="L81" s="318">
        <f t="shared" si="10"/>
        <v>0.02</v>
      </c>
      <c r="M81" s="318"/>
      <c r="N81" s="319">
        <f t="shared" si="11"/>
        <v>7554.3750000000009</v>
      </c>
      <c r="O81" s="319"/>
      <c r="P81" s="319">
        <f t="shared" si="12"/>
        <v>14664.375</v>
      </c>
      <c r="Q81" s="319"/>
      <c r="R81" s="314" t="str">
        <f t="shared" si="13"/>
        <v>No</v>
      </c>
      <c r="S81" s="314"/>
    </row>
    <row r="82" spans="1:19">
      <c r="A82" s="321"/>
      <c r="B82" s="321" t="s">
        <v>293</v>
      </c>
      <c r="C82" s="321"/>
      <c r="D82" s="328">
        <v>1995</v>
      </c>
      <c r="E82" s="321"/>
      <c r="F82" s="329">
        <v>34773</v>
      </c>
      <c r="G82" s="322"/>
      <c r="H82" s="32">
        <v>7500</v>
      </c>
      <c r="I82" s="32"/>
      <c r="J82" s="317">
        <f>+'wp-p-restate(audit)'!J153</f>
        <v>17</v>
      </c>
      <c r="K82" s="317"/>
      <c r="L82" s="318">
        <f t="shared" si="10"/>
        <v>0.02</v>
      </c>
      <c r="M82" s="318"/>
      <c r="N82" s="319">
        <f t="shared" si="11"/>
        <v>2550</v>
      </c>
      <c r="O82" s="319"/>
      <c r="P82" s="319">
        <f t="shared" si="12"/>
        <v>4950</v>
      </c>
      <c r="Q82" s="319"/>
      <c r="R82" s="314" t="str">
        <f t="shared" si="13"/>
        <v>No</v>
      </c>
      <c r="S82" s="314"/>
    </row>
    <row r="83" spans="1:19">
      <c r="A83" s="321"/>
      <c r="B83" s="298" t="s">
        <v>293</v>
      </c>
      <c r="C83" s="321"/>
      <c r="D83" s="328">
        <v>1997</v>
      </c>
      <c r="E83" s="321"/>
      <c r="F83" s="329">
        <v>35625</v>
      </c>
      <c r="G83" s="322"/>
      <c r="H83" s="32">
        <v>8730.5</v>
      </c>
      <c r="I83" s="32"/>
      <c r="J83" s="317">
        <f>+'wp-p-restate(audit)'!J154</f>
        <v>15</v>
      </c>
      <c r="K83" s="317"/>
      <c r="L83" s="318">
        <f t="shared" si="10"/>
        <v>0.02</v>
      </c>
      <c r="M83" s="318"/>
      <c r="N83" s="319">
        <f t="shared" si="11"/>
        <v>2619.15</v>
      </c>
      <c r="O83" s="319"/>
      <c r="P83" s="319">
        <f t="shared" si="12"/>
        <v>6111.35</v>
      </c>
      <c r="Q83" s="319"/>
      <c r="R83" s="314" t="str">
        <f t="shared" si="13"/>
        <v>No</v>
      </c>
      <c r="S83" s="314"/>
    </row>
    <row r="84" spans="1:19">
      <c r="A84" s="321"/>
      <c r="B84" s="321" t="s">
        <v>293</v>
      </c>
      <c r="C84" s="321"/>
      <c r="D84" s="328">
        <v>1997</v>
      </c>
      <c r="E84" s="321"/>
      <c r="F84" s="329">
        <v>35611</v>
      </c>
      <c r="G84" s="322"/>
      <c r="H84" s="32">
        <v>23736.03</v>
      </c>
      <c r="I84" s="32"/>
      <c r="J84" s="317">
        <f>+'wp-p-restate(audit)'!J155</f>
        <v>15</v>
      </c>
      <c r="K84" s="317"/>
      <c r="L84" s="318">
        <f t="shared" si="10"/>
        <v>0.02</v>
      </c>
      <c r="M84" s="318"/>
      <c r="N84" s="319">
        <f t="shared" si="11"/>
        <v>7120.8089999999993</v>
      </c>
      <c r="O84" s="319"/>
      <c r="P84" s="319">
        <f t="shared" si="12"/>
        <v>16615.220999999998</v>
      </c>
      <c r="Q84" s="319"/>
      <c r="R84" s="314" t="str">
        <f t="shared" si="13"/>
        <v>No</v>
      </c>
      <c r="S84" s="314"/>
    </row>
    <row r="85" spans="1:19">
      <c r="A85" s="321"/>
      <c r="B85" s="321" t="s">
        <v>293</v>
      </c>
      <c r="C85" s="321"/>
      <c r="D85" s="328">
        <v>1999</v>
      </c>
      <c r="E85" s="321"/>
      <c r="F85" s="329">
        <v>36397</v>
      </c>
      <c r="G85" s="322"/>
      <c r="H85" s="32">
        <v>10148.14</v>
      </c>
      <c r="I85" s="32"/>
      <c r="J85" s="317">
        <f>+'wp-p-restate(audit)'!J156</f>
        <v>13</v>
      </c>
      <c r="K85" s="317"/>
      <c r="L85" s="318">
        <f t="shared" si="10"/>
        <v>0.02</v>
      </c>
      <c r="M85" s="318"/>
      <c r="N85" s="319">
        <f t="shared" si="11"/>
        <v>2638.5164</v>
      </c>
      <c r="O85" s="319"/>
      <c r="P85" s="319">
        <f t="shared" si="12"/>
        <v>7509.623599999999</v>
      </c>
      <c r="Q85" s="319"/>
      <c r="R85" s="314" t="str">
        <f t="shared" si="13"/>
        <v>No</v>
      </c>
      <c r="S85" s="314"/>
    </row>
    <row r="86" spans="1:19">
      <c r="A86" s="321"/>
      <c r="B86" s="321" t="s">
        <v>293</v>
      </c>
      <c r="C86" s="321"/>
      <c r="D86" s="328">
        <v>2000</v>
      </c>
      <c r="E86" s="321"/>
      <c r="F86" s="329">
        <v>36801</v>
      </c>
      <c r="G86" s="322"/>
      <c r="H86" s="32">
        <v>1866.2</v>
      </c>
      <c r="I86" s="32"/>
      <c r="J86" s="317">
        <f>+'wp-p-restate(audit)'!J157</f>
        <v>12</v>
      </c>
      <c r="K86" s="317"/>
      <c r="L86" s="318">
        <f t="shared" si="10"/>
        <v>0.02</v>
      </c>
      <c r="M86" s="318"/>
      <c r="N86" s="319">
        <f t="shared" si="11"/>
        <v>447.88799999999998</v>
      </c>
      <c r="O86" s="319"/>
      <c r="P86" s="319">
        <f t="shared" si="12"/>
        <v>1418.3120000000001</v>
      </c>
      <c r="Q86" s="319"/>
      <c r="R86" s="314" t="str">
        <f t="shared" si="13"/>
        <v>No</v>
      </c>
      <c r="S86" s="314"/>
    </row>
    <row r="87" spans="1:19">
      <c r="A87" s="321"/>
      <c r="B87" s="321" t="s">
        <v>293</v>
      </c>
      <c r="C87" s="321"/>
      <c r="D87" s="328">
        <v>2000</v>
      </c>
      <c r="E87" s="321"/>
      <c r="F87" s="329">
        <v>36633</v>
      </c>
      <c r="G87" s="322"/>
      <c r="H87" s="32">
        <v>11617.18</v>
      </c>
      <c r="I87" s="32"/>
      <c r="J87" s="317">
        <f>+'wp-p-restate(audit)'!J158</f>
        <v>12</v>
      </c>
      <c r="K87" s="317"/>
      <c r="L87" s="318">
        <f t="shared" si="10"/>
        <v>0.02</v>
      </c>
      <c r="M87" s="318"/>
      <c r="N87" s="319">
        <f t="shared" si="11"/>
        <v>2788.1232</v>
      </c>
      <c r="O87" s="319"/>
      <c r="P87" s="319">
        <f t="shared" si="12"/>
        <v>8829.0568000000003</v>
      </c>
      <c r="Q87" s="319"/>
      <c r="R87" s="314" t="str">
        <f t="shared" si="13"/>
        <v>No</v>
      </c>
      <c r="S87" s="314"/>
    </row>
    <row r="88" spans="1:19">
      <c r="A88" s="321"/>
      <c r="B88" s="321" t="s">
        <v>293</v>
      </c>
      <c r="C88" s="321"/>
      <c r="D88" s="328">
        <v>2000</v>
      </c>
      <c r="E88" s="321"/>
      <c r="F88" s="329">
        <v>36572</v>
      </c>
      <c r="G88" s="322"/>
      <c r="H88" s="32">
        <v>8134.17</v>
      </c>
      <c r="I88" s="32"/>
      <c r="J88" s="317">
        <f>+'wp-p-restate(audit)'!J159</f>
        <v>12</v>
      </c>
      <c r="K88" s="317"/>
      <c r="L88" s="318">
        <f t="shared" si="10"/>
        <v>0.02</v>
      </c>
      <c r="M88" s="318"/>
      <c r="N88" s="319">
        <f t="shared" si="11"/>
        <v>1952.2007999999998</v>
      </c>
      <c r="O88" s="319"/>
      <c r="P88" s="319">
        <f t="shared" si="12"/>
        <v>6181.9692000000005</v>
      </c>
      <c r="Q88" s="319"/>
      <c r="R88" s="314" t="str">
        <f t="shared" si="13"/>
        <v>No</v>
      </c>
      <c r="S88" s="314"/>
    </row>
    <row r="89" spans="1:19">
      <c r="A89" s="321"/>
      <c r="B89" s="321"/>
      <c r="C89" s="321"/>
      <c r="D89" s="328"/>
      <c r="E89" s="321"/>
      <c r="F89" s="329"/>
      <c r="G89" s="322"/>
      <c r="H89" s="296">
        <f>SUM(H78:H88)</f>
        <v>113080.52999999998</v>
      </c>
      <c r="J89" s="317"/>
      <c r="K89" s="317"/>
      <c r="L89" s="318"/>
      <c r="M89" s="318"/>
      <c r="N89" s="331">
        <f>SUM(N78:N88)</f>
        <v>35181.556799999998</v>
      </c>
      <c r="O89" s="319"/>
      <c r="P89" s="331">
        <f>SUM(P78:P88)</f>
        <v>77898.973200000008</v>
      </c>
      <c r="Q89" s="319"/>
      <c r="R89" s="314"/>
      <c r="S89" s="314"/>
    </row>
    <row r="90" spans="1:19">
      <c r="A90" s="321"/>
      <c r="B90" s="321"/>
      <c r="C90" s="321"/>
      <c r="D90" s="328"/>
      <c r="E90" s="321"/>
      <c r="F90" s="329"/>
      <c r="G90" s="322"/>
      <c r="H90" s="32"/>
      <c r="I90" s="32"/>
      <c r="J90" s="317"/>
      <c r="K90" s="317"/>
      <c r="L90" s="318"/>
      <c r="M90" s="318"/>
      <c r="N90" s="319"/>
      <c r="O90" s="319"/>
      <c r="P90" s="319"/>
      <c r="Q90" s="319"/>
      <c r="R90" s="314"/>
      <c r="S90" s="314"/>
    </row>
    <row r="91" spans="1:19">
      <c r="A91" s="321"/>
      <c r="B91" s="321"/>
      <c r="C91" s="321"/>
      <c r="D91" s="328"/>
      <c r="E91" s="321"/>
      <c r="F91" s="329"/>
      <c r="G91" s="322"/>
      <c r="H91" s="32"/>
      <c r="I91" s="32"/>
      <c r="J91" s="317"/>
      <c r="K91" s="317"/>
      <c r="L91" s="318"/>
      <c r="M91" s="318"/>
      <c r="N91" s="319"/>
      <c r="O91" s="319"/>
      <c r="P91" s="319"/>
      <c r="Q91" s="319"/>
      <c r="R91" s="314"/>
      <c r="S91" s="314"/>
    </row>
    <row r="92" spans="1:19">
      <c r="A92" s="325" t="s">
        <v>296</v>
      </c>
      <c r="B92" s="321"/>
      <c r="C92" s="321"/>
      <c r="D92" s="328"/>
      <c r="E92" s="321"/>
      <c r="F92" s="329"/>
      <c r="G92" s="322"/>
      <c r="H92" s="32"/>
      <c r="I92" s="32"/>
      <c r="J92" s="317"/>
      <c r="K92" s="317"/>
      <c r="L92" s="318"/>
      <c r="M92" s="318"/>
      <c r="N92" s="319"/>
      <c r="O92" s="319"/>
      <c r="P92" s="319"/>
      <c r="Q92" s="319"/>
      <c r="R92" s="330"/>
      <c r="S92" s="314"/>
    </row>
    <row r="93" spans="1:19">
      <c r="A93" s="321"/>
      <c r="B93" s="321" t="s">
        <v>293</v>
      </c>
      <c r="C93" s="321"/>
      <c r="D93" s="328">
        <v>1988</v>
      </c>
      <c r="E93" s="321"/>
      <c r="F93" s="329">
        <v>32336</v>
      </c>
      <c r="G93" s="322"/>
      <c r="H93" s="32">
        <v>9255</v>
      </c>
      <c r="I93" s="32"/>
      <c r="J93" s="317">
        <f>+'wp-p-restate(audit)'!J166</f>
        <v>24</v>
      </c>
      <c r="K93" s="317"/>
      <c r="L93" s="318">
        <f t="shared" ref="L93:L101" si="14">VLOOKUP(B93,$T$9:$U$13,2,FALSE)</f>
        <v>0.02</v>
      </c>
      <c r="M93" s="318"/>
      <c r="N93" s="319">
        <f t="shared" ref="N93:N101" si="15">IF(L93*J93*H93&gt;H93,H93,L93*J93*H93)</f>
        <v>4442.3999999999996</v>
      </c>
      <c r="O93" s="319"/>
      <c r="P93" s="319">
        <f t="shared" ref="P93:P101" si="16">H93-N93</f>
        <v>4812.6000000000004</v>
      </c>
      <c r="Q93" s="319"/>
      <c r="R93" s="314" t="str">
        <f t="shared" ref="R93:R101" si="17">IF(N93=H93,"Yes","No")</f>
        <v>No</v>
      </c>
      <c r="S93" s="314"/>
    </row>
    <row r="94" spans="1:19">
      <c r="A94" s="321"/>
      <c r="B94" s="321" t="s">
        <v>293</v>
      </c>
      <c r="C94" s="321"/>
      <c r="D94" s="328">
        <v>1990</v>
      </c>
      <c r="E94" s="321"/>
      <c r="F94" s="329"/>
      <c r="G94" s="322"/>
      <c r="H94" s="32">
        <v>19145.650000000001</v>
      </c>
      <c r="I94" s="32"/>
      <c r="J94" s="317">
        <f>+'wp-p-restate(audit)'!J167</f>
        <v>22</v>
      </c>
      <c r="K94" s="317"/>
      <c r="L94" s="318">
        <f t="shared" si="14"/>
        <v>0.02</v>
      </c>
      <c r="M94" s="318"/>
      <c r="N94" s="319">
        <f t="shared" si="15"/>
        <v>8424.0860000000011</v>
      </c>
      <c r="O94" s="319"/>
      <c r="P94" s="319">
        <f t="shared" si="16"/>
        <v>10721.564</v>
      </c>
      <c r="Q94" s="319"/>
      <c r="R94" s="314" t="str">
        <f t="shared" si="17"/>
        <v>No</v>
      </c>
      <c r="S94" s="314"/>
    </row>
    <row r="95" spans="1:19">
      <c r="A95" s="321"/>
      <c r="B95" s="321" t="s">
        <v>293</v>
      </c>
      <c r="C95" s="321"/>
      <c r="D95" s="328">
        <v>1990</v>
      </c>
      <c r="E95" s="321"/>
      <c r="F95" s="329"/>
      <c r="G95" s="322"/>
      <c r="H95" s="32">
        <v>2885.35</v>
      </c>
      <c r="I95" s="32"/>
      <c r="J95" s="317">
        <f>+'wp-p-restate(audit)'!J168</f>
        <v>22</v>
      </c>
      <c r="K95" s="317"/>
      <c r="L95" s="318">
        <f t="shared" si="14"/>
        <v>0.02</v>
      </c>
      <c r="M95" s="318"/>
      <c r="N95" s="319">
        <f t="shared" si="15"/>
        <v>1269.5539999999999</v>
      </c>
      <c r="O95" s="319"/>
      <c r="P95" s="319">
        <f t="shared" si="16"/>
        <v>1615.796</v>
      </c>
      <c r="Q95" s="319"/>
      <c r="R95" s="314" t="str">
        <f t="shared" si="17"/>
        <v>No</v>
      </c>
      <c r="S95" s="314"/>
    </row>
    <row r="96" spans="1:19">
      <c r="A96" s="321"/>
      <c r="B96" s="321" t="s">
        <v>293</v>
      </c>
      <c r="C96" s="321"/>
      <c r="D96" s="328">
        <v>1992</v>
      </c>
      <c r="E96" s="321"/>
      <c r="F96" s="329">
        <v>33706</v>
      </c>
      <c r="G96" s="322"/>
      <c r="H96" s="32">
        <v>38770.04</v>
      </c>
      <c r="I96" s="32"/>
      <c r="J96" s="317">
        <f>+'wp-p-restate(audit)'!J169</f>
        <v>20</v>
      </c>
      <c r="K96" s="317"/>
      <c r="L96" s="318">
        <f t="shared" si="14"/>
        <v>0.02</v>
      </c>
      <c r="M96" s="318"/>
      <c r="N96" s="319">
        <f t="shared" si="15"/>
        <v>15508.016000000001</v>
      </c>
      <c r="O96" s="319"/>
      <c r="P96" s="319">
        <f t="shared" si="16"/>
        <v>23262.023999999998</v>
      </c>
      <c r="Q96" s="319"/>
      <c r="R96" s="314" t="str">
        <f t="shared" si="17"/>
        <v>No</v>
      </c>
      <c r="S96" s="314"/>
    </row>
    <row r="97" spans="1:19">
      <c r="A97" s="321"/>
      <c r="B97" s="321" t="s">
        <v>293</v>
      </c>
      <c r="C97" s="321"/>
      <c r="D97" s="328">
        <v>1994</v>
      </c>
      <c r="E97" s="321"/>
      <c r="F97" s="329">
        <v>34511</v>
      </c>
      <c r="G97" s="322"/>
      <c r="H97" s="32">
        <v>3600</v>
      </c>
      <c r="I97" s="32"/>
      <c r="J97" s="317">
        <f>+'wp-p-restate(audit)'!J170</f>
        <v>18</v>
      </c>
      <c r="K97" s="317"/>
      <c r="L97" s="318">
        <f t="shared" si="14"/>
        <v>0.02</v>
      </c>
      <c r="M97" s="318"/>
      <c r="N97" s="319">
        <f t="shared" si="15"/>
        <v>1296</v>
      </c>
      <c r="O97" s="319"/>
      <c r="P97" s="319">
        <f t="shared" si="16"/>
        <v>2304</v>
      </c>
      <c r="Q97" s="319"/>
      <c r="R97" s="314" t="str">
        <f t="shared" si="17"/>
        <v>No</v>
      </c>
      <c r="S97" s="314"/>
    </row>
    <row r="98" spans="1:19">
      <c r="A98" s="321"/>
      <c r="B98" s="321" t="s">
        <v>293</v>
      </c>
      <c r="C98" s="321"/>
      <c r="D98" s="328">
        <v>1997</v>
      </c>
      <c r="E98" s="321"/>
      <c r="F98" s="329">
        <v>35488</v>
      </c>
      <c r="G98" s="322"/>
      <c r="H98" s="32">
        <v>592.4</v>
      </c>
      <c r="I98" s="32"/>
      <c r="J98" s="317">
        <f>+'wp-p-restate(audit)'!J171</f>
        <v>15</v>
      </c>
      <c r="K98" s="317"/>
      <c r="L98" s="318">
        <f t="shared" si="14"/>
        <v>0.02</v>
      </c>
      <c r="M98" s="318"/>
      <c r="N98" s="319">
        <f t="shared" si="15"/>
        <v>177.72</v>
      </c>
      <c r="O98" s="319"/>
      <c r="P98" s="319">
        <f t="shared" si="16"/>
        <v>414.67999999999995</v>
      </c>
      <c r="Q98" s="319"/>
      <c r="R98" s="314" t="str">
        <f t="shared" si="17"/>
        <v>No</v>
      </c>
      <c r="S98" s="314"/>
    </row>
    <row r="99" spans="1:19">
      <c r="A99" s="321"/>
      <c r="B99" s="321" t="s">
        <v>293</v>
      </c>
      <c r="C99" s="321"/>
      <c r="D99" s="328">
        <v>1998</v>
      </c>
      <c r="E99" s="321"/>
      <c r="F99" s="329">
        <v>35905</v>
      </c>
      <c r="G99" s="322"/>
      <c r="H99" s="32">
        <v>6393.4</v>
      </c>
      <c r="I99" s="32"/>
      <c r="J99" s="317">
        <f>+'wp-p-restate(audit)'!J172</f>
        <v>14</v>
      </c>
      <c r="K99" s="317"/>
      <c r="L99" s="318">
        <f t="shared" si="14"/>
        <v>0.02</v>
      </c>
      <c r="M99" s="318"/>
      <c r="N99" s="319">
        <f t="shared" si="15"/>
        <v>1790.152</v>
      </c>
      <c r="O99" s="319"/>
      <c r="P99" s="319">
        <f t="shared" si="16"/>
        <v>4603.2479999999996</v>
      </c>
      <c r="Q99" s="319"/>
      <c r="R99" s="314" t="str">
        <f t="shared" si="17"/>
        <v>No</v>
      </c>
      <c r="S99" s="314"/>
    </row>
    <row r="100" spans="1:19">
      <c r="A100" s="321"/>
      <c r="B100" s="321" t="s">
        <v>293</v>
      </c>
      <c r="C100" s="321"/>
      <c r="D100" s="328">
        <v>1998</v>
      </c>
      <c r="E100" s="321"/>
      <c r="F100" s="329">
        <v>35912</v>
      </c>
      <c r="G100" s="322"/>
      <c r="H100" s="32">
        <v>3543.75</v>
      </c>
      <c r="I100" s="32"/>
      <c r="J100" s="317">
        <f>+'wp-p-restate(audit)'!J173</f>
        <v>14</v>
      </c>
      <c r="K100" s="317"/>
      <c r="L100" s="318">
        <f t="shared" si="14"/>
        <v>0.02</v>
      </c>
      <c r="M100" s="318"/>
      <c r="N100" s="319">
        <f t="shared" si="15"/>
        <v>992.25000000000011</v>
      </c>
      <c r="O100" s="319"/>
      <c r="P100" s="319">
        <f t="shared" si="16"/>
        <v>2551.5</v>
      </c>
      <c r="Q100" s="319"/>
      <c r="R100" s="314" t="str">
        <f t="shared" si="17"/>
        <v>No</v>
      </c>
      <c r="S100" s="314"/>
    </row>
    <row r="101" spans="1:19">
      <c r="A101" s="321"/>
      <c r="B101" s="321" t="s">
        <v>293</v>
      </c>
      <c r="C101" s="321"/>
      <c r="D101" s="328">
        <v>1999</v>
      </c>
      <c r="E101" s="321"/>
      <c r="F101" s="329">
        <v>36403</v>
      </c>
      <c r="G101" s="322"/>
      <c r="H101" s="32">
        <v>5087.76</v>
      </c>
      <c r="I101" s="32"/>
      <c r="J101" s="317">
        <f>+'wp-p-restate(audit)'!J174</f>
        <v>13</v>
      </c>
      <c r="K101" s="317"/>
      <c r="L101" s="318">
        <f t="shared" si="14"/>
        <v>0.02</v>
      </c>
      <c r="M101" s="318"/>
      <c r="N101" s="319">
        <f t="shared" si="15"/>
        <v>1322.8176000000001</v>
      </c>
      <c r="O101" s="319"/>
      <c r="P101" s="319">
        <f t="shared" si="16"/>
        <v>3764.9423999999999</v>
      </c>
      <c r="Q101" s="319"/>
      <c r="R101" s="314" t="str">
        <f t="shared" si="17"/>
        <v>No</v>
      </c>
      <c r="S101" s="314"/>
    </row>
    <row r="102" spans="1:19">
      <c r="A102" s="321"/>
      <c r="B102" s="321"/>
      <c r="C102" s="321"/>
      <c r="D102" s="328"/>
      <c r="E102" s="321"/>
      <c r="F102" s="329"/>
      <c r="G102" s="322"/>
      <c r="H102" s="296">
        <f>SUM(H93:H101)</f>
        <v>89273.349999999991</v>
      </c>
      <c r="I102" s="32"/>
      <c r="J102" s="317"/>
      <c r="K102" s="317"/>
      <c r="L102" s="318"/>
      <c r="M102" s="318"/>
      <c r="N102" s="331">
        <f>SUM(N93:N101)</f>
        <v>35222.995600000009</v>
      </c>
      <c r="O102" s="319"/>
      <c r="P102" s="331">
        <f>SUM(P93:P101)</f>
        <v>54050.354399999997</v>
      </c>
      <c r="Q102" s="319"/>
      <c r="R102" s="330"/>
      <c r="S102" s="314"/>
    </row>
    <row r="103" spans="1:19">
      <c r="A103" s="321"/>
      <c r="B103" s="321"/>
      <c r="C103" s="321"/>
      <c r="D103" s="328"/>
      <c r="E103" s="321"/>
      <c r="F103" s="329"/>
      <c r="G103" s="322"/>
      <c r="H103" s="32"/>
      <c r="I103" s="32"/>
      <c r="J103" s="317"/>
      <c r="K103" s="317"/>
      <c r="L103" s="318"/>
      <c r="M103" s="318"/>
      <c r="N103" s="319"/>
      <c r="O103" s="319"/>
      <c r="P103" s="319"/>
      <c r="Q103" s="319"/>
      <c r="R103" s="330"/>
      <c r="S103" s="314"/>
    </row>
    <row r="104" spans="1:19">
      <c r="A104" s="321"/>
      <c r="B104" s="321"/>
      <c r="C104" s="321"/>
      <c r="D104" s="328"/>
      <c r="E104" s="321"/>
      <c r="F104" s="329"/>
      <c r="G104" s="322"/>
      <c r="H104" s="32"/>
      <c r="I104" s="32"/>
      <c r="J104" s="317"/>
      <c r="K104" s="317"/>
      <c r="L104" s="318"/>
      <c r="M104" s="318"/>
      <c r="N104" s="319"/>
      <c r="O104" s="319"/>
      <c r="P104" s="319"/>
      <c r="Q104" s="319"/>
      <c r="R104" s="330"/>
      <c r="S104" s="314"/>
    </row>
    <row r="105" spans="1:19">
      <c r="A105" s="321"/>
      <c r="B105" s="321"/>
      <c r="C105" s="321"/>
      <c r="D105" s="328"/>
      <c r="E105" s="321"/>
      <c r="F105" s="329"/>
      <c r="G105" s="322"/>
      <c r="H105" s="32"/>
      <c r="I105" s="32"/>
      <c r="J105" s="317"/>
      <c r="K105" s="317"/>
      <c r="L105" s="318"/>
      <c r="M105" s="318"/>
      <c r="N105" s="319"/>
      <c r="O105" s="319"/>
      <c r="P105" s="319"/>
      <c r="Q105" s="319"/>
      <c r="R105" s="330"/>
      <c r="S105" s="314"/>
    </row>
    <row r="106" spans="1:19">
      <c r="A106" s="321"/>
      <c r="B106" s="321"/>
      <c r="C106" s="321"/>
      <c r="D106" s="328"/>
      <c r="E106" s="321"/>
      <c r="F106" s="329"/>
      <c r="G106" s="322"/>
      <c r="H106" s="32"/>
      <c r="I106" s="32"/>
      <c r="J106" s="317"/>
      <c r="K106" s="317"/>
      <c r="L106" s="318"/>
      <c r="M106" s="318"/>
      <c r="N106" s="319"/>
      <c r="O106" s="319"/>
      <c r="P106" s="319"/>
      <c r="Q106" s="319"/>
      <c r="R106" s="330"/>
      <c r="S106" s="314"/>
    </row>
    <row r="107" spans="1:19">
      <c r="A107" s="321"/>
      <c r="B107" s="321"/>
      <c r="C107" s="321"/>
      <c r="D107" s="328"/>
      <c r="E107" s="321"/>
      <c r="F107" s="329"/>
      <c r="G107" s="322"/>
      <c r="H107" s="32"/>
      <c r="I107" s="32"/>
      <c r="J107" s="317"/>
      <c r="K107" s="317"/>
      <c r="L107" s="318"/>
      <c r="M107" s="318"/>
      <c r="N107" s="319"/>
      <c r="O107" s="319"/>
      <c r="P107" s="319"/>
      <c r="Q107" s="319"/>
      <c r="R107" s="330"/>
      <c r="S107" s="314"/>
    </row>
    <row r="108" spans="1:19">
      <c r="A108" s="321"/>
      <c r="B108" s="321"/>
      <c r="C108" s="321"/>
      <c r="D108" s="328"/>
      <c r="E108" s="321"/>
      <c r="F108" s="329"/>
      <c r="G108" s="322"/>
      <c r="H108" s="32"/>
      <c r="I108" s="32"/>
      <c r="J108" s="317"/>
      <c r="K108" s="317"/>
      <c r="L108" s="318"/>
      <c r="M108" s="318"/>
      <c r="N108" s="319"/>
      <c r="O108" s="319"/>
      <c r="P108" s="319"/>
      <c r="Q108" s="319"/>
      <c r="R108" s="330"/>
      <c r="S108" s="314"/>
    </row>
    <row r="109" spans="1:19">
      <c r="A109" s="321"/>
      <c r="B109" s="321"/>
      <c r="C109" s="321"/>
      <c r="D109" s="328"/>
      <c r="E109" s="321"/>
      <c r="F109" s="329"/>
      <c r="G109" s="322"/>
      <c r="H109" s="32"/>
      <c r="I109" s="32"/>
      <c r="J109" s="317"/>
      <c r="K109" s="317"/>
      <c r="L109" s="318"/>
      <c r="M109" s="318"/>
      <c r="N109" s="319"/>
      <c r="O109" s="319"/>
      <c r="P109" s="319"/>
      <c r="Q109" s="319"/>
      <c r="R109" s="330"/>
      <c r="S109" s="314"/>
    </row>
    <row r="110" spans="1:19">
      <c r="A110" s="321"/>
      <c r="B110" s="321"/>
      <c r="C110" s="321"/>
      <c r="D110" s="328"/>
      <c r="E110" s="321"/>
      <c r="F110" s="329"/>
      <c r="G110" s="322"/>
      <c r="H110" s="32"/>
      <c r="I110" s="32"/>
      <c r="J110" s="317"/>
      <c r="K110" s="317"/>
      <c r="L110" s="318"/>
      <c r="M110" s="318"/>
      <c r="N110" s="319"/>
      <c r="O110" s="319"/>
      <c r="P110" s="319"/>
      <c r="Q110" s="319"/>
      <c r="R110" s="330"/>
      <c r="S110" s="314"/>
    </row>
    <row r="111" spans="1:19">
      <c r="A111" s="321"/>
      <c r="B111" s="321"/>
      <c r="C111" s="321"/>
      <c r="D111" s="328"/>
      <c r="E111" s="321"/>
      <c r="F111" s="329"/>
      <c r="G111" s="322"/>
      <c r="H111" s="32"/>
      <c r="I111" s="32"/>
      <c r="J111" s="317"/>
      <c r="K111" s="317"/>
      <c r="L111" s="318"/>
      <c r="M111" s="318"/>
      <c r="N111" s="319"/>
      <c r="O111" s="319"/>
      <c r="P111" s="319"/>
      <c r="Q111" s="319"/>
      <c r="R111" s="330"/>
      <c r="S111" s="314"/>
    </row>
    <row r="112" spans="1:19">
      <c r="A112" s="321"/>
      <c r="B112" s="321"/>
      <c r="C112" s="321"/>
      <c r="D112" s="328"/>
      <c r="E112" s="321"/>
      <c r="F112" s="329"/>
      <c r="G112" s="322"/>
      <c r="H112" s="32"/>
      <c r="I112" s="32"/>
      <c r="J112" s="317"/>
      <c r="K112" s="317"/>
      <c r="L112" s="318"/>
      <c r="M112" s="318"/>
      <c r="N112" s="319"/>
      <c r="O112" s="319"/>
      <c r="P112" s="319"/>
      <c r="Q112" s="319"/>
      <c r="R112" s="330"/>
      <c r="S112" s="314"/>
    </row>
    <row r="113" spans="1:19">
      <c r="A113" s="321"/>
      <c r="B113" s="321"/>
      <c r="C113" s="321"/>
      <c r="D113" s="328"/>
      <c r="E113" s="321"/>
      <c r="F113" s="329"/>
      <c r="G113" s="322"/>
      <c r="H113" s="32"/>
      <c r="I113" s="32"/>
      <c r="J113" s="317"/>
      <c r="K113" s="317"/>
      <c r="L113" s="318"/>
      <c r="M113" s="318"/>
      <c r="N113" s="319"/>
      <c r="O113" s="319"/>
      <c r="P113" s="319"/>
      <c r="Q113" s="319"/>
      <c r="R113" s="330"/>
      <c r="S113" s="314"/>
    </row>
    <row r="114" spans="1:19">
      <c r="A114" s="321"/>
      <c r="B114" s="321"/>
      <c r="C114" s="321"/>
      <c r="D114" s="328"/>
      <c r="E114" s="321"/>
      <c r="F114" s="329"/>
      <c r="G114" s="322"/>
      <c r="H114" s="32"/>
      <c r="I114" s="32"/>
      <c r="J114" s="317"/>
      <c r="K114" s="317"/>
      <c r="L114" s="318"/>
      <c r="M114" s="318"/>
      <c r="N114" s="319"/>
      <c r="O114" s="319"/>
      <c r="P114" s="319"/>
      <c r="Q114" s="319"/>
      <c r="R114" s="330"/>
      <c r="S114" s="314"/>
    </row>
    <row r="115" spans="1:19">
      <c r="A115" s="321"/>
      <c r="B115" s="321"/>
      <c r="C115" s="321"/>
      <c r="D115" s="328"/>
      <c r="E115" s="321"/>
      <c r="F115" s="329"/>
      <c r="G115" s="322"/>
      <c r="H115" s="32"/>
      <c r="I115" s="32"/>
      <c r="J115" s="317"/>
      <c r="K115" s="317"/>
      <c r="L115" s="318"/>
      <c r="M115" s="318"/>
      <c r="N115" s="319"/>
      <c r="O115" s="319"/>
      <c r="P115" s="319"/>
      <c r="Q115" s="319"/>
      <c r="R115" s="330"/>
      <c r="S115" s="314"/>
    </row>
    <row r="116" spans="1:19">
      <c r="A116" s="321"/>
      <c r="B116" s="321"/>
      <c r="C116" s="321"/>
      <c r="D116" s="328"/>
      <c r="E116" s="321"/>
      <c r="F116" s="329"/>
      <c r="G116" s="322"/>
      <c r="H116" s="32"/>
      <c r="I116" s="32"/>
      <c r="J116" s="317"/>
      <c r="K116" s="317"/>
      <c r="L116" s="318"/>
      <c r="M116" s="318"/>
      <c r="N116" s="319"/>
      <c r="O116" s="319"/>
      <c r="P116" s="319"/>
      <c r="Q116" s="319"/>
      <c r="R116" s="330"/>
      <c r="S116" s="314"/>
    </row>
    <row r="117" spans="1:19">
      <c r="A117" s="321"/>
      <c r="B117" s="321"/>
      <c r="C117" s="321"/>
      <c r="D117" s="328"/>
      <c r="E117" s="321"/>
      <c r="F117" s="329"/>
      <c r="G117" s="322"/>
      <c r="H117" s="32"/>
      <c r="I117" s="32"/>
      <c r="J117" s="317"/>
      <c r="K117" s="317"/>
      <c r="L117" s="318"/>
      <c r="M117" s="318"/>
      <c r="N117" s="319"/>
      <c r="O117" s="319"/>
      <c r="P117" s="319"/>
      <c r="Q117" s="319"/>
      <c r="R117" s="330"/>
      <c r="S117" s="314"/>
    </row>
    <row r="118" spans="1:19">
      <c r="A118" s="321"/>
      <c r="B118" s="321"/>
      <c r="C118" s="321"/>
      <c r="D118" s="328"/>
      <c r="E118" s="321"/>
      <c r="F118" s="329"/>
      <c r="G118" s="322"/>
      <c r="H118" s="32"/>
      <c r="I118" s="32"/>
      <c r="J118" s="317"/>
      <c r="K118" s="317"/>
      <c r="L118" s="318"/>
      <c r="M118" s="318"/>
      <c r="N118" s="319"/>
      <c r="O118" s="319"/>
      <c r="P118" s="319"/>
      <c r="Q118" s="319"/>
      <c r="R118" s="330"/>
      <c r="S118" s="314"/>
    </row>
    <row r="119" spans="1:19">
      <c r="A119" s="321"/>
      <c r="B119" s="321"/>
      <c r="C119" s="321"/>
      <c r="D119" s="328"/>
      <c r="E119" s="321"/>
      <c r="F119" s="329"/>
      <c r="G119" s="322"/>
      <c r="H119" s="32"/>
      <c r="I119" s="32"/>
      <c r="J119" s="317"/>
      <c r="K119" s="317"/>
      <c r="L119" s="318"/>
      <c r="M119" s="318"/>
      <c r="N119" s="319"/>
      <c r="O119" s="319"/>
      <c r="P119" s="319"/>
      <c r="Q119" s="319"/>
      <c r="R119" s="330"/>
      <c r="S119" s="314"/>
    </row>
    <row r="120" spans="1:19">
      <c r="A120" s="321"/>
      <c r="B120" s="321"/>
      <c r="C120" s="321"/>
      <c r="D120" s="328"/>
      <c r="E120" s="321"/>
      <c r="F120" s="329"/>
      <c r="G120" s="322"/>
      <c r="H120" s="32"/>
      <c r="I120" s="32"/>
      <c r="J120" s="317"/>
      <c r="K120" s="317"/>
      <c r="L120" s="318"/>
      <c r="M120" s="318"/>
      <c r="N120" s="319"/>
      <c r="O120" s="319"/>
      <c r="P120" s="319"/>
      <c r="Q120" s="319"/>
      <c r="R120" s="330"/>
      <c r="S120" s="314"/>
    </row>
    <row r="121" spans="1:19">
      <c r="A121" s="321"/>
      <c r="B121" s="321"/>
      <c r="C121" s="321"/>
      <c r="D121" s="328"/>
      <c r="E121" s="321"/>
      <c r="F121" s="329"/>
      <c r="G121" s="322"/>
      <c r="H121" s="32"/>
      <c r="I121" s="32"/>
      <c r="J121" s="317"/>
      <c r="K121" s="317"/>
      <c r="L121" s="318"/>
      <c r="M121" s="318"/>
      <c r="N121" s="319"/>
      <c r="O121" s="319"/>
      <c r="P121" s="319"/>
      <c r="Q121" s="319"/>
      <c r="R121" s="330"/>
      <c r="S121" s="314"/>
    </row>
    <row r="122" spans="1:19">
      <c r="A122" s="321"/>
      <c r="B122" s="321"/>
      <c r="C122" s="321"/>
      <c r="D122" s="328"/>
      <c r="E122" s="321"/>
      <c r="F122" s="329"/>
      <c r="G122" s="322"/>
      <c r="H122" s="32"/>
      <c r="I122" s="32"/>
      <c r="J122" s="317"/>
      <c r="K122" s="317"/>
      <c r="L122" s="318"/>
      <c r="M122" s="318"/>
      <c r="N122" s="319"/>
      <c r="O122" s="319"/>
      <c r="P122" s="319"/>
      <c r="Q122" s="319"/>
      <c r="R122" s="330"/>
      <c r="S122" s="314"/>
    </row>
    <row r="123" spans="1:19">
      <c r="A123" s="321"/>
      <c r="B123" s="321"/>
      <c r="C123" s="321"/>
      <c r="D123" s="328"/>
      <c r="E123" s="321"/>
      <c r="F123" s="329"/>
      <c r="G123" s="322"/>
      <c r="H123" s="32"/>
      <c r="I123" s="32"/>
      <c r="J123" s="317"/>
      <c r="K123" s="317"/>
      <c r="L123" s="318"/>
      <c r="M123" s="318"/>
      <c r="N123" s="319"/>
      <c r="O123" s="319"/>
      <c r="P123" s="319"/>
      <c r="Q123" s="319"/>
      <c r="R123" s="330"/>
      <c r="S123" s="314"/>
    </row>
    <row r="124" spans="1:19">
      <c r="A124" s="321"/>
      <c r="B124" s="321"/>
      <c r="C124" s="321"/>
      <c r="D124" s="328"/>
      <c r="E124" s="321"/>
      <c r="F124" s="329"/>
      <c r="G124" s="322"/>
      <c r="H124" s="32"/>
      <c r="I124" s="32"/>
      <c r="J124" s="317"/>
      <c r="K124" s="317"/>
      <c r="L124" s="318"/>
      <c r="M124" s="318"/>
      <c r="N124" s="319"/>
      <c r="O124" s="319"/>
      <c r="P124" s="319"/>
      <c r="Q124" s="319"/>
      <c r="R124" s="330"/>
      <c r="S124" s="314"/>
    </row>
    <row r="125" spans="1:19">
      <c r="A125" s="321"/>
      <c r="B125" s="321"/>
      <c r="C125" s="321"/>
      <c r="D125" s="328"/>
      <c r="E125" s="321"/>
      <c r="F125" s="329"/>
      <c r="G125" s="322"/>
      <c r="H125" s="32"/>
      <c r="I125" s="32"/>
      <c r="J125" s="317"/>
      <c r="K125" s="317"/>
      <c r="L125" s="318"/>
      <c r="M125" s="318"/>
      <c r="N125" s="319"/>
      <c r="O125" s="319"/>
      <c r="P125" s="319"/>
      <c r="Q125" s="319"/>
      <c r="R125" s="330"/>
      <c r="S125" s="314"/>
    </row>
    <row r="126" spans="1:19">
      <c r="A126" s="321"/>
      <c r="B126" s="321"/>
      <c r="C126" s="321"/>
      <c r="D126" s="328"/>
      <c r="E126" s="321"/>
      <c r="F126" s="329"/>
      <c r="G126" s="322"/>
      <c r="H126" s="32"/>
      <c r="I126" s="32"/>
      <c r="J126" s="317"/>
      <c r="K126" s="317"/>
      <c r="L126" s="318"/>
      <c r="M126" s="318"/>
      <c r="N126" s="319"/>
      <c r="O126" s="319"/>
      <c r="P126" s="319"/>
      <c r="Q126" s="319"/>
      <c r="R126" s="330"/>
      <c r="S126" s="314"/>
    </row>
    <row r="127" spans="1:19">
      <c r="A127" s="321"/>
      <c r="B127" s="321"/>
      <c r="C127" s="321"/>
      <c r="D127" s="328"/>
      <c r="E127" s="321"/>
      <c r="F127" s="329"/>
      <c r="G127" s="322"/>
      <c r="H127" s="32"/>
      <c r="I127" s="32"/>
      <c r="J127" s="317"/>
      <c r="K127" s="317"/>
      <c r="L127" s="318"/>
      <c r="M127" s="318"/>
      <c r="N127" s="319"/>
      <c r="O127" s="319"/>
      <c r="P127" s="319"/>
      <c r="Q127" s="319"/>
      <c r="R127" s="330"/>
      <c r="S127" s="314"/>
    </row>
    <row r="128" spans="1:19">
      <c r="A128" s="321"/>
      <c r="B128" s="321"/>
      <c r="C128" s="321"/>
      <c r="D128" s="328"/>
      <c r="E128" s="321"/>
      <c r="F128" s="329"/>
      <c r="G128" s="322"/>
      <c r="H128" s="32"/>
      <c r="I128" s="32"/>
      <c r="J128" s="317"/>
      <c r="K128" s="317"/>
      <c r="L128" s="318"/>
      <c r="M128" s="318"/>
      <c r="N128" s="319"/>
      <c r="O128" s="319"/>
      <c r="P128" s="319"/>
      <c r="Q128" s="319"/>
      <c r="R128" s="330"/>
      <c r="S128" s="314"/>
    </row>
    <row r="129" spans="1:19">
      <c r="A129" s="321"/>
      <c r="B129" s="321"/>
      <c r="C129" s="321"/>
      <c r="D129" s="328"/>
      <c r="E129" s="321"/>
      <c r="F129" s="329"/>
      <c r="G129" s="322"/>
      <c r="H129" s="32"/>
      <c r="I129" s="32"/>
      <c r="J129" s="317"/>
      <c r="K129" s="317"/>
      <c r="L129" s="318"/>
      <c r="M129" s="318"/>
      <c r="N129" s="319"/>
      <c r="O129" s="319"/>
      <c r="P129" s="319"/>
      <c r="Q129" s="319"/>
      <c r="R129" s="330"/>
      <c r="S129" s="314"/>
    </row>
    <row r="130" spans="1:19">
      <c r="A130" s="321"/>
      <c r="B130" s="321"/>
      <c r="C130" s="321"/>
      <c r="D130" s="328"/>
      <c r="E130" s="321"/>
      <c r="F130" s="329"/>
      <c r="G130" s="322"/>
      <c r="H130" s="32"/>
      <c r="I130" s="32"/>
      <c r="J130" s="317"/>
      <c r="K130" s="317"/>
      <c r="L130" s="318"/>
      <c r="M130" s="318"/>
      <c r="N130" s="319"/>
      <c r="O130" s="319"/>
      <c r="P130" s="319"/>
      <c r="Q130" s="319"/>
      <c r="R130" s="330"/>
      <c r="S130" s="314"/>
    </row>
    <row r="131" spans="1:19">
      <c r="A131" s="321"/>
      <c r="B131" s="321"/>
      <c r="C131" s="321"/>
      <c r="D131" s="328"/>
      <c r="E131" s="321"/>
      <c r="F131" s="329"/>
      <c r="G131" s="322"/>
      <c r="H131" s="32"/>
      <c r="I131" s="32"/>
      <c r="J131" s="317"/>
      <c r="K131" s="317"/>
      <c r="L131" s="318"/>
      <c r="M131" s="318"/>
      <c r="N131" s="319"/>
      <c r="O131" s="319"/>
      <c r="P131" s="319"/>
      <c r="Q131" s="319"/>
      <c r="R131" s="330"/>
      <c r="S131" s="314"/>
    </row>
    <row r="132" spans="1:19">
      <c r="A132" s="321"/>
      <c r="B132" s="321"/>
      <c r="C132" s="321"/>
      <c r="D132" s="328"/>
      <c r="E132" s="321"/>
      <c r="F132" s="329"/>
      <c r="G132" s="322"/>
      <c r="H132" s="32"/>
      <c r="I132" s="32"/>
      <c r="J132" s="317"/>
      <c r="K132" s="317"/>
      <c r="L132" s="318"/>
      <c r="M132" s="318"/>
      <c r="N132" s="319"/>
      <c r="O132" s="319"/>
      <c r="P132" s="319"/>
      <c r="Q132" s="319"/>
      <c r="R132" s="330"/>
      <c r="S132" s="314"/>
    </row>
    <row r="133" spans="1:19">
      <c r="A133" s="321"/>
      <c r="B133" s="321"/>
      <c r="C133" s="321"/>
      <c r="D133" s="328"/>
      <c r="E133" s="321"/>
      <c r="F133" s="329"/>
      <c r="G133" s="322"/>
      <c r="H133" s="32"/>
      <c r="I133" s="32"/>
      <c r="J133" s="317"/>
      <c r="K133" s="317"/>
      <c r="L133" s="318"/>
      <c r="M133" s="318"/>
      <c r="N133" s="319"/>
      <c r="O133" s="319"/>
      <c r="P133" s="319"/>
      <c r="Q133" s="319"/>
      <c r="R133" s="330"/>
      <c r="S133" s="314"/>
    </row>
    <row r="134" spans="1:19">
      <c r="A134" s="321"/>
      <c r="B134" s="321"/>
      <c r="C134" s="321"/>
      <c r="D134" s="328"/>
      <c r="E134" s="321"/>
      <c r="F134" s="329"/>
      <c r="G134" s="322"/>
      <c r="H134" s="32"/>
      <c r="I134" s="32"/>
      <c r="J134" s="317"/>
      <c r="K134" s="317"/>
      <c r="L134" s="318"/>
      <c r="M134" s="318"/>
      <c r="N134" s="319"/>
      <c r="O134" s="319"/>
      <c r="P134" s="319"/>
      <c r="Q134" s="319"/>
      <c r="R134" s="330"/>
      <c r="S134" s="314"/>
    </row>
    <row r="135" spans="1:19">
      <c r="A135" s="321"/>
      <c r="B135" s="321"/>
      <c r="C135" s="321"/>
      <c r="D135" s="328"/>
      <c r="E135" s="321"/>
      <c r="F135" s="329"/>
      <c r="G135" s="322"/>
      <c r="H135" s="32"/>
      <c r="I135" s="32"/>
      <c r="J135" s="317"/>
      <c r="K135" s="317"/>
      <c r="L135" s="318"/>
      <c r="M135" s="318"/>
      <c r="N135" s="319"/>
      <c r="O135" s="319"/>
      <c r="P135" s="319"/>
      <c r="Q135" s="319"/>
      <c r="R135" s="330"/>
      <c r="S135" s="314"/>
    </row>
    <row r="136" spans="1:19">
      <c r="A136" s="321"/>
      <c r="B136" s="321"/>
      <c r="C136" s="321"/>
      <c r="D136" s="328"/>
      <c r="E136" s="321"/>
      <c r="F136" s="329"/>
      <c r="G136" s="322"/>
      <c r="H136" s="32"/>
      <c r="I136" s="32"/>
      <c r="J136" s="317"/>
      <c r="K136" s="317"/>
      <c r="L136" s="318"/>
      <c r="M136" s="318"/>
      <c r="N136" s="319"/>
      <c r="O136" s="319"/>
      <c r="P136" s="319"/>
      <c r="Q136" s="319"/>
      <c r="R136" s="330"/>
      <c r="S136" s="314"/>
    </row>
    <row r="137" spans="1:19">
      <c r="A137" s="321"/>
      <c r="B137" s="321"/>
      <c r="C137" s="321"/>
      <c r="D137" s="328"/>
      <c r="E137" s="321"/>
      <c r="F137" s="329"/>
      <c r="G137" s="322"/>
      <c r="H137" s="32"/>
      <c r="I137" s="32"/>
      <c r="J137" s="317"/>
      <c r="K137" s="317"/>
      <c r="L137" s="318"/>
      <c r="M137" s="318"/>
      <c r="N137" s="319"/>
      <c r="O137" s="319"/>
      <c r="P137" s="319"/>
      <c r="Q137" s="319"/>
      <c r="R137" s="330"/>
      <c r="S137" s="314"/>
    </row>
    <row r="138" spans="1:19">
      <c r="A138" s="321"/>
      <c r="B138" s="321"/>
      <c r="C138" s="321"/>
      <c r="D138" s="328"/>
      <c r="E138" s="321"/>
      <c r="F138" s="329"/>
      <c r="G138" s="322"/>
      <c r="H138" s="32"/>
      <c r="I138" s="32"/>
      <c r="J138" s="317"/>
      <c r="K138" s="317"/>
      <c r="L138" s="318"/>
      <c r="M138" s="318"/>
      <c r="N138" s="319"/>
      <c r="O138" s="319"/>
      <c r="P138" s="319"/>
      <c r="Q138" s="319"/>
      <c r="R138" s="330"/>
      <c r="S138" s="314"/>
    </row>
    <row r="139" spans="1:19">
      <c r="A139" s="321"/>
      <c r="B139" s="321"/>
      <c r="C139" s="321"/>
      <c r="D139" s="328"/>
      <c r="E139" s="321"/>
      <c r="F139" s="329"/>
      <c r="G139" s="322"/>
      <c r="H139" s="32"/>
      <c r="I139" s="32"/>
      <c r="J139" s="317"/>
      <c r="K139" s="317"/>
      <c r="L139" s="318"/>
      <c r="M139" s="318"/>
      <c r="N139" s="319"/>
      <c r="O139" s="319"/>
      <c r="P139" s="319"/>
      <c r="Q139" s="319"/>
      <c r="R139" s="330"/>
      <c r="S139" s="314"/>
    </row>
    <row r="140" spans="1:19">
      <c r="A140" s="321"/>
      <c r="B140" s="321"/>
      <c r="C140" s="321"/>
      <c r="D140" s="328"/>
      <c r="E140" s="321"/>
      <c r="F140" s="329"/>
      <c r="G140" s="322"/>
      <c r="H140" s="32"/>
      <c r="I140" s="32"/>
      <c r="J140" s="317"/>
      <c r="K140" s="317"/>
      <c r="L140" s="318"/>
      <c r="M140" s="318"/>
      <c r="N140" s="319"/>
      <c r="O140" s="319"/>
      <c r="P140" s="319"/>
      <c r="Q140" s="319"/>
      <c r="R140" s="330"/>
      <c r="S140" s="314"/>
    </row>
    <row r="141" spans="1:19">
      <c r="A141" s="321"/>
      <c r="B141" s="321"/>
      <c r="C141" s="321"/>
      <c r="D141" s="328"/>
      <c r="E141" s="321"/>
      <c r="F141" s="329"/>
      <c r="G141" s="322"/>
      <c r="H141" s="32"/>
      <c r="I141" s="32"/>
      <c r="J141" s="317"/>
      <c r="K141" s="317"/>
      <c r="L141" s="318"/>
      <c r="M141" s="318"/>
      <c r="N141" s="319"/>
      <c r="O141" s="319"/>
      <c r="P141" s="319"/>
      <c r="Q141" s="319"/>
      <c r="R141" s="330"/>
      <c r="S141" s="314"/>
    </row>
    <row r="142" spans="1:19">
      <c r="A142" s="321"/>
      <c r="B142" s="321"/>
      <c r="C142" s="321"/>
      <c r="D142" s="328"/>
      <c r="E142" s="321"/>
      <c r="F142" s="329"/>
      <c r="G142" s="322"/>
      <c r="H142" s="32"/>
      <c r="I142" s="32"/>
      <c r="J142" s="317"/>
      <c r="K142" s="317"/>
      <c r="L142" s="318"/>
      <c r="M142" s="318"/>
      <c r="N142" s="319"/>
      <c r="O142" s="319"/>
      <c r="P142" s="319"/>
      <c r="Q142" s="319"/>
      <c r="R142" s="330"/>
      <c r="S142" s="314"/>
    </row>
    <row r="143" spans="1:19">
      <c r="A143" s="321"/>
      <c r="B143" s="321"/>
      <c r="C143" s="321"/>
      <c r="D143" s="328"/>
      <c r="E143" s="321"/>
      <c r="F143" s="329"/>
      <c r="G143" s="322"/>
      <c r="H143" s="32"/>
      <c r="I143" s="32"/>
      <c r="J143" s="317"/>
      <c r="K143" s="317"/>
      <c r="L143" s="318"/>
      <c r="M143" s="318"/>
      <c r="N143" s="319"/>
      <c r="O143" s="319"/>
      <c r="P143" s="319"/>
      <c r="Q143" s="319"/>
      <c r="R143" s="330"/>
      <c r="S143" s="314"/>
    </row>
    <row r="144" spans="1:19">
      <c r="A144" s="321"/>
      <c r="B144" s="321"/>
      <c r="C144" s="321"/>
      <c r="D144" s="328"/>
      <c r="E144" s="321"/>
      <c r="F144" s="329"/>
      <c r="G144" s="322"/>
      <c r="H144" s="32"/>
      <c r="I144" s="32"/>
      <c r="J144" s="317"/>
      <c r="K144" s="317"/>
      <c r="L144" s="318"/>
      <c r="M144" s="318"/>
      <c r="N144" s="319"/>
      <c r="O144" s="319"/>
      <c r="P144" s="319"/>
      <c r="Q144" s="319"/>
      <c r="R144" s="330"/>
      <c r="S144" s="314"/>
    </row>
    <row r="145" spans="1:19">
      <c r="A145" s="321"/>
      <c r="B145" s="321"/>
      <c r="C145" s="321"/>
      <c r="D145" s="328"/>
      <c r="E145" s="321"/>
      <c r="F145" s="329"/>
      <c r="G145" s="322"/>
      <c r="H145" s="32"/>
      <c r="I145" s="32"/>
      <c r="J145" s="317"/>
      <c r="K145" s="317"/>
      <c r="L145" s="318"/>
      <c r="M145" s="318"/>
      <c r="N145" s="319"/>
      <c r="O145" s="319"/>
      <c r="P145" s="319"/>
      <c r="Q145" s="319"/>
      <c r="R145" s="330"/>
      <c r="S145" s="314"/>
    </row>
    <row r="146" spans="1:19">
      <c r="A146" s="321"/>
      <c r="B146" s="321"/>
      <c r="C146" s="321"/>
      <c r="D146" s="328"/>
      <c r="E146" s="321"/>
      <c r="F146" s="332"/>
      <c r="G146" s="321"/>
      <c r="H146" s="32"/>
      <c r="I146" s="32"/>
      <c r="J146" s="317"/>
      <c r="K146" s="317"/>
      <c r="L146" s="318"/>
      <c r="M146" s="318"/>
      <c r="N146" s="32"/>
      <c r="O146" s="32"/>
      <c r="P146" s="319"/>
      <c r="Q146" s="319"/>
      <c r="R146" s="319"/>
      <c r="S146" s="313"/>
    </row>
    <row r="147" spans="1:19">
      <c r="A147" s="321"/>
      <c r="B147" s="321"/>
      <c r="C147" s="321"/>
      <c r="D147" s="328"/>
      <c r="E147" s="321"/>
      <c r="F147" s="332"/>
      <c r="G147" s="321"/>
      <c r="H147" s="32"/>
      <c r="I147" s="32"/>
      <c r="J147" s="317"/>
      <c r="K147" s="317"/>
      <c r="L147" s="318"/>
      <c r="M147" s="318"/>
      <c r="N147" s="321"/>
      <c r="O147" s="321"/>
      <c r="P147" s="321"/>
      <c r="Q147" s="321"/>
      <c r="R147" s="321"/>
    </row>
    <row r="148" spans="1:19">
      <c r="A148" s="321"/>
      <c r="B148" s="321"/>
      <c r="C148" s="321"/>
      <c r="D148" s="328"/>
      <c r="E148" s="321"/>
      <c r="F148" s="332"/>
      <c r="G148" s="321"/>
      <c r="H148" s="32"/>
      <c r="I148" s="32"/>
      <c r="J148" s="317"/>
      <c r="K148" s="317"/>
      <c r="L148" s="318"/>
      <c r="M148" s="318"/>
      <c r="N148" s="321"/>
      <c r="O148" s="321"/>
      <c r="P148" s="321"/>
      <c r="Q148" s="321"/>
      <c r="R148" s="321"/>
    </row>
    <row r="149" spans="1:19">
      <c r="A149" s="321"/>
      <c r="B149" s="321"/>
      <c r="C149" s="321"/>
      <c r="D149" s="328"/>
      <c r="E149" s="321"/>
      <c r="F149" s="332"/>
      <c r="G149" s="321"/>
      <c r="H149" s="32"/>
      <c r="I149" s="32"/>
      <c r="J149" s="317"/>
      <c r="K149" s="317"/>
      <c r="L149" s="318"/>
      <c r="M149" s="318"/>
      <c r="N149" s="321"/>
      <c r="O149" s="321"/>
      <c r="P149" s="321"/>
      <c r="Q149" s="321"/>
      <c r="R149" s="321"/>
    </row>
    <row r="150" spans="1:19">
      <c r="A150" s="321"/>
      <c r="B150" s="321"/>
      <c r="C150" s="321"/>
      <c r="D150" s="328"/>
      <c r="E150" s="321"/>
      <c r="F150" s="332"/>
      <c r="G150" s="321"/>
      <c r="H150" s="32"/>
      <c r="I150" s="32"/>
      <c r="J150" s="317"/>
      <c r="K150" s="317"/>
      <c r="L150" s="318"/>
      <c r="M150" s="318"/>
      <c r="N150" s="321"/>
      <c r="O150" s="321"/>
      <c r="P150" s="321"/>
      <c r="Q150" s="321"/>
      <c r="R150" s="321"/>
    </row>
    <row r="151" spans="1:19">
      <c r="A151" s="321"/>
      <c r="B151" s="321"/>
      <c r="C151" s="321"/>
      <c r="D151" s="328"/>
      <c r="E151" s="321"/>
      <c r="F151" s="332"/>
      <c r="G151" s="321"/>
      <c r="H151" s="32"/>
      <c r="I151" s="32"/>
      <c r="J151" s="317"/>
      <c r="K151" s="317"/>
      <c r="L151" s="318"/>
      <c r="M151" s="318"/>
      <c r="N151" s="321"/>
      <c r="O151" s="321"/>
      <c r="P151" s="321"/>
      <c r="Q151" s="321"/>
      <c r="R151" s="321"/>
    </row>
    <row r="152" spans="1:19">
      <c r="A152" s="325"/>
      <c r="B152" s="321"/>
      <c r="C152" s="321"/>
      <c r="D152" s="328"/>
      <c r="E152" s="321"/>
      <c r="F152" s="332"/>
      <c r="G152" s="321"/>
      <c r="H152" s="32"/>
      <c r="I152" s="32"/>
      <c r="J152" s="317"/>
      <c r="K152" s="317"/>
      <c r="L152" s="318"/>
      <c r="M152" s="318"/>
      <c r="N152" s="321"/>
      <c r="O152" s="321"/>
      <c r="P152" s="321"/>
      <c r="Q152" s="321"/>
      <c r="R152" s="321"/>
    </row>
    <row r="153" spans="1:19">
      <c r="A153" s="321"/>
      <c r="B153" s="321"/>
      <c r="C153" s="321"/>
      <c r="D153" s="328"/>
      <c r="E153" s="321"/>
      <c r="F153" s="329"/>
      <c r="G153" s="322"/>
      <c r="H153" s="32"/>
      <c r="I153" s="32"/>
      <c r="J153" s="317"/>
      <c r="K153" s="317"/>
      <c r="L153" s="318"/>
      <c r="M153" s="318"/>
      <c r="N153" s="319"/>
      <c r="O153" s="319"/>
      <c r="P153" s="319"/>
      <c r="Q153" s="319"/>
      <c r="R153" s="330"/>
      <c r="S153" s="314"/>
    </row>
    <row r="154" spans="1:19">
      <c r="A154" s="321"/>
      <c r="B154" s="321"/>
      <c r="C154" s="321"/>
      <c r="D154" s="328"/>
      <c r="E154" s="321"/>
      <c r="F154" s="329"/>
      <c r="G154" s="322"/>
      <c r="H154" s="32"/>
      <c r="I154" s="32"/>
      <c r="J154" s="317"/>
      <c r="K154" s="317"/>
      <c r="L154" s="318"/>
      <c r="M154" s="318"/>
      <c r="N154" s="319"/>
      <c r="O154" s="319"/>
      <c r="P154" s="319"/>
      <c r="Q154" s="319"/>
      <c r="R154" s="330"/>
      <c r="S154" s="314"/>
    </row>
    <row r="155" spans="1:19">
      <c r="A155" s="321"/>
      <c r="B155" s="321"/>
      <c r="C155" s="321"/>
      <c r="D155" s="328"/>
      <c r="E155" s="321"/>
      <c r="F155" s="329"/>
      <c r="G155" s="322"/>
      <c r="H155" s="32"/>
      <c r="I155" s="32"/>
      <c r="J155" s="317"/>
      <c r="K155" s="317"/>
      <c r="L155" s="318"/>
      <c r="M155" s="318"/>
      <c r="N155" s="319"/>
      <c r="O155" s="319"/>
      <c r="P155" s="319"/>
      <c r="Q155" s="319"/>
      <c r="R155" s="330"/>
      <c r="S155" s="314"/>
    </row>
    <row r="156" spans="1:19">
      <c r="A156" s="321"/>
      <c r="B156" s="321"/>
      <c r="C156" s="321"/>
      <c r="D156" s="328"/>
      <c r="E156" s="321"/>
      <c r="F156" s="329"/>
      <c r="G156" s="322"/>
      <c r="H156" s="32"/>
      <c r="I156" s="32"/>
      <c r="J156" s="317"/>
      <c r="K156" s="317"/>
      <c r="L156" s="318"/>
      <c r="M156" s="318"/>
      <c r="N156" s="319"/>
      <c r="O156" s="319"/>
      <c r="P156" s="319"/>
      <c r="Q156" s="319"/>
      <c r="R156" s="330"/>
      <c r="S156" s="314"/>
    </row>
    <row r="157" spans="1:19">
      <c r="A157" s="321"/>
      <c r="B157" s="321"/>
      <c r="C157" s="321"/>
      <c r="D157" s="328"/>
      <c r="E157" s="321"/>
      <c r="F157" s="329"/>
      <c r="G157" s="322"/>
      <c r="H157" s="32"/>
      <c r="I157" s="32"/>
      <c r="J157" s="317"/>
      <c r="K157" s="317"/>
      <c r="L157" s="318"/>
      <c r="M157" s="318"/>
      <c r="N157" s="319"/>
      <c r="O157" s="319"/>
      <c r="P157" s="319"/>
      <c r="Q157" s="319"/>
      <c r="R157" s="330"/>
      <c r="S157" s="314"/>
    </row>
    <row r="158" spans="1:19">
      <c r="A158" s="321"/>
      <c r="B158" s="321"/>
      <c r="C158" s="321"/>
      <c r="D158" s="328"/>
      <c r="E158" s="321"/>
      <c r="F158" s="329"/>
      <c r="G158" s="322"/>
      <c r="H158" s="32"/>
      <c r="I158" s="32"/>
      <c r="J158" s="317"/>
      <c r="K158" s="317"/>
      <c r="L158" s="318"/>
      <c r="M158" s="318"/>
      <c r="N158" s="319"/>
      <c r="O158" s="319"/>
      <c r="P158" s="319"/>
      <c r="Q158" s="319"/>
      <c r="R158" s="330"/>
      <c r="S158" s="314"/>
    </row>
    <row r="159" spans="1:19">
      <c r="A159" s="321"/>
      <c r="B159" s="321"/>
      <c r="C159" s="321"/>
      <c r="D159" s="328"/>
      <c r="E159" s="321"/>
      <c r="F159" s="329"/>
      <c r="G159" s="322"/>
      <c r="H159" s="32"/>
      <c r="I159" s="32"/>
      <c r="J159" s="317"/>
      <c r="K159" s="317"/>
      <c r="L159" s="318"/>
      <c r="M159" s="318"/>
      <c r="N159" s="319"/>
      <c r="O159" s="319"/>
      <c r="P159" s="319"/>
      <c r="Q159" s="319"/>
      <c r="R159" s="330"/>
      <c r="S159" s="314"/>
    </row>
    <row r="160" spans="1:19">
      <c r="A160" s="321"/>
      <c r="B160" s="321"/>
      <c r="C160" s="321"/>
      <c r="D160" s="328"/>
      <c r="E160" s="321"/>
      <c r="F160" s="329"/>
      <c r="G160" s="322"/>
      <c r="H160" s="32"/>
      <c r="I160" s="32"/>
      <c r="J160" s="317"/>
      <c r="K160" s="317"/>
      <c r="L160" s="318"/>
      <c r="M160" s="318"/>
      <c r="N160" s="319"/>
      <c r="O160" s="319"/>
      <c r="P160" s="319"/>
      <c r="Q160" s="319"/>
      <c r="R160" s="330"/>
      <c r="S160" s="314"/>
    </row>
    <row r="161" spans="1:19">
      <c r="A161" s="321"/>
      <c r="B161" s="321"/>
      <c r="C161" s="321"/>
      <c r="D161" s="328"/>
      <c r="E161" s="321"/>
      <c r="F161" s="329"/>
      <c r="G161" s="322"/>
      <c r="H161" s="32"/>
      <c r="I161" s="32"/>
      <c r="J161" s="317"/>
      <c r="K161" s="317"/>
      <c r="L161" s="318"/>
      <c r="M161" s="318"/>
      <c r="N161" s="319"/>
      <c r="O161" s="319"/>
      <c r="P161" s="319"/>
      <c r="Q161" s="319"/>
      <c r="R161" s="330"/>
      <c r="S161" s="314"/>
    </row>
    <row r="162" spans="1:19">
      <c r="A162" s="321"/>
      <c r="B162" s="321"/>
      <c r="C162" s="321"/>
      <c r="D162" s="328"/>
      <c r="E162" s="321"/>
      <c r="F162" s="329"/>
      <c r="G162" s="322"/>
      <c r="H162" s="32"/>
      <c r="I162" s="32"/>
      <c r="J162" s="317"/>
      <c r="K162" s="317"/>
      <c r="L162" s="318"/>
      <c r="M162" s="318"/>
      <c r="N162" s="319"/>
      <c r="O162" s="319"/>
      <c r="P162" s="319"/>
      <c r="Q162" s="319"/>
      <c r="R162" s="330"/>
      <c r="S162" s="314"/>
    </row>
    <row r="163" spans="1:19">
      <c r="A163" s="321"/>
      <c r="B163" s="321"/>
      <c r="C163" s="321"/>
      <c r="D163" s="328"/>
      <c r="E163" s="321"/>
      <c r="F163" s="329"/>
      <c r="G163" s="322"/>
      <c r="H163" s="32"/>
      <c r="I163" s="32"/>
      <c r="J163" s="317"/>
      <c r="K163" s="317"/>
      <c r="L163" s="318"/>
      <c r="M163" s="318"/>
      <c r="N163" s="319"/>
      <c r="O163" s="319"/>
      <c r="P163" s="319"/>
      <c r="Q163" s="319"/>
      <c r="R163" s="330"/>
      <c r="S163" s="314"/>
    </row>
    <row r="164" spans="1:19">
      <c r="A164" s="321"/>
      <c r="B164" s="321"/>
      <c r="C164" s="321"/>
      <c r="D164" s="328"/>
      <c r="E164" s="321"/>
      <c r="F164" s="329"/>
      <c r="G164" s="322"/>
      <c r="H164" s="32"/>
      <c r="I164" s="32"/>
      <c r="J164" s="317"/>
      <c r="K164" s="317"/>
      <c r="L164" s="318"/>
      <c r="M164" s="318"/>
      <c r="N164" s="319"/>
      <c r="O164" s="319"/>
      <c r="P164" s="319"/>
      <c r="Q164" s="319"/>
      <c r="R164" s="330"/>
      <c r="S164" s="314"/>
    </row>
    <row r="165" spans="1:19">
      <c r="A165" s="321"/>
      <c r="B165" s="321"/>
      <c r="C165" s="321"/>
      <c r="D165" s="328"/>
      <c r="E165" s="321"/>
      <c r="F165" s="329"/>
      <c r="G165" s="322"/>
      <c r="H165" s="32"/>
      <c r="I165" s="32"/>
      <c r="J165" s="317"/>
      <c r="K165" s="317"/>
      <c r="L165" s="318"/>
      <c r="M165" s="318"/>
      <c r="N165" s="319"/>
      <c r="O165" s="319"/>
      <c r="P165" s="319"/>
      <c r="Q165" s="319"/>
      <c r="R165" s="330"/>
      <c r="S165" s="314"/>
    </row>
    <row r="166" spans="1:19">
      <c r="A166" s="321"/>
      <c r="B166" s="321"/>
      <c r="C166" s="321"/>
      <c r="D166" s="328"/>
      <c r="E166" s="321"/>
      <c r="F166" s="329"/>
      <c r="G166" s="322"/>
      <c r="H166" s="32"/>
      <c r="I166" s="32"/>
      <c r="J166" s="317"/>
      <c r="K166" s="317"/>
      <c r="L166" s="318"/>
      <c r="M166" s="318"/>
      <c r="N166" s="319"/>
      <c r="O166" s="319"/>
      <c r="P166" s="319"/>
      <c r="Q166" s="319"/>
      <c r="R166" s="330"/>
      <c r="S166" s="314"/>
    </row>
    <row r="167" spans="1:19">
      <c r="A167" s="321"/>
      <c r="B167" s="321"/>
      <c r="C167" s="321"/>
      <c r="D167" s="328"/>
      <c r="E167" s="321"/>
      <c r="F167" s="329"/>
      <c r="G167" s="322"/>
      <c r="H167" s="32"/>
      <c r="I167" s="32"/>
      <c r="J167" s="317"/>
      <c r="K167" s="317"/>
      <c r="L167" s="318"/>
      <c r="M167" s="318"/>
      <c r="N167" s="319"/>
      <c r="O167" s="319"/>
      <c r="P167" s="319"/>
      <c r="Q167" s="319"/>
      <c r="R167" s="330"/>
      <c r="S167" s="314"/>
    </row>
    <row r="168" spans="1:19">
      <c r="A168" s="321"/>
      <c r="B168" s="321"/>
      <c r="C168" s="321"/>
      <c r="D168" s="328"/>
      <c r="E168" s="321"/>
      <c r="F168" s="329"/>
      <c r="G168" s="322"/>
      <c r="H168" s="32"/>
      <c r="I168" s="32"/>
      <c r="J168" s="317"/>
      <c r="K168" s="317"/>
      <c r="L168" s="318"/>
      <c r="M168" s="318"/>
      <c r="N168" s="319"/>
      <c r="O168" s="319"/>
      <c r="P168" s="319"/>
      <c r="Q168" s="319"/>
      <c r="R168" s="330"/>
      <c r="S168" s="314"/>
    </row>
    <row r="169" spans="1:19">
      <c r="A169" s="321"/>
      <c r="B169" s="321"/>
      <c r="C169" s="321"/>
      <c r="D169" s="328"/>
      <c r="E169" s="321"/>
      <c r="F169" s="329"/>
      <c r="G169" s="322"/>
      <c r="H169" s="32"/>
      <c r="I169" s="32"/>
      <c r="J169" s="317"/>
      <c r="K169" s="317"/>
      <c r="L169" s="318"/>
      <c r="M169" s="318"/>
      <c r="N169" s="319"/>
      <c r="O169" s="319"/>
      <c r="P169" s="319"/>
      <c r="Q169" s="319"/>
      <c r="R169" s="330"/>
      <c r="S169" s="314"/>
    </row>
    <row r="170" spans="1:19">
      <c r="A170" s="321"/>
      <c r="B170" s="321"/>
      <c r="C170" s="321"/>
      <c r="D170" s="328"/>
      <c r="E170" s="321"/>
      <c r="F170" s="329"/>
      <c r="G170" s="322"/>
      <c r="H170" s="32"/>
      <c r="I170" s="32"/>
      <c r="J170" s="317"/>
      <c r="K170" s="317"/>
      <c r="L170" s="318"/>
      <c r="M170" s="318"/>
      <c r="N170" s="319"/>
      <c r="O170" s="319"/>
      <c r="P170" s="319"/>
      <c r="Q170" s="319"/>
      <c r="R170" s="330"/>
      <c r="S170" s="314"/>
    </row>
    <row r="171" spans="1:19">
      <c r="A171" s="321"/>
      <c r="B171" s="321"/>
      <c r="C171" s="321"/>
      <c r="D171" s="328"/>
      <c r="E171" s="321"/>
      <c r="F171" s="329"/>
      <c r="G171" s="322"/>
      <c r="H171" s="32"/>
      <c r="I171" s="32"/>
      <c r="J171" s="317"/>
      <c r="K171" s="317"/>
      <c r="L171" s="318"/>
      <c r="M171" s="318"/>
      <c r="N171" s="319"/>
      <c r="O171" s="319"/>
      <c r="P171" s="319"/>
      <c r="Q171" s="319"/>
      <c r="R171" s="330"/>
      <c r="S171" s="314"/>
    </row>
    <row r="172" spans="1:19">
      <c r="A172" s="321"/>
      <c r="B172" s="321"/>
      <c r="C172" s="321"/>
      <c r="D172" s="328"/>
      <c r="E172" s="321"/>
      <c r="F172" s="329"/>
      <c r="G172" s="322"/>
      <c r="H172" s="32"/>
      <c r="I172" s="32"/>
      <c r="J172" s="317"/>
      <c r="K172" s="317"/>
      <c r="L172" s="318"/>
      <c r="M172" s="318"/>
      <c r="N172" s="319"/>
      <c r="O172" s="319"/>
      <c r="P172" s="319"/>
      <c r="Q172" s="319"/>
      <c r="R172" s="330"/>
      <c r="S172" s="314"/>
    </row>
    <row r="173" spans="1:19">
      <c r="A173" s="321"/>
      <c r="B173" s="321"/>
      <c r="C173" s="321"/>
      <c r="D173" s="328"/>
      <c r="E173" s="321"/>
      <c r="F173" s="329"/>
      <c r="G173" s="322"/>
      <c r="H173" s="32"/>
      <c r="I173" s="32"/>
      <c r="J173" s="317"/>
      <c r="K173" s="317"/>
      <c r="L173" s="318"/>
      <c r="M173" s="318"/>
      <c r="N173" s="319"/>
      <c r="O173" s="319"/>
      <c r="P173" s="319"/>
      <c r="Q173" s="319"/>
      <c r="R173" s="330"/>
      <c r="S173" s="314"/>
    </row>
    <row r="174" spans="1:19">
      <c r="A174" s="321"/>
      <c r="B174" s="321"/>
      <c r="C174" s="321"/>
      <c r="D174" s="328"/>
      <c r="E174" s="321"/>
      <c r="F174" s="329"/>
      <c r="G174" s="322"/>
      <c r="H174" s="32"/>
      <c r="I174" s="32"/>
      <c r="J174" s="317"/>
      <c r="K174" s="317"/>
      <c r="L174" s="318"/>
      <c r="M174" s="318"/>
      <c r="N174" s="319"/>
      <c r="O174" s="319"/>
      <c r="P174" s="319"/>
      <c r="Q174" s="319"/>
      <c r="R174" s="330"/>
      <c r="S174" s="314"/>
    </row>
    <row r="175" spans="1:19">
      <c r="A175" s="321"/>
      <c r="B175" s="321"/>
      <c r="C175" s="321"/>
      <c r="D175" s="328"/>
      <c r="E175" s="321"/>
      <c r="F175" s="329"/>
      <c r="G175" s="322"/>
      <c r="H175" s="32"/>
      <c r="I175" s="32"/>
      <c r="J175" s="317"/>
      <c r="K175" s="317"/>
      <c r="L175" s="318"/>
      <c r="M175" s="318"/>
      <c r="N175" s="319"/>
      <c r="O175" s="319"/>
      <c r="P175" s="319"/>
      <c r="Q175" s="319"/>
      <c r="R175" s="330"/>
      <c r="S175" s="314"/>
    </row>
    <row r="176" spans="1:19">
      <c r="A176" s="321"/>
      <c r="B176" s="321"/>
      <c r="C176" s="321"/>
      <c r="D176" s="328"/>
      <c r="E176" s="321"/>
      <c r="F176" s="329"/>
      <c r="G176" s="322"/>
      <c r="H176" s="32"/>
      <c r="I176" s="32"/>
      <c r="J176" s="317"/>
      <c r="K176" s="317"/>
      <c r="L176" s="318"/>
      <c r="M176" s="318"/>
      <c r="N176" s="319"/>
      <c r="O176" s="319"/>
      <c r="P176" s="319"/>
      <c r="Q176" s="319"/>
      <c r="R176" s="330"/>
      <c r="S176" s="314"/>
    </row>
    <row r="177" spans="1:19">
      <c r="A177" s="321"/>
      <c r="B177" s="321"/>
      <c r="C177" s="321"/>
      <c r="D177" s="328"/>
      <c r="E177" s="321"/>
      <c r="F177" s="329"/>
      <c r="G177" s="322"/>
      <c r="H177" s="32"/>
      <c r="I177" s="32"/>
      <c r="J177" s="317"/>
      <c r="K177" s="317"/>
      <c r="L177" s="318"/>
      <c r="M177" s="318"/>
      <c r="N177" s="319"/>
      <c r="O177" s="319"/>
      <c r="P177" s="319"/>
      <c r="Q177" s="319"/>
      <c r="R177" s="330"/>
      <c r="S177" s="314"/>
    </row>
    <row r="178" spans="1:19">
      <c r="A178" s="321"/>
      <c r="B178" s="321"/>
      <c r="C178" s="321"/>
      <c r="D178" s="328"/>
      <c r="E178" s="321"/>
      <c r="F178" s="329"/>
      <c r="G178" s="322"/>
      <c r="H178" s="32"/>
      <c r="I178" s="32"/>
      <c r="J178" s="317"/>
      <c r="K178" s="317"/>
      <c r="L178" s="318"/>
      <c r="M178" s="318"/>
      <c r="N178" s="319"/>
      <c r="O178" s="319"/>
      <c r="P178" s="319"/>
      <c r="Q178" s="319"/>
      <c r="R178" s="330"/>
      <c r="S178" s="314"/>
    </row>
    <row r="179" spans="1:19">
      <c r="A179" s="321"/>
      <c r="B179" s="321"/>
      <c r="C179" s="321"/>
      <c r="D179" s="328"/>
      <c r="E179" s="321"/>
      <c r="F179" s="329"/>
      <c r="G179" s="322"/>
      <c r="H179" s="32"/>
      <c r="I179" s="32"/>
      <c r="J179" s="317"/>
      <c r="K179" s="317"/>
      <c r="L179" s="318"/>
      <c r="M179" s="318"/>
      <c r="N179" s="319"/>
      <c r="O179" s="319"/>
      <c r="P179" s="319"/>
      <c r="Q179" s="319"/>
      <c r="R179" s="330"/>
      <c r="S179" s="314"/>
    </row>
    <row r="180" spans="1:19">
      <c r="A180" s="321"/>
      <c r="B180" s="321"/>
      <c r="C180" s="321"/>
      <c r="D180" s="328"/>
      <c r="E180" s="321"/>
      <c r="F180" s="329"/>
      <c r="G180" s="322"/>
      <c r="H180" s="32"/>
      <c r="I180" s="32"/>
      <c r="J180" s="317"/>
      <c r="K180" s="317"/>
      <c r="L180" s="318"/>
      <c r="M180" s="318"/>
      <c r="N180" s="319"/>
      <c r="O180" s="319"/>
      <c r="P180" s="319"/>
      <c r="Q180" s="319"/>
      <c r="R180" s="330"/>
      <c r="S180" s="314"/>
    </row>
    <row r="181" spans="1:19">
      <c r="A181" s="321"/>
      <c r="B181" s="321"/>
      <c r="C181" s="321"/>
      <c r="D181" s="328"/>
      <c r="E181" s="321"/>
      <c r="F181" s="329"/>
      <c r="G181" s="322"/>
      <c r="H181" s="32"/>
      <c r="I181" s="32"/>
      <c r="J181" s="317"/>
      <c r="K181" s="317"/>
      <c r="L181" s="318"/>
      <c r="M181" s="318"/>
      <c r="N181" s="319"/>
      <c r="O181" s="319"/>
      <c r="P181" s="319"/>
      <c r="Q181" s="319"/>
      <c r="R181" s="330"/>
      <c r="S181" s="314"/>
    </row>
    <row r="182" spans="1:19">
      <c r="A182" s="321"/>
      <c r="B182" s="321"/>
      <c r="C182" s="321"/>
      <c r="D182" s="328"/>
      <c r="E182" s="321"/>
      <c r="F182" s="329"/>
      <c r="G182" s="322"/>
      <c r="H182" s="32"/>
      <c r="I182" s="32"/>
      <c r="J182" s="317"/>
      <c r="K182" s="317"/>
      <c r="L182" s="318"/>
      <c r="M182" s="318"/>
      <c r="N182" s="319"/>
      <c r="O182" s="319"/>
      <c r="P182" s="319"/>
      <c r="Q182" s="319"/>
      <c r="R182" s="330"/>
      <c r="S182" s="314"/>
    </row>
    <row r="183" spans="1:19">
      <c r="A183" s="321"/>
      <c r="B183" s="321"/>
      <c r="C183" s="321"/>
      <c r="D183" s="328"/>
      <c r="E183" s="321"/>
      <c r="F183" s="329"/>
      <c r="G183" s="322"/>
      <c r="H183" s="32"/>
      <c r="I183" s="32"/>
      <c r="J183" s="317"/>
      <c r="K183" s="317"/>
      <c r="L183" s="318"/>
      <c r="M183" s="318"/>
      <c r="N183" s="319"/>
      <c r="O183" s="319"/>
      <c r="P183" s="319"/>
      <c r="Q183" s="319"/>
      <c r="R183" s="330"/>
      <c r="S183" s="314"/>
    </row>
    <row r="184" spans="1:19">
      <c r="A184" s="321"/>
      <c r="B184" s="321"/>
      <c r="C184" s="321"/>
      <c r="D184" s="328"/>
      <c r="E184" s="321"/>
      <c r="F184" s="329"/>
      <c r="G184" s="322"/>
      <c r="H184" s="32"/>
      <c r="I184" s="32"/>
      <c r="J184" s="317"/>
      <c r="K184" s="317"/>
      <c r="L184" s="318"/>
      <c r="M184" s="318"/>
      <c r="N184" s="319"/>
      <c r="O184" s="319"/>
      <c r="P184" s="319"/>
      <c r="Q184" s="319"/>
      <c r="R184" s="330"/>
      <c r="S184" s="314"/>
    </row>
    <row r="185" spans="1:19">
      <c r="A185" s="321"/>
      <c r="B185" s="321"/>
      <c r="C185" s="321"/>
      <c r="D185" s="328"/>
      <c r="E185" s="321"/>
      <c r="F185" s="329"/>
      <c r="G185" s="322"/>
      <c r="H185" s="32"/>
      <c r="I185" s="32"/>
      <c r="J185" s="317"/>
      <c r="K185" s="317"/>
      <c r="L185" s="318"/>
      <c r="M185" s="318"/>
      <c r="N185" s="319"/>
      <c r="O185" s="319"/>
      <c r="P185" s="319"/>
      <c r="Q185" s="319"/>
      <c r="R185" s="330"/>
      <c r="S185" s="314"/>
    </row>
    <row r="186" spans="1:19">
      <c r="A186" s="321"/>
      <c r="B186" s="321"/>
      <c r="C186" s="321"/>
      <c r="D186" s="328"/>
      <c r="E186" s="321"/>
      <c r="F186" s="329"/>
      <c r="G186" s="322"/>
      <c r="H186" s="32"/>
      <c r="I186" s="32"/>
      <c r="J186" s="317"/>
      <c r="K186" s="317"/>
      <c r="L186" s="318"/>
      <c r="M186" s="318"/>
      <c r="N186" s="319"/>
      <c r="O186" s="319"/>
      <c r="P186" s="319"/>
      <c r="Q186" s="319"/>
      <c r="R186" s="330"/>
      <c r="S186" s="314"/>
    </row>
    <row r="187" spans="1:19">
      <c r="A187" s="321"/>
      <c r="B187" s="321"/>
      <c r="C187" s="321"/>
      <c r="D187" s="328"/>
      <c r="E187" s="321"/>
      <c r="F187" s="329"/>
      <c r="G187" s="322"/>
      <c r="H187" s="32"/>
      <c r="I187" s="32"/>
      <c r="J187" s="317"/>
      <c r="K187" s="317"/>
      <c r="L187" s="318"/>
      <c r="M187" s="318"/>
      <c r="N187" s="319"/>
      <c r="O187" s="319"/>
      <c r="P187" s="319"/>
      <c r="Q187" s="319"/>
      <c r="R187" s="330"/>
      <c r="S187" s="314"/>
    </row>
    <row r="188" spans="1:19">
      <c r="A188" s="321"/>
      <c r="B188" s="321"/>
      <c r="C188" s="321"/>
      <c r="D188" s="328"/>
      <c r="E188" s="321"/>
      <c r="F188" s="329"/>
      <c r="G188" s="322"/>
      <c r="H188" s="32"/>
      <c r="I188" s="32"/>
      <c r="J188" s="317"/>
      <c r="K188" s="317"/>
      <c r="L188" s="318"/>
      <c r="M188" s="318"/>
      <c r="N188" s="319"/>
      <c r="O188" s="319"/>
      <c r="P188" s="319"/>
      <c r="Q188" s="319"/>
      <c r="R188" s="330"/>
      <c r="S188" s="314"/>
    </row>
    <row r="189" spans="1:19">
      <c r="A189" s="321"/>
      <c r="B189" s="321"/>
      <c r="C189" s="321"/>
      <c r="D189" s="328"/>
      <c r="E189" s="321"/>
      <c r="F189" s="329"/>
      <c r="G189" s="322"/>
      <c r="H189" s="32"/>
      <c r="I189" s="32"/>
      <c r="J189" s="317"/>
      <c r="K189" s="317"/>
      <c r="L189" s="318"/>
      <c r="M189" s="318"/>
      <c r="N189" s="319"/>
      <c r="O189" s="319"/>
      <c r="P189" s="319"/>
      <c r="Q189" s="319"/>
      <c r="R189" s="330"/>
      <c r="S189" s="314"/>
    </row>
    <row r="190" spans="1:19">
      <c r="A190" s="321"/>
      <c r="B190" s="321"/>
      <c r="C190" s="321"/>
      <c r="D190" s="328"/>
      <c r="E190" s="321"/>
      <c r="F190" s="329"/>
      <c r="G190" s="322"/>
      <c r="H190" s="32"/>
      <c r="I190" s="32"/>
      <c r="J190" s="317"/>
      <c r="K190" s="317"/>
      <c r="L190" s="318"/>
      <c r="M190" s="318"/>
      <c r="N190" s="319"/>
      <c r="O190" s="319"/>
      <c r="P190" s="319"/>
      <c r="Q190" s="319"/>
      <c r="R190" s="330"/>
      <c r="S190" s="314"/>
    </row>
    <row r="191" spans="1:19">
      <c r="A191" s="321"/>
      <c r="B191" s="321"/>
      <c r="C191" s="321"/>
      <c r="D191" s="328"/>
      <c r="E191" s="321"/>
      <c r="F191" s="332"/>
      <c r="G191" s="321"/>
      <c r="H191" s="32"/>
      <c r="I191" s="32"/>
      <c r="J191" s="333"/>
      <c r="K191" s="334"/>
      <c r="L191" s="334"/>
      <c r="M191" s="334"/>
      <c r="N191" s="32"/>
      <c r="O191" s="32"/>
      <c r="P191" s="32"/>
      <c r="Q191" s="32"/>
      <c r="R191" s="32"/>
      <c r="S191" s="197"/>
    </row>
    <row r="192" spans="1:19">
      <c r="A192" s="321"/>
      <c r="B192" s="321"/>
      <c r="C192" s="321"/>
      <c r="D192" s="328"/>
      <c r="E192" s="321"/>
      <c r="F192" s="332"/>
      <c r="G192" s="321"/>
      <c r="H192" s="32"/>
      <c r="I192" s="32"/>
      <c r="J192" s="333"/>
      <c r="K192" s="334"/>
      <c r="L192" s="334"/>
      <c r="M192" s="334"/>
      <c r="N192" s="321"/>
      <c r="O192" s="321"/>
      <c r="P192" s="321"/>
      <c r="Q192" s="321"/>
      <c r="R192" s="321"/>
    </row>
    <row r="193" spans="1:19">
      <c r="A193" s="321"/>
      <c r="B193" s="321"/>
      <c r="C193" s="321"/>
      <c r="D193" s="328"/>
      <c r="E193" s="321"/>
      <c r="F193" s="332"/>
      <c r="G193" s="321"/>
      <c r="H193" s="32"/>
      <c r="I193" s="32"/>
      <c r="J193" s="333"/>
      <c r="K193" s="334"/>
      <c r="L193" s="334"/>
      <c r="M193" s="334"/>
      <c r="N193" s="32"/>
      <c r="O193" s="32"/>
      <c r="P193" s="32"/>
      <c r="Q193" s="32"/>
      <c r="R193" s="32"/>
      <c r="S193" s="197"/>
    </row>
    <row r="194" spans="1:19">
      <c r="A194" s="321"/>
      <c r="B194" s="321"/>
      <c r="C194" s="321"/>
      <c r="D194" s="328"/>
      <c r="E194" s="321"/>
      <c r="F194" s="332"/>
      <c r="G194" s="321"/>
      <c r="H194" s="32"/>
      <c r="I194" s="32"/>
      <c r="J194" s="335"/>
      <c r="K194" s="321"/>
      <c r="L194" s="321"/>
      <c r="M194" s="321"/>
      <c r="N194" s="32"/>
      <c r="O194" s="32"/>
      <c r="P194" s="321"/>
      <c r="Q194" s="321"/>
      <c r="R194" s="321"/>
    </row>
    <row r="195" spans="1:19">
      <c r="A195" s="321"/>
      <c r="B195" s="321"/>
      <c r="C195" s="321"/>
      <c r="D195" s="328"/>
      <c r="E195" s="321"/>
      <c r="F195" s="332"/>
      <c r="G195" s="321"/>
      <c r="H195" s="32"/>
      <c r="I195" s="32"/>
      <c r="J195" s="335"/>
      <c r="K195" s="321"/>
      <c r="L195" s="321"/>
      <c r="M195" s="321"/>
      <c r="N195" s="32"/>
      <c r="O195" s="32"/>
      <c r="P195" s="321"/>
      <c r="Q195" s="321"/>
      <c r="R195" s="321"/>
    </row>
    <row r="196" spans="1:19">
      <c r="D196" s="304"/>
      <c r="J196" s="336"/>
      <c r="N196" s="197"/>
      <c r="O196" s="197"/>
    </row>
    <row r="197" spans="1:19">
      <c r="D197" s="304"/>
      <c r="J197" s="336"/>
      <c r="N197" s="313"/>
      <c r="O197" s="313"/>
    </row>
    <row r="198" spans="1:19">
      <c r="D198" s="304"/>
      <c r="J198" s="336"/>
      <c r="N198" s="313"/>
      <c r="O198" s="313"/>
    </row>
    <row r="199" spans="1:19">
      <c r="D199" s="304"/>
      <c r="J199" s="336"/>
    </row>
    <row r="200" spans="1:19">
      <c r="D200" s="304"/>
      <c r="J200" s="336"/>
    </row>
    <row r="201" spans="1:19">
      <c r="D201" s="304"/>
      <c r="J201" s="336"/>
    </row>
    <row r="202" spans="1:19">
      <c r="D202" s="304"/>
      <c r="J202" s="336"/>
    </row>
    <row r="203" spans="1:19">
      <c r="D203" s="304"/>
      <c r="J203" s="336"/>
    </row>
    <row r="204" spans="1:19">
      <c r="D204" s="304"/>
      <c r="J204" s="336"/>
    </row>
    <row r="205" spans="1:19">
      <c r="D205" s="304"/>
      <c r="J205" s="336"/>
    </row>
    <row r="206" spans="1:19">
      <c r="D206" s="304"/>
      <c r="J206" s="336"/>
    </row>
    <row r="207" spans="1:19">
      <c r="D207" s="304"/>
      <c r="J207" s="336"/>
    </row>
    <row r="208" spans="1:19">
      <c r="D208" s="337"/>
      <c r="J208" s="336"/>
    </row>
    <row r="209" spans="4:4">
      <c r="D209" s="337"/>
    </row>
    <row r="210" spans="4:4">
      <c r="D210" s="337"/>
    </row>
    <row r="211" spans="4:4">
      <c r="D211" s="337"/>
    </row>
    <row r="212" spans="4:4">
      <c r="D212" s="337"/>
    </row>
    <row r="213" spans="4:4">
      <c r="D213" s="337"/>
    </row>
  </sheetData>
  <phoneticPr fontId="27" type="noConversion"/>
  <pageMargins left="0.75" right="0.75" top="1" bottom="1" header="0.5" footer="0.5"/>
  <pageSetup scale="59" orientation="landscape" r:id="rId1"/>
  <headerFooter alignWithMargins="0"/>
  <rowBreaks count="3" manualBreakCount="3">
    <brk id="54" max="17" man="1"/>
    <brk id="104" max="17" man="1"/>
    <brk id="149" max="17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4"/>
  <sheetViews>
    <sheetView view="pageBreakPreview" zoomScale="75" zoomScaleNormal="100" zoomScaleSheetLayoutView="75" workbookViewId="0"/>
  </sheetViews>
  <sheetFormatPr defaultRowHeight="12"/>
  <cols>
    <col min="1" max="1" width="38.75" bestFit="1" customWidth="1"/>
    <col min="2" max="2" width="15" bestFit="1" customWidth="1"/>
    <col min="3" max="3" width="3.25" customWidth="1"/>
    <col min="4" max="4" width="17.125" bestFit="1" customWidth="1"/>
    <col min="5" max="5" width="4.375" bestFit="1" customWidth="1"/>
    <col min="6" max="6" width="14.25" bestFit="1" customWidth="1"/>
    <col min="7" max="7" width="3.625" customWidth="1"/>
    <col min="8" max="8" width="15.75" bestFit="1" customWidth="1"/>
    <col min="9" max="9" width="11.375" bestFit="1" customWidth="1"/>
    <col min="14" max="14" width="26.625" customWidth="1"/>
  </cols>
  <sheetData>
    <row r="1" spans="1:9" ht="15.75">
      <c r="A1" s="544" t="e">
        <f>#REF!</f>
        <v>#REF!</v>
      </c>
      <c r="B1" s="545"/>
      <c r="C1" s="545"/>
      <c r="D1" s="545"/>
      <c r="E1" s="545"/>
      <c r="F1" s="545"/>
      <c r="G1" s="545"/>
      <c r="H1" s="545"/>
      <c r="I1" s="545"/>
    </row>
    <row r="2" spans="1:9" ht="15.75">
      <c r="A2" s="545" t="s">
        <v>586</v>
      </c>
      <c r="B2" s="545"/>
      <c r="C2" s="545"/>
      <c r="D2" s="545"/>
      <c r="E2" s="545"/>
      <c r="F2" s="545"/>
      <c r="G2" s="545"/>
      <c r="H2" s="545"/>
      <c r="I2" s="545"/>
    </row>
    <row r="3" spans="1:9" ht="15.75">
      <c r="A3" s="545" t="e">
        <f>#REF!</f>
        <v>#REF!</v>
      </c>
      <c r="B3" s="545"/>
      <c r="C3" s="545"/>
      <c r="D3" s="545"/>
      <c r="E3" s="545"/>
      <c r="F3" s="545"/>
      <c r="G3" s="545"/>
      <c r="H3" s="545"/>
      <c r="I3" s="545"/>
    </row>
    <row r="4" spans="1:9" ht="15.75">
      <c r="A4" s="545"/>
      <c r="B4" s="545"/>
      <c r="C4" s="545"/>
      <c r="D4" s="545"/>
      <c r="E4" s="545"/>
      <c r="F4" s="545"/>
      <c r="G4" s="545"/>
      <c r="H4" s="545"/>
      <c r="I4" s="545"/>
    </row>
    <row r="5" spans="1:9" ht="15.75">
      <c r="A5" s="545"/>
      <c r="B5" s="546"/>
      <c r="C5" s="546"/>
      <c r="D5" s="546" t="s">
        <v>593</v>
      </c>
      <c r="E5" s="546"/>
      <c r="F5" s="546" t="s">
        <v>726</v>
      </c>
      <c r="G5" s="546"/>
      <c r="H5" s="546" t="s">
        <v>73</v>
      </c>
      <c r="I5" s="546" t="s">
        <v>594</v>
      </c>
    </row>
    <row r="6" spans="1:9" ht="16.5" thickBot="1">
      <c r="A6" s="545"/>
      <c r="B6" s="546" t="s">
        <v>230</v>
      </c>
      <c r="C6" s="546"/>
      <c r="D6" s="546" t="s">
        <v>595</v>
      </c>
      <c r="E6" s="546"/>
      <c r="F6" s="546" t="s">
        <v>587</v>
      </c>
      <c r="G6" s="546"/>
      <c r="H6" s="546" t="s">
        <v>228</v>
      </c>
      <c r="I6" s="546" t="s">
        <v>721</v>
      </c>
    </row>
    <row r="7" spans="1:9" ht="15.75">
      <c r="A7" s="549" t="s">
        <v>588</v>
      </c>
      <c r="B7" s="550">
        <v>126569.41</v>
      </c>
      <c r="C7" s="550" t="s">
        <v>235</v>
      </c>
      <c r="D7" s="550">
        <v>4259.3599999999997</v>
      </c>
      <c r="E7" s="550" t="s">
        <v>236</v>
      </c>
      <c r="F7" s="550">
        <v>114672.65726546837</v>
      </c>
      <c r="G7" s="550" t="s">
        <v>237</v>
      </c>
      <c r="H7" s="550">
        <f>SUM(D7:F7)</f>
        <v>118932.01726546837</v>
      </c>
      <c r="I7" s="551">
        <f>H7-B7</f>
        <v>-7637.3927345316333</v>
      </c>
    </row>
    <row r="8" spans="1:9" ht="15.75">
      <c r="A8" s="552" t="s">
        <v>589</v>
      </c>
      <c r="B8" s="553">
        <v>-76134.69</v>
      </c>
      <c r="C8" s="553" t="s">
        <v>235</v>
      </c>
      <c r="D8" s="553">
        <v>0</v>
      </c>
      <c r="E8" s="553"/>
      <c r="F8" s="553">
        <v>-68759.43110179744</v>
      </c>
      <c r="G8" s="553" t="s">
        <v>880</v>
      </c>
      <c r="H8" s="553">
        <f>SUM(D8:F8)</f>
        <v>-68759.43110179744</v>
      </c>
      <c r="I8" s="554">
        <f>H8-B8</f>
        <v>7375.2588982025627</v>
      </c>
    </row>
    <row r="9" spans="1:9" ht="15.75">
      <c r="A9" s="552"/>
      <c r="B9" s="555"/>
      <c r="C9" s="555"/>
      <c r="D9" s="555"/>
      <c r="E9" s="555"/>
      <c r="F9" s="555"/>
      <c r="G9" s="555"/>
      <c r="H9" s="555"/>
      <c r="I9" s="556"/>
    </row>
    <row r="10" spans="1:9" ht="15.75">
      <c r="A10" s="552" t="s">
        <v>590</v>
      </c>
      <c r="B10" s="553">
        <v>477956.02</v>
      </c>
      <c r="C10" s="553" t="s">
        <v>235</v>
      </c>
      <c r="D10" s="553">
        <v>470606.67</v>
      </c>
      <c r="E10" s="553" t="s">
        <v>236</v>
      </c>
      <c r="F10" s="553">
        <v>6637.4116296232278</v>
      </c>
      <c r="G10" s="553" t="s">
        <v>881</v>
      </c>
      <c r="H10" s="553">
        <f>SUM(D10:F10)</f>
        <v>477244.08162962319</v>
      </c>
      <c r="I10" s="554">
        <f>H10-B10</f>
        <v>-711.93837037682533</v>
      </c>
    </row>
    <row r="11" spans="1:9" ht="15.75">
      <c r="A11" s="552" t="s">
        <v>591</v>
      </c>
      <c r="B11" s="553">
        <v>-416829.09</v>
      </c>
      <c r="C11" s="553" t="s">
        <v>235</v>
      </c>
      <c r="D11" s="553">
        <v>-412272.28</v>
      </c>
      <c r="E11" s="553" t="s">
        <v>236</v>
      </c>
      <c r="F11" s="553">
        <v>-4115.3832314206702</v>
      </c>
      <c r="G11" s="553" t="s">
        <v>882</v>
      </c>
      <c r="H11" s="553">
        <f>SUM(D11:F11)</f>
        <v>-416387.66323142068</v>
      </c>
      <c r="I11" s="554">
        <f>H11-B11</f>
        <v>441.42676857934566</v>
      </c>
    </row>
    <row r="12" spans="1:9" ht="15.75">
      <c r="A12" s="552"/>
      <c r="B12" s="555"/>
      <c r="C12" s="555"/>
      <c r="D12" s="555"/>
      <c r="E12" s="555"/>
      <c r="F12" s="555"/>
      <c r="G12" s="555"/>
      <c r="H12" s="555"/>
      <c r="I12" s="556"/>
    </row>
    <row r="13" spans="1:9" ht="15.75">
      <c r="A13" s="552" t="s">
        <v>89</v>
      </c>
      <c r="B13" s="553">
        <v>518128.17</v>
      </c>
      <c r="C13" s="553" t="s">
        <v>235</v>
      </c>
      <c r="D13" s="553">
        <v>45816.600000000006</v>
      </c>
      <c r="E13" s="553" t="s">
        <v>878</v>
      </c>
      <c r="F13" s="553">
        <v>426558.16444780503</v>
      </c>
      <c r="G13" s="553" t="s">
        <v>883</v>
      </c>
      <c r="H13" s="553">
        <f>SUM(D13:F13)</f>
        <v>472374.76444780501</v>
      </c>
      <c r="I13" s="554">
        <f>H13-B13</f>
        <v>-45753.405552194978</v>
      </c>
    </row>
    <row r="14" spans="1:9" ht="15.75">
      <c r="A14" s="552" t="s">
        <v>592</v>
      </c>
      <c r="B14" s="548">
        <v>-122363.03</v>
      </c>
      <c r="C14" s="548" t="s">
        <v>235</v>
      </c>
      <c r="D14" s="548">
        <v>-25584.6</v>
      </c>
      <c r="E14" s="548" t="s">
        <v>879</v>
      </c>
      <c r="F14" s="548">
        <v>-87403.383404942957</v>
      </c>
      <c r="G14" s="548" t="s">
        <v>884</v>
      </c>
      <c r="H14" s="548">
        <f>SUM(D14:F14)</f>
        <v>-112987.98340494296</v>
      </c>
      <c r="I14" s="557">
        <f>H14-B14</f>
        <v>9375.046595057036</v>
      </c>
    </row>
    <row r="15" spans="1:9" ht="15.75">
      <c r="A15" s="552"/>
      <c r="B15" s="555"/>
      <c r="C15" s="555"/>
      <c r="D15" s="555"/>
      <c r="E15" s="555"/>
      <c r="F15" s="555"/>
      <c r="G15" s="555"/>
      <c r="H15" s="555"/>
      <c r="I15" s="556"/>
    </row>
    <row r="16" spans="1:9" ht="16.5" thickBot="1">
      <c r="A16" s="561"/>
      <c r="B16" s="559"/>
      <c r="C16" s="559"/>
      <c r="D16" s="559"/>
      <c r="E16" s="559"/>
      <c r="F16" s="559"/>
      <c r="G16" s="559"/>
      <c r="H16" s="559" t="s">
        <v>877</v>
      </c>
      <c r="I16" s="560">
        <f>SUM(I7:I14)</f>
        <v>-36911.004395264492</v>
      </c>
    </row>
    <row r="17" spans="1:9" ht="16.5" thickBot="1">
      <c r="A17" s="545"/>
      <c r="B17" s="545"/>
      <c r="C17" s="545"/>
      <c r="D17" s="545"/>
      <c r="E17" s="545"/>
      <c r="F17" s="545"/>
      <c r="G17" s="545"/>
      <c r="H17" s="545"/>
      <c r="I17" s="547"/>
    </row>
    <row r="18" spans="1:9" ht="16.5" thickBot="1">
      <c r="A18" s="562" t="s">
        <v>596</v>
      </c>
      <c r="B18" s="563" t="s">
        <v>602</v>
      </c>
      <c r="C18" s="563"/>
      <c r="D18" s="563" t="s">
        <v>599</v>
      </c>
      <c r="E18" s="563"/>
      <c r="F18" s="563" t="s">
        <v>601</v>
      </c>
      <c r="G18" s="563"/>
      <c r="H18" s="564"/>
      <c r="I18" s="565"/>
    </row>
    <row r="19" spans="1:9" ht="15.75">
      <c r="A19" s="552"/>
      <c r="B19" s="566" t="s">
        <v>603</v>
      </c>
      <c r="C19" s="566"/>
      <c r="D19" s="566" t="s">
        <v>598</v>
      </c>
      <c r="E19" s="566"/>
      <c r="F19" s="566" t="s">
        <v>600</v>
      </c>
      <c r="G19" s="566"/>
      <c r="H19" s="555"/>
      <c r="I19" s="556"/>
    </row>
    <row r="20" spans="1:9" ht="16.5" thickBot="1">
      <c r="A20" s="558" t="s">
        <v>597</v>
      </c>
      <c r="B20" s="567">
        <v>7077652</v>
      </c>
      <c r="C20" s="567" t="s">
        <v>400</v>
      </c>
      <c r="D20" s="568">
        <f>'wp c3'!E3</f>
        <v>2.5250604908399584E-2</v>
      </c>
      <c r="E20" s="568"/>
      <c r="F20" s="569">
        <f>B20*D20</f>
        <v>178714.99433114415</v>
      </c>
      <c r="G20" s="569"/>
      <c r="H20" s="559"/>
      <c r="I20" s="570"/>
    </row>
    <row r="21" spans="1:9" ht="15.75">
      <c r="A21" s="545"/>
      <c r="B21" s="545"/>
      <c r="C21" s="545"/>
      <c r="D21" s="545"/>
      <c r="E21" s="545"/>
      <c r="F21" s="545"/>
      <c r="G21" s="545"/>
      <c r="H21" s="545"/>
      <c r="I21" s="545"/>
    </row>
    <row r="22" spans="1:9" ht="15.75">
      <c r="A22" s="545" t="s">
        <v>401</v>
      </c>
      <c r="B22" s="545"/>
      <c r="C22" s="545"/>
      <c r="D22" s="545"/>
      <c r="E22" s="545"/>
      <c r="F22" s="545"/>
      <c r="G22" s="545"/>
      <c r="H22" s="545"/>
      <c r="I22" s="545"/>
    </row>
    <row r="23" spans="1:9" ht="15.75">
      <c r="A23" s="545"/>
      <c r="B23" s="545"/>
      <c r="C23" s="545"/>
      <c r="D23" s="545"/>
      <c r="E23" s="545"/>
      <c r="F23" s="545"/>
      <c r="G23" s="545"/>
      <c r="H23" s="545"/>
      <c r="I23" s="545"/>
    </row>
    <row r="24" spans="1:9" ht="15.75">
      <c r="A24" s="545"/>
      <c r="B24" s="545"/>
      <c r="C24" s="545"/>
      <c r="D24" s="545"/>
      <c r="E24" s="545"/>
      <c r="F24" s="545"/>
      <c r="G24" s="545"/>
      <c r="H24" s="545"/>
      <c r="I24" s="545"/>
    </row>
  </sheetData>
  <phoneticPr fontId="0" type="noConversion"/>
  <pageMargins left="0.7" right="0.7" top="0.75" bottom="0.75" header="0.3" footer="0.3"/>
  <pageSetup scale="6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26"/>
  <sheetViews>
    <sheetView view="pageBreakPreview" zoomScale="75" zoomScaleNormal="100" zoomScaleSheetLayoutView="75" workbookViewId="0"/>
  </sheetViews>
  <sheetFormatPr defaultRowHeight="15"/>
  <cols>
    <col min="1" max="1" width="12.75" style="446" bestFit="1" customWidth="1"/>
    <col min="2" max="2" width="44.125" style="446" bestFit="1" customWidth="1"/>
    <col min="3" max="3" width="24.875" style="446" bestFit="1" customWidth="1"/>
    <col min="4" max="4" width="16.375" style="446" bestFit="1" customWidth="1"/>
    <col min="5" max="5" width="4.75" style="446" customWidth="1"/>
    <col min="6" max="6" width="12" style="446" bestFit="1" customWidth="1"/>
    <col min="7" max="7" width="4.875" style="446" customWidth="1"/>
    <col min="8" max="8" width="15.125" style="446" bestFit="1" customWidth="1"/>
    <col min="9" max="9" width="4.875" style="446" bestFit="1" customWidth="1"/>
    <col min="10" max="10" width="20.75" style="446" bestFit="1" customWidth="1"/>
    <col min="11" max="11" width="6.625" style="446" customWidth="1"/>
    <col min="12" max="12" width="14.25" style="446" bestFit="1" customWidth="1"/>
    <col min="13" max="13" width="4.875" style="446" bestFit="1" customWidth="1"/>
    <col min="14" max="14" width="26.625" style="446" customWidth="1"/>
    <col min="15" max="15" width="13.875" style="459" bestFit="1" customWidth="1"/>
    <col min="16" max="16384" width="9" style="446"/>
  </cols>
  <sheetData>
    <row r="1" spans="1:15">
      <c r="A1" s="446" t="s">
        <v>154</v>
      </c>
      <c r="C1" s="448"/>
    </row>
    <row r="2" spans="1:15">
      <c r="A2" s="446" t="s">
        <v>156</v>
      </c>
      <c r="C2" s="448"/>
    </row>
    <row r="3" spans="1:15">
      <c r="C3" s="455" t="s">
        <v>161</v>
      </c>
      <c r="D3" s="453" t="s">
        <v>234</v>
      </c>
      <c r="E3" s="453"/>
      <c r="F3" s="453" t="s">
        <v>233</v>
      </c>
      <c r="G3" s="453"/>
      <c r="H3" s="453" t="s">
        <v>232</v>
      </c>
      <c r="I3" s="453"/>
      <c r="J3" s="453" t="s">
        <v>231</v>
      </c>
      <c r="K3" s="453"/>
      <c r="L3" s="454">
        <v>39629</v>
      </c>
      <c r="M3" s="454"/>
      <c r="N3" s="453" t="s">
        <v>314</v>
      </c>
      <c r="O3" s="460"/>
    </row>
    <row r="4" spans="1:15">
      <c r="A4" s="446" t="s">
        <v>217</v>
      </c>
      <c r="C4" s="452" t="s">
        <v>230</v>
      </c>
      <c r="D4" s="452" t="s">
        <v>228</v>
      </c>
      <c r="E4" s="452"/>
      <c r="F4" s="452" t="s">
        <v>228</v>
      </c>
      <c r="G4" s="452"/>
      <c r="H4" s="452" t="s">
        <v>228</v>
      </c>
      <c r="I4" s="452"/>
      <c r="J4" s="452" t="s">
        <v>228</v>
      </c>
      <c r="K4" s="452"/>
      <c r="L4" s="451" t="s">
        <v>229</v>
      </c>
      <c r="M4" s="451"/>
      <c r="N4" s="451" t="s">
        <v>228</v>
      </c>
      <c r="O4" s="451" t="s">
        <v>721</v>
      </c>
    </row>
    <row r="5" spans="1:15">
      <c r="A5" s="446" t="s">
        <v>160</v>
      </c>
      <c r="B5" s="446" t="s">
        <v>679</v>
      </c>
    </row>
    <row r="6" spans="1:15">
      <c r="C6" s="448"/>
      <c r="D6" s="448"/>
      <c r="E6" s="448"/>
      <c r="F6" s="448"/>
      <c r="G6" s="448"/>
      <c r="H6" s="449"/>
      <c r="I6" s="449"/>
      <c r="J6" s="448"/>
      <c r="K6" s="448"/>
      <c r="L6" s="448"/>
      <c r="M6" s="448"/>
      <c r="N6" s="447"/>
      <c r="O6" s="461"/>
    </row>
    <row r="7" spans="1:15">
      <c r="B7" s="446" t="s">
        <v>173</v>
      </c>
      <c r="C7" s="448"/>
      <c r="D7" s="448">
        <v>0</v>
      </c>
      <c r="E7" s="448"/>
      <c r="F7" s="448">
        <v>0</v>
      </c>
      <c r="G7" s="448"/>
      <c r="H7" s="449">
        <v>0</v>
      </c>
      <c r="I7" s="449"/>
      <c r="J7" s="448">
        <v>0</v>
      </c>
      <c r="K7" s="448"/>
      <c r="L7" s="448">
        <v>0</v>
      </c>
      <c r="M7" s="448"/>
      <c r="N7" s="447">
        <v>0</v>
      </c>
      <c r="O7" s="461">
        <v>0</v>
      </c>
    </row>
    <row r="8" spans="1:15">
      <c r="A8" s="446">
        <v>5525</v>
      </c>
      <c r="B8" s="446" t="s">
        <v>784</v>
      </c>
      <c r="C8" s="448">
        <v>509.39</v>
      </c>
      <c r="D8" s="448">
        <v>343.15284254245222</v>
      </c>
      <c r="E8" s="448" t="s">
        <v>235</v>
      </c>
      <c r="F8" s="448">
        <v>122.24954113377115</v>
      </c>
      <c r="G8" s="448" t="str">
        <f t="shared" ref="G8:G13" si="0">+E8</f>
        <v>A</v>
      </c>
      <c r="H8" s="449">
        <v>0</v>
      </c>
      <c r="I8" s="449"/>
      <c r="J8" s="448">
        <v>0</v>
      </c>
      <c r="K8" s="448"/>
      <c r="L8" s="448">
        <v>0</v>
      </c>
      <c r="M8" s="448"/>
      <c r="N8" s="447">
        <v>465.40238367622339</v>
      </c>
      <c r="O8" s="461">
        <v>-43.987616323776592</v>
      </c>
    </row>
    <row r="9" spans="1:15">
      <c r="A9" s="446">
        <v>5530</v>
      </c>
      <c r="B9" s="446" t="s">
        <v>785</v>
      </c>
      <c r="C9" s="448">
        <v>107.42</v>
      </c>
      <c r="D9" s="448">
        <v>83.255045213530607</v>
      </c>
      <c r="E9" s="448" t="s">
        <v>235</v>
      </c>
      <c r="F9" s="448">
        <v>14.824630141721393</v>
      </c>
      <c r="G9" s="448" t="str">
        <f t="shared" si="0"/>
        <v>A</v>
      </c>
      <c r="H9" s="449">
        <v>0</v>
      </c>
      <c r="I9" s="449"/>
      <c r="J9" s="448">
        <v>0</v>
      </c>
      <c r="K9" s="448"/>
      <c r="L9" s="448">
        <v>0</v>
      </c>
      <c r="M9" s="448"/>
      <c r="N9" s="447">
        <v>98.079675355251993</v>
      </c>
      <c r="O9" s="461">
        <v>-9.3403246447480086</v>
      </c>
    </row>
    <row r="10" spans="1:15">
      <c r="A10" s="446">
        <v>5535</v>
      </c>
      <c r="B10" s="446" t="s">
        <v>786</v>
      </c>
      <c r="C10" s="448">
        <v>1914.03</v>
      </c>
      <c r="D10" s="448">
        <v>538.26165566688258</v>
      </c>
      <c r="E10" s="448" t="s">
        <v>235</v>
      </c>
      <c r="F10" s="448">
        <v>1215.8368268233667</v>
      </c>
      <c r="G10" s="448" t="str">
        <f t="shared" si="0"/>
        <v>A</v>
      </c>
      <c r="H10" s="449">
        <v>0</v>
      </c>
      <c r="I10" s="449"/>
      <c r="J10" s="448">
        <v>0</v>
      </c>
      <c r="K10" s="448"/>
      <c r="L10" s="448">
        <v>0</v>
      </c>
      <c r="M10" s="448"/>
      <c r="N10" s="447">
        <v>1754.0984824902494</v>
      </c>
      <c r="O10" s="461">
        <v>-159.93151750975062</v>
      </c>
    </row>
    <row r="11" spans="1:15">
      <c r="A11" s="446">
        <v>5540</v>
      </c>
      <c r="B11" s="446" t="s">
        <v>787</v>
      </c>
      <c r="C11" s="448">
        <v>12573.15</v>
      </c>
      <c r="D11" s="448">
        <v>5658.8247588396462</v>
      </c>
      <c r="E11" s="448" t="s">
        <v>235</v>
      </c>
      <c r="F11" s="448">
        <v>5839.3041450051842</v>
      </c>
      <c r="G11" s="448" t="str">
        <f t="shared" si="0"/>
        <v>A</v>
      </c>
      <c r="H11" s="449">
        <v>0</v>
      </c>
      <c r="I11" s="449"/>
      <c r="J11" s="448">
        <v>0</v>
      </c>
      <c r="K11" s="448"/>
      <c r="L11" s="448">
        <v>0</v>
      </c>
      <c r="M11" s="448"/>
      <c r="N11" s="447">
        <v>11498.12890384483</v>
      </c>
      <c r="O11" s="461">
        <v>-1075.0210961551693</v>
      </c>
    </row>
    <row r="12" spans="1:15">
      <c r="A12" s="446">
        <v>5545</v>
      </c>
      <c r="B12" s="446" t="s">
        <v>788</v>
      </c>
      <c r="C12" s="448">
        <v>661.64</v>
      </c>
      <c r="D12" s="448">
        <v>19.520705951642185</v>
      </c>
      <c r="E12" s="448" t="s">
        <v>235</v>
      </c>
      <c r="F12" s="448">
        <v>573.35563791911511</v>
      </c>
      <c r="G12" s="448" t="str">
        <f t="shared" si="0"/>
        <v>A</v>
      </c>
      <c r="H12" s="449">
        <v>0</v>
      </c>
      <c r="I12" s="449"/>
      <c r="J12" s="448">
        <v>9.8626094559668775</v>
      </c>
      <c r="K12" s="448" t="str">
        <f>+G12</f>
        <v>A</v>
      </c>
      <c r="L12" s="448">
        <v>0</v>
      </c>
      <c r="M12" s="448"/>
      <c r="N12" s="447">
        <v>602.73895332672419</v>
      </c>
      <c r="O12" s="461">
        <v>-58.9010466732758</v>
      </c>
    </row>
    <row r="13" spans="1:15">
      <c r="B13" s="450" t="s">
        <v>173</v>
      </c>
      <c r="C13" s="448">
        <v>15765.63</v>
      </c>
      <c r="D13" s="448">
        <v>6643.0150082141545</v>
      </c>
      <c r="E13" s="448" t="s">
        <v>235</v>
      </c>
      <c r="F13" s="448">
        <v>7765.5707810231588</v>
      </c>
      <c r="G13" s="448" t="str">
        <f t="shared" si="0"/>
        <v>A</v>
      </c>
      <c r="H13" s="449">
        <v>0</v>
      </c>
      <c r="I13" s="449"/>
      <c r="J13" s="448">
        <v>0</v>
      </c>
      <c r="K13" s="448"/>
      <c r="L13" s="448">
        <v>0</v>
      </c>
      <c r="M13" s="448"/>
      <c r="N13" s="447">
        <v>14408.585789237313</v>
      </c>
      <c r="O13" s="461">
        <v>-1357.0442107626859</v>
      </c>
    </row>
    <row r="14" spans="1:15">
      <c r="C14" s="448"/>
      <c r="D14" s="448"/>
      <c r="E14" s="448"/>
      <c r="F14" s="448"/>
      <c r="G14" s="448"/>
      <c r="H14" s="449"/>
      <c r="I14" s="449"/>
      <c r="J14" s="448"/>
      <c r="K14" s="448"/>
      <c r="L14" s="448"/>
      <c r="M14" s="448"/>
      <c r="N14" s="447"/>
      <c r="O14" s="461"/>
    </row>
    <row r="15" spans="1:15">
      <c r="B15" s="446" t="s">
        <v>175</v>
      </c>
      <c r="C15" s="448"/>
      <c r="D15" s="448">
        <v>0</v>
      </c>
      <c r="E15" s="448"/>
      <c r="F15" s="448">
        <v>0</v>
      </c>
      <c r="G15" s="448"/>
      <c r="H15" s="449">
        <v>0</v>
      </c>
      <c r="I15" s="449"/>
      <c r="J15" s="448">
        <v>0</v>
      </c>
      <c r="K15" s="448"/>
      <c r="L15" s="448">
        <v>0</v>
      </c>
      <c r="M15" s="448"/>
      <c r="N15" s="447">
        <v>0</v>
      </c>
      <c r="O15" s="461">
        <v>0</v>
      </c>
    </row>
    <row r="16" spans="1:15">
      <c r="A16" s="446">
        <v>5700</v>
      </c>
      <c r="B16" s="446" t="s">
        <v>903</v>
      </c>
      <c r="C16" s="448"/>
      <c r="D16" s="448">
        <v>0</v>
      </c>
      <c r="E16" s="448"/>
      <c r="F16" s="448">
        <v>0</v>
      </c>
      <c r="G16" s="448"/>
      <c r="H16" s="449">
        <v>0</v>
      </c>
      <c r="I16" s="449"/>
      <c r="J16" s="448">
        <v>0</v>
      </c>
      <c r="K16" s="448"/>
      <c r="L16" s="448">
        <v>0</v>
      </c>
      <c r="M16" s="448"/>
      <c r="N16" s="447">
        <v>0</v>
      </c>
      <c r="O16" s="461">
        <v>0</v>
      </c>
    </row>
    <row r="17" spans="1:15">
      <c r="A17" s="446">
        <v>5705</v>
      </c>
      <c r="B17" s="446" t="s">
        <v>904</v>
      </c>
      <c r="C17" s="448"/>
      <c r="D17" s="448">
        <v>0</v>
      </c>
      <c r="E17" s="448"/>
      <c r="F17" s="448">
        <v>0</v>
      </c>
      <c r="G17" s="448"/>
      <c r="H17" s="449">
        <v>0</v>
      </c>
      <c r="I17" s="449"/>
      <c r="J17" s="448">
        <v>0</v>
      </c>
      <c r="K17" s="448"/>
      <c r="L17" s="448">
        <v>0</v>
      </c>
      <c r="M17" s="448"/>
      <c r="N17" s="447">
        <v>0</v>
      </c>
      <c r="O17" s="461">
        <v>0</v>
      </c>
    </row>
    <row r="18" spans="1:15">
      <c r="A18" s="446">
        <v>5710</v>
      </c>
      <c r="B18" s="446" t="s">
        <v>905</v>
      </c>
      <c r="C18" s="448"/>
      <c r="D18" s="448">
        <v>0</v>
      </c>
      <c r="E18" s="448"/>
      <c r="F18" s="448">
        <v>0</v>
      </c>
      <c r="G18" s="448"/>
      <c r="H18" s="449">
        <v>0</v>
      </c>
      <c r="I18" s="449"/>
      <c r="J18" s="448">
        <v>0</v>
      </c>
      <c r="K18" s="448"/>
      <c r="L18" s="448">
        <v>0</v>
      </c>
      <c r="M18" s="448"/>
      <c r="N18" s="447">
        <v>0</v>
      </c>
      <c r="O18" s="461">
        <v>0</v>
      </c>
    </row>
    <row r="19" spans="1:15">
      <c r="A19" s="446">
        <v>5715</v>
      </c>
      <c r="B19" s="446" t="s">
        <v>906</v>
      </c>
      <c r="C19" s="448">
        <v>34923.879999999997</v>
      </c>
      <c r="D19" s="448">
        <v>16873.063181976984</v>
      </c>
      <c r="E19" s="448" t="s">
        <v>236</v>
      </c>
      <c r="F19" s="448">
        <v>15036.800622018663</v>
      </c>
      <c r="G19" s="448" t="str">
        <f>+E19</f>
        <v>B</v>
      </c>
      <c r="H19" s="449">
        <v>0</v>
      </c>
      <c r="I19" s="449"/>
      <c r="J19" s="448">
        <v>0</v>
      </c>
      <c r="K19" s="448"/>
      <c r="L19" s="448">
        <v>0</v>
      </c>
      <c r="M19" s="448"/>
      <c r="N19" s="447">
        <v>31909.86380399565</v>
      </c>
      <c r="O19" s="461">
        <v>-3014.0161960043479</v>
      </c>
    </row>
    <row r="20" spans="1:15">
      <c r="B20" s="450" t="s">
        <v>175</v>
      </c>
      <c r="C20" s="448">
        <v>34923.879999999997</v>
      </c>
      <c r="D20" s="448">
        <v>16873.063181976984</v>
      </c>
      <c r="E20" s="448" t="s">
        <v>236</v>
      </c>
      <c r="F20" s="448">
        <v>15036.800622018663</v>
      </c>
      <c r="G20" s="448" t="str">
        <f>+E20</f>
        <v>B</v>
      </c>
      <c r="H20" s="449">
        <v>0</v>
      </c>
      <c r="I20" s="449"/>
      <c r="J20" s="448">
        <v>0</v>
      </c>
      <c r="K20" s="448"/>
      <c r="L20" s="448">
        <v>0</v>
      </c>
      <c r="M20" s="448"/>
      <c r="N20" s="447">
        <v>31909.86380399565</v>
      </c>
      <c r="O20" s="461">
        <v>-3014.0161960043479</v>
      </c>
    </row>
    <row r="21" spans="1:15">
      <c r="C21" s="448"/>
      <c r="D21" s="448"/>
      <c r="E21" s="448"/>
      <c r="F21" s="448"/>
      <c r="G21" s="448"/>
      <c r="H21" s="449"/>
      <c r="I21" s="449"/>
      <c r="J21" s="448"/>
      <c r="K21" s="448"/>
      <c r="L21" s="448"/>
      <c r="M21" s="448"/>
      <c r="N21" s="447"/>
      <c r="O21" s="461"/>
    </row>
    <row r="22" spans="1:15">
      <c r="B22" s="446" t="s">
        <v>176</v>
      </c>
      <c r="C22" s="448"/>
      <c r="D22" s="448"/>
      <c r="E22" s="448"/>
      <c r="F22" s="448"/>
      <c r="G22" s="448"/>
      <c r="H22" s="449"/>
      <c r="I22" s="449"/>
      <c r="J22" s="448"/>
      <c r="K22" s="448"/>
      <c r="L22" s="448"/>
      <c r="M22" s="448"/>
      <c r="N22" s="447"/>
      <c r="O22" s="461"/>
    </row>
    <row r="23" spans="1:15">
      <c r="A23" s="446">
        <v>5735</v>
      </c>
      <c r="B23" s="446" t="s">
        <v>907</v>
      </c>
      <c r="C23" s="448">
        <v>11406.91</v>
      </c>
      <c r="D23" s="448">
        <v>7125.7045446395241</v>
      </c>
      <c r="E23" s="448" t="s">
        <v>237</v>
      </c>
      <c r="F23" s="448">
        <v>3296.9129014863461</v>
      </c>
      <c r="G23" s="448" t="str">
        <f>+E23</f>
        <v>C</v>
      </c>
      <c r="H23" s="449">
        <v>0</v>
      </c>
      <c r="I23" s="449"/>
      <c r="J23" s="448">
        <v>0</v>
      </c>
      <c r="K23" s="448"/>
      <c r="L23" s="448">
        <v>0</v>
      </c>
      <c r="M23" s="448"/>
      <c r="N23" s="447">
        <v>10422.617446125871</v>
      </c>
      <c r="O23" s="461">
        <v>-984.29255387412923</v>
      </c>
    </row>
    <row r="24" spans="1:15">
      <c r="A24" s="446">
        <v>5740</v>
      </c>
      <c r="B24" s="446" t="s">
        <v>908</v>
      </c>
      <c r="C24" s="448">
        <v>2291.9899999999998</v>
      </c>
      <c r="D24" s="448">
        <v>587.62370067174572</v>
      </c>
      <c r="E24" s="448" t="s">
        <v>237</v>
      </c>
      <c r="F24" s="448">
        <v>1509.1074524714827</v>
      </c>
      <c r="G24" s="448" t="str">
        <f t="shared" ref="G24:G29" si="1">+E24</f>
        <v>C</v>
      </c>
      <c r="H24" s="449">
        <v>0</v>
      </c>
      <c r="I24" s="449"/>
      <c r="J24" s="448">
        <v>0</v>
      </c>
      <c r="K24" s="448"/>
      <c r="L24" s="448">
        <v>0</v>
      </c>
      <c r="M24" s="448"/>
      <c r="N24" s="447">
        <v>2096.7311531432283</v>
      </c>
      <c r="O24" s="461">
        <v>-195.25884685677147</v>
      </c>
    </row>
    <row r="25" spans="1:15">
      <c r="A25" s="446">
        <v>5745</v>
      </c>
      <c r="B25" s="446" t="s">
        <v>909</v>
      </c>
      <c r="C25" s="448">
        <v>12.59</v>
      </c>
      <c r="D25" s="448">
        <v>-773.27504542423708</v>
      </c>
      <c r="E25" s="448" t="s">
        <v>237</v>
      </c>
      <c r="F25" s="448">
        <v>706.51419789146212</v>
      </c>
      <c r="G25" s="448" t="str">
        <f t="shared" si="1"/>
        <v>C</v>
      </c>
      <c r="H25" s="449">
        <v>0</v>
      </c>
      <c r="I25" s="449"/>
      <c r="J25" s="448">
        <v>0</v>
      </c>
      <c r="K25" s="448"/>
      <c r="L25" s="448">
        <v>89.93</v>
      </c>
      <c r="M25" s="448" t="s">
        <v>237</v>
      </c>
      <c r="N25" s="447">
        <v>23.169152467225047</v>
      </c>
      <c r="O25" s="461">
        <v>10.579152467225047</v>
      </c>
    </row>
    <row r="26" spans="1:15">
      <c r="A26" s="446">
        <v>5750</v>
      </c>
      <c r="B26" s="446" t="s">
        <v>910</v>
      </c>
      <c r="C26" s="448">
        <v>360.36</v>
      </c>
      <c r="D26" s="448">
        <v>145.53072630860612</v>
      </c>
      <c r="E26" s="448" t="s">
        <v>237</v>
      </c>
      <c r="F26" s="448">
        <v>184.04888161078466</v>
      </c>
      <c r="G26" s="448" t="str">
        <f t="shared" si="1"/>
        <v>C</v>
      </c>
      <c r="H26" s="449">
        <v>0</v>
      </c>
      <c r="I26" s="449"/>
      <c r="J26" s="448">
        <v>0</v>
      </c>
      <c r="K26" s="448"/>
      <c r="L26" s="448">
        <v>0</v>
      </c>
      <c r="M26" s="448"/>
      <c r="N26" s="447">
        <v>329.57960791939081</v>
      </c>
      <c r="O26" s="461">
        <v>-30.780392080609204</v>
      </c>
    </row>
    <row r="27" spans="1:15">
      <c r="A27" s="446">
        <v>5755</v>
      </c>
      <c r="B27" s="446" t="s">
        <v>911</v>
      </c>
      <c r="C27" s="448">
        <v>71.150000000000006</v>
      </c>
      <c r="D27" s="448">
        <v>62.994985036442017</v>
      </c>
      <c r="E27" s="448" t="s">
        <v>237</v>
      </c>
      <c r="F27" s="448">
        <v>1.8559194607673695</v>
      </c>
      <c r="G27" s="448" t="str">
        <f t="shared" si="1"/>
        <v>C</v>
      </c>
      <c r="H27" s="449">
        <v>0</v>
      </c>
      <c r="I27" s="449"/>
      <c r="J27" s="448">
        <v>0</v>
      </c>
      <c r="K27" s="448"/>
      <c r="L27" s="448">
        <v>0</v>
      </c>
      <c r="M27" s="448"/>
      <c r="N27" s="447">
        <v>64.850904497209385</v>
      </c>
      <c r="O27" s="461">
        <v>-6.299095502790621</v>
      </c>
    </row>
    <row r="28" spans="1:15">
      <c r="A28" s="446">
        <v>5760</v>
      </c>
      <c r="B28" s="446" t="s">
        <v>912</v>
      </c>
      <c r="C28" s="448">
        <v>63.91</v>
      </c>
      <c r="D28" s="448">
        <v>58.271138107216963</v>
      </c>
      <c r="E28" s="448" t="s">
        <v>237</v>
      </c>
      <c r="F28" s="448">
        <v>0</v>
      </c>
      <c r="G28" s="448" t="str">
        <f t="shared" si="1"/>
        <v>C</v>
      </c>
      <c r="H28" s="449">
        <v>0</v>
      </c>
      <c r="I28" s="449"/>
      <c r="J28" s="448">
        <v>0</v>
      </c>
      <c r="K28" s="448"/>
      <c r="L28" s="448">
        <v>0</v>
      </c>
      <c r="M28" s="448"/>
      <c r="N28" s="447">
        <v>58.271138107216963</v>
      </c>
      <c r="O28" s="461">
        <v>-5.6388618927830336</v>
      </c>
    </row>
    <row r="29" spans="1:15">
      <c r="B29" s="450" t="s">
        <v>176</v>
      </c>
      <c r="C29" s="448">
        <v>14206.91</v>
      </c>
      <c r="D29" s="448">
        <v>7206.8500493392976</v>
      </c>
      <c r="E29" s="448" t="s">
        <v>237</v>
      </c>
      <c r="F29" s="448">
        <v>5698.4393529208419</v>
      </c>
      <c r="G29" s="448" t="str">
        <f t="shared" si="1"/>
        <v>C</v>
      </c>
      <c r="H29" s="449">
        <v>0</v>
      </c>
      <c r="I29" s="449"/>
      <c r="J29" s="448">
        <v>0</v>
      </c>
      <c r="K29" s="448"/>
      <c r="L29" s="448">
        <v>89.93</v>
      </c>
      <c r="M29" s="448" t="s">
        <v>237</v>
      </c>
      <c r="N29" s="447">
        <v>12995.21940226014</v>
      </c>
      <c r="O29" s="461">
        <v>-1211.6905977398601</v>
      </c>
    </row>
    <row r="30" spans="1:15">
      <c r="C30" s="448"/>
      <c r="D30" s="448"/>
      <c r="E30" s="448"/>
      <c r="F30" s="448"/>
      <c r="G30" s="448"/>
      <c r="H30" s="449"/>
      <c r="I30" s="449"/>
      <c r="J30" s="448"/>
      <c r="K30" s="448"/>
      <c r="L30" s="448"/>
      <c r="M30" s="448"/>
      <c r="N30" s="447"/>
      <c r="O30" s="461"/>
    </row>
    <row r="31" spans="1:15">
      <c r="B31" s="446" t="s">
        <v>177</v>
      </c>
      <c r="C31" s="448"/>
      <c r="D31" s="448"/>
      <c r="E31" s="448"/>
      <c r="F31" s="448"/>
      <c r="G31" s="448"/>
      <c r="H31" s="449"/>
      <c r="I31" s="449"/>
      <c r="J31" s="448"/>
      <c r="K31" s="448"/>
      <c r="L31" s="448"/>
      <c r="M31" s="448"/>
      <c r="N31" s="447"/>
      <c r="O31" s="461"/>
    </row>
    <row r="32" spans="1:15">
      <c r="A32" s="446">
        <v>5785</v>
      </c>
      <c r="B32" s="446" t="s">
        <v>913</v>
      </c>
      <c r="C32" s="448"/>
      <c r="D32" s="448">
        <v>0</v>
      </c>
      <c r="E32" s="448"/>
      <c r="F32" s="448">
        <v>0</v>
      </c>
      <c r="G32" s="448"/>
      <c r="H32" s="449">
        <v>0</v>
      </c>
      <c r="I32" s="449"/>
      <c r="J32" s="448">
        <v>0</v>
      </c>
      <c r="K32" s="448"/>
      <c r="L32" s="448">
        <v>0</v>
      </c>
      <c r="M32" s="448"/>
      <c r="N32" s="447">
        <v>0</v>
      </c>
      <c r="O32" s="461">
        <v>0</v>
      </c>
    </row>
    <row r="33" spans="1:15">
      <c r="A33" s="446">
        <v>5790</v>
      </c>
      <c r="B33" s="446" t="s">
        <v>914</v>
      </c>
      <c r="C33" s="448">
        <v>4716.2700000000004</v>
      </c>
      <c r="D33" s="448">
        <v>3889.1478385220362</v>
      </c>
      <c r="E33" s="448" t="s">
        <v>238</v>
      </c>
      <c r="F33" s="448">
        <v>414.28036208088486</v>
      </c>
      <c r="G33" s="448" t="str">
        <f>+E33</f>
        <v>D</v>
      </c>
      <c r="H33" s="449">
        <v>0</v>
      </c>
      <c r="I33" s="449"/>
      <c r="J33" s="448">
        <v>0</v>
      </c>
      <c r="K33" s="448"/>
      <c r="L33" s="448">
        <v>0</v>
      </c>
      <c r="M33" s="448"/>
      <c r="N33" s="447">
        <v>4303.4282006029207</v>
      </c>
      <c r="O33" s="461">
        <v>-412.84179939707974</v>
      </c>
    </row>
    <row r="34" spans="1:15">
      <c r="A34" s="446">
        <v>5795</v>
      </c>
      <c r="B34" s="446" t="s">
        <v>915</v>
      </c>
      <c r="C34" s="448"/>
      <c r="D34" s="448">
        <v>0</v>
      </c>
      <c r="E34" s="448"/>
      <c r="F34" s="448">
        <v>0</v>
      </c>
      <c r="G34" s="448"/>
      <c r="H34" s="449">
        <v>0</v>
      </c>
      <c r="I34" s="449"/>
      <c r="J34" s="448">
        <v>0</v>
      </c>
      <c r="K34" s="448"/>
      <c r="L34" s="448">
        <v>0</v>
      </c>
      <c r="M34" s="448"/>
      <c r="N34" s="447">
        <v>0</v>
      </c>
      <c r="O34" s="461">
        <v>0</v>
      </c>
    </row>
    <row r="35" spans="1:15">
      <c r="A35" s="446">
        <v>5800</v>
      </c>
      <c r="B35" s="446" t="s">
        <v>916</v>
      </c>
      <c r="C35" s="448">
        <v>246.01</v>
      </c>
      <c r="D35" s="448">
        <v>224.29375600258555</v>
      </c>
      <c r="E35" s="448" t="s">
        <v>238</v>
      </c>
      <c r="F35" s="448">
        <v>0</v>
      </c>
      <c r="G35" s="448" t="str">
        <f t="shared" ref="G35:G41" si="2">+E35</f>
        <v>D</v>
      </c>
      <c r="H35" s="449">
        <v>0</v>
      </c>
      <c r="I35" s="449"/>
      <c r="J35" s="448">
        <v>0</v>
      </c>
      <c r="K35" s="448"/>
      <c r="L35" s="448">
        <v>0</v>
      </c>
      <c r="M35" s="448"/>
      <c r="N35" s="447">
        <v>224.29375600258555</v>
      </c>
      <c r="O35" s="461">
        <v>-21.716243997414438</v>
      </c>
    </row>
    <row r="36" spans="1:15">
      <c r="A36" s="446">
        <v>5805</v>
      </c>
      <c r="B36" s="446" t="s">
        <v>917</v>
      </c>
      <c r="C36" s="448"/>
      <c r="D36" s="448">
        <v>0</v>
      </c>
      <c r="E36" s="448"/>
      <c r="F36" s="448">
        <v>0</v>
      </c>
      <c r="G36" s="448"/>
      <c r="H36" s="449">
        <v>0</v>
      </c>
      <c r="I36" s="449"/>
      <c r="J36" s="448">
        <v>0</v>
      </c>
      <c r="K36" s="448"/>
      <c r="L36" s="448">
        <v>0</v>
      </c>
      <c r="M36" s="448"/>
      <c r="N36" s="447">
        <v>0</v>
      </c>
      <c r="O36" s="461">
        <v>0</v>
      </c>
    </row>
    <row r="37" spans="1:15">
      <c r="A37" s="446">
        <v>5810</v>
      </c>
      <c r="B37" s="446" t="s">
        <v>918</v>
      </c>
      <c r="C37" s="448">
        <v>8.5299999999999994</v>
      </c>
      <c r="D37" s="448">
        <v>3.2569180202291803</v>
      </c>
      <c r="E37" s="448" t="s">
        <v>238</v>
      </c>
      <c r="F37" s="448">
        <v>4.5703594884203245</v>
      </c>
      <c r="G37" s="448" t="str">
        <f t="shared" si="2"/>
        <v>D</v>
      </c>
      <c r="H37" s="449">
        <v>0</v>
      </c>
      <c r="I37" s="449"/>
      <c r="J37" s="448">
        <v>0</v>
      </c>
      <c r="K37" s="448"/>
      <c r="L37" s="448">
        <v>0</v>
      </c>
      <c r="M37" s="448"/>
      <c r="N37" s="447">
        <v>7.8272775086495052</v>
      </c>
      <c r="O37" s="461">
        <v>-0.70272249135049414</v>
      </c>
    </row>
    <row r="38" spans="1:15">
      <c r="A38" s="446">
        <v>5815</v>
      </c>
      <c r="B38" s="446" t="s">
        <v>919</v>
      </c>
      <c r="C38" s="448">
        <v>-0.45</v>
      </c>
      <c r="D38" s="448">
        <v>0</v>
      </c>
      <c r="E38" s="448"/>
      <c r="F38" s="448">
        <v>0</v>
      </c>
      <c r="G38" s="448"/>
      <c r="H38" s="449">
        <v>0</v>
      </c>
      <c r="I38" s="449"/>
      <c r="J38" s="448">
        <v>0</v>
      </c>
      <c r="K38" s="448"/>
      <c r="L38" s="448">
        <v>0</v>
      </c>
      <c r="M38" s="448"/>
      <c r="N38" s="447">
        <v>0</v>
      </c>
      <c r="O38" s="461">
        <v>0.45</v>
      </c>
    </row>
    <row r="39" spans="1:15">
      <c r="A39" s="446">
        <v>5820</v>
      </c>
      <c r="B39" s="446" t="s">
        <v>920</v>
      </c>
      <c r="C39" s="448">
        <v>1831.21</v>
      </c>
      <c r="D39" s="448">
        <v>1296.2400887380109</v>
      </c>
      <c r="E39" s="448" t="s">
        <v>238</v>
      </c>
      <c r="F39" s="448">
        <v>320.22438385758721</v>
      </c>
      <c r="G39" s="448" t="str">
        <f t="shared" si="2"/>
        <v>D</v>
      </c>
      <c r="H39" s="449">
        <v>56.613106930383715</v>
      </c>
      <c r="I39" s="449" t="str">
        <f>+G39</f>
        <v>D</v>
      </c>
      <c r="J39" s="448">
        <v>0</v>
      </c>
      <c r="K39" s="448"/>
      <c r="L39" s="448">
        <v>0</v>
      </c>
      <c r="M39" s="448"/>
      <c r="N39" s="447">
        <v>1673.0775795259819</v>
      </c>
      <c r="O39" s="461">
        <v>-158.13242047401809</v>
      </c>
    </row>
    <row r="40" spans="1:15">
      <c r="A40" s="446">
        <v>5825</v>
      </c>
      <c r="B40" s="446" t="s">
        <v>921</v>
      </c>
      <c r="C40" s="448">
        <v>625.64</v>
      </c>
      <c r="D40" s="448">
        <v>259.69328443130661</v>
      </c>
      <c r="E40" s="448" t="s">
        <v>238</v>
      </c>
      <c r="F40" s="448">
        <v>312.38078845489116</v>
      </c>
      <c r="G40" s="448" t="str">
        <f t="shared" si="2"/>
        <v>D</v>
      </c>
      <c r="H40" s="449">
        <v>0</v>
      </c>
      <c r="I40" s="449"/>
      <c r="J40" s="448">
        <v>0</v>
      </c>
      <c r="K40" s="448"/>
      <c r="L40" s="448">
        <v>0</v>
      </c>
      <c r="M40" s="448"/>
      <c r="N40" s="447">
        <v>572.07407288619777</v>
      </c>
      <c r="O40" s="461">
        <v>-53.565927113802218</v>
      </c>
    </row>
    <row r="41" spans="1:15">
      <c r="B41" s="450" t="s">
        <v>177</v>
      </c>
      <c r="C41" s="448">
        <v>7427.21</v>
      </c>
      <c r="D41" s="448">
        <v>5672.6318857141687</v>
      </c>
      <c r="E41" s="448" t="s">
        <v>238</v>
      </c>
      <c r="F41" s="448">
        <v>1051.4558938817836</v>
      </c>
      <c r="G41" s="448" t="str">
        <f t="shared" si="2"/>
        <v>D</v>
      </c>
      <c r="H41" s="449">
        <v>56.613106930383715</v>
      </c>
      <c r="I41" s="449" t="str">
        <f>+I39</f>
        <v>D</v>
      </c>
      <c r="J41" s="448">
        <v>0</v>
      </c>
      <c r="K41" s="448"/>
      <c r="L41" s="448">
        <v>0</v>
      </c>
      <c r="M41" s="448"/>
      <c r="N41" s="447">
        <v>6780.700886526336</v>
      </c>
      <c r="O41" s="461">
        <v>-646.509113473664</v>
      </c>
    </row>
    <row r="42" spans="1:15">
      <c r="C42" s="448"/>
      <c r="D42" s="448"/>
      <c r="E42" s="448"/>
      <c r="F42" s="448"/>
      <c r="G42" s="448"/>
      <c r="H42" s="449"/>
      <c r="I42" s="449"/>
      <c r="J42" s="448"/>
      <c r="K42" s="448"/>
      <c r="L42" s="448"/>
      <c r="M42" s="448"/>
      <c r="N42" s="447"/>
      <c r="O42" s="461"/>
    </row>
    <row r="43" spans="1:15">
      <c r="B43" s="446" t="s">
        <v>178</v>
      </c>
      <c r="C43" s="448"/>
      <c r="D43" s="448"/>
      <c r="E43" s="448"/>
      <c r="F43" s="448"/>
      <c r="G43" s="448"/>
      <c r="H43" s="449"/>
      <c r="I43" s="449"/>
      <c r="J43" s="448"/>
      <c r="K43" s="448"/>
      <c r="L43" s="448"/>
      <c r="M43" s="448"/>
      <c r="N43" s="447"/>
      <c r="O43" s="461"/>
    </row>
    <row r="44" spans="1:15">
      <c r="A44" s="446">
        <v>5855</v>
      </c>
      <c r="B44" s="446" t="s">
        <v>922</v>
      </c>
      <c r="C44" s="448">
        <v>31.14</v>
      </c>
      <c r="D44" s="448">
        <v>28.384435286265131</v>
      </c>
      <c r="E44" s="448" t="s">
        <v>239</v>
      </c>
      <c r="F44" s="448">
        <v>0</v>
      </c>
      <c r="G44" s="448" t="str">
        <f>+E44</f>
        <v>E</v>
      </c>
      <c r="H44" s="449">
        <v>0</v>
      </c>
      <c r="I44" s="449"/>
      <c r="J44" s="448">
        <v>0</v>
      </c>
      <c r="K44" s="448"/>
      <c r="L44" s="448">
        <v>0</v>
      </c>
      <c r="M44" s="448"/>
      <c r="N44" s="447">
        <v>28.384435286265131</v>
      </c>
      <c r="O44" s="461">
        <v>-2.75556471373487</v>
      </c>
    </row>
    <row r="45" spans="1:15">
      <c r="A45" s="446">
        <v>5860</v>
      </c>
      <c r="B45" s="446" t="s">
        <v>923</v>
      </c>
      <c r="C45" s="448">
        <v>51.77</v>
      </c>
      <c r="D45" s="448">
        <v>24.179890714709551</v>
      </c>
      <c r="E45" s="448" t="s">
        <v>239</v>
      </c>
      <c r="F45" s="448">
        <v>23.063397511234015</v>
      </c>
      <c r="G45" s="448" t="str">
        <f t="shared" ref="G45:G54" si="3">+E45</f>
        <v>E</v>
      </c>
      <c r="H45" s="449">
        <v>0</v>
      </c>
      <c r="I45" s="449"/>
      <c r="J45" s="448">
        <v>0</v>
      </c>
      <c r="K45" s="448"/>
      <c r="L45" s="448">
        <v>0</v>
      </c>
      <c r="M45" s="448"/>
      <c r="N45" s="447">
        <v>47.243288225943566</v>
      </c>
      <c r="O45" s="461">
        <v>-4.5267117740564373</v>
      </c>
    </row>
    <row r="46" spans="1:15">
      <c r="A46" s="446">
        <v>5865</v>
      </c>
      <c r="B46" s="446" t="s">
        <v>924</v>
      </c>
      <c r="C46" s="448">
        <v>57.34</v>
      </c>
      <c r="D46" s="448">
        <v>52.271591853408104</v>
      </c>
      <c r="E46" s="448" t="s">
        <v>239</v>
      </c>
      <c r="F46" s="448">
        <v>0</v>
      </c>
      <c r="G46" s="448" t="str">
        <f t="shared" si="3"/>
        <v>E</v>
      </c>
      <c r="H46" s="449">
        <v>0</v>
      </c>
      <c r="I46" s="449"/>
      <c r="J46" s="448">
        <v>0</v>
      </c>
      <c r="K46" s="448"/>
      <c r="L46" s="448">
        <v>0</v>
      </c>
      <c r="M46" s="448"/>
      <c r="N46" s="447">
        <v>52.271591853408104</v>
      </c>
      <c r="O46" s="461">
        <v>-5.0684081465918993</v>
      </c>
    </row>
    <row r="47" spans="1:15">
      <c r="A47" s="446">
        <v>5870</v>
      </c>
      <c r="B47" s="446" t="s">
        <v>925</v>
      </c>
      <c r="C47" s="448"/>
      <c r="D47" s="448">
        <v>0</v>
      </c>
      <c r="E47" s="448" t="s">
        <v>239</v>
      </c>
      <c r="F47" s="448">
        <v>0</v>
      </c>
      <c r="G47" s="448" t="str">
        <f t="shared" si="3"/>
        <v>E</v>
      </c>
      <c r="H47" s="449">
        <v>0</v>
      </c>
      <c r="I47" s="449"/>
      <c r="J47" s="448">
        <v>0</v>
      </c>
      <c r="K47" s="448"/>
      <c r="L47" s="448">
        <v>0</v>
      </c>
      <c r="M47" s="448"/>
      <c r="N47" s="447">
        <v>0</v>
      </c>
      <c r="O47" s="461">
        <v>0</v>
      </c>
    </row>
    <row r="48" spans="1:15">
      <c r="A48" s="446">
        <v>5875</v>
      </c>
      <c r="B48" s="446" t="s">
        <v>926</v>
      </c>
      <c r="C48" s="448">
        <v>14.05</v>
      </c>
      <c r="D48" s="448">
        <v>0</v>
      </c>
      <c r="E48" s="448" t="s">
        <v>239</v>
      </c>
      <c r="F48" s="448">
        <v>12.805339267196681</v>
      </c>
      <c r="G48" s="448" t="str">
        <f t="shared" si="3"/>
        <v>E</v>
      </c>
      <c r="H48" s="449">
        <v>0</v>
      </c>
      <c r="I48" s="449"/>
      <c r="J48" s="448">
        <v>0</v>
      </c>
      <c r="K48" s="448"/>
      <c r="L48" s="448">
        <v>0</v>
      </c>
      <c r="M48" s="448"/>
      <c r="N48" s="447">
        <v>12.805339267196681</v>
      </c>
      <c r="O48" s="461">
        <v>-1.2446607328033199</v>
      </c>
    </row>
    <row r="49" spans="1:15">
      <c r="A49" s="446">
        <v>5880</v>
      </c>
      <c r="B49" s="446" t="s">
        <v>927</v>
      </c>
      <c r="C49" s="448">
        <v>60.3</v>
      </c>
      <c r="D49" s="448">
        <v>21.770347825407256</v>
      </c>
      <c r="E49" s="448" t="s">
        <v>239</v>
      </c>
      <c r="F49" s="448">
        <v>28.393547701348076</v>
      </c>
      <c r="G49" s="448" t="str">
        <f t="shared" si="3"/>
        <v>E</v>
      </c>
      <c r="H49" s="449">
        <v>528.82968942476862</v>
      </c>
      <c r="I49" s="449" t="str">
        <f>+G49</f>
        <v>E</v>
      </c>
      <c r="J49" s="448">
        <v>-522.51353460801579</v>
      </c>
      <c r="K49" s="448" t="s">
        <v>239</v>
      </c>
      <c r="L49" s="448">
        <v>0</v>
      </c>
      <c r="M49" s="448"/>
      <c r="N49" s="447">
        <v>56.480050343508196</v>
      </c>
      <c r="O49" s="461">
        <v>-3.8199496564918007</v>
      </c>
    </row>
    <row r="50" spans="1:15">
      <c r="A50" s="446">
        <v>5885</v>
      </c>
      <c r="B50" s="446" t="s">
        <v>928</v>
      </c>
      <c r="C50" s="448">
        <v>66.599999999999994</v>
      </c>
      <c r="D50" s="448">
        <v>27.922025609672374</v>
      </c>
      <c r="E50" s="448" t="s">
        <v>239</v>
      </c>
      <c r="F50" s="448">
        <v>33.106068095402691</v>
      </c>
      <c r="G50" s="448" t="str">
        <f t="shared" si="3"/>
        <v>E</v>
      </c>
      <c r="H50" s="449">
        <v>0</v>
      </c>
      <c r="I50" s="449"/>
      <c r="J50" s="448">
        <v>0</v>
      </c>
      <c r="K50" s="448"/>
      <c r="L50" s="448">
        <v>0</v>
      </c>
      <c r="M50" s="448"/>
      <c r="N50" s="447">
        <v>61.028093705075065</v>
      </c>
      <c r="O50" s="461">
        <v>-5.5719062949249292</v>
      </c>
    </row>
    <row r="51" spans="1:15">
      <c r="A51" s="446">
        <v>5890</v>
      </c>
      <c r="B51" s="446" t="s">
        <v>929</v>
      </c>
      <c r="C51" s="448">
        <v>52.16</v>
      </c>
      <c r="D51" s="448">
        <v>21.367337115401213</v>
      </c>
      <c r="E51" s="448" t="s">
        <v>239</v>
      </c>
      <c r="F51" s="448">
        <v>26.455311268579329</v>
      </c>
      <c r="G51" s="448" t="str">
        <f t="shared" si="3"/>
        <v>E</v>
      </c>
      <c r="H51" s="449">
        <v>0</v>
      </c>
      <c r="I51" s="449"/>
      <c r="J51" s="448">
        <v>0</v>
      </c>
      <c r="K51" s="448"/>
      <c r="L51" s="448">
        <v>0</v>
      </c>
      <c r="M51" s="448"/>
      <c r="N51" s="447">
        <v>47.822648383980543</v>
      </c>
      <c r="O51" s="461">
        <v>-4.3373516160194541</v>
      </c>
    </row>
    <row r="52" spans="1:15">
      <c r="A52" s="446">
        <v>5895</v>
      </c>
      <c r="B52" s="446" t="s">
        <v>930</v>
      </c>
      <c r="C52" s="448">
        <v>9.4600000000000009</v>
      </c>
      <c r="D52" s="448">
        <v>0.22030249632792992</v>
      </c>
      <c r="E52" s="448" t="s">
        <v>239</v>
      </c>
      <c r="F52" s="448">
        <v>8.5013736605599721</v>
      </c>
      <c r="G52" s="448" t="str">
        <f t="shared" si="3"/>
        <v>E</v>
      </c>
      <c r="H52" s="449">
        <v>0</v>
      </c>
      <c r="I52" s="449"/>
      <c r="J52" s="448">
        <v>0</v>
      </c>
      <c r="K52" s="448"/>
      <c r="L52" s="448">
        <v>0</v>
      </c>
      <c r="M52" s="448"/>
      <c r="N52" s="447">
        <v>8.7216761568879022</v>
      </c>
      <c r="O52" s="461">
        <v>-0.73832384311209864</v>
      </c>
    </row>
    <row r="53" spans="1:15">
      <c r="A53" s="446">
        <v>5900</v>
      </c>
      <c r="B53" s="446" t="s">
        <v>931</v>
      </c>
      <c r="C53" s="448">
        <v>1272.68</v>
      </c>
      <c r="D53" s="448">
        <v>599.81552653508152</v>
      </c>
      <c r="E53" s="448" t="s">
        <v>239</v>
      </c>
      <c r="F53" s="448">
        <v>559.27059799516064</v>
      </c>
      <c r="G53" s="448" t="str">
        <f t="shared" si="3"/>
        <v>E</v>
      </c>
      <c r="H53" s="449">
        <v>3.467611820656697</v>
      </c>
      <c r="I53" s="449" t="s">
        <v>239</v>
      </c>
      <c r="J53" s="448">
        <v>0</v>
      </c>
      <c r="K53" s="448"/>
      <c r="L53" s="448">
        <v>0</v>
      </c>
      <c r="M53" s="448"/>
      <c r="N53" s="447">
        <v>1162.5537363508988</v>
      </c>
      <c r="O53" s="461">
        <v>-110.12626364910125</v>
      </c>
    </row>
    <row r="54" spans="1:15">
      <c r="B54" s="450" t="s">
        <v>178</v>
      </c>
      <c r="C54" s="448">
        <v>1615.5</v>
      </c>
      <c r="D54" s="448">
        <v>775.93145743627304</v>
      </c>
      <c r="E54" s="448" t="s">
        <v>239</v>
      </c>
      <c r="F54" s="448">
        <v>691.59563549948143</v>
      </c>
      <c r="G54" s="448" t="str">
        <f t="shared" si="3"/>
        <v>E</v>
      </c>
      <c r="H54" s="449">
        <v>532.29730124542527</v>
      </c>
      <c r="I54" s="449" t="s">
        <v>239</v>
      </c>
      <c r="J54" s="448">
        <v>-522.51353460801579</v>
      </c>
      <c r="K54" s="448" t="s">
        <v>239</v>
      </c>
      <c r="L54" s="448">
        <v>0</v>
      </c>
      <c r="M54" s="448"/>
      <c r="N54" s="447">
        <v>1477.310859573164</v>
      </c>
      <c r="O54" s="461">
        <v>-138.18914042683605</v>
      </c>
    </row>
    <row r="55" spans="1:15">
      <c r="C55" s="448"/>
      <c r="D55" s="448"/>
      <c r="E55" s="448"/>
      <c r="F55" s="448"/>
      <c r="G55" s="448"/>
      <c r="H55" s="449"/>
      <c r="I55" s="449"/>
      <c r="J55" s="448"/>
      <c r="K55" s="448"/>
      <c r="L55" s="448"/>
      <c r="M55" s="448"/>
      <c r="N55" s="447"/>
      <c r="O55" s="461"/>
    </row>
    <row r="56" spans="1:15">
      <c r="B56" s="446" t="s">
        <v>179</v>
      </c>
      <c r="C56" s="448"/>
      <c r="D56" s="448"/>
      <c r="E56" s="448"/>
      <c r="F56" s="448"/>
      <c r="G56" s="448"/>
      <c r="H56" s="449"/>
      <c r="I56" s="449"/>
      <c r="J56" s="448"/>
      <c r="K56" s="448"/>
      <c r="L56" s="448"/>
      <c r="M56" s="448"/>
      <c r="N56" s="447"/>
      <c r="O56" s="461"/>
    </row>
    <row r="57" spans="1:15">
      <c r="A57" s="446">
        <v>5930</v>
      </c>
      <c r="B57" s="446" t="s">
        <v>932</v>
      </c>
      <c r="C57" s="448">
        <v>492.51</v>
      </c>
      <c r="D57" s="448">
        <v>239.05327137090384</v>
      </c>
      <c r="E57" s="448" t="s">
        <v>869</v>
      </c>
      <c r="F57" s="448">
        <v>211.06273625993776</v>
      </c>
      <c r="G57" s="448" t="str">
        <f>+E57</f>
        <v>F</v>
      </c>
      <c r="H57" s="449">
        <v>0</v>
      </c>
      <c r="I57" s="449"/>
      <c r="J57" s="448">
        <v>0</v>
      </c>
      <c r="K57" s="448"/>
      <c r="L57" s="448">
        <v>0</v>
      </c>
      <c r="M57" s="448"/>
      <c r="N57" s="447">
        <v>450.11600763084164</v>
      </c>
      <c r="O57" s="461">
        <v>-42.393992369158354</v>
      </c>
    </row>
    <row r="58" spans="1:15">
      <c r="A58" s="446">
        <v>5935</v>
      </c>
      <c r="B58" s="446" t="s">
        <v>933</v>
      </c>
      <c r="C58" s="448">
        <v>138.72999999999999</v>
      </c>
      <c r="D58" s="448">
        <v>76.71514380376837</v>
      </c>
      <c r="E58" s="448" t="s">
        <v>869</v>
      </c>
      <c r="F58" s="448">
        <v>50.26334911856204</v>
      </c>
      <c r="G58" s="448" t="str">
        <f t="shared" ref="G58:G69" si="4">+E58</f>
        <v>F</v>
      </c>
      <c r="H58" s="449">
        <v>0</v>
      </c>
      <c r="I58" s="449"/>
      <c r="J58" s="448">
        <v>0</v>
      </c>
      <c r="K58" s="448"/>
      <c r="L58" s="448">
        <v>0</v>
      </c>
      <c r="M58" s="448"/>
      <c r="N58" s="447">
        <v>126.97849292233042</v>
      </c>
      <c r="O58" s="461">
        <v>-11.751507077669572</v>
      </c>
    </row>
    <row r="59" spans="1:15">
      <c r="A59" s="446">
        <v>5940</v>
      </c>
      <c r="B59" s="446" t="s">
        <v>934</v>
      </c>
      <c r="C59" s="448">
        <v>14.18</v>
      </c>
      <c r="D59" s="448">
        <v>8.5795165577903276</v>
      </c>
      <c r="E59" s="448" t="s">
        <v>869</v>
      </c>
      <c r="F59" s="448">
        <v>4.3774448669201504</v>
      </c>
      <c r="G59" s="448" t="str">
        <f t="shared" si="4"/>
        <v>F</v>
      </c>
      <c r="H59" s="449">
        <v>0</v>
      </c>
      <c r="I59" s="449"/>
      <c r="J59" s="448">
        <v>0</v>
      </c>
      <c r="K59" s="448"/>
      <c r="L59" s="448">
        <v>0</v>
      </c>
      <c r="M59" s="448"/>
      <c r="N59" s="447">
        <v>12.956961424710478</v>
      </c>
      <c r="O59" s="461">
        <v>-1.2230385752895216</v>
      </c>
    </row>
    <row r="60" spans="1:15">
      <c r="A60" s="446">
        <v>5945</v>
      </c>
      <c r="B60" s="446" t="s">
        <v>935</v>
      </c>
      <c r="C60" s="448">
        <v>6288.1</v>
      </c>
      <c r="D60" s="448">
        <v>2505.8692159646175</v>
      </c>
      <c r="E60" s="448" t="s">
        <v>869</v>
      </c>
      <c r="F60" s="448">
        <v>2891.9328422053236</v>
      </c>
      <c r="G60" s="448" t="str">
        <f t="shared" si="4"/>
        <v>F</v>
      </c>
      <c r="H60" s="449">
        <v>17.746013435125448</v>
      </c>
      <c r="I60" s="449" t="s">
        <v>869</v>
      </c>
      <c r="J60" s="448">
        <v>0</v>
      </c>
      <c r="K60" s="448"/>
      <c r="L60" s="448">
        <v>364.55</v>
      </c>
      <c r="M60" s="448" t="s">
        <v>869</v>
      </c>
      <c r="N60" s="447">
        <v>5780.0980716050672</v>
      </c>
      <c r="O60" s="461">
        <v>-508.0019283949332</v>
      </c>
    </row>
    <row r="61" spans="1:15">
      <c r="A61" s="446">
        <v>5950</v>
      </c>
      <c r="B61" s="446" t="s">
        <v>936</v>
      </c>
      <c r="C61" s="448">
        <v>72.290000000000006</v>
      </c>
      <c r="D61" s="448">
        <v>57.988178473139335</v>
      </c>
      <c r="E61" s="448" t="s">
        <v>869</v>
      </c>
      <c r="F61" s="448">
        <v>7.9903014172139661</v>
      </c>
      <c r="G61" s="448" t="str">
        <f t="shared" si="4"/>
        <v>F</v>
      </c>
      <c r="H61" s="449">
        <v>0</v>
      </c>
      <c r="I61" s="449"/>
      <c r="J61" s="448">
        <v>0</v>
      </c>
      <c r="K61" s="448"/>
      <c r="L61" s="448">
        <v>0</v>
      </c>
      <c r="M61" s="448"/>
      <c r="N61" s="447">
        <v>65.978479890353299</v>
      </c>
      <c r="O61" s="461">
        <v>-6.3115201096467075</v>
      </c>
    </row>
    <row r="62" spans="1:15">
      <c r="A62" s="446">
        <v>5955</v>
      </c>
      <c r="B62" s="446" t="s">
        <v>937</v>
      </c>
      <c r="C62" s="448">
        <v>356.39</v>
      </c>
      <c r="D62" s="448">
        <v>261.58101867742943</v>
      </c>
      <c r="E62" s="448" t="s">
        <v>869</v>
      </c>
      <c r="F62" s="448">
        <v>63.606273764258553</v>
      </c>
      <c r="G62" s="448" t="str">
        <f t="shared" si="4"/>
        <v>F</v>
      </c>
      <c r="H62" s="449">
        <v>0</v>
      </c>
      <c r="I62" s="449"/>
      <c r="J62" s="448">
        <v>0</v>
      </c>
      <c r="K62" s="448"/>
      <c r="L62" s="448">
        <v>0</v>
      </c>
      <c r="M62" s="448"/>
      <c r="N62" s="447">
        <v>325.18729244168799</v>
      </c>
      <c r="O62" s="461">
        <v>-31.202707558311999</v>
      </c>
    </row>
    <row r="63" spans="1:15">
      <c r="A63" s="446">
        <v>5960</v>
      </c>
      <c r="B63" s="446" t="s">
        <v>938</v>
      </c>
      <c r="C63" s="448">
        <v>121.4</v>
      </c>
      <c r="D63" s="448">
        <v>103.85044639185558</v>
      </c>
      <c r="E63" s="448" t="s">
        <v>869</v>
      </c>
      <c r="F63" s="448">
        <v>6.8681645350846869</v>
      </c>
      <c r="G63" s="448" t="str">
        <f t="shared" si="4"/>
        <v>F</v>
      </c>
      <c r="H63" s="449">
        <v>0</v>
      </c>
      <c r="I63" s="449"/>
      <c r="J63" s="448">
        <v>0</v>
      </c>
      <c r="K63" s="448"/>
      <c r="L63" s="448">
        <v>0</v>
      </c>
      <c r="M63" s="448"/>
      <c r="N63" s="447">
        <v>110.71861092694027</v>
      </c>
      <c r="O63" s="461">
        <v>-10.681389073059734</v>
      </c>
    </row>
    <row r="64" spans="1:15">
      <c r="A64" s="446">
        <v>5965</v>
      </c>
      <c r="B64" s="446" t="s">
        <v>939</v>
      </c>
      <c r="C64" s="448">
        <v>564.97</v>
      </c>
      <c r="D64" s="448">
        <v>238.61617517796196</v>
      </c>
      <c r="E64" s="448" t="s">
        <v>869</v>
      </c>
      <c r="F64" s="448">
        <v>277.54656895955753</v>
      </c>
      <c r="G64" s="448" t="str">
        <f t="shared" si="4"/>
        <v>F</v>
      </c>
      <c r="H64" s="449">
        <v>0</v>
      </c>
      <c r="I64" s="449"/>
      <c r="J64" s="448">
        <v>0</v>
      </c>
      <c r="K64" s="448"/>
      <c r="L64" s="448">
        <v>0</v>
      </c>
      <c r="M64" s="448"/>
      <c r="N64" s="447">
        <v>516.16274413751944</v>
      </c>
      <c r="O64" s="461">
        <v>-48.807255862480588</v>
      </c>
    </row>
    <row r="65" spans="1:15">
      <c r="A65" s="446">
        <v>5970</v>
      </c>
      <c r="B65" s="446" t="s">
        <v>940</v>
      </c>
      <c r="C65" s="448">
        <v>510.32</v>
      </c>
      <c r="D65" s="448">
        <v>276.36860444345962</v>
      </c>
      <c r="E65" s="448" t="s">
        <v>869</v>
      </c>
      <c r="F65" s="448">
        <v>190.01080193570687</v>
      </c>
      <c r="G65" s="448" t="str">
        <f t="shared" si="4"/>
        <v>F</v>
      </c>
      <c r="H65" s="449">
        <v>0</v>
      </c>
      <c r="I65" s="449"/>
      <c r="J65" s="448">
        <v>0</v>
      </c>
      <c r="K65" s="448"/>
      <c r="L65" s="448">
        <v>0</v>
      </c>
      <c r="M65" s="448"/>
      <c r="N65" s="447">
        <v>466.37940637916648</v>
      </c>
      <c r="O65" s="461">
        <v>-43.940593620833511</v>
      </c>
    </row>
    <row r="66" spans="1:15">
      <c r="A66" s="446">
        <v>5975</v>
      </c>
      <c r="B66" s="446" t="s">
        <v>242</v>
      </c>
      <c r="C66" s="448">
        <v>342.84</v>
      </c>
      <c r="D66" s="448">
        <v>58.977910621033523</v>
      </c>
      <c r="E66" s="448" t="s">
        <v>869</v>
      </c>
      <c r="F66" s="448">
        <v>254.06931403387486</v>
      </c>
      <c r="G66" s="448" t="str">
        <f t="shared" si="4"/>
        <v>F</v>
      </c>
      <c r="H66" s="449">
        <v>0</v>
      </c>
      <c r="I66" s="449"/>
      <c r="J66" s="448">
        <v>0</v>
      </c>
      <c r="K66" s="448"/>
      <c r="L66" s="448">
        <v>0</v>
      </c>
      <c r="M66" s="448"/>
      <c r="N66" s="447">
        <v>313.0472246549084</v>
      </c>
      <c r="O66" s="461">
        <v>-29.79277534509157</v>
      </c>
    </row>
    <row r="67" spans="1:15">
      <c r="A67" s="446">
        <v>5980</v>
      </c>
      <c r="B67" s="446" t="s">
        <v>243</v>
      </c>
      <c r="C67" s="448">
        <v>79.78</v>
      </c>
      <c r="D67" s="448">
        <v>0</v>
      </c>
      <c r="E67" s="448" t="s">
        <v>869</v>
      </c>
      <c r="F67" s="448">
        <v>0</v>
      </c>
      <c r="G67" s="448" t="str">
        <f t="shared" si="4"/>
        <v>F</v>
      </c>
      <c r="H67" s="449">
        <v>0</v>
      </c>
      <c r="I67" s="449"/>
      <c r="J67" s="448">
        <v>73.59197387200885</v>
      </c>
      <c r="K67" s="448" t="s">
        <v>869</v>
      </c>
      <c r="L67" s="448">
        <v>0</v>
      </c>
      <c r="M67" s="448"/>
      <c r="N67" s="447">
        <v>73.59197387200885</v>
      </c>
      <c r="O67" s="461">
        <v>-6.1880261279911508</v>
      </c>
    </row>
    <row r="68" spans="1:15">
      <c r="A68" s="446">
        <v>5985</v>
      </c>
      <c r="B68" s="446" t="s">
        <v>244</v>
      </c>
      <c r="C68" s="448"/>
      <c r="D68" s="448">
        <v>0</v>
      </c>
      <c r="E68" s="448" t="s">
        <v>869</v>
      </c>
      <c r="F68" s="448">
        <v>0</v>
      </c>
      <c r="G68" s="448" t="str">
        <f t="shared" si="4"/>
        <v>F</v>
      </c>
      <c r="H68" s="449">
        <v>0</v>
      </c>
      <c r="I68" s="449"/>
      <c r="J68" s="448">
        <v>0</v>
      </c>
      <c r="K68" s="448"/>
      <c r="L68" s="448">
        <v>0</v>
      </c>
      <c r="M68" s="448"/>
      <c r="N68" s="447">
        <v>0</v>
      </c>
      <c r="O68" s="461">
        <v>0</v>
      </c>
    </row>
    <row r="69" spans="1:15">
      <c r="B69" s="450" t="s">
        <v>179</v>
      </c>
      <c r="C69" s="448">
        <v>8981.51</v>
      </c>
      <c r="D69" s="448">
        <v>3827.5994814819596</v>
      </c>
      <c r="E69" s="448" t="s">
        <v>869</v>
      </c>
      <c r="F69" s="448">
        <v>3957.7277970964406</v>
      </c>
      <c r="G69" s="448" t="str">
        <f t="shared" si="4"/>
        <v>F</v>
      </c>
      <c r="H69" s="449">
        <v>17.746013435125448</v>
      </c>
      <c r="I69" s="449" t="s">
        <v>869</v>
      </c>
      <c r="J69" s="448">
        <v>73.59197387200885</v>
      </c>
      <c r="K69" s="448" t="s">
        <v>869</v>
      </c>
      <c r="L69" s="448">
        <v>364.55</v>
      </c>
      <c r="M69" s="448" t="s">
        <v>869</v>
      </c>
      <c r="N69" s="447">
        <v>8241.2152658855339</v>
      </c>
      <c r="O69" s="461">
        <v>-740.29473411446634</v>
      </c>
    </row>
    <row r="70" spans="1:15">
      <c r="C70" s="448"/>
      <c r="D70" s="448"/>
      <c r="E70" s="448"/>
      <c r="F70" s="448"/>
      <c r="G70" s="448"/>
      <c r="H70" s="449"/>
      <c r="I70" s="449"/>
      <c r="J70" s="448"/>
      <c r="K70" s="448"/>
      <c r="L70" s="448"/>
      <c r="M70" s="448"/>
      <c r="N70" s="447"/>
      <c r="O70" s="461"/>
    </row>
    <row r="71" spans="1:15">
      <c r="B71" s="446" t="s">
        <v>180</v>
      </c>
      <c r="C71" s="448"/>
      <c r="D71" s="448"/>
      <c r="E71" s="448"/>
      <c r="F71" s="448"/>
      <c r="G71" s="448"/>
      <c r="H71" s="449"/>
      <c r="I71" s="449"/>
      <c r="J71" s="448"/>
      <c r="K71" s="448"/>
      <c r="L71" s="448"/>
      <c r="M71" s="448"/>
      <c r="N71" s="447"/>
      <c r="O71" s="461"/>
    </row>
    <row r="72" spans="1:15">
      <c r="A72" s="446">
        <v>6005</v>
      </c>
      <c r="B72" s="446" t="s">
        <v>245</v>
      </c>
      <c r="C72" s="448"/>
      <c r="D72" s="448">
        <v>0</v>
      </c>
      <c r="E72" s="448"/>
      <c r="F72" s="448">
        <v>0</v>
      </c>
      <c r="G72" s="448"/>
      <c r="H72" s="449">
        <v>0</v>
      </c>
      <c r="I72" s="449"/>
      <c r="J72" s="448">
        <v>0</v>
      </c>
      <c r="K72" s="448"/>
      <c r="L72" s="448">
        <v>0</v>
      </c>
      <c r="M72" s="448"/>
      <c r="N72" s="447">
        <v>0</v>
      </c>
      <c r="O72" s="461">
        <v>0</v>
      </c>
    </row>
    <row r="73" spans="1:15">
      <c r="A73" s="446">
        <v>6010</v>
      </c>
      <c r="B73" s="446" t="s">
        <v>246</v>
      </c>
      <c r="C73" s="448">
        <v>2243.29</v>
      </c>
      <c r="D73" s="448">
        <v>2681.7254956869742</v>
      </c>
      <c r="E73" s="448" t="s">
        <v>870</v>
      </c>
      <c r="F73" s="448">
        <v>-643.89042516418942</v>
      </c>
      <c r="G73" s="448" t="str">
        <f>+E73</f>
        <v>G</v>
      </c>
      <c r="H73" s="449">
        <v>0</v>
      </c>
      <c r="I73" s="449"/>
      <c r="J73" s="448">
        <v>0</v>
      </c>
      <c r="K73" s="448"/>
      <c r="L73" s="448">
        <v>0</v>
      </c>
      <c r="M73" s="448"/>
      <c r="N73" s="447">
        <v>2037.8350705227849</v>
      </c>
      <c r="O73" s="461">
        <v>-205.45492947721505</v>
      </c>
    </row>
    <row r="74" spans="1:15">
      <c r="A74" s="446">
        <v>6015</v>
      </c>
      <c r="B74" s="446" t="s">
        <v>247</v>
      </c>
      <c r="C74" s="448">
        <v>9.57</v>
      </c>
      <c r="D74" s="448">
        <v>0</v>
      </c>
      <c r="E74" s="448" t="s">
        <v>870</v>
      </c>
      <c r="F74" s="448">
        <v>8.8124611130314552</v>
      </c>
      <c r="G74" s="448" t="str">
        <f t="shared" ref="G74:G82" si="5">+E74</f>
        <v>G</v>
      </c>
      <c r="H74" s="449">
        <v>0</v>
      </c>
      <c r="I74" s="449"/>
      <c r="J74" s="448">
        <v>0</v>
      </c>
      <c r="K74" s="448"/>
      <c r="L74" s="448">
        <v>0</v>
      </c>
      <c r="M74" s="448"/>
      <c r="N74" s="447">
        <v>8.8124611130314552</v>
      </c>
      <c r="O74" s="461">
        <v>-0.7575388869685451</v>
      </c>
    </row>
    <row r="75" spans="1:15">
      <c r="A75" s="446">
        <v>6020</v>
      </c>
      <c r="B75" s="446" t="s">
        <v>248</v>
      </c>
      <c r="C75" s="448"/>
      <c r="D75" s="448">
        <v>0</v>
      </c>
      <c r="E75" s="448" t="s">
        <v>870</v>
      </c>
      <c r="F75" s="448">
        <v>0</v>
      </c>
      <c r="G75" s="448" t="str">
        <f t="shared" si="5"/>
        <v>G</v>
      </c>
      <c r="H75" s="449">
        <v>0</v>
      </c>
      <c r="I75" s="449"/>
      <c r="J75" s="448">
        <v>0</v>
      </c>
      <c r="K75" s="448"/>
      <c r="L75" s="448">
        <v>0</v>
      </c>
      <c r="M75" s="448"/>
      <c r="N75" s="447">
        <v>0</v>
      </c>
      <c r="O75" s="461">
        <v>0</v>
      </c>
    </row>
    <row r="76" spans="1:15">
      <c r="A76" s="446">
        <v>6025</v>
      </c>
      <c r="B76" s="446" t="s">
        <v>249</v>
      </c>
      <c r="C76" s="448">
        <v>1304.83</v>
      </c>
      <c r="D76" s="448">
        <v>149.0946643038088</v>
      </c>
      <c r="E76" s="448" t="s">
        <v>870</v>
      </c>
      <c r="F76" s="448">
        <v>1049.7623358105773</v>
      </c>
      <c r="G76" s="448" t="str">
        <f t="shared" si="5"/>
        <v>G</v>
      </c>
      <c r="H76" s="449">
        <v>0</v>
      </c>
      <c r="I76" s="449"/>
      <c r="J76" s="448">
        <v>0</v>
      </c>
      <c r="K76" s="448"/>
      <c r="L76" s="448">
        <v>0</v>
      </c>
      <c r="M76" s="448"/>
      <c r="N76" s="447">
        <v>1198.857000114386</v>
      </c>
      <c r="O76" s="461">
        <v>-105.97299988561394</v>
      </c>
    </row>
    <row r="77" spans="1:15">
      <c r="A77" s="446">
        <v>6030</v>
      </c>
      <c r="B77" s="446" t="s">
        <v>250</v>
      </c>
      <c r="C77" s="448"/>
      <c r="D77" s="448">
        <v>0</v>
      </c>
      <c r="E77" s="448" t="s">
        <v>870</v>
      </c>
      <c r="F77" s="448">
        <v>0</v>
      </c>
      <c r="G77" s="448" t="str">
        <f t="shared" si="5"/>
        <v>G</v>
      </c>
      <c r="H77" s="449">
        <v>0</v>
      </c>
      <c r="I77" s="449"/>
      <c r="J77" s="448">
        <v>0</v>
      </c>
      <c r="K77" s="448"/>
      <c r="L77" s="448">
        <v>0</v>
      </c>
      <c r="M77" s="448"/>
      <c r="N77" s="447">
        <v>0</v>
      </c>
      <c r="O77" s="461">
        <v>0</v>
      </c>
    </row>
    <row r="78" spans="1:15">
      <c r="A78" s="446">
        <v>6035</v>
      </c>
      <c r="B78" s="446" t="s">
        <v>251</v>
      </c>
      <c r="C78" s="448">
        <v>970.73</v>
      </c>
      <c r="D78" s="448">
        <v>434.3620860790312</v>
      </c>
      <c r="E78" s="448" t="s">
        <v>870</v>
      </c>
      <c r="F78" s="448">
        <v>452.68097701348086</v>
      </c>
      <c r="G78" s="448" t="str">
        <f t="shared" si="5"/>
        <v>G</v>
      </c>
      <c r="H78" s="449">
        <v>0</v>
      </c>
      <c r="I78" s="449"/>
      <c r="J78" s="448">
        <v>0</v>
      </c>
      <c r="K78" s="448"/>
      <c r="L78" s="448">
        <v>0</v>
      </c>
      <c r="M78" s="448"/>
      <c r="N78" s="447">
        <v>887.04306309251206</v>
      </c>
      <c r="O78" s="461">
        <v>-83.686936907487961</v>
      </c>
    </row>
    <row r="79" spans="1:15">
      <c r="A79" s="446">
        <v>6040</v>
      </c>
      <c r="B79" s="446" t="s">
        <v>252</v>
      </c>
      <c r="C79" s="448">
        <v>1140.79</v>
      </c>
      <c r="D79" s="448">
        <v>513.78852954750437</v>
      </c>
      <c r="E79" s="448" t="s">
        <v>870</v>
      </c>
      <c r="F79" s="448">
        <v>517.63740062219142</v>
      </c>
      <c r="G79" s="448" t="str">
        <f t="shared" si="5"/>
        <v>G</v>
      </c>
      <c r="H79" s="449">
        <v>0</v>
      </c>
      <c r="I79" s="449"/>
      <c r="J79" s="448">
        <v>0</v>
      </c>
      <c r="K79" s="448"/>
      <c r="L79" s="448">
        <v>0</v>
      </c>
      <c r="M79" s="448"/>
      <c r="N79" s="447">
        <v>1031.4259301696957</v>
      </c>
      <c r="O79" s="461">
        <v>-109.36406983030429</v>
      </c>
    </row>
    <row r="80" spans="1:15">
      <c r="A80" s="446">
        <v>6045</v>
      </c>
      <c r="B80" s="446" t="s">
        <v>253</v>
      </c>
      <c r="C80" s="448">
        <v>3164.74</v>
      </c>
      <c r="D80" s="448">
        <v>942.5352829414079</v>
      </c>
      <c r="E80" s="448" t="s">
        <v>870</v>
      </c>
      <c r="F80" s="448">
        <v>1953.3577575181473</v>
      </c>
      <c r="G80" s="448" t="str">
        <f t="shared" si="5"/>
        <v>G</v>
      </c>
      <c r="H80" s="449">
        <v>0</v>
      </c>
      <c r="I80" s="449"/>
      <c r="J80" s="448">
        <v>0</v>
      </c>
      <c r="K80" s="448"/>
      <c r="L80" s="448">
        <v>0</v>
      </c>
      <c r="M80" s="448"/>
      <c r="N80" s="447">
        <v>2895.8930404595553</v>
      </c>
      <c r="O80" s="461">
        <v>-268.84695954044446</v>
      </c>
    </row>
    <row r="81" spans="1:15">
      <c r="A81" s="446">
        <v>6050</v>
      </c>
      <c r="B81" s="446" t="s">
        <v>254</v>
      </c>
      <c r="C81" s="448">
        <v>3091.36</v>
      </c>
      <c r="D81" s="448">
        <v>2242.4748997207116</v>
      </c>
      <c r="E81" s="448" t="s">
        <v>870</v>
      </c>
      <c r="F81" s="448">
        <v>581.05050725890089</v>
      </c>
      <c r="G81" s="448" t="str">
        <f t="shared" si="5"/>
        <v>G</v>
      </c>
      <c r="H81" s="449">
        <v>0</v>
      </c>
      <c r="I81" s="449"/>
      <c r="J81" s="448">
        <v>0</v>
      </c>
      <c r="K81" s="448"/>
      <c r="L81" s="448">
        <v>0</v>
      </c>
      <c r="M81" s="448"/>
      <c r="N81" s="447">
        <v>2823.5254069796124</v>
      </c>
      <c r="O81" s="461">
        <v>-267.83459302038773</v>
      </c>
    </row>
    <row r="82" spans="1:15">
      <c r="B82" s="450" t="s">
        <v>180</v>
      </c>
      <c r="C82" s="448">
        <v>11925.31</v>
      </c>
      <c r="D82" s="448">
        <v>6963.9809582794378</v>
      </c>
      <c r="E82" s="448" t="s">
        <v>870</v>
      </c>
      <c r="F82" s="448">
        <v>3919.4110141721399</v>
      </c>
      <c r="G82" s="448" t="str">
        <f t="shared" si="5"/>
        <v>G</v>
      </c>
      <c r="H82" s="449">
        <v>0</v>
      </c>
      <c r="I82" s="449"/>
      <c r="J82" s="448">
        <v>0</v>
      </c>
      <c r="K82" s="448"/>
      <c r="L82" s="448">
        <v>0</v>
      </c>
      <c r="M82" s="448"/>
      <c r="N82" s="447">
        <v>10883.391972451578</v>
      </c>
      <c r="O82" s="461">
        <v>-1041.9180275484214</v>
      </c>
    </row>
    <row r="83" spans="1:15">
      <c r="C83" s="448"/>
      <c r="D83" s="448"/>
      <c r="E83" s="448"/>
      <c r="F83" s="448"/>
      <c r="G83" s="448"/>
      <c r="H83" s="449"/>
      <c r="I83" s="449"/>
      <c r="J83" s="448"/>
      <c r="K83" s="448"/>
      <c r="L83" s="448"/>
      <c r="M83" s="448"/>
      <c r="N83" s="447"/>
      <c r="O83" s="461">
        <v>0</v>
      </c>
    </row>
    <row r="84" spans="1:15">
      <c r="B84" s="446" t="s">
        <v>182</v>
      </c>
      <c r="C84" s="448"/>
      <c r="D84" s="448"/>
      <c r="E84" s="448"/>
      <c r="F84" s="448"/>
      <c r="G84" s="448"/>
      <c r="H84" s="449"/>
      <c r="I84" s="449"/>
      <c r="J84" s="448"/>
      <c r="K84" s="448"/>
      <c r="L84" s="448"/>
      <c r="M84" s="448"/>
      <c r="N84" s="447"/>
      <c r="O84" s="461"/>
    </row>
    <row r="85" spans="1:15">
      <c r="A85" s="446">
        <v>6090</v>
      </c>
      <c r="B85" s="446" t="s">
        <v>258</v>
      </c>
      <c r="C85" s="448">
        <v>6505.34</v>
      </c>
      <c r="D85" s="448">
        <v>0</v>
      </c>
      <c r="E85" s="448"/>
      <c r="F85" s="448">
        <v>0</v>
      </c>
      <c r="G85" s="448"/>
      <c r="H85" s="449">
        <v>236.08468277891456</v>
      </c>
      <c r="I85" s="449" t="s">
        <v>875</v>
      </c>
      <c r="J85" s="448">
        <v>0</v>
      </c>
      <c r="K85" s="448"/>
      <c r="L85" s="448">
        <v>6250</v>
      </c>
      <c r="M85" s="448" t="s">
        <v>875</v>
      </c>
      <c r="N85" s="447">
        <v>6486.0846827789146</v>
      </c>
      <c r="O85" s="461">
        <v>-19.255317221085534</v>
      </c>
    </row>
    <row r="86" spans="1:15">
      <c r="B86" s="450" t="s">
        <v>182</v>
      </c>
      <c r="C86" s="448">
        <v>6505.34</v>
      </c>
      <c r="D86" s="448">
        <v>0</v>
      </c>
      <c r="E86" s="448"/>
      <c r="F86" s="448">
        <v>0</v>
      </c>
      <c r="G86" s="448"/>
      <c r="H86" s="448">
        <v>236.08468277891456</v>
      </c>
      <c r="I86" s="448" t="s">
        <v>875</v>
      </c>
      <c r="J86" s="448">
        <v>0</v>
      </c>
      <c r="K86" s="448"/>
      <c r="L86" s="448">
        <v>6250</v>
      </c>
      <c r="M86" s="448" t="s">
        <v>875</v>
      </c>
      <c r="N86" s="448">
        <v>6486.0846827789146</v>
      </c>
      <c r="O86" s="461">
        <v>-19.255317221085534</v>
      </c>
    </row>
    <row r="87" spans="1:15">
      <c r="C87" s="448"/>
      <c r="D87" s="448"/>
      <c r="E87" s="448"/>
      <c r="F87" s="448"/>
      <c r="G87" s="448"/>
      <c r="H87" s="449"/>
      <c r="I87" s="449"/>
      <c r="J87" s="448"/>
      <c r="K87" s="448"/>
      <c r="L87" s="448"/>
      <c r="M87" s="448"/>
      <c r="N87" s="447"/>
      <c r="O87" s="461">
        <v>0</v>
      </c>
    </row>
    <row r="88" spans="1:15">
      <c r="B88" s="446" t="s">
        <v>184</v>
      </c>
      <c r="C88" s="448"/>
      <c r="D88" s="448"/>
      <c r="E88" s="448"/>
      <c r="F88" s="448"/>
      <c r="G88" s="448"/>
      <c r="H88" s="449"/>
      <c r="I88" s="449"/>
      <c r="J88" s="448"/>
      <c r="K88" s="448"/>
      <c r="L88" s="448"/>
      <c r="M88" s="448"/>
      <c r="N88" s="447"/>
      <c r="O88" s="461"/>
    </row>
    <row r="89" spans="1:15">
      <c r="A89" s="446">
        <v>6185</v>
      </c>
      <c r="B89" s="446" t="s">
        <v>618</v>
      </c>
      <c r="C89" s="448">
        <v>2857.33</v>
      </c>
      <c r="D89" s="448">
        <v>2251.3962736220647</v>
      </c>
      <c r="E89" s="448" t="s">
        <v>871</v>
      </c>
      <c r="F89" s="448">
        <v>316.28251192533713</v>
      </c>
      <c r="G89" s="448" t="str">
        <f>+E89</f>
        <v>H</v>
      </c>
      <c r="H89" s="449">
        <v>56.613106930383715</v>
      </c>
      <c r="I89" s="449" t="str">
        <f>+G89</f>
        <v>H</v>
      </c>
      <c r="J89" s="448">
        <v>0</v>
      </c>
      <c r="K89" s="448"/>
      <c r="L89" s="448">
        <v>0</v>
      </c>
      <c r="M89" s="448"/>
      <c r="N89" s="447">
        <v>2624.2918924777855</v>
      </c>
      <c r="O89" s="461">
        <v>-233.03810752221443</v>
      </c>
    </row>
    <row r="90" spans="1:15">
      <c r="A90" s="446">
        <v>6190</v>
      </c>
      <c r="B90" s="446" t="s">
        <v>619</v>
      </c>
      <c r="C90" s="448">
        <v>838.4</v>
      </c>
      <c r="D90" s="448">
        <v>243.50744197925425</v>
      </c>
      <c r="E90" s="448" t="s">
        <v>871</v>
      </c>
      <c r="F90" s="448">
        <v>302.36589353612169</v>
      </c>
      <c r="G90" s="448" t="str">
        <f t="shared" ref="G90:G95" si="6">+E90</f>
        <v>H</v>
      </c>
      <c r="H90" s="449">
        <v>160.2542826703272</v>
      </c>
      <c r="I90" s="449" t="str">
        <f t="shared" ref="I90:I95" si="7">+G90</f>
        <v>H</v>
      </c>
      <c r="J90" s="448">
        <v>0</v>
      </c>
      <c r="K90" s="448"/>
      <c r="L90" s="448">
        <v>0</v>
      </c>
      <c r="M90" s="448"/>
      <c r="N90" s="447">
        <v>706.12761818570311</v>
      </c>
      <c r="O90" s="461">
        <v>-132.27238181429686</v>
      </c>
    </row>
    <row r="91" spans="1:15">
      <c r="A91" s="446">
        <v>6195</v>
      </c>
      <c r="B91" s="446" t="s">
        <v>620</v>
      </c>
      <c r="C91" s="448">
        <v>353.42</v>
      </c>
      <c r="D91" s="448">
        <v>226.20479870395127</v>
      </c>
      <c r="E91" s="448" t="s">
        <v>871</v>
      </c>
      <c r="F91" s="448">
        <v>52.490452471482904</v>
      </c>
      <c r="G91" s="448" t="str">
        <f t="shared" si="6"/>
        <v>H</v>
      </c>
      <c r="H91" s="449">
        <v>43.203496948541364</v>
      </c>
      <c r="I91" s="449" t="str">
        <f t="shared" si="7"/>
        <v>H</v>
      </c>
      <c r="J91" s="448">
        <v>0</v>
      </c>
      <c r="K91" s="448"/>
      <c r="L91" s="448">
        <v>0</v>
      </c>
      <c r="M91" s="448"/>
      <c r="N91" s="447">
        <v>321.89874812397557</v>
      </c>
      <c r="O91" s="461">
        <v>-31.521251876024451</v>
      </c>
    </row>
    <row r="92" spans="1:15">
      <c r="A92" s="446">
        <v>6200</v>
      </c>
      <c r="B92" s="446" t="s">
        <v>621</v>
      </c>
      <c r="C92" s="448">
        <v>377.7</v>
      </c>
      <c r="D92" s="448">
        <v>75.14896598857699</v>
      </c>
      <c r="E92" s="448" t="s">
        <v>871</v>
      </c>
      <c r="F92" s="448">
        <v>217.238024196336</v>
      </c>
      <c r="G92" s="448" t="str">
        <f t="shared" si="6"/>
        <v>H</v>
      </c>
      <c r="H92" s="449">
        <v>53.626163523864889</v>
      </c>
      <c r="I92" s="449" t="str">
        <f t="shared" si="7"/>
        <v>H</v>
      </c>
      <c r="J92" s="448">
        <v>0</v>
      </c>
      <c r="K92" s="448"/>
      <c r="L92" s="448">
        <v>0</v>
      </c>
      <c r="M92" s="448"/>
      <c r="N92" s="447">
        <v>346.01315370877785</v>
      </c>
      <c r="O92" s="461">
        <v>-31.686846291222139</v>
      </c>
    </row>
    <row r="93" spans="1:15">
      <c r="A93" s="446">
        <v>6205</v>
      </c>
      <c r="B93" s="446" t="s">
        <v>622</v>
      </c>
      <c r="C93" s="448">
        <v>34.53</v>
      </c>
      <c r="D93" s="448">
        <v>17.2314647668193</v>
      </c>
      <c r="E93" s="448" t="s">
        <v>871</v>
      </c>
      <c r="F93" s="448">
        <v>14.339566021431043</v>
      </c>
      <c r="G93" s="448" t="str">
        <f t="shared" si="6"/>
        <v>H</v>
      </c>
      <c r="H93" s="449">
        <v>0</v>
      </c>
      <c r="I93" s="449" t="str">
        <f t="shared" si="7"/>
        <v>H</v>
      </c>
      <c r="J93" s="448">
        <v>0</v>
      </c>
      <c r="K93" s="448"/>
      <c r="L93" s="448">
        <v>0</v>
      </c>
      <c r="M93" s="448"/>
      <c r="N93" s="447">
        <v>31.571030788250344</v>
      </c>
      <c r="O93" s="461">
        <v>-2.9589692117496575</v>
      </c>
    </row>
    <row r="94" spans="1:15">
      <c r="A94" s="446">
        <v>6207</v>
      </c>
      <c r="B94" s="446" t="s">
        <v>623</v>
      </c>
      <c r="C94" s="448"/>
      <c r="D94" s="448">
        <v>0</v>
      </c>
      <c r="E94" s="448" t="s">
        <v>871</v>
      </c>
      <c r="F94" s="448">
        <v>0</v>
      </c>
      <c r="G94" s="448" t="str">
        <f t="shared" si="6"/>
        <v>H</v>
      </c>
      <c r="H94" s="449">
        <v>0</v>
      </c>
      <c r="I94" s="449" t="str">
        <f t="shared" si="7"/>
        <v>H</v>
      </c>
      <c r="J94" s="448">
        <v>0</v>
      </c>
      <c r="K94" s="448"/>
      <c r="L94" s="448">
        <v>0</v>
      </c>
      <c r="M94" s="448"/>
      <c r="N94" s="447">
        <v>0</v>
      </c>
      <c r="O94" s="461">
        <v>0</v>
      </c>
    </row>
    <row r="95" spans="1:15">
      <c r="B95" s="450" t="s">
        <v>184</v>
      </c>
      <c r="C95" s="448">
        <v>4461.38</v>
      </c>
      <c r="D95" s="448">
        <v>2813.4889450606665</v>
      </c>
      <c r="E95" s="448" t="s">
        <v>871</v>
      </c>
      <c r="F95" s="448">
        <v>902.71644815070886</v>
      </c>
      <c r="G95" s="448" t="str">
        <f t="shared" si="6"/>
        <v>H</v>
      </c>
      <c r="H95" s="448">
        <v>313.69705007311717</v>
      </c>
      <c r="I95" s="449" t="str">
        <f t="shared" si="7"/>
        <v>H</v>
      </c>
      <c r="J95" s="448">
        <v>0</v>
      </c>
      <c r="K95" s="448"/>
      <c r="L95" s="448">
        <v>0</v>
      </c>
      <c r="M95" s="448"/>
      <c r="N95" s="447">
        <v>4029.9024432844926</v>
      </c>
      <c r="O95" s="461">
        <v>-431.47755671550749</v>
      </c>
    </row>
    <row r="96" spans="1:15">
      <c r="C96" s="448"/>
      <c r="D96" s="448"/>
      <c r="E96" s="448"/>
      <c r="F96" s="448"/>
      <c r="G96" s="448"/>
      <c r="H96" s="449"/>
      <c r="I96" s="449"/>
      <c r="J96" s="448"/>
      <c r="K96" s="448"/>
      <c r="L96" s="448"/>
      <c r="M96" s="448"/>
      <c r="N96" s="447"/>
      <c r="O96" s="461"/>
    </row>
    <row r="97" spans="1:15">
      <c r="B97" s="446" t="s">
        <v>185</v>
      </c>
      <c r="C97" s="448"/>
      <c r="D97" s="448"/>
      <c r="E97" s="448"/>
      <c r="F97" s="448"/>
      <c r="G97" s="448"/>
      <c r="H97" s="449"/>
      <c r="I97" s="449"/>
      <c r="J97" s="448"/>
      <c r="K97" s="448"/>
      <c r="L97" s="448"/>
      <c r="M97" s="448"/>
      <c r="N97" s="447"/>
      <c r="O97" s="461"/>
    </row>
    <row r="98" spans="1:15">
      <c r="A98" s="446">
        <v>6215</v>
      </c>
      <c r="B98" s="446" t="s">
        <v>624</v>
      </c>
      <c r="C98" s="448">
        <v>17145.21</v>
      </c>
      <c r="D98" s="448">
        <v>-26.731539992428157</v>
      </c>
      <c r="E98" s="448" t="s">
        <v>872</v>
      </c>
      <c r="F98" s="448">
        <v>0</v>
      </c>
      <c r="G98" s="448"/>
      <c r="H98" s="449">
        <v>0</v>
      </c>
      <c r="I98" s="449"/>
      <c r="J98" s="448">
        <v>0</v>
      </c>
      <c r="K98" s="448"/>
      <c r="L98" s="448">
        <v>17174.53</v>
      </c>
      <c r="M98" s="448" t="s">
        <v>872</v>
      </c>
      <c r="N98" s="447">
        <v>17147.798460007572</v>
      </c>
      <c r="O98" s="461">
        <v>2.5884600075733033</v>
      </c>
    </row>
    <row r="99" spans="1:15">
      <c r="A99" s="446">
        <v>6220</v>
      </c>
      <c r="B99" s="446" t="s">
        <v>625</v>
      </c>
      <c r="C99" s="448">
        <v>4839.24</v>
      </c>
      <c r="D99" s="448">
        <v>-3.3233345862438575</v>
      </c>
      <c r="E99" s="448" t="s">
        <v>872</v>
      </c>
      <c r="F99" s="448">
        <v>0</v>
      </c>
      <c r="G99" s="448"/>
      <c r="H99" s="449">
        <v>0</v>
      </c>
      <c r="I99" s="449"/>
      <c r="J99" s="448">
        <v>0</v>
      </c>
      <c r="K99" s="448"/>
      <c r="L99" s="448">
        <v>4842.8900000000003</v>
      </c>
      <c r="M99" s="448" t="s">
        <v>872</v>
      </c>
      <c r="N99" s="447">
        <v>4839.5666654137567</v>
      </c>
      <c r="O99" s="461">
        <v>0.32666541375692759</v>
      </c>
    </row>
    <row r="100" spans="1:15">
      <c r="A100" s="446">
        <v>6225</v>
      </c>
      <c r="B100" s="446" t="s">
        <v>626</v>
      </c>
      <c r="C100" s="448">
        <v>4.8</v>
      </c>
      <c r="D100" s="448">
        <v>1.9549026977905046</v>
      </c>
      <c r="E100" s="448" t="s">
        <v>872</v>
      </c>
      <c r="F100" s="448">
        <v>2.4265831316971997</v>
      </c>
      <c r="G100" s="448" t="str">
        <f>+E100</f>
        <v>I</v>
      </c>
      <c r="H100" s="449">
        <v>0</v>
      </c>
      <c r="I100" s="449"/>
      <c r="J100" s="448">
        <v>0</v>
      </c>
      <c r="K100" s="448"/>
      <c r="L100" s="448">
        <v>0</v>
      </c>
      <c r="M100" s="448"/>
      <c r="N100" s="447">
        <v>4.3814858294877048</v>
      </c>
      <c r="O100" s="461">
        <v>-0.418514170512295</v>
      </c>
    </row>
    <row r="101" spans="1:15">
      <c r="A101" s="446">
        <v>6230</v>
      </c>
      <c r="B101" s="446" t="s">
        <v>627</v>
      </c>
      <c r="C101" s="448">
        <v>77.59</v>
      </c>
      <c r="D101" s="448">
        <v>0</v>
      </c>
      <c r="E101" s="448" t="s">
        <v>872</v>
      </c>
      <c r="F101" s="448">
        <v>0</v>
      </c>
      <c r="G101" s="448"/>
      <c r="H101" s="449">
        <v>0</v>
      </c>
      <c r="I101" s="449"/>
      <c r="J101" s="448">
        <v>71.59690887348755</v>
      </c>
      <c r="K101" s="448" t="s">
        <v>872</v>
      </c>
      <c r="L101" s="448">
        <v>0</v>
      </c>
      <c r="M101" s="448"/>
      <c r="N101" s="447">
        <v>71.59690887348755</v>
      </c>
      <c r="O101" s="461">
        <v>-5.9930911265124536</v>
      </c>
    </row>
    <row r="102" spans="1:15">
      <c r="B102" s="450" t="s">
        <v>185</v>
      </c>
      <c r="C102" s="448">
        <v>22066.84</v>
      </c>
      <c r="D102" s="448">
        <v>-28.099971880881508</v>
      </c>
      <c r="E102" s="448" t="s">
        <v>872</v>
      </c>
      <c r="F102" s="448">
        <v>2.4265831316971997</v>
      </c>
      <c r="G102" s="448" t="str">
        <f>+E102</f>
        <v>I</v>
      </c>
      <c r="H102" s="449">
        <v>0</v>
      </c>
      <c r="I102" s="449"/>
      <c r="J102" s="449">
        <v>71.59690887348755</v>
      </c>
      <c r="K102" s="449"/>
      <c r="L102" s="448">
        <v>22017.42</v>
      </c>
      <c r="M102" s="448" t="s">
        <v>872</v>
      </c>
      <c r="N102" s="447">
        <v>22063.343520124301</v>
      </c>
      <c r="O102" s="461">
        <v>-3.4964798756991513</v>
      </c>
    </row>
    <row r="103" spans="1:15">
      <c r="C103" s="448"/>
      <c r="D103" s="448"/>
      <c r="E103" s="448"/>
      <c r="F103" s="448"/>
      <c r="G103" s="448"/>
      <c r="H103" s="449"/>
      <c r="I103" s="449"/>
      <c r="J103" s="448"/>
      <c r="K103" s="448"/>
      <c r="L103" s="448"/>
      <c r="M103" s="448"/>
      <c r="N103" s="447"/>
      <c r="O103" s="461"/>
    </row>
    <row r="104" spans="1:15">
      <c r="B104" s="446" t="s">
        <v>186</v>
      </c>
      <c r="C104" s="448"/>
      <c r="D104" s="448"/>
      <c r="E104" s="448"/>
      <c r="F104" s="448"/>
      <c r="G104" s="448"/>
      <c r="H104" s="449"/>
      <c r="I104" s="449"/>
      <c r="J104" s="448"/>
      <c r="K104" s="448"/>
      <c r="L104" s="448"/>
      <c r="M104" s="448"/>
      <c r="N104" s="447"/>
      <c r="O104" s="461"/>
    </row>
    <row r="105" spans="1:15">
      <c r="A105" s="446">
        <v>6255</v>
      </c>
      <c r="B105" s="446" t="s">
        <v>628</v>
      </c>
      <c r="C105" s="448"/>
      <c r="D105" s="448"/>
      <c r="E105" s="448"/>
      <c r="F105" s="448"/>
      <c r="G105" s="448"/>
      <c r="H105" s="449"/>
      <c r="I105" s="449"/>
      <c r="J105" s="448"/>
      <c r="K105" s="448"/>
      <c r="L105" s="448"/>
      <c r="M105" s="448"/>
      <c r="N105" s="447"/>
      <c r="O105" s="461"/>
    </row>
    <row r="106" spans="1:15">
      <c r="A106" s="446">
        <v>6355</v>
      </c>
      <c r="B106" s="446" t="s">
        <v>273</v>
      </c>
      <c r="C106" s="448">
        <v>5033.55</v>
      </c>
      <c r="D106" s="448">
        <v>124.51978299272518</v>
      </c>
      <c r="E106" s="448" t="s">
        <v>873</v>
      </c>
      <c r="F106" s="448">
        <v>4451.3475798479094</v>
      </c>
      <c r="G106" s="448" t="str">
        <f>+E106</f>
        <v>J</v>
      </c>
      <c r="H106" s="449">
        <v>0</v>
      </c>
      <c r="I106" s="449"/>
      <c r="J106" s="448">
        <v>0</v>
      </c>
      <c r="K106" s="448"/>
      <c r="L106" s="448">
        <v>0</v>
      </c>
      <c r="M106" s="448"/>
      <c r="N106" s="447">
        <v>4575.867362840635</v>
      </c>
      <c r="O106" s="461">
        <v>-457.68263715936519</v>
      </c>
    </row>
    <row r="107" spans="1:15">
      <c r="A107" s="446">
        <v>6360</v>
      </c>
      <c r="B107" s="446" t="s">
        <v>274</v>
      </c>
      <c r="C107" s="448">
        <v>3.52</v>
      </c>
      <c r="D107" s="448">
        <v>0</v>
      </c>
      <c r="E107" s="448"/>
      <c r="F107" s="448">
        <v>0</v>
      </c>
      <c r="G107" s="448"/>
      <c r="H107" s="449">
        <v>3.2107516857932383</v>
      </c>
      <c r="I107" s="449" t="str">
        <f>+G106</f>
        <v>J</v>
      </c>
      <c r="J107" s="448">
        <v>0</v>
      </c>
      <c r="K107" s="448"/>
      <c r="L107" s="448">
        <v>0</v>
      </c>
      <c r="M107" s="448"/>
      <c r="N107" s="447">
        <v>3.2107516857932383</v>
      </c>
      <c r="O107" s="461">
        <v>-0.30924831420676169</v>
      </c>
    </row>
    <row r="108" spans="1:15">
      <c r="A108" s="446">
        <v>6365</v>
      </c>
      <c r="B108" s="446" t="s">
        <v>275</v>
      </c>
      <c r="C108" s="448"/>
      <c r="D108" s="448">
        <v>0</v>
      </c>
      <c r="E108" s="448"/>
      <c r="F108" s="448">
        <v>0</v>
      </c>
      <c r="G108" s="448"/>
      <c r="H108" s="449">
        <v>0</v>
      </c>
      <c r="I108" s="449"/>
      <c r="J108" s="448">
        <v>0</v>
      </c>
      <c r="K108" s="448"/>
      <c r="L108" s="448">
        <v>0</v>
      </c>
      <c r="M108" s="448"/>
      <c r="N108" s="447">
        <v>0</v>
      </c>
      <c r="O108" s="461">
        <v>0</v>
      </c>
    </row>
    <row r="109" spans="1:15">
      <c r="A109" s="446">
        <v>6370</v>
      </c>
      <c r="B109" s="446" t="s">
        <v>276</v>
      </c>
      <c r="C109" s="448"/>
      <c r="D109" s="448">
        <v>0</v>
      </c>
      <c r="E109" s="448"/>
      <c r="F109" s="448">
        <v>0</v>
      </c>
      <c r="G109" s="448"/>
      <c r="H109" s="449">
        <v>0</v>
      </c>
      <c r="I109" s="449"/>
      <c r="J109" s="448">
        <v>0</v>
      </c>
      <c r="K109" s="448"/>
      <c r="L109" s="448">
        <v>0</v>
      </c>
      <c r="M109" s="448"/>
      <c r="N109" s="447">
        <v>0</v>
      </c>
      <c r="O109" s="461">
        <v>0</v>
      </c>
    </row>
    <row r="110" spans="1:15">
      <c r="A110" s="446">
        <v>6375</v>
      </c>
      <c r="B110" s="446" t="s">
        <v>28</v>
      </c>
      <c r="C110" s="448"/>
      <c r="D110" s="448">
        <v>0</v>
      </c>
      <c r="E110" s="448"/>
      <c r="F110" s="448">
        <v>0</v>
      </c>
      <c r="G110" s="448"/>
      <c r="H110" s="449">
        <v>0</v>
      </c>
      <c r="I110" s="449"/>
      <c r="J110" s="448">
        <v>0</v>
      </c>
      <c r="K110" s="448"/>
      <c r="L110" s="448">
        <v>0</v>
      </c>
      <c r="M110" s="448"/>
      <c r="N110" s="447">
        <v>0</v>
      </c>
      <c r="O110" s="461">
        <v>0</v>
      </c>
    </row>
    <row r="111" spans="1:15">
      <c r="A111" s="446">
        <v>6380</v>
      </c>
      <c r="B111" s="446" t="s">
        <v>29</v>
      </c>
      <c r="C111" s="448"/>
      <c r="D111" s="448">
        <v>0</v>
      </c>
      <c r="E111" s="448"/>
      <c r="F111" s="448">
        <v>0</v>
      </c>
      <c r="G111" s="448"/>
      <c r="H111" s="449">
        <v>0</v>
      </c>
      <c r="I111" s="449"/>
      <c r="J111" s="448">
        <v>0</v>
      </c>
      <c r="K111" s="448"/>
      <c r="L111" s="448">
        <v>0</v>
      </c>
      <c r="M111" s="448"/>
      <c r="N111" s="447">
        <v>0</v>
      </c>
      <c r="O111" s="461">
        <v>0</v>
      </c>
    </row>
    <row r="112" spans="1:15">
      <c r="A112" s="446">
        <v>6385</v>
      </c>
      <c r="B112" s="446" t="s">
        <v>30</v>
      </c>
      <c r="C112" s="448">
        <v>1.74</v>
      </c>
      <c r="D112" s="448">
        <v>1.5834711852103087</v>
      </c>
      <c r="E112" s="448" t="s">
        <v>873</v>
      </c>
      <c r="F112" s="448">
        <v>0</v>
      </c>
      <c r="G112" s="448"/>
      <c r="H112" s="449">
        <v>0</v>
      </c>
      <c r="I112" s="449"/>
      <c r="J112" s="448">
        <v>0</v>
      </c>
      <c r="K112" s="448"/>
      <c r="L112" s="448">
        <v>0</v>
      </c>
      <c r="M112" s="448"/>
      <c r="N112" s="447">
        <v>1.5834711852103087</v>
      </c>
      <c r="O112" s="461">
        <v>-0.15652881478969127</v>
      </c>
    </row>
    <row r="113" spans="1:15">
      <c r="A113" s="446">
        <v>6390</v>
      </c>
      <c r="B113" s="446" t="s">
        <v>31</v>
      </c>
      <c r="C113" s="448">
        <v>-2.02</v>
      </c>
      <c r="D113" s="448">
        <v>0</v>
      </c>
      <c r="E113" s="448"/>
      <c r="F113" s="448">
        <v>0</v>
      </c>
      <c r="G113" s="448"/>
      <c r="H113" s="449">
        <v>0</v>
      </c>
      <c r="I113" s="449"/>
      <c r="J113" s="448">
        <v>0</v>
      </c>
      <c r="K113" s="448"/>
      <c r="L113" s="448">
        <v>0</v>
      </c>
      <c r="M113" s="448"/>
      <c r="N113" s="447">
        <v>0</v>
      </c>
      <c r="O113" s="461">
        <v>2.02</v>
      </c>
    </row>
    <row r="114" spans="1:15">
      <c r="B114" s="450" t="s">
        <v>189</v>
      </c>
      <c r="C114" s="448">
        <v>5036.79</v>
      </c>
      <c r="D114" s="448">
        <v>0</v>
      </c>
      <c r="E114" s="448"/>
      <c r="F114" s="448">
        <v>4451.3475798479094</v>
      </c>
      <c r="G114" s="448" t="str">
        <f>+E112</f>
        <v>J</v>
      </c>
      <c r="H114" s="449">
        <v>3.2107516857932383</v>
      </c>
      <c r="I114" s="449" t="str">
        <f>+G114</f>
        <v>J</v>
      </c>
      <c r="J114" s="449">
        <v>0</v>
      </c>
      <c r="K114" s="449"/>
      <c r="L114" s="448">
        <v>0</v>
      </c>
      <c r="M114" s="448"/>
      <c r="N114" s="447">
        <v>4454.5583315337026</v>
      </c>
      <c r="O114" s="461">
        <v>-582.23166846629738</v>
      </c>
    </row>
    <row r="115" spans="1:15">
      <c r="C115" s="448"/>
      <c r="D115" s="448"/>
      <c r="E115" s="448"/>
      <c r="F115" s="448"/>
      <c r="G115" s="448"/>
      <c r="H115" s="449"/>
      <c r="I115" s="449"/>
      <c r="J115" s="448"/>
      <c r="K115" s="448"/>
      <c r="L115" s="448"/>
      <c r="M115" s="448"/>
      <c r="N115" s="447"/>
      <c r="O115" s="461"/>
    </row>
    <row r="116" spans="1:15">
      <c r="B116" s="446" t="s">
        <v>201</v>
      </c>
      <c r="C116" s="448"/>
      <c r="D116" s="448"/>
      <c r="E116" s="448"/>
      <c r="F116" s="448"/>
      <c r="G116" s="448"/>
      <c r="H116" s="449"/>
      <c r="I116" s="449"/>
      <c r="J116" s="448"/>
      <c r="K116" s="448"/>
      <c r="L116" s="448"/>
      <c r="M116" s="448"/>
      <c r="N116" s="447"/>
      <c r="O116" s="461"/>
    </row>
    <row r="117" spans="1:15">
      <c r="A117" s="446">
        <v>7535</v>
      </c>
      <c r="B117" s="446" t="s">
        <v>376</v>
      </c>
      <c r="C117" s="448">
        <v>1.65</v>
      </c>
      <c r="D117" s="448">
        <v>1.5037713059926958</v>
      </c>
      <c r="E117" s="448" t="s">
        <v>874</v>
      </c>
      <c r="F117" s="448">
        <v>0</v>
      </c>
      <c r="G117" s="448"/>
      <c r="H117" s="449">
        <v>0</v>
      </c>
      <c r="I117" s="449"/>
      <c r="J117" s="448">
        <v>0</v>
      </c>
      <c r="K117" s="448"/>
      <c r="L117" s="448">
        <v>0</v>
      </c>
      <c r="M117" s="448"/>
      <c r="N117" s="447">
        <v>1.5037713059926958</v>
      </c>
      <c r="O117" s="461">
        <v>-0.14622869400730409</v>
      </c>
    </row>
    <row r="118" spans="1:15">
      <c r="A118" s="446">
        <v>7540</v>
      </c>
      <c r="B118" s="446" t="s">
        <v>377</v>
      </c>
      <c r="C118" s="448"/>
      <c r="D118" s="448">
        <v>0</v>
      </c>
      <c r="E118" s="448"/>
      <c r="F118" s="448">
        <v>0</v>
      </c>
      <c r="G118" s="448"/>
      <c r="H118" s="449">
        <v>0</v>
      </c>
      <c r="I118" s="449"/>
      <c r="J118" s="448">
        <v>0</v>
      </c>
      <c r="K118" s="448"/>
      <c r="L118" s="448">
        <v>0</v>
      </c>
      <c r="M118" s="448"/>
      <c r="N118" s="447">
        <v>0</v>
      </c>
      <c r="O118" s="461">
        <v>0</v>
      </c>
    </row>
    <row r="119" spans="1:15">
      <c r="A119" s="446">
        <v>7545</v>
      </c>
      <c r="B119" s="446" t="s">
        <v>378</v>
      </c>
      <c r="C119" s="448"/>
      <c r="D119" s="448">
        <v>0</v>
      </c>
      <c r="E119" s="448"/>
      <c r="F119" s="448">
        <v>0</v>
      </c>
      <c r="G119" s="448"/>
      <c r="H119" s="449">
        <v>0</v>
      </c>
      <c r="I119" s="449"/>
      <c r="J119" s="448">
        <v>0</v>
      </c>
      <c r="K119" s="448"/>
      <c r="L119" s="448">
        <v>0</v>
      </c>
      <c r="M119" s="448"/>
      <c r="N119" s="447">
        <v>0</v>
      </c>
      <c r="O119" s="461">
        <v>0</v>
      </c>
    </row>
    <row r="120" spans="1:15">
      <c r="A120" s="446">
        <v>7550</v>
      </c>
      <c r="B120" s="446" t="s">
        <v>379</v>
      </c>
      <c r="C120" s="448">
        <v>47.66</v>
      </c>
      <c r="D120" s="448">
        <v>-404.3713724094149</v>
      </c>
      <c r="E120" s="448" t="s">
        <v>874</v>
      </c>
      <c r="F120" s="448">
        <v>450.39503975112336</v>
      </c>
      <c r="G120" s="448" t="str">
        <f>+E120</f>
        <v>K</v>
      </c>
      <c r="H120" s="449">
        <v>0</v>
      </c>
      <c r="I120" s="449"/>
      <c r="J120" s="448">
        <v>0</v>
      </c>
      <c r="K120" s="448"/>
      <c r="L120" s="448">
        <v>0</v>
      </c>
      <c r="M120" s="448"/>
      <c r="N120" s="447">
        <v>46.02366734170846</v>
      </c>
      <c r="O120" s="461">
        <v>-1.6363326582915363</v>
      </c>
    </row>
    <row r="121" spans="1:15">
      <c r="A121" s="446">
        <v>7555</v>
      </c>
      <c r="B121" s="446" t="s">
        <v>380</v>
      </c>
      <c r="C121" s="448">
        <v>932.23</v>
      </c>
      <c r="D121" s="448">
        <v>849.91374751995079</v>
      </c>
      <c r="E121" s="448" t="s">
        <v>874</v>
      </c>
      <c r="F121" s="448">
        <v>0</v>
      </c>
      <c r="G121" s="448"/>
      <c r="H121" s="449">
        <v>0</v>
      </c>
      <c r="I121" s="449"/>
      <c r="J121" s="448">
        <v>0</v>
      </c>
      <c r="K121" s="448"/>
      <c r="L121" s="448">
        <v>0</v>
      </c>
      <c r="M121" s="448"/>
      <c r="N121" s="447">
        <v>849.91374751995079</v>
      </c>
      <c r="O121" s="461">
        <v>-82.316252480049229</v>
      </c>
    </row>
    <row r="122" spans="1:15">
      <c r="A122" s="446">
        <v>7560</v>
      </c>
      <c r="B122" s="446" t="s">
        <v>381</v>
      </c>
      <c r="C122" s="448"/>
      <c r="D122" s="448">
        <v>0</v>
      </c>
      <c r="E122" s="448"/>
      <c r="F122" s="448">
        <v>0</v>
      </c>
      <c r="G122" s="448"/>
      <c r="H122" s="449">
        <v>0</v>
      </c>
      <c r="I122" s="449"/>
      <c r="J122" s="448">
        <v>0</v>
      </c>
      <c r="K122" s="448"/>
      <c r="L122" s="448">
        <v>0</v>
      </c>
      <c r="M122" s="448"/>
      <c r="N122" s="447">
        <v>0</v>
      </c>
      <c r="O122" s="461">
        <v>0</v>
      </c>
    </row>
    <row r="123" spans="1:15">
      <c r="A123" s="446">
        <v>7565</v>
      </c>
      <c r="B123" s="446" t="s">
        <v>382</v>
      </c>
      <c r="C123" s="448"/>
      <c r="D123" s="448">
        <v>0</v>
      </c>
      <c r="E123" s="448"/>
      <c r="F123" s="448">
        <v>0</v>
      </c>
      <c r="G123" s="448"/>
      <c r="H123" s="449">
        <v>0</v>
      </c>
      <c r="I123" s="449"/>
      <c r="J123" s="448">
        <v>0</v>
      </c>
      <c r="K123" s="448"/>
      <c r="L123" s="448">
        <v>0</v>
      </c>
      <c r="M123" s="448"/>
      <c r="N123" s="447">
        <v>0</v>
      </c>
      <c r="O123" s="461">
        <v>0</v>
      </c>
    </row>
    <row r="124" spans="1:15">
      <c r="A124" s="446">
        <v>7570</v>
      </c>
      <c r="B124" s="446" t="s">
        <v>383</v>
      </c>
      <c r="C124" s="448"/>
      <c r="D124" s="448">
        <v>0</v>
      </c>
      <c r="E124" s="448"/>
      <c r="F124" s="448">
        <v>0</v>
      </c>
      <c r="G124" s="448"/>
      <c r="H124" s="449">
        <v>0</v>
      </c>
      <c r="I124" s="449"/>
      <c r="J124" s="448">
        <v>0</v>
      </c>
      <c r="K124" s="448"/>
      <c r="L124" s="448">
        <v>0</v>
      </c>
      <c r="M124" s="448"/>
      <c r="N124" s="447">
        <v>0</v>
      </c>
      <c r="O124" s="461">
        <v>0</v>
      </c>
    </row>
    <row r="125" spans="1:15">
      <c r="B125" s="450" t="s">
        <v>201</v>
      </c>
      <c r="C125" s="448">
        <v>981.54</v>
      </c>
      <c r="D125" s="448">
        <v>447.04614641652859</v>
      </c>
      <c r="E125" s="448" t="s">
        <v>874</v>
      </c>
      <c r="F125" s="448">
        <v>450.39503975112336</v>
      </c>
      <c r="G125" s="448" t="str">
        <f>+E125</f>
        <v>K</v>
      </c>
      <c r="H125" s="449">
        <v>0</v>
      </c>
      <c r="I125" s="449"/>
      <c r="J125" s="449">
        <v>0</v>
      </c>
      <c r="K125" s="449"/>
      <c r="L125" s="448">
        <v>0</v>
      </c>
      <c r="M125" s="448"/>
      <c r="N125" s="447">
        <v>897.44118616765195</v>
      </c>
      <c r="O125" s="461">
        <v>-84.098813832348014</v>
      </c>
    </row>
    <row r="126" spans="1:15">
      <c r="O126" s="461"/>
    </row>
  </sheetData>
  <phoneticPr fontId="50" type="noConversion"/>
  <pageMargins left="0.7" right="0.7" top="0.75" bottom="0.75" header="0.3" footer="0.3"/>
  <pageSetup scale="48" orientation="landscape" r:id="rId1"/>
  <rowBreaks count="1" manualBreakCount="1">
    <brk id="62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tabColor rgb="FFFFFF00"/>
    <pageSetUpPr fitToPage="1"/>
  </sheetPr>
  <dimension ref="A1:V128"/>
  <sheetViews>
    <sheetView view="pageBreakPreview" zoomScale="80" zoomScaleNormal="85" zoomScaleSheetLayoutView="80" workbookViewId="0">
      <selection activeCell="L3" sqref="L3"/>
    </sheetView>
  </sheetViews>
  <sheetFormatPr defaultColWidth="11.625" defaultRowHeight="13.5"/>
  <cols>
    <col min="1" max="1" width="5.25" style="1760" bestFit="1" customWidth="1"/>
    <col min="2" max="2" width="16.125" style="1760" bestFit="1" customWidth="1"/>
    <col min="3" max="3" width="7" style="1760" bestFit="1" customWidth="1"/>
    <col min="4" max="4" width="8.375" style="1760" bestFit="1" customWidth="1"/>
    <col min="5" max="5" width="13.125" style="1760" bestFit="1" customWidth="1"/>
    <col min="6" max="6" width="13.625" style="1760" bestFit="1" customWidth="1"/>
    <col min="7" max="7" width="1.625" style="1760" customWidth="1"/>
    <col min="8" max="8" width="16.375" style="1760" bestFit="1" customWidth="1"/>
    <col min="9" max="9" width="12.125" style="1760" bestFit="1" customWidth="1"/>
    <col min="10" max="10" width="19.375" style="1760" bestFit="1" customWidth="1"/>
    <col min="11" max="11" width="8" style="1760" bestFit="1" customWidth="1"/>
    <col min="12" max="16384" width="11.625" style="1760"/>
  </cols>
  <sheetData>
    <row r="1" spans="1:11" ht="15">
      <c r="A1" s="1827" t="str">
        <f>Company_Name</f>
        <v>WATER SERVICE CORPORATION OF KENTUCKY</v>
      </c>
      <c r="C1" s="1763"/>
      <c r="D1" s="1763"/>
      <c r="E1" s="1796"/>
      <c r="G1" s="1781"/>
      <c r="K1" s="1764" t="s">
        <v>3750</v>
      </c>
    </row>
    <row r="2" spans="1:11" ht="15">
      <c r="A2" s="1827" t="str">
        <f>Docket</f>
        <v>Case No. 2015 - 00382</v>
      </c>
      <c r="C2" s="1763"/>
      <c r="D2" s="1763"/>
      <c r="E2" s="1796"/>
      <c r="G2" s="1781"/>
      <c r="K2" s="1764"/>
    </row>
    <row r="3" spans="1:11" ht="15">
      <c r="A3" s="1759" t="s">
        <v>3612</v>
      </c>
      <c r="C3" s="1763"/>
      <c r="D3" s="1763"/>
      <c r="E3" s="1796"/>
      <c r="G3" s="1781"/>
    </row>
    <row r="4" spans="1:11" ht="15">
      <c r="A4" s="1767" t="s">
        <v>3751</v>
      </c>
      <c r="C4" s="1763"/>
      <c r="D4" s="1763"/>
      <c r="E4" s="1796"/>
      <c r="G4" s="1781"/>
    </row>
    <row r="5" spans="1:11" ht="15">
      <c r="A5" s="2115" t="str">
        <f>TestYearEnded</f>
        <v>Test Year Ended 6/30/2015</v>
      </c>
      <c r="B5" s="2115"/>
      <c r="C5" s="2115"/>
      <c r="D5" s="2115"/>
      <c r="E5" s="1768"/>
      <c r="G5" s="1828"/>
      <c r="I5" s="1804"/>
      <c r="J5" s="1804"/>
      <c r="K5" s="1804"/>
    </row>
    <row r="6" spans="1:11" ht="15">
      <c r="A6" s="1770"/>
      <c r="B6" s="1770"/>
      <c r="C6" s="1770"/>
      <c r="D6" s="1770"/>
      <c r="E6" s="1768"/>
      <c r="G6" s="1828"/>
      <c r="I6" s="1804"/>
      <c r="J6" s="1804"/>
      <c r="K6" s="1804"/>
    </row>
    <row r="7" spans="1:11" s="1791" customFormat="1" ht="15">
      <c r="A7" s="1771"/>
      <c r="B7" s="1771" t="s">
        <v>235</v>
      </c>
      <c r="C7" s="1771" t="s">
        <v>236</v>
      </c>
      <c r="D7" s="1771" t="s">
        <v>237</v>
      </c>
      <c r="E7" s="1771" t="s">
        <v>238</v>
      </c>
      <c r="F7" s="1791" t="s">
        <v>239</v>
      </c>
      <c r="G7" s="1831"/>
      <c r="H7" s="1791" t="s">
        <v>869</v>
      </c>
      <c r="I7" s="1889" t="s">
        <v>870</v>
      </c>
      <c r="J7" s="1889" t="s">
        <v>871</v>
      </c>
      <c r="K7" s="1889" t="s">
        <v>872</v>
      </c>
    </row>
    <row r="8" spans="1:11">
      <c r="B8" s="1890"/>
      <c r="C8" s="1773"/>
      <c r="D8" s="1773"/>
      <c r="E8" s="1773"/>
      <c r="F8" s="1773"/>
      <c r="G8" s="1773"/>
      <c r="H8" s="1773"/>
      <c r="I8" s="1773"/>
      <c r="J8" s="1773"/>
      <c r="K8" s="1773"/>
    </row>
    <row r="9" spans="1:11">
      <c r="A9" s="1891" t="s">
        <v>3617</v>
      </c>
      <c r="B9" s="1859" t="s">
        <v>3752</v>
      </c>
      <c r="C9" s="1788" t="s">
        <v>3753</v>
      </c>
      <c r="D9" s="1788" t="s">
        <v>3681</v>
      </c>
      <c r="E9" s="1788" t="s">
        <v>3754</v>
      </c>
      <c r="F9" s="1788" t="s">
        <v>3755</v>
      </c>
      <c r="G9" s="1892"/>
      <c r="H9" s="1859" t="s">
        <v>3936</v>
      </c>
      <c r="I9" s="1788" t="s">
        <v>3756</v>
      </c>
      <c r="J9" s="1788" t="s">
        <v>3937</v>
      </c>
      <c r="K9" s="1788" t="s">
        <v>959</v>
      </c>
    </row>
    <row r="10" spans="1:11">
      <c r="B10" s="1775"/>
      <c r="C10" s="1775"/>
      <c r="D10" s="1775"/>
      <c r="E10" s="1775"/>
      <c r="F10" s="1775"/>
      <c r="G10" s="1775"/>
      <c r="H10" s="1775"/>
      <c r="I10" s="1775"/>
      <c r="J10" s="1775"/>
      <c r="K10" s="1836"/>
    </row>
    <row r="11" spans="1:11" ht="15">
      <c r="A11" s="1791">
        <v>1</v>
      </c>
      <c r="B11" s="1793" t="s">
        <v>3757</v>
      </c>
      <c r="C11" s="1775"/>
      <c r="D11" s="1775"/>
      <c r="E11" s="1792" t="s">
        <v>3636</v>
      </c>
      <c r="F11" s="1792" t="s">
        <v>3636</v>
      </c>
      <c r="G11" s="1792"/>
      <c r="H11" s="1792" t="s">
        <v>3636</v>
      </c>
      <c r="I11" s="1792" t="s">
        <v>3636</v>
      </c>
      <c r="J11" s="1792" t="s">
        <v>3636</v>
      </c>
      <c r="K11" s="1836"/>
    </row>
    <row r="12" spans="1:11" ht="15">
      <c r="A12" s="1791">
        <v>2</v>
      </c>
      <c r="B12" s="1893" t="s">
        <v>3624</v>
      </c>
      <c r="C12" s="1894">
        <v>1</v>
      </c>
      <c r="D12" s="1894">
        <v>1</v>
      </c>
      <c r="E12" s="1895">
        <f>'wp - t-1 COSS'!G13+'wp - t-1 COSS'!H13</f>
        <v>59513</v>
      </c>
      <c r="F12" s="1895">
        <f>'wp - t-1 COSS'!I13+'wp - t-1 COSS'!J13</f>
        <v>6451</v>
      </c>
      <c r="G12" s="1895"/>
      <c r="H12" s="1895">
        <f>'wp - t-1 COSS'!K13+'wp - t-1 COSS'!L13</f>
        <v>180</v>
      </c>
      <c r="I12" s="1895">
        <f>'wp - t-1 COSS'!M13+'wp - t-1 COSS'!N13</f>
        <v>95</v>
      </c>
      <c r="J12" s="1895">
        <f>'wp - t-1 COSS'!O13+'wp - t-1 COSS'!P13</f>
        <v>0</v>
      </c>
      <c r="K12" s="1867">
        <f t="shared" ref="K12:K19" si="0">SUM(E12:J12)</f>
        <v>66239</v>
      </c>
    </row>
    <row r="13" spans="1:11" ht="15">
      <c r="A13" s="1791">
        <v>3</v>
      </c>
      <c r="B13" s="1893" t="s">
        <v>3626</v>
      </c>
      <c r="C13" s="1894">
        <v>1</v>
      </c>
      <c r="D13" s="1894">
        <v>1</v>
      </c>
      <c r="E13" s="1895">
        <f>'wp - t-1 COSS'!G14+'wp - t-1 COSS'!H14</f>
        <v>5588</v>
      </c>
      <c r="F13" s="1895">
        <f>'wp - t-1 COSS'!I14+'wp - t-1 COSS'!J14</f>
        <v>687</v>
      </c>
      <c r="G13" s="1895"/>
      <c r="H13" s="1895">
        <f>'wp - t-1 COSS'!K14+'wp - t-1 COSS'!L14</f>
        <v>108</v>
      </c>
      <c r="I13" s="1895">
        <f>'wp - t-1 COSS'!M14+'wp - t-1 COSS'!N14</f>
        <v>0</v>
      </c>
      <c r="J13" s="1895">
        <f>'wp - t-1 COSS'!O14+'wp - t-1 COSS'!P14</f>
        <v>0</v>
      </c>
      <c r="K13" s="1867">
        <f t="shared" si="0"/>
        <v>6383</v>
      </c>
    </row>
    <row r="14" spans="1:11" ht="15">
      <c r="A14" s="1791">
        <v>4</v>
      </c>
      <c r="B14" s="1893" t="s">
        <v>3628</v>
      </c>
      <c r="C14" s="1894">
        <v>2.5</v>
      </c>
      <c r="D14" s="1894">
        <v>2.5</v>
      </c>
      <c r="E14" s="1895">
        <f>'wp - t-1 COSS'!G15+'wp - t-1 COSS'!H15</f>
        <v>288</v>
      </c>
      <c r="F14" s="1895">
        <f>'wp - t-1 COSS'!I15+'wp - t-1 COSS'!J15</f>
        <v>836</v>
      </c>
      <c r="G14" s="1895"/>
      <c r="H14" s="1895">
        <f>'wp - t-1 COSS'!K15+'wp - t-1 COSS'!L15</f>
        <v>84</v>
      </c>
      <c r="I14" s="1895">
        <f>'wp - t-1 COSS'!M15+'wp - t-1 COSS'!N15</f>
        <v>12</v>
      </c>
      <c r="J14" s="1895">
        <f>'wp - t-1 COSS'!O15+'wp - t-1 COSS'!P15</f>
        <v>84</v>
      </c>
      <c r="K14" s="1867">
        <f t="shared" si="0"/>
        <v>1304</v>
      </c>
    </row>
    <row r="15" spans="1:11" ht="15">
      <c r="A15" s="1791">
        <v>5</v>
      </c>
      <c r="B15" s="1893" t="s">
        <v>3630</v>
      </c>
      <c r="C15" s="1894">
        <v>5</v>
      </c>
      <c r="D15" s="1894">
        <v>5</v>
      </c>
      <c r="E15" s="1895">
        <f>'wp - t-1 COSS'!G16+'wp - t-1 COSS'!H16</f>
        <v>0</v>
      </c>
      <c r="F15" s="1895">
        <f>'wp - t-1 COSS'!I16+'wp - t-1 COSS'!J16</f>
        <v>226</v>
      </c>
      <c r="G15" s="1895"/>
      <c r="H15" s="1895">
        <f>'wp - t-1 COSS'!K16+'wp - t-1 COSS'!L16</f>
        <v>95</v>
      </c>
      <c r="I15" s="1895">
        <f>'wp - t-1 COSS'!M16+'wp - t-1 COSS'!N16</f>
        <v>24</v>
      </c>
      <c r="J15" s="1895">
        <f>'wp - t-1 COSS'!O16+'wp - t-1 COSS'!P16</f>
        <v>0</v>
      </c>
      <c r="K15" s="1867">
        <f t="shared" si="0"/>
        <v>345</v>
      </c>
    </row>
    <row r="16" spans="1:11" ht="15">
      <c r="A16" s="1791">
        <v>6</v>
      </c>
      <c r="B16" s="1893" t="s">
        <v>3631</v>
      </c>
      <c r="C16" s="1894">
        <v>8</v>
      </c>
      <c r="D16" s="1894">
        <v>8</v>
      </c>
      <c r="E16" s="1895">
        <f>'wp - t-1 COSS'!G17+'wp - t-1 COSS'!H17</f>
        <v>0</v>
      </c>
      <c r="F16" s="1895">
        <f>'wp - t-1 COSS'!I17+'wp - t-1 COSS'!J17</f>
        <v>370</v>
      </c>
      <c r="G16" s="1895"/>
      <c r="H16" s="1895">
        <f>'wp - t-1 COSS'!K17+'wp - t-1 COSS'!L17</f>
        <v>228</v>
      </c>
      <c r="I16" s="1895">
        <f>'wp - t-1 COSS'!M17+'wp - t-1 COSS'!N17</f>
        <v>35</v>
      </c>
      <c r="J16" s="1895">
        <f>'wp - t-1 COSS'!O17+'wp - t-1 COSS'!P17</f>
        <v>12</v>
      </c>
      <c r="K16" s="1867">
        <f t="shared" si="0"/>
        <v>645</v>
      </c>
    </row>
    <row r="17" spans="1:11" ht="15">
      <c r="A17" s="1791">
        <v>7</v>
      </c>
      <c r="B17" s="1893" t="s">
        <v>3632</v>
      </c>
      <c r="C17" s="1894">
        <v>15</v>
      </c>
      <c r="D17" s="1894">
        <v>15</v>
      </c>
      <c r="E17" s="1895">
        <f>'wp - t-1 COSS'!G18+'wp - t-1 COSS'!H18</f>
        <v>0</v>
      </c>
      <c r="F17" s="1895">
        <f>'wp - t-1 COSS'!I18+'wp - t-1 COSS'!J18</f>
        <v>36</v>
      </c>
      <c r="G17" s="1895"/>
      <c r="H17" s="1895">
        <f>'wp - t-1 COSS'!K18+'wp - t-1 COSS'!L18</f>
        <v>48</v>
      </c>
      <c r="I17" s="1895">
        <f>'wp - t-1 COSS'!M18+'wp - t-1 COSS'!N18</f>
        <v>12</v>
      </c>
      <c r="J17" s="1895">
        <f>'wp - t-1 COSS'!O18+'wp - t-1 COSS'!P18</f>
        <v>0</v>
      </c>
      <c r="K17" s="1867">
        <f t="shared" si="0"/>
        <v>96</v>
      </c>
    </row>
    <row r="18" spans="1:11" ht="15">
      <c r="A18" s="1791">
        <v>8</v>
      </c>
      <c r="B18" s="1893" t="s">
        <v>3633</v>
      </c>
      <c r="C18" s="1894">
        <v>25</v>
      </c>
      <c r="D18" s="1894">
        <v>25</v>
      </c>
      <c r="E18" s="1895">
        <f>'wp - t-1 COSS'!G19+'wp - t-1 COSS'!H19</f>
        <v>0</v>
      </c>
      <c r="F18" s="1895">
        <f>'wp - t-1 COSS'!I19+'wp - t-1 COSS'!J19</f>
        <v>12</v>
      </c>
      <c r="G18" s="1895"/>
      <c r="H18" s="1895">
        <f>'wp - t-1 COSS'!K19+'wp - t-1 COSS'!L19</f>
        <v>12</v>
      </c>
      <c r="I18" s="1895">
        <f>'wp - t-1 COSS'!M19+'wp - t-1 COSS'!N19</f>
        <v>12</v>
      </c>
      <c r="J18" s="1895">
        <f>'wp - t-1 COSS'!O19+'wp - t-1 COSS'!P19</f>
        <v>0</v>
      </c>
      <c r="K18" s="1867">
        <f t="shared" si="0"/>
        <v>36</v>
      </c>
    </row>
    <row r="19" spans="1:11" ht="15">
      <c r="A19" s="1791">
        <v>9</v>
      </c>
      <c r="B19" s="1893" t="s">
        <v>3634</v>
      </c>
      <c r="C19" s="1894">
        <v>50</v>
      </c>
      <c r="D19" s="1894">
        <v>50</v>
      </c>
      <c r="E19" s="1895">
        <f>'wp - t-1 COSS'!G20+'wp - t-1 COSS'!H20</f>
        <v>0</v>
      </c>
      <c r="F19" s="1895">
        <f>'wp - t-1 COSS'!I20+'wp - t-1 COSS'!J20</f>
        <v>24</v>
      </c>
      <c r="G19" s="1895"/>
      <c r="H19" s="1895">
        <f>'wp - t-1 COSS'!K20+'wp - t-1 COSS'!L20</f>
        <v>0</v>
      </c>
      <c r="I19" s="1895">
        <f>'wp - t-1 COSS'!M20+'wp - t-1 COSS'!N20</f>
        <v>12</v>
      </c>
      <c r="J19" s="1895">
        <f>'wp - t-1 COSS'!O20+'wp - t-1 COSS'!P20</f>
        <v>0</v>
      </c>
      <c r="K19" s="1867">
        <f t="shared" si="0"/>
        <v>36</v>
      </c>
    </row>
    <row r="20" spans="1:11" ht="15">
      <c r="A20" s="1791">
        <v>10</v>
      </c>
      <c r="B20" s="1896"/>
      <c r="C20" s="1897"/>
      <c r="D20" s="1897"/>
      <c r="E20" s="1898"/>
      <c r="F20" s="1898"/>
      <c r="G20" s="1898"/>
      <c r="H20" s="1898"/>
      <c r="I20" s="1898"/>
      <c r="J20" s="1898"/>
      <c r="K20" s="1839"/>
    </row>
    <row r="21" spans="1:11" ht="15">
      <c r="A21" s="1791">
        <v>11</v>
      </c>
      <c r="C21" s="1885"/>
      <c r="D21" s="1885"/>
      <c r="E21" s="1804"/>
      <c r="F21" s="1804"/>
      <c r="G21" s="1804"/>
      <c r="H21" s="1804"/>
      <c r="I21" s="1804"/>
      <c r="J21" s="1804"/>
      <c r="K21" s="1804"/>
    </row>
    <row r="22" spans="1:11" ht="15">
      <c r="A22" s="1791">
        <v>12</v>
      </c>
      <c r="B22" s="1806" t="s">
        <v>3758</v>
      </c>
      <c r="C22" s="1885"/>
      <c r="D22" s="1899"/>
      <c r="E22" s="1804">
        <f ca="1">E12+($C$13*E13)+($C$14*E14)+($C$15*E15)+($C$16*E16)+($C$17*E17)+($C$18*E18)+($C$19*E19)</f>
        <v>65821</v>
      </c>
      <c r="F22" s="1804">
        <f ca="1">F12+($C$13*F13)+($C$14*F14)+($C$15*F15)+($C$16*F16)+($C$17*F17)+($C$18*F18)+($C$19*F19)</f>
        <v>15358</v>
      </c>
      <c r="G22" s="1804"/>
      <c r="H22" s="1804">
        <f>H12+($C$13*H13)+($C$14*H14)+($C$15*H15)+($C$16*H16)+($C$17*H17)+($C$18*H18)+($C$19*H19)</f>
        <v>3817</v>
      </c>
      <c r="I22" s="1804">
        <f ca="1">I12+($C$13*I13)+($C$14*I14)+($C$15*I15)+($C$16*I16)+($C$17*I17)+($C$18*I18)+($C$19*I19)</f>
        <v>1605</v>
      </c>
      <c r="J22" s="1804">
        <f>J12+($C$13*J13)+($C$14*J14)+($C$15*J15)+($C$16*J16)+($C$17*J17)+($C$18*J18)+($C$19*J19)</f>
        <v>306</v>
      </c>
      <c r="K22" s="1804">
        <f ca="1">K12+($C$13*K13)+($C$14*K14)+($C$15*K15)+($C$16*K16)+($C$17*K17)+($C$18*K18)+($C$19*K19)</f>
        <v>86907</v>
      </c>
    </row>
    <row r="23" spans="1:11" ht="15">
      <c r="A23" s="1791">
        <v>13</v>
      </c>
      <c r="C23" s="1885"/>
      <c r="D23" s="1885"/>
      <c r="E23" s="1804"/>
      <c r="F23" s="1804"/>
      <c r="G23" s="1804"/>
      <c r="H23" s="1804"/>
      <c r="I23" s="1804"/>
      <c r="J23" s="1804"/>
      <c r="K23" s="1804"/>
    </row>
    <row r="24" spans="1:11" ht="15">
      <c r="A24" s="1791">
        <v>14</v>
      </c>
      <c r="B24" s="1806" t="s">
        <v>3759</v>
      </c>
      <c r="C24" s="1885"/>
      <c r="D24" s="1899"/>
      <c r="E24" s="1804">
        <f ca="1">E12+($D$13*E13)+(E14*$D$14)+(E15*$D$15)+(E16*$D$16)+(E17*$D$17)+(E18*$D$18)+(E20*$D$20)</f>
        <v>65821</v>
      </c>
      <c r="F24" s="1804">
        <f>F12+($D$13*F13)+(F14*$D$14)+(F15*$D$15)+(F16*$D$16)+(F17*$D$17)+(F18*$D$18)+(F20*$D$20)</f>
        <v>14158</v>
      </c>
      <c r="G24" s="1804"/>
      <c r="H24" s="1804">
        <f t="shared" ref="H24:J24" si="1">H12+($D$13*H13)+(H14*$D$14)+(H15*$D$15)+(H16*$D$16)+(H17*$D$17)+(H18*$D$18)+(H20*$D$20)</f>
        <v>3817</v>
      </c>
      <c r="I24" s="1804">
        <f ca="1">I12+($D$13*I13)+(I14*$D$14)+(I15*$D$15)+(I16*$D$16)+(I17*$D$17)+(I18*$D$18)+(I20*$D$20)</f>
        <v>1005</v>
      </c>
      <c r="J24" s="1804">
        <f t="shared" si="1"/>
        <v>306</v>
      </c>
      <c r="K24" s="1804">
        <f>K12+($D$13*K13)+(K14*$D$14)+(K15*$D$15)+(K16*$D$16)+(K17*$D$17)+(K18*$D$18)+(K19*$D$19)</f>
        <v>86907</v>
      </c>
    </row>
    <row r="25" spans="1:11">
      <c r="B25" s="1781"/>
      <c r="C25" s="1868"/>
      <c r="D25" s="1868"/>
      <c r="E25" s="1804"/>
      <c r="F25" s="1804"/>
      <c r="G25" s="1804"/>
      <c r="H25" s="1804"/>
      <c r="I25" s="1804"/>
      <c r="J25" s="1804"/>
      <c r="K25" s="1804"/>
    </row>
    <row r="26" spans="1:11">
      <c r="B26" s="1781"/>
      <c r="C26" s="1868"/>
      <c r="D26" s="1868"/>
      <c r="E26" s="1804"/>
      <c r="F26" s="1804"/>
      <c r="G26" s="1804"/>
      <c r="H26" s="1804"/>
      <c r="I26" s="1804"/>
      <c r="J26" s="1804"/>
      <c r="K26" s="1804"/>
    </row>
    <row r="27" spans="1:11">
      <c r="B27" s="1781" t="s">
        <v>4012</v>
      </c>
      <c r="C27" s="1868"/>
      <c r="D27" s="1868"/>
      <c r="E27" s="1804"/>
      <c r="F27" s="1804"/>
      <c r="G27" s="1804"/>
      <c r="H27" s="1804"/>
      <c r="I27" s="1804"/>
      <c r="J27" s="1804"/>
      <c r="K27" s="1804"/>
    </row>
    <row r="29" spans="1:11">
      <c r="B29" s="1806" t="s">
        <v>3758</v>
      </c>
      <c r="C29" s="1885"/>
      <c r="D29" s="1899"/>
      <c r="E29" s="1804">
        <f ca="1">SUMPRODUCT(E$12:E$19,$C$12:$C$19)</f>
        <v>65821</v>
      </c>
      <c r="F29" s="1804">
        <f t="shared" ref="F29:K29" ca="1" si="2">SUMPRODUCT(F$12:F$19,$C$12:$C$19)</f>
        <v>15358</v>
      </c>
      <c r="G29" s="1804"/>
      <c r="H29" s="1804">
        <f t="shared" ca="1" si="2"/>
        <v>3817</v>
      </c>
      <c r="I29" s="1804">
        <f t="shared" ca="1" si="2"/>
        <v>1605</v>
      </c>
      <c r="J29" s="1804">
        <f t="shared" ca="1" si="2"/>
        <v>306</v>
      </c>
      <c r="K29" s="1804">
        <f t="shared" ca="1" si="2"/>
        <v>86907</v>
      </c>
    </row>
    <row r="30" spans="1:11">
      <c r="C30" s="1885"/>
      <c r="D30" s="1885"/>
      <c r="E30" s="1804"/>
      <c r="F30" s="1804"/>
      <c r="G30" s="1804"/>
      <c r="H30" s="1804"/>
      <c r="I30" s="1804"/>
      <c r="J30" s="1804"/>
      <c r="K30" s="1804"/>
    </row>
    <row r="31" spans="1:11">
      <c r="B31" s="1806" t="s">
        <v>3759</v>
      </c>
      <c r="C31" s="1885"/>
      <c r="D31" s="1899"/>
      <c r="E31" s="1804">
        <f ca="1">SUMPRODUCT(E$12:E$19,$D$12:$D$19)</f>
        <v>65821</v>
      </c>
      <c r="F31" s="1804">
        <f t="shared" ref="F31:K31" ca="1" si="3">SUMPRODUCT(F$12:F$19,$D$12:$D$19)</f>
        <v>15358</v>
      </c>
      <c r="G31" s="1804"/>
      <c r="H31" s="1804">
        <f t="shared" ca="1" si="3"/>
        <v>3817</v>
      </c>
      <c r="I31" s="1804">
        <f t="shared" ca="1" si="3"/>
        <v>1605</v>
      </c>
      <c r="J31" s="1804">
        <f t="shared" ca="1" si="3"/>
        <v>306</v>
      </c>
      <c r="K31" s="1804">
        <f t="shared" ca="1" si="3"/>
        <v>86907</v>
      </c>
    </row>
    <row r="34" spans="18:18">
      <c r="R34" s="1809"/>
    </row>
    <row r="56" spans="12:22">
      <c r="S56" s="1817"/>
      <c r="T56" s="1817"/>
      <c r="U56" s="1817"/>
      <c r="V56" s="1817"/>
    </row>
    <row r="62" spans="12:22">
      <c r="L62" s="1817"/>
      <c r="M62" s="1817"/>
      <c r="N62" s="1817"/>
      <c r="O62" s="1817"/>
      <c r="P62" s="1817"/>
      <c r="Q62" s="1817"/>
      <c r="R62" s="1817"/>
      <c r="S62" s="1817"/>
      <c r="T62" s="1817"/>
      <c r="U62" s="1817"/>
      <c r="V62" s="1817"/>
    </row>
    <row r="63" spans="12:22">
      <c r="L63" s="1817"/>
      <c r="M63" s="1817"/>
      <c r="N63" s="1817"/>
      <c r="O63" s="1817"/>
      <c r="P63" s="1817"/>
      <c r="Q63" s="1817"/>
      <c r="R63" s="1817"/>
      <c r="S63" s="1817"/>
      <c r="T63" s="1817"/>
      <c r="U63" s="1817"/>
      <c r="V63" s="1817"/>
    </row>
    <row r="64" spans="12:22">
      <c r="L64" s="1817"/>
      <c r="M64" s="1817"/>
      <c r="N64" s="1817"/>
      <c r="O64" s="1817"/>
      <c r="P64" s="1817"/>
      <c r="Q64" s="1817"/>
      <c r="R64" s="1817"/>
      <c r="S64" s="1817"/>
      <c r="T64" s="1817"/>
      <c r="U64" s="1817"/>
      <c r="V64" s="1817"/>
    </row>
    <row r="65" spans="12:22">
      <c r="L65" s="1817"/>
      <c r="M65" s="1817"/>
      <c r="N65" s="1817"/>
      <c r="O65" s="1817"/>
      <c r="P65" s="1817"/>
      <c r="Q65" s="1817"/>
      <c r="R65" s="1817"/>
      <c r="S65" s="1817"/>
      <c r="T65" s="1817"/>
      <c r="U65" s="1817"/>
      <c r="V65" s="1817"/>
    </row>
    <row r="66" spans="12:22">
      <c r="T66" s="1817"/>
      <c r="U66" s="1817"/>
      <c r="V66" s="1817"/>
    </row>
    <row r="67" spans="12:22">
      <c r="S67" s="1817"/>
      <c r="T67" s="1817"/>
      <c r="U67" s="1817"/>
      <c r="V67" s="1817"/>
    </row>
    <row r="68" spans="12:22">
      <c r="S68" s="1817"/>
      <c r="T68" s="1817"/>
      <c r="U68" s="1817"/>
      <c r="V68" s="1817"/>
    </row>
    <row r="69" spans="12:22">
      <c r="S69" s="1817"/>
      <c r="T69" s="1817"/>
      <c r="U69" s="1817"/>
      <c r="V69" s="1817"/>
    </row>
    <row r="70" spans="12:22">
      <c r="S70" s="1817"/>
      <c r="T70" s="1817"/>
      <c r="U70" s="1817"/>
      <c r="V70" s="1817"/>
    </row>
    <row r="71" spans="12:22">
      <c r="S71" s="1817"/>
      <c r="T71" s="1817"/>
      <c r="U71" s="1817"/>
      <c r="V71" s="1817"/>
    </row>
    <row r="72" spans="12:22">
      <c r="S72" s="1817"/>
      <c r="T72" s="1817"/>
      <c r="U72" s="1817"/>
      <c r="V72" s="1817"/>
    </row>
    <row r="73" spans="12:22">
      <c r="S73" s="1817"/>
      <c r="T73" s="1817"/>
      <c r="U73" s="1817"/>
      <c r="V73" s="1817"/>
    </row>
    <row r="74" spans="12:22">
      <c r="S74" s="1817"/>
      <c r="T74" s="1817"/>
      <c r="U74" s="1817"/>
      <c r="V74" s="1817"/>
    </row>
    <row r="75" spans="12:22">
      <c r="S75" s="1817"/>
      <c r="T75" s="1817"/>
      <c r="U75" s="1817"/>
      <c r="V75" s="1817"/>
    </row>
    <row r="76" spans="12:22">
      <c r="S76" s="1817"/>
      <c r="T76" s="1817"/>
      <c r="U76" s="1817"/>
      <c r="V76" s="1817"/>
    </row>
    <row r="77" spans="12:22">
      <c r="S77" s="1817"/>
      <c r="U77" s="1817"/>
      <c r="V77" s="1817"/>
    </row>
    <row r="78" spans="12:22">
      <c r="S78" s="1817"/>
      <c r="U78" s="1817"/>
      <c r="V78" s="1817"/>
    </row>
    <row r="79" spans="12:22">
      <c r="S79" s="1817"/>
    </row>
    <row r="112" spans="4:5">
      <c r="D112" s="1868"/>
      <c r="E112" s="1868"/>
    </row>
    <row r="113" spans="4:5">
      <c r="D113" s="1868"/>
      <c r="E113" s="1868"/>
    </row>
    <row r="114" spans="4:5">
      <c r="D114" s="1868"/>
      <c r="E114" s="1868"/>
    </row>
    <row r="115" spans="4:5">
      <c r="D115" s="1868"/>
      <c r="E115" s="1868"/>
    </row>
    <row r="116" spans="4:5">
      <c r="D116" s="1868"/>
      <c r="E116" s="1868"/>
    </row>
    <row r="117" spans="4:5">
      <c r="D117" s="1868"/>
      <c r="E117" s="1868"/>
    </row>
    <row r="118" spans="4:5">
      <c r="D118" s="1868"/>
      <c r="E118" s="1868"/>
    </row>
    <row r="119" spans="4:5">
      <c r="D119" s="1868"/>
      <c r="E119" s="1868"/>
    </row>
    <row r="120" spans="4:5">
      <c r="D120" s="1868"/>
      <c r="E120" s="1868"/>
    </row>
    <row r="121" spans="4:5">
      <c r="D121" s="1868"/>
      <c r="E121" s="1868"/>
    </row>
    <row r="122" spans="4:5">
      <c r="D122" s="1868"/>
      <c r="E122" s="1868"/>
    </row>
    <row r="123" spans="4:5">
      <c r="D123" s="1868"/>
      <c r="E123" s="1868"/>
    </row>
    <row r="124" spans="4:5">
      <c r="D124" s="1868"/>
      <c r="E124" s="1868"/>
    </row>
    <row r="125" spans="4:5">
      <c r="D125" s="1868"/>
      <c r="E125" s="1868"/>
    </row>
    <row r="126" spans="4:5">
      <c r="D126" s="1868"/>
      <c r="E126" s="1868"/>
    </row>
    <row r="127" spans="4:5">
      <c r="D127" s="1868"/>
      <c r="E127" s="1868"/>
    </row>
    <row r="128" spans="4:5">
      <c r="D128" s="1868"/>
      <c r="E128" s="1868"/>
    </row>
  </sheetData>
  <mergeCells count="1">
    <mergeCell ref="A5:D5"/>
  </mergeCells>
  <printOptions horizontalCentered="1"/>
  <pageMargins left="0.5" right="0.5" top="0.5" bottom="0.5" header="0.25" footer="0.25"/>
  <pageSetup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D45"/>
  <sheetViews>
    <sheetView workbookViewId="0"/>
  </sheetViews>
  <sheetFormatPr defaultColWidth="10.875" defaultRowHeight="15"/>
  <cols>
    <col min="1" max="1" width="10.875" style="15" customWidth="1"/>
    <col min="2" max="2" width="2.5" style="2" customWidth="1"/>
    <col min="3" max="3" width="40.625" style="2" customWidth="1"/>
    <col min="4" max="4" width="16.125" style="15" bestFit="1" customWidth="1"/>
    <col min="5" max="16384" width="10.875" style="2"/>
  </cols>
  <sheetData>
    <row r="1" spans="1:4">
      <c r="A1" s="415" t="str">
        <f>'Input Schedule'!G6</f>
        <v>WATER SERVICE CORPORATION OF KENTUCKY</v>
      </c>
      <c r="B1" s="1"/>
      <c r="D1" s="14"/>
    </row>
    <row r="2" spans="1:4">
      <c r="A2" s="416" t="s">
        <v>859</v>
      </c>
      <c r="B2" s="1"/>
      <c r="D2" s="3" t="s">
        <v>716</v>
      </c>
    </row>
    <row r="3" spans="1:4">
      <c r="A3" s="377"/>
      <c r="B3" s="1"/>
      <c r="C3" s="5"/>
      <c r="D3" s="3" t="s">
        <v>673</v>
      </c>
    </row>
    <row r="4" spans="1:4">
      <c r="A4" s="377"/>
      <c r="B4" s="1"/>
      <c r="C4" s="6"/>
      <c r="D4" s="378">
        <v>39629</v>
      </c>
    </row>
    <row r="5" spans="1:4">
      <c r="A5" s="377"/>
      <c r="B5" s="1"/>
      <c r="C5" s="6"/>
      <c r="D5" s="14"/>
    </row>
    <row r="6" spans="1:4">
      <c r="A6" s="417">
        <v>1020</v>
      </c>
      <c r="B6" s="1"/>
      <c r="C6" s="11" t="s">
        <v>466</v>
      </c>
      <c r="D6" s="254">
        <f t="shared" ref="D6:D26" si="0">IF(ISERROR(VLOOKUP(A6,TB,5,FALSE)),0,VLOOKUP(A6,TB,5,FALSE))</f>
        <v>0</v>
      </c>
    </row>
    <row r="7" spans="1:4">
      <c r="A7" s="417">
        <v>1045</v>
      </c>
      <c r="B7" s="1"/>
      <c r="C7" s="11" t="s">
        <v>503</v>
      </c>
      <c r="D7" s="254">
        <f t="shared" si="0"/>
        <v>0</v>
      </c>
    </row>
    <row r="8" spans="1:4">
      <c r="A8" s="417">
        <v>1050</v>
      </c>
      <c r="B8" s="1"/>
      <c r="C8" s="11" t="s">
        <v>412</v>
      </c>
      <c r="D8" s="254">
        <f t="shared" si="0"/>
        <v>0</v>
      </c>
    </row>
    <row r="9" spans="1:4">
      <c r="A9" s="417">
        <v>1055</v>
      </c>
      <c r="B9" s="1"/>
      <c r="C9" s="11" t="s">
        <v>411</v>
      </c>
      <c r="D9" s="254">
        <f t="shared" si="0"/>
        <v>0</v>
      </c>
    </row>
    <row r="10" spans="1:4">
      <c r="A10" s="417">
        <v>1065</v>
      </c>
      <c r="B10" s="1"/>
      <c r="C10" s="11" t="e">
        <f>#REF!</f>
        <v>#REF!</v>
      </c>
      <c r="D10" s="254">
        <f t="shared" si="0"/>
        <v>0</v>
      </c>
    </row>
    <row r="11" spans="1:4">
      <c r="A11" s="417">
        <v>1080</v>
      </c>
      <c r="B11" s="1"/>
      <c r="C11" s="11" t="s">
        <v>655</v>
      </c>
      <c r="D11" s="254">
        <f t="shared" si="0"/>
        <v>0</v>
      </c>
    </row>
    <row r="12" spans="1:4">
      <c r="A12" s="417">
        <v>1105</v>
      </c>
      <c r="B12" s="1"/>
      <c r="C12" s="11" t="s">
        <v>758</v>
      </c>
      <c r="D12" s="254">
        <f t="shared" si="0"/>
        <v>0</v>
      </c>
    </row>
    <row r="13" spans="1:4">
      <c r="A13" s="417">
        <v>1110</v>
      </c>
      <c r="B13" s="1"/>
      <c r="C13" s="11" t="e">
        <f>#REF!</f>
        <v>#REF!</v>
      </c>
      <c r="D13" s="254">
        <f t="shared" si="0"/>
        <v>0</v>
      </c>
    </row>
    <row r="14" spans="1:4">
      <c r="A14" s="417">
        <v>1115</v>
      </c>
      <c r="B14" s="1"/>
      <c r="C14" s="11" t="s">
        <v>532</v>
      </c>
      <c r="D14" s="254">
        <f t="shared" si="0"/>
        <v>0</v>
      </c>
    </row>
    <row r="15" spans="1:4">
      <c r="A15" s="417">
        <v>1120</v>
      </c>
      <c r="B15" s="1"/>
      <c r="C15" s="11" t="s">
        <v>109</v>
      </c>
      <c r="D15" s="254">
        <f t="shared" si="0"/>
        <v>0</v>
      </c>
    </row>
    <row r="16" spans="1:4">
      <c r="A16" s="417">
        <v>1125</v>
      </c>
      <c r="B16" s="1"/>
      <c r="C16" s="11" t="s">
        <v>414</v>
      </c>
      <c r="D16" s="254">
        <f t="shared" si="0"/>
        <v>0</v>
      </c>
    </row>
    <row r="17" spans="1:4">
      <c r="A17" s="417">
        <v>1130</v>
      </c>
      <c r="B17" s="1"/>
      <c r="C17" s="11" t="s">
        <v>312</v>
      </c>
      <c r="D17" s="254">
        <f t="shared" si="0"/>
        <v>0</v>
      </c>
    </row>
    <row r="18" spans="1:4">
      <c r="A18" s="417">
        <v>1135</v>
      </c>
      <c r="B18" s="1"/>
      <c r="C18" s="11" t="s">
        <v>84</v>
      </c>
      <c r="D18" s="254">
        <f t="shared" si="0"/>
        <v>0</v>
      </c>
    </row>
    <row r="19" spans="1:4">
      <c r="A19" s="417">
        <v>1140</v>
      </c>
      <c r="B19" s="1"/>
      <c r="C19" s="11" t="s">
        <v>443</v>
      </c>
      <c r="D19" s="254">
        <f t="shared" si="0"/>
        <v>0</v>
      </c>
    </row>
    <row r="20" spans="1:4">
      <c r="A20" s="417">
        <v>1145</v>
      </c>
      <c r="B20" s="1"/>
      <c r="C20" s="11" t="s">
        <v>444</v>
      </c>
      <c r="D20" s="254">
        <f t="shared" si="0"/>
        <v>0</v>
      </c>
    </row>
    <row r="21" spans="1:4">
      <c r="A21" s="417">
        <v>1175</v>
      </c>
      <c r="B21" s="1"/>
      <c r="C21" s="11" t="s">
        <v>497</v>
      </c>
      <c r="D21" s="254">
        <f t="shared" si="0"/>
        <v>0</v>
      </c>
    </row>
    <row r="22" spans="1:4">
      <c r="A22" s="417">
        <v>1180</v>
      </c>
      <c r="B22" s="1"/>
      <c r="C22" s="11" t="s">
        <v>498</v>
      </c>
      <c r="D22" s="254">
        <f t="shared" si="0"/>
        <v>0</v>
      </c>
    </row>
    <row r="23" spans="1:4">
      <c r="A23" s="417">
        <v>1195</v>
      </c>
      <c r="B23" s="1"/>
      <c r="C23" s="11" t="s">
        <v>496</v>
      </c>
      <c r="D23" s="254">
        <f t="shared" si="0"/>
        <v>0</v>
      </c>
    </row>
    <row r="24" spans="1:4">
      <c r="A24" s="417">
        <v>1190</v>
      </c>
      <c r="B24" s="1"/>
      <c r="C24" s="11" t="s">
        <v>670</v>
      </c>
      <c r="D24" s="254">
        <f t="shared" si="0"/>
        <v>0</v>
      </c>
    </row>
    <row r="25" spans="1:4">
      <c r="A25" s="417">
        <v>1205</v>
      </c>
      <c r="B25" s="1"/>
      <c r="C25" s="11" t="s">
        <v>435</v>
      </c>
      <c r="D25" s="254">
        <f t="shared" si="0"/>
        <v>0</v>
      </c>
    </row>
    <row r="26" spans="1:4">
      <c r="A26" s="417">
        <v>1215</v>
      </c>
      <c r="B26" s="1"/>
      <c r="C26" s="11" t="s">
        <v>504</v>
      </c>
      <c r="D26" s="254">
        <f t="shared" si="0"/>
        <v>0</v>
      </c>
    </row>
    <row r="27" spans="1:4">
      <c r="A27" s="377"/>
      <c r="B27" s="1"/>
      <c r="C27" s="8" t="s">
        <v>718</v>
      </c>
      <c r="D27" s="255">
        <f>SUM(D6:D26)</f>
        <v>0</v>
      </c>
    </row>
    <row r="28" spans="1:4">
      <c r="A28" s="377"/>
      <c r="B28" s="1"/>
      <c r="C28" s="8"/>
      <c r="D28" s="253"/>
    </row>
    <row r="29" spans="1:4">
      <c r="A29" s="377">
        <v>1345</v>
      </c>
      <c r="B29" s="1"/>
      <c r="C29" s="8" t="s">
        <v>505</v>
      </c>
      <c r="D29" s="254">
        <f>IF(ISERROR(VLOOKUP(A29,TB,5,FALSE)),0,VLOOKUP(A29,TB,5,FALSE))</f>
        <v>0</v>
      </c>
    </row>
    <row r="30" spans="1:4">
      <c r="A30" s="417">
        <v>1350</v>
      </c>
      <c r="B30" s="10"/>
      <c r="C30" s="11" t="s">
        <v>506</v>
      </c>
      <c r="D30" s="254">
        <f>IF(ISERROR(VLOOKUP(A30,TB,5,FALSE)),0,VLOOKUP(A30,TB,5,FALSE))</f>
        <v>0</v>
      </c>
    </row>
    <row r="31" spans="1:4">
      <c r="A31" s="417">
        <v>1395</v>
      </c>
      <c r="B31" s="10"/>
      <c r="C31" s="11" t="e">
        <f>#REF!</f>
        <v>#REF!</v>
      </c>
      <c r="D31" s="254">
        <f>IF(ISERROR(VLOOKUP(A31,TB,5,FALSE)),0,VLOOKUP(A31,TB,5,FALSE))</f>
        <v>0</v>
      </c>
    </row>
    <row r="32" spans="1:4">
      <c r="A32" s="377"/>
      <c r="B32" s="1"/>
      <c r="C32" s="8" t="s">
        <v>718</v>
      </c>
      <c r="D32" s="255">
        <f>SUM(D29:D31)</f>
        <v>0</v>
      </c>
    </row>
    <row r="33" spans="1:4">
      <c r="A33" s="377"/>
      <c r="B33" s="1"/>
      <c r="C33" s="8"/>
      <c r="D33" s="253"/>
    </row>
    <row r="34" spans="1:4">
      <c r="A34" s="377">
        <v>1555</v>
      </c>
      <c r="B34" s="1"/>
      <c r="C34" s="8" t="s">
        <v>88</v>
      </c>
      <c r="D34" s="255">
        <f>IF(ISERROR(VLOOKUP(A34,TB,5,FALSE)),0,VLOOKUP(A34,TB,5,FALSE))</f>
        <v>0</v>
      </c>
    </row>
    <row r="35" spans="1:4">
      <c r="A35" s="377"/>
      <c r="B35" s="1"/>
      <c r="C35" s="8"/>
      <c r="D35" s="254"/>
    </row>
    <row r="36" spans="1:4">
      <c r="A36" s="377">
        <v>1580</v>
      </c>
      <c r="B36" s="1"/>
      <c r="C36" s="8" t="e">
        <f>#REF!</f>
        <v>#REF!</v>
      </c>
      <c r="D36" s="254">
        <f>IF(ISERROR(VLOOKUP(A36,TB,5,FALSE)),0,VLOOKUP(A36,TB,5,FALSE))</f>
        <v>0</v>
      </c>
    </row>
    <row r="37" spans="1:4">
      <c r="A37" s="377">
        <v>1585</v>
      </c>
      <c r="B37" s="1"/>
      <c r="C37" s="8" t="s">
        <v>520</v>
      </c>
      <c r="D37" s="254">
        <f>IF(ISERROR(VLOOKUP(A37,TB,5,FALSE)),0,VLOOKUP(A37,TB,5,FALSE))</f>
        <v>0</v>
      </c>
    </row>
    <row r="38" spans="1:4">
      <c r="A38" s="377">
        <v>1590</v>
      </c>
      <c r="B38" s="1"/>
      <c r="C38" s="8" t="e">
        <f>#REF!</f>
        <v>#REF!</v>
      </c>
      <c r="D38" s="254">
        <f>IF(ISERROR(VLOOKUP(A38,TB,5,FALSE)),0,VLOOKUP(A38,TB,5,FALSE))</f>
        <v>0</v>
      </c>
    </row>
    <row r="39" spans="1:4">
      <c r="A39" s="377">
        <v>1595</v>
      </c>
      <c r="B39" s="1"/>
      <c r="C39" s="8" t="s">
        <v>408</v>
      </c>
      <c r="D39" s="254">
        <f>IF(ISERROR(VLOOKUP(A39,TB,5,FALSE)),0,VLOOKUP(A39,TB,5,FALSE))</f>
        <v>0</v>
      </c>
    </row>
    <row r="40" spans="1:4">
      <c r="A40" s="377"/>
      <c r="B40" s="1"/>
      <c r="C40" s="8" t="s">
        <v>89</v>
      </c>
      <c r="D40" s="255">
        <f>SUM(D36:D39)</f>
        <v>0</v>
      </c>
    </row>
    <row r="41" spans="1:4">
      <c r="A41" s="377"/>
      <c r="B41" s="1"/>
      <c r="C41" s="8"/>
      <c r="D41" s="254"/>
    </row>
    <row r="42" spans="1:4">
      <c r="A42" s="377"/>
      <c r="B42" s="1"/>
      <c r="C42" s="8"/>
      <c r="D42" s="254"/>
    </row>
    <row r="43" spans="1:4">
      <c r="A43" s="377"/>
      <c r="B43" s="1"/>
      <c r="C43" s="8" t="s">
        <v>463</v>
      </c>
      <c r="D43" s="255">
        <f>+D40+D34+D27+D32</f>
        <v>0</v>
      </c>
    </row>
    <row r="44" spans="1:4">
      <c r="A44" s="377"/>
      <c r="B44" s="1"/>
      <c r="C44" s="8"/>
      <c r="D44" s="9"/>
    </row>
    <row r="45" spans="1:4">
      <c r="A45" s="377"/>
      <c r="B45" s="1"/>
      <c r="C45" s="8"/>
      <c r="D45" s="14"/>
    </row>
  </sheetData>
  <phoneticPr fontId="28" type="noConversion"/>
  <pageMargins left="0.25" right="0" top="0.25" bottom="0" header="0.5" footer="0.5"/>
  <pageSetup orientation="portrait" horizontalDpi="4294967292" verticalDpi="4294967292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6"/>
  <sheetViews>
    <sheetView view="pageBreakPreview" zoomScale="60" zoomScaleNormal="75" workbookViewId="0"/>
  </sheetViews>
  <sheetFormatPr defaultRowHeight="13.5"/>
  <cols>
    <col min="1" max="1" width="19" style="386" customWidth="1"/>
    <col min="2" max="3" width="9" style="386"/>
    <col min="4" max="4" width="10.875" style="386" bestFit="1" customWidth="1"/>
    <col min="5" max="5" width="9" style="386"/>
    <col min="6" max="6" width="7.875" style="386" bestFit="1" customWidth="1"/>
    <col min="7" max="7" width="9" style="386"/>
    <col min="8" max="8" width="7.875" style="386" bestFit="1" customWidth="1"/>
    <col min="9" max="9" width="9.875" style="386" bestFit="1" customWidth="1"/>
    <col min="10" max="11" width="9" style="386"/>
    <col min="12" max="13" width="7.875" style="386" bestFit="1" customWidth="1"/>
    <col min="14" max="14" width="26.625" style="386" customWidth="1"/>
    <col min="15" max="16384" width="9" style="386"/>
  </cols>
  <sheetData>
    <row r="1" spans="1:11">
      <c r="I1" s="385" t="s">
        <v>2</v>
      </c>
    </row>
    <row r="3" spans="1:11">
      <c r="A3" s="379" t="str">
        <f>+'wp-q(3) Clinton salary revised'!A1</f>
        <v>WATER SERVICE CORPORATION OF KENTUCKY</v>
      </c>
      <c r="B3" s="380"/>
      <c r="C3" s="380"/>
      <c r="D3" s="381"/>
      <c r="E3" s="381"/>
      <c r="F3" s="381"/>
      <c r="G3" s="382"/>
      <c r="H3" s="383"/>
      <c r="I3" s="384"/>
      <c r="J3" s="387"/>
      <c r="K3" s="388"/>
    </row>
    <row r="4" spans="1:11">
      <c r="A4" s="389" t="s">
        <v>3</v>
      </c>
      <c r="D4" s="390"/>
      <c r="E4" s="390"/>
      <c r="F4" s="390"/>
      <c r="G4" s="391"/>
      <c r="H4" s="390"/>
      <c r="I4" s="390"/>
    </row>
    <row r="5" spans="1:11">
      <c r="A5" s="2152" t="s">
        <v>26</v>
      </c>
      <c r="B5" s="2152"/>
      <c r="C5" s="2152"/>
      <c r="D5" s="2152"/>
      <c r="E5" s="2152"/>
      <c r="F5" s="2152"/>
      <c r="G5" s="2152"/>
      <c r="H5" s="2152"/>
      <c r="I5" s="2152"/>
    </row>
    <row r="8" spans="1:11">
      <c r="A8" s="392"/>
      <c r="B8" s="390"/>
      <c r="C8" s="393"/>
      <c r="D8" s="390"/>
    </row>
    <row r="9" spans="1:11">
      <c r="A9" s="400">
        <v>2007</v>
      </c>
      <c r="F9" s="394"/>
    </row>
    <row r="10" spans="1:11">
      <c r="B10" s="395" t="s">
        <v>536</v>
      </c>
      <c r="C10" s="395"/>
      <c r="D10" s="395" t="s">
        <v>4</v>
      </c>
    </row>
    <row r="11" spans="1:11">
      <c r="A11" s="386" t="s">
        <v>5</v>
      </c>
      <c r="B11" s="407">
        <f>B33</f>
        <v>111.3</v>
      </c>
      <c r="C11" s="396"/>
      <c r="D11" s="397">
        <v>38353</v>
      </c>
    </row>
    <row r="12" spans="1:11">
      <c r="A12" s="386" t="s">
        <v>6</v>
      </c>
      <c r="B12" s="407">
        <f>G36</f>
        <v>125.58199999999999</v>
      </c>
      <c r="C12" s="396"/>
      <c r="D12" s="397">
        <v>39629</v>
      </c>
    </row>
    <row r="13" spans="1:11" ht="14.25" thickBot="1">
      <c r="A13" s="386" t="s">
        <v>531</v>
      </c>
      <c r="B13" s="408">
        <f>B12-B11</f>
        <v>14.281999999999996</v>
      </c>
      <c r="C13" s="398"/>
      <c r="D13" s="399">
        <f>(D12-D11)/365</f>
        <v>3.495890410958904</v>
      </c>
      <c r="F13" s="400" t="s">
        <v>7</v>
      </c>
    </row>
    <row r="14" spans="1:11" ht="15" thickTop="1" thickBot="1">
      <c r="E14" s="390"/>
      <c r="F14" s="401">
        <f>(EXP(LN(B12/B11)/((D12-D11)/365)))-1</f>
        <v>3.5137990508901984E-2</v>
      </c>
    </row>
    <row r="15" spans="1:11">
      <c r="B15" s="402"/>
    </row>
    <row r="17" spans="1:13">
      <c r="A17" s="389" t="s">
        <v>8</v>
      </c>
      <c r="B17" s="389"/>
      <c r="C17" s="389"/>
      <c r="D17" s="389"/>
    </row>
    <row r="20" spans="1:13">
      <c r="A20" s="403" t="s">
        <v>9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</row>
    <row r="21" spans="1:13">
      <c r="A21" s="405" t="s">
        <v>10</v>
      </c>
    </row>
    <row r="22" spans="1:13">
      <c r="A22" s="406" t="s">
        <v>11</v>
      </c>
    </row>
    <row r="23" spans="1:13">
      <c r="A23" s="406" t="s">
        <v>12</v>
      </c>
    </row>
    <row r="24" spans="1:13">
      <c r="A24" s="406" t="s">
        <v>27</v>
      </c>
    </row>
    <row r="25" spans="1:13">
      <c r="A25" s="2153"/>
      <c r="B25" s="2154"/>
      <c r="C25" s="2154"/>
      <c r="D25" s="2154"/>
      <c r="E25" s="2154"/>
      <c r="F25" s="2154"/>
      <c r="G25" s="2154"/>
      <c r="H25" s="2154"/>
      <c r="I25" s="2154"/>
      <c r="J25" s="2154"/>
      <c r="K25" s="2154"/>
      <c r="L25" s="2154"/>
      <c r="M25" s="2154"/>
    </row>
    <row r="26" spans="1:13">
      <c r="A26" s="419" t="s">
        <v>13</v>
      </c>
      <c r="B26" s="419" t="s">
        <v>14</v>
      </c>
      <c r="C26" s="419" t="s">
        <v>15</v>
      </c>
      <c r="D26" s="419" t="s">
        <v>16</v>
      </c>
      <c r="E26" s="419" t="s">
        <v>17</v>
      </c>
      <c r="F26" s="419" t="s">
        <v>18</v>
      </c>
      <c r="G26" s="419" t="s">
        <v>19</v>
      </c>
      <c r="H26" s="419" t="s">
        <v>20</v>
      </c>
      <c r="I26" s="419" t="s">
        <v>21</v>
      </c>
      <c r="J26" s="419" t="s">
        <v>22</v>
      </c>
      <c r="K26" s="419" t="s">
        <v>23</v>
      </c>
      <c r="L26" s="419" t="s">
        <v>24</v>
      </c>
      <c r="M26" s="419" t="s">
        <v>25</v>
      </c>
    </row>
    <row r="27" spans="1:13">
      <c r="A27" s="420">
        <v>1999</v>
      </c>
      <c r="B27" s="421">
        <v>0</v>
      </c>
      <c r="C27" s="421">
        <v>0</v>
      </c>
      <c r="D27" s="421">
        <v>0</v>
      </c>
      <c r="E27" s="421">
        <v>0</v>
      </c>
      <c r="F27" s="421">
        <v>0</v>
      </c>
      <c r="G27" s="421">
        <v>0</v>
      </c>
      <c r="H27" s="421">
        <v>0</v>
      </c>
      <c r="I27" s="421">
        <v>0</v>
      </c>
      <c r="J27" s="421">
        <v>0</v>
      </c>
      <c r="K27" s="421">
        <v>0</v>
      </c>
      <c r="L27" s="421">
        <v>0</v>
      </c>
      <c r="M27" s="421">
        <v>100</v>
      </c>
    </row>
    <row r="28" spans="1:13">
      <c r="A28" s="420">
        <v>2000</v>
      </c>
      <c r="B28" s="422">
        <v>100.3</v>
      </c>
      <c r="C28" s="422">
        <v>100.9</v>
      </c>
      <c r="D28" s="422">
        <v>101.6</v>
      </c>
      <c r="E28" s="422">
        <v>101.6</v>
      </c>
      <c r="F28" s="422">
        <v>101.7</v>
      </c>
      <c r="G28" s="422">
        <v>102.1</v>
      </c>
      <c r="H28" s="422">
        <v>102.3</v>
      </c>
      <c r="I28" s="422">
        <v>102.3</v>
      </c>
      <c r="J28" s="422">
        <v>102.8</v>
      </c>
      <c r="K28" s="422">
        <v>102.9</v>
      </c>
      <c r="L28" s="422">
        <v>102.8</v>
      </c>
      <c r="M28" s="422">
        <v>102.6</v>
      </c>
    </row>
    <row r="29" spans="1:13">
      <c r="A29" s="420">
        <v>2001</v>
      </c>
      <c r="B29" s="421">
        <v>100.3</v>
      </c>
      <c r="C29" s="421">
        <v>103.7</v>
      </c>
      <c r="D29" s="421">
        <v>103.9</v>
      </c>
      <c r="E29" s="421">
        <v>104.2</v>
      </c>
      <c r="F29" s="421">
        <v>104.6</v>
      </c>
      <c r="G29" s="421">
        <v>104.8</v>
      </c>
      <c r="H29" s="421">
        <v>104.5</v>
      </c>
      <c r="I29" s="421">
        <v>104.6</v>
      </c>
      <c r="J29" s="421">
        <v>104.9</v>
      </c>
      <c r="K29" s="421">
        <v>104.7</v>
      </c>
      <c r="L29" s="421">
        <v>104.4</v>
      </c>
      <c r="M29" s="421">
        <v>103.9</v>
      </c>
    </row>
    <row r="30" spans="1:13">
      <c r="A30" s="420">
        <v>2002</v>
      </c>
      <c r="B30" s="422">
        <v>104.2</v>
      </c>
      <c r="C30" s="422">
        <v>104.5</v>
      </c>
      <c r="D30" s="422">
        <v>105.1</v>
      </c>
      <c r="E30" s="422">
        <v>105.6</v>
      </c>
      <c r="F30" s="422">
        <v>105.6</v>
      </c>
      <c r="G30" s="422">
        <v>105.6</v>
      </c>
      <c r="H30" s="422">
        <v>105.7</v>
      </c>
      <c r="I30" s="422">
        <v>106</v>
      </c>
      <c r="J30" s="422">
        <v>106.3</v>
      </c>
      <c r="K30" s="422">
        <v>106.4</v>
      </c>
      <c r="L30" s="422">
        <v>106.3</v>
      </c>
      <c r="M30" s="422">
        <v>106</v>
      </c>
    </row>
    <row r="31" spans="1:13">
      <c r="A31" s="420">
        <v>2003</v>
      </c>
      <c r="B31" s="421">
        <v>106.5</v>
      </c>
      <c r="C31" s="421">
        <v>107.3</v>
      </c>
      <c r="D31" s="421">
        <v>107.9</v>
      </c>
      <c r="E31" s="421">
        <v>107.7</v>
      </c>
      <c r="F31" s="421">
        <v>107.5</v>
      </c>
      <c r="G31" s="421">
        <v>107.6</v>
      </c>
      <c r="H31" s="421">
        <v>107.7</v>
      </c>
      <c r="I31" s="421">
        <v>108.2</v>
      </c>
      <c r="J31" s="421">
        <v>108.5</v>
      </c>
      <c r="K31" s="421">
        <v>108.4</v>
      </c>
      <c r="L31" s="421">
        <v>108</v>
      </c>
      <c r="M31" s="421">
        <v>107.8</v>
      </c>
    </row>
    <row r="32" spans="1:13">
      <c r="A32" s="420">
        <v>2004</v>
      </c>
      <c r="B32" s="422">
        <v>108.5</v>
      </c>
      <c r="C32" s="422">
        <v>109.1</v>
      </c>
      <c r="D32" s="422">
        <v>109.7</v>
      </c>
      <c r="E32" s="422">
        <v>110</v>
      </c>
      <c r="F32" s="422">
        <v>110.6</v>
      </c>
      <c r="G32" s="422">
        <v>110.8</v>
      </c>
      <c r="H32" s="422">
        <v>110.7</v>
      </c>
      <c r="I32" s="422">
        <v>110.7</v>
      </c>
      <c r="J32" s="422">
        <v>111</v>
      </c>
      <c r="K32" s="422">
        <v>111.6</v>
      </c>
      <c r="L32" s="422">
        <v>111.6</v>
      </c>
      <c r="M32" s="422">
        <v>111.2</v>
      </c>
    </row>
    <row r="33" spans="1:13">
      <c r="A33" s="420">
        <v>2005</v>
      </c>
      <c r="B33" s="421">
        <v>111.3</v>
      </c>
      <c r="C33" s="421">
        <v>111.9</v>
      </c>
      <c r="D33" s="421">
        <v>112.6</v>
      </c>
      <c r="E33" s="421">
        <v>113.4</v>
      </c>
      <c r="F33" s="421">
        <v>113.3</v>
      </c>
      <c r="G33" s="421">
        <v>113.2</v>
      </c>
      <c r="H33" s="421">
        <v>113.7</v>
      </c>
      <c r="I33" s="421">
        <v>114.3</v>
      </c>
      <c r="J33" s="421">
        <v>115.6</v>
      </c>
      <c r="K33" s="421">
        <v>115.7</v>
      </c>
      <c r="L33" s="421">
        <v>114.9</v>
      </c>
      <c r="M33" s="421">
        <v>114.4</v>
      </c>
    </row>
    <row r="34" spans="1:13">
      <c r="A34" s="420">
        <v>2006</v>
      </c>
      <c r="B34" s="422">
        <v>115.2</v>
      </c>
      <c r="C34" s="422">
        <v>115.4</v>
      </c>
      <c r="D34" s="422">
        <v>116</v>
      </c>
      <c r="E34" s="422">
        <v>116.9</v>
      </c>
      <c r="F34" s="422">
        <v>117.5</v>
      </c>
      <c r="G34" s="422">
        <v>117.7</v>
      </c>
      <c r="H34" s="422">
        <v>118.1</v>
      </c>
      <c r="I34" s="422">
        <v>118.3</v>
      </c>
      <c r="J34" s="422">
        <v>117.8</v>
      </c>
      <c r="K34" s="422">
        <v>117.1</v>
      </c>
      <c r="L34" s="422">
        <v>116.9</v>
      </c>
      <c r="M34" s="422">
        <v>117</v>
      </c>
    </row>
    <row r="35" spans="1:13">
      <c r="A35" s="420">
        <v>2007</v>
      </c>
      <c r="B35" s="421">
        <v>117.31</v>
      </c>
      <c r="C35" s="421">
        <v>117.89700000000001</v>
      </c>
      <c r="D35" s="421">
        <v>118.97799999999999</v>
      </c>
      <c r="E35" s="421">
        <v>119.712</v>
      </c>
      <c r="F35" s="421">
        <v>120.29</v>
      </c>
      <c r="G35" s="421">
        <v>120.47799999999999</v>
      </c>
      <c r="H35" s="421">
        <v>120.384</v>
      </c>
      <c r="I35" s="421">
        <v>120.19799999999999</v>
      </c>
      <c r="J35" s="421">
        <v>120.538</v>
      </c>
      <c r="K35" s="421">
        <v>120.82299999999999</v>
      </c>
      <c r="L35" s="421">
        <v>121.443</v>
      </c>
      <c r="M35" s="421">
        <v>121.32</v>
      </c>
    </row>
    <row r="36" spans="1:13">
      <c r="A36" s="420">
        <v>2008</v>
      </c>
      <c r="B36" s="422">
        <v>121.895</v>
      </c>
      <c r="C36" s="422">
        <v>122.251</v>
      </c>
      <c r="D36" s="422">
        <v>123.20399999999999</v>
      </c>
      <c r="E36" s="422">
        <v>123.845</v>
      </c>
      <c r="F36" s="422">
        <v>124.645</v>
      </c>
      <c r="G36" s="422">
        <v>125.58199999999999</v>
      </c>
      <c r="H36" s="422">
        <v>0</v>
      </c>
      <c r="I36" s="422">
        <v>0</v>
      </c>
      <c r="J36" s="422">
        <v>0</v>
      </c>
      <c r="K36" s="422">
        <v>0</v>
      </c>
      <c r="L36" s="422">
        <v>0</v>
      </c>
      <c r="M36" s="422">
        <v>0</v>
      </c>
    </row>
  </sheetData>
  <mergeCells count="2">
    <mergeCell ref="A5:I5"/>
    <mergeCell ref="A25:M25"/>
  </mergeCells>
  <phoneticPr fontId="28" type="noConversion"/>
  <pageMargins left="0.75" right="0.75" top="1" bottom="1" header="0.5" footer="0.5"/>
  <pageSetup scale="6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Q24"/>
  <sheetViews>
    <sheetView view="pageBreakPreview" topLeftCell="A13" zoomScale="85" zoomScaleNormal="85" zoomScaleSheetLayoutView="85" workbookViewId="0"/>
  </sheetViews>
  <sheetFormatPr defaultRowHeight="16.5"/>
  <cols>
    <col min="1" max="1" width="5.625" style="1908" customWidth="1"/>
    <col min="2" max="2" width="2.375" style="1908" customWidth="1"/>
    <col min="3" max="3" width="94.25" style="1908" customWidth="1"/>
    <col min="4" max="16384" width="9" style="1908"/>
  </cols>
  <sheetData>
    <row r="1" spans="1:17" s="1760" customFormat="1" ht="15">
      <c r="A1" s="1759" t="str">
        <f>Company_Name</f>
        <v>WATER SERVICE CORPORATION OF KENTUCKY</v>
      </c>
      <c r="D1" s="1764" t="s">
        <v>3760</v>
      </c>
      <c r="F1" s="1761"/>
      <c r="G1" s="1761"/>
      <c r="I1" s="1762"/>
      <c r="J1" s="1761"/>
      <c r="K1" s="1761"/>
      <c r="L1" s="1763"/>
      <c r="M1" s="1761"/>
      <c r="N1" s="1761"/>
      <c r="O1" s="1761"/>
      <c r="P1" s="1761"/>
    </row>
    <row r="2" spans="1:17" s="1760" customFormat="1" ht="15">
      <c r="A2" s="1759" t="str">
        <f>Docket</f>
        <v>Case No. 2015 - 00382</v>
      </c>
      <c r="D2" s="1764"/>
      <c r="F2" s="1761"/>
      <c r="G2" s="1761"/>
      <c r="I2" s="1762"/>
      <c r="J2" s="1761"/>
      <c r="K2" s="1761"/>
      <c r="L2" s="1763"/>
      <c r="M2" s="1761"/>
      <c r="N2" s="1761"/>
      <c r="O2" s="1761"/>
      <c r="P2" s="1761"/>
    </row>
    <row r="3" spans="1:17" s="1760" customFormat="1" ht="15">
      <c r="A3" s="1759" t="s">
        <v>3612</v>
      </c>
      <c r="C3" s="1761"/>
      <c r="D3" s="1761"/>
      <c r="E3" s="1761"/>
      <c r="F3" s="1761"/>
      <c r="G3" s="1761"/>
      <c r="I3" s="1762"/>
      <c r="J3" s="1761"/>
      <c r="K3" s="1761"/>
      <c r="L3" s="1763"/>
      <c r="M3" s="1761"/>
      <c r="N3" s="1761"/>
      <c r="O3" s="1765"/>
      <c r="P3" s="1761"/>
      <c r="Q3" s="1766"/>
    </row>
    <row r="4" spans="1:17" s="1760" customFormat="1" ht="15">
      <c r="A4" s="1767" t="s">
        <v>3761</v>
      </c>
      <c r="C4" s="1763"/>
      <c r="D4" s="1763"/>
      <c r="E4" s="1761"/>
      <c r="F4" s="1761"/>
      <c r="G4" s="1761"/>
      <c r="I4" s="1762"/>
      <c r="J4" s="1761"/>
      <c r="K4" s="1761"/>
      <c r="L4" s="1763"/>
      <c r="M4" s="1761"/>
      <c r="N4" s="1761"/>
      <c r="O4" s="1765"/>
      <c r="P4" s="1761"/>
      <c r="Q4" s="1766"/>
    </row>
    <row r="5" spans="1:17" s="1760" customFormat="1" ht="15">
      <c r="A5" s="2115" t="str">
        <f>TestYearEnded</f>
        <v>Test Year Ended 6/30/2015</v>
      </c>
      <c r="B5" s="2115"/>
      <c r="C5" s="2115"/>
      <c r="D5" s="2115"/>
      <c r="E5" s="1761"/>
      <c r="F5" s="1761"/>
      <c r="G5" s="1761"/>
      <c r="I5" s="1769"/>
      <c r="J5" s="1761"/>
      <c r="K5" s="1761"/>
      <c r="L5" s="1763"/>
      <c r="M5" s="1761"/>
      <c r="N5" s="1761"/>
      <c r="O5" s="1761"/>
      <c r="P5" s="1761"/>
    </row>
    <row r="6" spans="1:17" s="1760" customFormat="1" ht="13.5">
      <c r="B6" s="1900"/>
      <c r="C6" s="1875"/>
      <c r="D6" s="1875"/>
      <c r="E6" s="1875"/>
      <c r="F6" s="1875"/>
      <c r="G6" s="1875"/>
      <c r="H6" s="1875"/>
      <c r="I6" s="1875"/>
      <c r="J6" s="1875"/>
      <c r="K6" s="1875"/>
      <c r="L6" s="1875"/>
      <c r="M6" s="1875"/>
      <c r="N6" s="1875"/>
      <c r="O6" s="1875"/>
      <c r="P6" s="1875"/>
      <c r="Q6" s="1875"/>
    </row>
    <row r="7" spans="1:17" s="1760" customFormat="1" ht="13.5">
      <c r="B7" s="1900"/>
      <c r="C7" s="1875"/>
      <c r="D7" s="1875"/>
      <c r="E7" s="1875"/>
      <c r="F7" s="1875"/>
      <c r="G7" s="1875"/>
      <c r="H7" s="1875"/>
      <c r="I7" s="1875"/>
      <c r="J7" s="1875"/>
      <c r="K7" s="1875"/>
      <c r="L7" s="1875"/>
      <c r="M7" s="1875"/>
      <c r="N7" s="1875"/>
      <c r="O7" s="1875"/>
      <c r="P7" s="1875"/>
      <c r="Q7" s="1875"/>
    </row>
    <row r="8" spans="1:17" s="1902" customFormat="1" ht="54.75" customHeight="1">
      <c r="A8" s="1901" t="s">
        <v>3762</v>
      </c>
      <c r="C8" s="1903" t="s">
        <v>3763</v>
      </c>
    </row>
    <row r="9" spans="1:17" s="1905" customFormat="1" ht="54.75" customHeight="1">
      <c r="A9" s="1904">
        <v>2</v>
      </c>
      <c r="C9" s="1906" t="s">
        <v>3764</v>
      </c>
    </row>
    <row r="10" spans="1:17" s="1905" customFormat="1" ht="54.75" customHeight="1">
      <c r="A10" s="1904">
        <v>3</v>
      </c>
      <c r="C10" s="1906" t="s">
        <v>3765</v>
      </c>
    </row>
    <row r="11" spans="1:17" s="1905" customFormat="1" ht="54.75" customHeight="1">
      <c r="A11" s="1904">
        <v>4</v>
      </c>
      <c r="C11" s="1906" t="s">
        <v>3766</v>
      </c>
    </row>
    <row r="12" spans="1:17" s="1905" customFormat="1" ht="54.75" customHeight="1">
      <c r="A12" s="1904">
        <v>5</v>
      </c>
      <c r="C12" s="1906" t="s">
        <v>3767</v>
      </c>
    </row>
    <row r="13" spans="1:17" s="1905" customFormat="1" ht="54.75" customHeight="1">
      <c r="A13" s="1904">
        <v>6</v>
      </c>
      <c r="C13" s="1906" t="s">
        <v>3768</v>
      </c>
    </row>
    <row r="14" spans="1:17" s="1905" customFormat="1" ht="54.75" customHeight="1">
      <c r="A14" s="1904">
        <v>7</v>
      </c>
      <c r="C14" s="1906" t="s">
        <v>3769</v>
      </c>
    </row>
    <row r="15" spans="1:17" s="1905" customFormat="1" ht="54.75" customHeight="1">
      <c r="A15" s="1904">
        <v>8</v>
      </c>
      <c r="C15" s="1906" t="s">
        <v>3770</v>
      </c>
    </row>
    <row r="16" spans="1:17" s="1905" customFormat="1" ht="54.75" customHeight="1">
      <c r="A16" s="1904">
        <v>9</v>
      </c>
      <c r="C16" s="1906" t="s">
        <v>3771</v>
      </c>
    </row>
    <row r="17" spans="1:3" s="1905" customFormat="1" ht="54.75" customHeight="1">
      <c r="A17" s="1904" t="s">
        <v>3772</v>
      </c>
      <c r="C17" s="1906" t="s">
        <v>3773</v>
      </c>
    </row>
    <row r="18" spans="1:3" s="1905" customFormat="1" ht="54.75" customHeight="1">
      <c r="A18" s="1904">
        <v>11</v>
      </c>
      <c r="C18" s="1906" t="s">
        <v>3774</v>
      </c>
    </row>
    <row r="19" spans="1:3" s="1905" customFormat="1" ht="54.75" customHeight="1">
      <c r="A19" s="1904">
        <v>12</v>
      </c>
      <c r="C19" s="1906" t="s">
        <v>3775</v>
      </c>
    </row>
    <row r="20" spans="1:3" s="1905" customFormat="1" ht="54.75" customHeight="1">
      <c r="A20" s="1904">
        <v>13</v>
      </c>
      <c r="C20" s="1906" t="s">
        <v>3776</v>
      </c>
    </row>
    <row r="21" spans="1:3" s="1905" customFormat="1" ht="54.75" customHeight="1">
      <c r="A21" s="1904">
        <v>14</v>
      </c>
      <c r="C21" s="1906" t="s">
        <v>3777</v>
      </c>
    </row>
    <row r="22" spans="1:3" s="1905" customFormat="1" ht="54.75" customHeight="1">
      <c r="A22" s="1904">
        <v>15</v>
      </c>
      <c r="C22" s="1906" t="s">
        <v>3778</v>
      </c>
    </row>
    <row r="24" spans="1:3" s="1907" customFormat="1" ht="15">
      <c r="A24" s="1907" t="s">
        <v>400</v>
      </c>
      <c r="C24" s="1907" t="s">
        <v>3779</v>
      </c>
    </row>
  </sheetData>
  <mergeCells count="1">
    <mergeCell ref="A5:D5"/>
  </mergeCells>
  <pageMargins left="0.5" right="0.5" top="0.5" bottom="0.5" header="0.3" footer="0.3"/>
  <pageSetup scale="73" orientation="portrait" r:id="rId1"/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77</vt:i4>
      </vt:variant>
    </vt:vector>
  </HeadingPairs>
  <TitlesOfParts>
    <vt:vector size="158" baseType="lpstr">
      <vt:lpstr>TOC</vt:lpstr>
      <vt:lpstr>Input Schedule</vt:lpstr>
      <vt:lpstr>COSS&gt;&gt;</vt:lpstr>
      <vt:lpstr>wp - t-1 COSS</vt:lpstr>
      <vt:lpstr>wp - t-2 COSS</vt:lpstr>
      <vt:lpstr>wp - t-3 COSS</vt:lpstr>
      <vt:lpstr>wp - t-4 COSS</vt:lpstr>
      <vt:lpstr>wp - t-5 COSS</vt:lpstr>
      <vt:lpstr>wp - t-6 COSS Codes</vt:lpstr>
      <vt:lpstr>wp - t-7 WSCKY Summary</vt:lpstr>
      <vt:lpstr>wp - t-8 Pro Forma Proposed</vt:lpstr>
      <vt:lpstr>wp - t-9 Plant in Service COSS</vt:lpstr>
      <vt:lpstr>TB&gt;&gt;</vt:lpstr>
      <vt:lpstr>TB Hard Code</vt:lpstr>
      <vt:lpstr>TB Clean</vt:lpstr>
      <vt:lpstr>Linked TB</vt:lpstr>
      <vt:lpstr>Filing&gt;&gt;</vt:lpstr>
      <vt:lpstr>Sch.A-B.S</vt:lpstr>
      <vt:lpstr>Sch.B-I.S</vt:lpstr>
      <vt:lpstr>Sch.C-R.B</vt:lpstr>
      <vt:lpstr>Sch.D-Revenue</vt:lpstr>
      <vt:lpstr>Sch.D-2-Revenue</vt:lpstr>
      <vt:lpstr>Sch.D - Summary</vt:lpstr>
      <vt:lpstr>Sch.E-Rev Req</vt:lpstr>
      <vt:lpstr>Average Gallons</vt:lpstr>
      <vt:lpstr>xxxRate-Rev Comp</vt:lpstr>
      <vt:lpstr>wp.a-uncoll</vt:lpstr>
      <vt:lpstr>wp-b-Salary</vt:lpstr>
      <vt:lpstr>wp-c-PIS Adj</vt:lpstr>
      <vt:lpstr>wp-d-rc.exp</vt:lpstr>
      <vt:lpstr>wp-e-toi</vt:lpstr>
      <vt:lpstr>wp-f-depr new rates</vt:lpstr>
      <vt:lpstr>wp(g)-inc.tx</vt:lpstr>
      <vt:lpstr>wp.h-cap.struc</vt:lpstr>
      <vt:lpstr>wp-i-wc</vt:lpstr>
      <vt:lpstr>wp-j-Maint&amp;Rep Adj</vt:lpstr>
      <vt:lpstr>wp-k-Chemicals</vt:lpstr>
      <vt:lpstr>wp-l-Transportation Expense</vt:lpstr>
      <vt:lpstr>wp-m-Expense Reports</vt:lpstr>
      <vt:lpstr>wp-n-Outside Services</vt:lpstr>
      <vt:lpstr>wp-o-Computers</vt:lpstr>
      <vt:lpstr>wp-p-Vehicles</vt:lpstr>
      <vt:lpstr>wp-q AIAC</vt:lpstr>
      <vt:lpstr>wp-r-Check Collect Fee</vt:lpstr>
      <vt:lpstr>wp-s-Rev Bridge</vt:lpstr>
      <vt:lpstr>ERC</vt:lpstr>
      <vt:lpstr>EXCLUDE&gt;&gt;</vt:lpstr>
      <vt:lpstr>Exhibit 9</vt:lpstr>
      <vt:lpstr>wp-appendix</vt:lpstr>
      <vt:lpstr>wp-f-depr</vt:lpstr>
      <vt:lpstr>Operators allocation</vt:lpstr>
      <vt:lpstr>wp b1</vt:lpstr>
      <vt:lpstr>Wp b2 - Captime</vt:lpstr>
      <vt:lpstr>w.p-b2</vt:lpstr>
      <vt:lpstr>wp b3 - CSR</vt:lpstr>
      <vt:lpstr>Wp b4 - WSC</vt:lpstr>
      <vt:lpstr>Wp b - salary</vt:lpstr>
      <vt:lpstr>wp-p2 Allocation of Vehicles</vt:lpstr>
      <vt:lpstr>wp-p2a Allocation of Trans Exp</vt:lpstr>
      <vt:lpstr>wp-p3-alloc of State computers</vt:lpstr>
      <vt:lpstr>wp-p4-alloc of WSC computers</vt:lpstr>
      <vt:lpstr>wp-p5 Recon Summary</vt:lpstr>
      <vt:lpstr>wp-p5a-restatement (audit)</vt:lpstr>
      <vt:lpstr>wp-q City of Clinton</vt:lpstr>
      <vt:lpstr>wp-q(2) salary allocation</vt:lpstr>
      <vt:lpstr>wp-q(3) Clinton salary revised</vt:lpstr>
      <vt:lpstr>wp-q(4) Clinton trans exp</vt:lpstr>
      <vt:lpstr>wp-Expense Reports</vt:lpstr>
      <vt:lpstr>Allocation Calc</vt:lpstr>
      <vt:lpstr>wp-l-gl plant additions</vt:lpstr>
      <vt:lpstr>wp-j-pf.plant</vt:lpstr>
      <vt:lpstr>wp-k-retirements</vt:lpstr>
      <vt:lpstr>Sch.E ORM </vt:lpstr>
      <vt:lpstr>wp c2</vt:lpstr>
      <vt:lpstr>wp c3</vt:lpstr>
      <vt:lpstr>wp-p-restate(audit)</vt:lpstr>
      <vt:lpstr>wp-o-restate-acq</vt:lpstr>
      <vt:lpstr>Rate Base Reallocation wp-$ </vt:lpstr>
      <vt:lpstr>Expense Reallocation Wp-$</vt:lpstr>
      <vt:lpstr>plnt category</vt:lpstr>
      <vt:lpstr>CPI</vt:lpstr>
      <vt:lpstr>ALLOCATION_TABLE</vt:lpstr>
      <vt:lpstr>Company_Name</vt:lpstr>
      <vt:lpstr>Computers_rate</vt:lpstr>
      <vt:lpstr>Docket</vt:lpstr>
      <vt:lpstr>'wp - t-1 COSS'!LSCH1A</vt:lpstr>
      <vt:lpstr>'wp - t-2 COSS'!LSCH1B</vt:lpstr>
      <vt:lpstr>'wp - t-3 COSS'!LSCH2</vt:lpstr>
      <vt:lpstr>'wp - t-4 COSS'!LSCH3</vt:lpstr>
      <vt:lpstr>'wp - t-5 COSS'!LSCH4</vt:lpstr>
      <vt:lpstr>'Average Gallons'!Print_Area</vt:lpstr>
      <vt:lpstr>'Input Schedule'!Print_Area</vt:lpstr>
      <vt:lpstr>'plnt category'!Print_Area</vt:lpstr>
      <vt:lpstr>'Sch.A-B.S'!Print_Area</vt:lpstr>
      <vt:lpstr>'Sch.B-I.S'!Print_Area</vt:lpstr>
      <vt:lpstr>'Sch.C-R.B'!Print_Area</vt:lpstr>
      <vt:lpstr>'Sch.D - Summary'!Print_Area</vt:lpstr>
      <vt:lpstr>'Sch.D-2-Revenue'!Print_Area</vt:lpstr>
      <vt:lpstr>'Sch.D-Revenue'!Print_Area</vt:lpstr>
      <vt:lpstr>'Sch.E ORM '!Print_Area</vt:lpstr>
      <vt:lpstr>'Sch.E-Rev Req'!Print_Area</vt:lpstr>
      <vt:lpstr>TOC!Print_Area</vt:lpstr>
      <vt:lpstr>'w.p-b2'!Print_Area</vt:lpstr>
      <vt:lpstr>'wp - t-1 COSS'!Print_Area</vt:lpstr>
      <vt:lpstr>'wp - t-3 COSS'!Print_Area</vt:lpstr>
      <vt:lpstr>'wp - t-4 COSS'!Print_Area</vt:lpstr>
      <vt:lpstr>'wp - t-5 COSS'!Print_Area</vt:lpstr>
      <vt:lpstr>'wp - t-6 COSS Codes'!Print_Area</vt:lpstr>
      <vt:lpstr>'wp - t-7 WSCKY Summary'!Print_Area</vt:lpstr>
      <vt:lpstr>'wp - t-8 Pro Forma Proposed'!Print_Area</vt:lpstr>
      <vt:lpstr>'Wp b - salary'!Print_Area</vt:lpstr>
      <vt:lpstr>'Wp b2 - Captime'!Print_Area</vt:lpstr>
      <vt:lpstr>'wp b3 - CSR'!Print_Area</vt:lpstr>
      <vt:lpstr>'Wp b4 - WSC'!Print_Area</vt:lpstr>
      <vt:lpstr>'wp(g)-inc.tx'!Print_Area</vt:lpstr>
      <vt:lpstr>'wp.a-uncoll'!Print_Area</vt:lpstr>
      <vt:lpstr>'wp.h-cap.struc'!Print_Area</vt:lpstr>
      <vt:lpstr>'wp-appendix'!Print_Area</vt:lpstr>
      <vt:lpstr>'wp-b-Salary'!Print_Area</vt:lpstr>
      <vt:lpstr>'wp-d-rc.exp'!Print_Area</vt:lpstr>
      <vt:lpstr>'wp-e-toi'!Print_Area</vt:lpstr>
      <vt:lpstr>'wp-f-depr'!Print_Area</vt:lpstr>
      <vt:lpstr>'wp-f-depr new rates'!Print_Area</vt:lpstr>
      <vt:lpstr>'wp-i-wc'!Print_Area</vt:lpstr>
      <vt:lpstr>'wp-j-Maint&amp;Rep Adj'!Print_Area</vt:lpstr>
      <vt:lpstr>'wp-j-pf.plant'!Print_Area</vt:lpstr>
      <vt:lpstr>'wp-m-Expense Reports'!Print_Area</vt:lpstr>
      <vt:lpstr>'wp-o-Computers'!Print_Area</vt:lpstr>
      <vt:lpstr>'wp-o-restate-acq'!Print_Area</vt:lpstr>
      <vt:lpstr>'wp-p2 Allocation of Vehicles'!Print_Area</vt:lpstr>
      <vt:lpstr>'wp-p3-alloc of State computers'!Print_Area</vt:lpstr>
      <vt:lpstr>'wp-p4-alloc of WSC computers'!Print_Area</vt:lpstr>
      <vt:lpstr>'wp-p5 Recon Summary'!Print_Area</vt:lpstr>
      <vt:lpstr>'wp-p5a-restatement (audit)'!Print_Area</vt:lpstr>
      <vt:lpstr>'wp-p-restate(audit)'!Print_Area</vt:lpstr>
      <vt:lpstr>'wp-p-Vehicles'!Print_Area</vt:lpstr>
      <vt:lpstr>'wp-q City of Clinton'!Print_Area</vt:lpstr>
      <vt:lpstr>'wp-q(2) salary allocation'!Print_Area</vt:lpstr>
      <vt:lpstr>'wp-q(3) Clinton salary revised'!Print_Area</vt:lpstr>
      <vt:lpstr>'wp-q(4) Clinton trans exp'!Print_Area</vt:lpstr>
      <vt:lpstr>'xxxRate-Rev Comp'!Print_Area</vt:lpstr>
      <vt:lpstr>'wp - t-5 COSS'!Print_Area_MI</vt:lpstr>
      <vt:lpstr>'Sch.D-2-Revenue'!Print_Titles</vt:lpstr>
      <vt:lpstr>'wp - t-8 Pro Forma Proposed'!Print_Titles</vt:lpstr>
      <vt:lpstr>'wp - t-9 Plant in Service COSS'!Print_Titles</vt:lpstr>
      <vt:lpstr>'Wp b - salary'!Print_Titles</vt:lpstr>
      <vt:lpstr>'Wp b2 - Captime'!Print_Titles</vt:lpstr>
      <vt:lpstr>'wp-o-restate-acq'!Print_Titles</vt:lpstr>
      <vt:lpstr>'wp-p2 Allocation of Vehicles'!Print_Titles</vt:lpstr>
      <vt:lpstr>'wp-p2a Allocation of Trans Exp'!Print_Titles</vt:lpstr>
      <vt:lpstr>'wp-p3-alloc of State computers'!Print_Titles</vt:lpstr>
      <vt:lpstr>'wp-p4-alloc of WSC computers'!Print_Titles</vt:lpstr>
      <vt:lpstr>'wp-p5 Recon Summary'!Print_Titles</vt:lpstr>
      <vt:lpstr>'wp-p5a-restatement (audit)'!Print_Titles</vt:lpstr>
      <vt:lpstr>'wp-p-restate(audit)'!Print_Titles</vt:lpstr>
      <vt:lpstr>'wp-q(3) Clinton salary revised'!Print_Titles</vt:lpstr>
      <vt:lpstr>'xxxRate-Rev Comp'!Print_Titles</vt:lpstr>
      <vt:lpstr>TestYearEnded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Utilities, Inc</dc:creator>
  <cp:lastModifiedBy>Todd Osterloh</cp:lastModifiedBy>
  <cp:lastPrinted>2015-11-25T20:55:40Z</cp:lastPrinted>
  <dcterms:created xsi:type="dcterms:W3CDTF">2001-02-13T21:01:04Z</dcterms:created>
  <dcterms:modified xsi:type="dcterms:W3CDTF">2016-01-19T21:48:24Z</dcterms:modified>
</cp:coreProperties>
</file>