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1325" windowHeight="6975" tabRatio="599" activeTab="12"/>
  </bookViews>
  <sheets>
    <sheet name="Summ Rev Req" sheetId="1" r:id="rId1"/>
    <sheet name="Rate Base" sheetId="2" r:id="rId2"/>
    <sheet name="COC" sheetId="8" r:id="rId3"/>
    <sheet name="Gross Rev Conversion Factor" sheetId="7" r:id="rId4"/>
    <sheet name="190 ADIT-First Category" sheetId="16" r:id="rId5"/>
    <sheet name="190 ADIT-Second Category" sheetId="17" r:id="rId6"/>
    <sheet name="190 ADIT-Tables" sheetId="19" r:id="rId7"/>
    <sheet name="NOL ADIT" sheetId="15" r:id="rId8"/>
    <sheet name="Reg Assets Requested" sheetId="12" r:id="rId9"/>
    <sheet name="As Filed F.6 - Rate Case &amp; PLR" sheetId="13" r:id="rId10"/>
    <sheet name="10% Cap Add Escalation-RB" sheetId="14" r:id="rId11"/>
    <sheet name="10% Cap Add Escalation Depr " sheetId="21" r:id="rId12"/>
    <sheet name="Adj Composite Alloc Factor" sheetId="20" r:id="rId13"/>
  </sheets>
  <definedNames>
    <definedName name="_Dist_Bin" localSheetId="11" hidden="1">#REF!</definedName>
    <definedName name="_Dist_Bin" localSheetId="10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12" hidden="1">#REF!</definedName>
    <definedName name="_Dist_Bin" localSheetId="7" hidden="1">#REF!</definedName>
    <definedName name="_Dist_Bin" localSheetId="8" hidden="1">#REF!</definedName>
    <definedName name="_Dist_Bin" hidden="1">#REF!</definedName>
    <definedName name="_Dist_Values" localSheetId="11" hidden="1">#REF!</definedName>
    <definedName name="_Dist_Values" localSheetId="10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12" hidden="1">#REF!</definedName>
    <definedName name="_Dist_Values" localSheetId="7" hidden="1">#REF!</definedName>
    <definedName name="_Dist_Values" localSheetId="8" hidden="1">#REF!</definedName>
    <definedName name="_Dist_Values" hidden="1">#REF!</definedName>
    <definedName name="_Fill" localSheetId="11" hidden="1">#REF!</definedName>
    <definedName name="_Fill" localSheetId="10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2" hidden="1">#REF!</definedName>
    <definedName name="_Fill" localSheetId="7" hidden="1">#REF!</definedName>
    <definedName name="_Fill" localSheetId="8" hidden="1">#REF!</definedName>
    <definedName name="_Fill" hidden="1">#REF!</definedName>
    <definedName name="_Key1" localSheetId="11" hidden="1">#REF!</definedName>
    <definedName name="_Key1" localSheetId="10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12" hidden="1">#REF!</definedName>
    <definedName name="_Key1" localSheetId="3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Regression_X" localSheetId="11" hidden="1">#REF!</definedName>
    <definedName name="_Regression_X" localSheetId="10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12" hidden="1">#REF!</definedName>
    <definedName name="_Regression_X" localSheetId="7" hidden="1">#REF!</definedName>
    <definedName name="_Regression_X" localSheetId="8" hidden="1">#REF!</definedName>
    <definedName name="_Regression_X" hidden="1">#REF!</definedName>
    <definedName name="_Sort" localSheetId="11" hidden="1">#REF!</definedName>
    <definedName name="_Sort" localSheetId="10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12" hidden="1">#REF!</definedName>
    <definedName name="_Sort" localSheetId="3" hidden="1">#REF!</definedName>
    <definedName name="_Sort" localSheetId="7" hidden="1">#REF!</definedName>
    <definedName name="_Sort" localSheetId="8" hidden="1">#REF!</definedName>
    <definedName name="_Sort" hidden="1">#REF!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_xlnm.Print_Area" localSheetId="2">COC!$A$1:$H$90</definedName>
    <definedName name="_xlnm.Print_Area" localSheetId="7">'NOL ADIT'!$A$1:$K$37</definedName>
    <definedName name="_xlnm.Print_Titles" localSheetId="12">'Adj Composite Alloc Factor'!$1:$10</definedName>
    <definedName name="_xlnm.Print_Titles" localSheetId="2">COC!$1:$5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11" hidden="1">#REF!,#REF!</definedName>
    <definedName name="Z_23F18827_7997_11D6_8750_00508BD3B3BA_.wvu.Cols" localSheetId="10" hidden="1">#REF!,#REF!</definedName>
    <definedName name="Z_23F18827_7997_11D6_8750_00508BD3B3BA_.wvu.Cols" localSheetId="4" hidden="1">#REF!,#REF!</definedName>
    <definedName name="Z_23F18827_7997_11D6_8750_00508BD3B3BA_.wvu.Cols" localSheetId="5" hidden="1">#REF!,#REF!</definedName>
    <definedName name="Z_23F18827_7997_11D6_8750_00508BD3B3BA_.wvu.Cols" localSheetId="6" hidden="1">#REF!,#REF!</definedName>
    <definedName name="Z_23F18827_7997_11D6_8750_00508BD3B3BA_.wvu.Cols" localSheetId="12" hidden="1">#REF!,#REF!</definedName>
    <definedName name="Z_23F18827_7997_11D6_8750_00508BD3B3BA_.wvu.Cols" localSheetId="7" hidden="1">#REF!,#REF!</definedName>
    <definedName name="Z_23F18827_7997_11D6_8750_00508BD3B3BA_.wvu.Cols" localSheetId="8" hidden="1">#REF!,#REF!</definedName>
    <definedName name="Z_23F18827_7997_11D6_8750_00508BD3B3BA_.wvu.Cols" hidden="1">#REF!,#REF!</definedName>
    <definedName name="Z_23F18827_7997_11D6_8750_00508BD3B3BA_.wvu.PrintArea" localSheetId="11" hidden="1">#REF!</definedName>
    <definedName name="Z_23F18827_7997_11D6_8750_00508BD3B3BA_.wvu.PrintArea" localSheetId="10" hidden="1">#REF!</definedName>
    <definedName name="Z_23F18827_7997_11D6_8750_00508BD3B3BA_.wvu.PrintArea" localSheetId="4" hidden="1">#REF!</definedName>
    <definedName name="Z_23F18827_7997_11D6_8750_00508BD3B3BA_.wvu.PrintArea" localSheetId="5" hidden="1">#REF!</definedName>
    <definedName name="Z_23F18827_7997_11D6_8750_00508BD3B3BA_.wvu.PrintArea" localSheetId="6" hidden="1">#REF!</definedName>
    <definedName name="Z_23F18827_7997_11D6_8750_00508BD3B3BA_.wvu.PrintArea" localSheetId="12" hidden="1">#REF!</definedName>
    <definedName name="Z_23F18827_7997_11D6_8750_00508BD3B3BA_.wvu.PrintArea" localSheetId="7" hidden="1">#REF!</definedName>
    <definedName name="Z_23F18827_7997_11D6_8750_00508BD3B3BA_.wvu.PrintArea" localSheetId="8" hidden="1">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F23" i="1" l="1"/>
  <c r="G27" i="14"/>
  <c r="C44" i="21"/>
  <c r="E42" i="21"/>
  <c r="E41" i="21"/>
  <c r="E40" i="21"/>
  <c r="E39" i="21"/>
  <c r="E44" i="21" s="1"/>
  <c r="G21" i="21" s="1"/>
  <c r="G22" i="21" s="1"/>
  <c r="E38" i="21"/>
  <c r="C34" i="21"/>
  <c r="E32" i="21"/>
  <c r="E31" i="21"/>
  <c r="E30" i="21"/>
  <c r="E29" i="21"/>
  <c r="E28" i="21"/>
  <c r="E34" i="21" l="1"/>
  <c r="G17" i="21" s="1"/>
  <c r="G18" i="21" s="1"/>
  <c r="G24" i="21"/>
  <c r="P99" i="8"/>
  <c r="Q101" i="8"/>
  <c r="D68" i="20" l="1"/>
  <c r="D67" i="20"/>
  <c r="F84" i="20" l="1"/>
  <c r="H86" i="20" s="1"/>
  <c r="F80" i="20"/>
  <c r="F69" i="20"/>
  <c r="F65" i="20"/>
  <c r="H71" i="20" s="1"/>
  <c r="F47" i="20"/>
  <c r="F43" i="20"/>
  <c r="F39" i="20"/>
  <c r="F28" i="20"/>
  <c r="F20" i="20"/>
  <c r="D23" i="20"/>
  <c r="D22" i="20"/>
  <c r="H89" i="20" l="1"/>
  <c r="F24" i="20"/>
  <c r="H30" i="20" s="1"/>
  <c r="H49" i="20"/>
  <c r="H52" i="20" l="1"/>
  <c r="K20" i="15" l="1"/>
  <c r="P78" i="8" l="1"/>
  <c r="F78" i="8"/>
  <c r="F79" i="8"/>
  <c r="P100" i="8" s="1"/>
  <c r="D80" i="8"/>
  <c r="D79" i="8"/>
  <c r="N79" i="8" s="1"/>
  <c r="D78" i="8"/>
  <c r="N78" i="8" s="1"/>
  <c r="F57" i="8"/>
  <c r="D42" i="8"/>
  <c r="D58" i="8" s="1"/>
  <c r="F25" i="8"/>
  <c r="F42" i="8" s="1"/>
  <c r="F58" i="8" s="1"/>
  <c r="D26" i="8"/>
  <c r="D43" i="8" s="1"/>
  <c r="D59" i="8" s="1"/>
  <c r="D24" i="8"/>
  <c r="D41" i="8" s="1"/>
  <c r="D57" i="8" s="1"/>
  <c r="F24" i="1"/>
  <c r="B14" i="1"/>
  <c r="K13" i="19"/>
  <c r="K8" i="19"/>
  <c r="K7" i="19"/>
  <c r="K6" i="19"/>
  <c r="C17" i="19"/>
  <c r="C19" i="19" s="1"/>
  <c r="C10" i="19"/>
  <c r="C12" i="19" s="1"/>
  <c r="F31" i="16"/>
  <c r="F20" i="16"/>
  <c r="J29" i="16"/>
  <c r="J18" i="16"/>
  <c r="E24" i="17"/>
  <c r="I24" i="17" s="1"/>
  <c r="E15" i="17"/>
  <c r="I15" i="17" s="1"/>
  <c r="E14" i="17"/>
  <c r="I14" i="17" s="1"/>
  <c r="E13" i="17"/>
  <c r="I13" i="17" s="1"/>
  <c r="C17" i="17"/>
  <c r="J28" i="16"/>
  <c r="J17" i="16"/>
  <c r="J16" i="16"/>
  <c r="J15" i="16"/>
  <c r="J14" i="16"/>
  <c r="J13" i="16"/>
  <c r="P79" i="8" l="1"/>
  <c r="N82" i="8"/>
  <c r="N101" i="8" s="1"/>
  <c r="D82" i="8"/>
  <c r="E78" i="8" s="1"/>
  <c r="J20" i="16"/>
  <c r="N80" i="8"/>
  <c r="M7" i="19"/>
  <c r="M8" i="19"/>
  <c r="M13" i="19"/>
  <c r="M6" i="19"/>
  <c r="D28" i="8"/>
  <c r="E25" i="8" s="1"/>
  <c r="G25" i="8" s="1"/>
  <c r="H25" i="8" s="1"/>
  <c r="K10" i="19"/>
  <c r="J27" i="16"/>
  <c r="J31" i="16" s="1"/>
  <c r="E17" i="17"/>
  <c r="I17" i="17"/>
  <c r="I19" i="2" s="1"/>
  <c r="E80" i="8" l="1"/>
  <c r="G80" i="8" s="1"/>
  <c r="I18" i="2"/>
  <c r="E79" i="8"/>
  <c r="G79" i="8" s="1"/>
  <c r="H79" i="8" s="1"/>
  <c r="M10" i="19"/>
  <c r="G78" i="8"/>
  <c r="E26" i="8"/>
  <c r="G26" i="8" s="1"/>
  <c r="E24" i="8"/>
  <c r="G24" i="8" s="1"/>
  <c r="E82" i="8" l="1"/>
  <c r="G82" i="8"/>
  <c r="H78" i="8"/>
  <c r="E28" i="8"/>
  <c r="G28" i="8"/>
  <c r="H24" i="8"/>
  <c r="B13" i="1" l="1"/>
  <c r="I11" i="2" l="1"/>
  <c r="F9" i="1"/>
  <c r="F31" i="1" s="1"/>
  <c r="B15" i="1" l="1"/>
  <c r="K25" i="15"/>
  <c r="K27" i="15" s="1"/>
  <c r="K32" i="15" s="1"/>
  <c r="I20" i="2" s="1"/>
  <c r="B12" i="1" l="1"/>
  <c r="G22" i="14" l="1"/>
  <c r="G17" i="14"/>
  <c r="G25" i="14" s="1"/>
  <c r="G29" i="14" s="1"/>
  <c r="I17" i="2" l="1"/>
  <c r="B16" i="1" l="1"/>
  <c r="B18" i="1"/>
  <c r="B17" i="1"/>
  <c r="I48" i="12"/>
  <c r="I47" i="12"/>
  <c r="I46" i="12"/>
  <c r="I45" i="12"/>
  <c r="I44" i="12"/>
  <c r="I43" i="12"/>
  <c r="I42" i="12"/>
  <c r="I41" i="12"/>
  <c r="I40" i="12"/>
  <c r="I39" i="12"/>
  <c r="I38" i="12"/>
  <c r="I37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36" i="12"/>
  <c r="D36" i="12"/>
  <c r="D47" i="12"/>
  <c r="I13" i="12"/>
  <c r="D13" i="12"/>
  <c r="D22" i="12"/>
  <c r="J23" i="13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N14" i="13"/>
  <c r="J14" i="13"/>
  <c r="J25" i="13"/>
  <c r="J17" i="13" l="1"/>
  <c r="J15" i="13"/>
  <c r="J20" i="13"/>
  <c r="J26" i="13"/>
  <c r="E18" i="13"/>
  <c r="E29" i="13" s="1"/>
  <c r="M14" i="13" s="1"/>
  <c r="D45" i="12"/>
  <c r="D41" i="12"/>
  <c r="D37" i="12"/>
  <c r="B37" i="12" s="1"/>
  <c r="B38" i="12" s="1"/>
  <c r="D38" i="12"/>
  <c r="D42" i="12"/>
  <c r="D46" i="12"/>
  <c r="D40" i="12"/>
  <c r="D44" i="12"/>
  <c r="D48" i="12"/>
  <c r="D39" i="12"/>
  <c r="D43" i="12"/>
  <c r="D15" i="12"/>
  <c r="D19" i="12"/>
  <c r="D23" i="12"/>
  <c r="D16" i="12"/>
  <c r="D20" i="12"/>
  <c r="D24" i="12"/>
  <c r="D17" i="12"/>
  <c r="D21" i="12"/>
  <c r="D25" i="12"/>
  <c r="D14" i="12"/>
  <c r="B14" i="12" s="1"/>
  <c r="B15" i="12" s="1"/>
  <c r="D18" i="12"/>
  <c r="J16" i="13"/>
  <c r="J18" i="13"/>
  <c r="J21" i="13"/>
  <c r="J24" i="13"/>
  <c r="I15" i="13"/>
  <c r="I16" i="13" s="1"/>
  <c r="I17" i="13" s="1"/>
  <c r="I18" i="13" s="1"/>
  <c r="J19" i="13"/>
  <c r="J22" i="13"/>
  <c r="E31" i="13" l="1"/>
  <c r="I19" i="13"/>
  <c r="I20" i="13" s="1"/>
  <c r="I21" i="13" s="1"/>
  <c r="I22" i="13" s="1"/>
  <c r="I23" i="13" s="1"/>
  <c r="I24" i="13" s="1"/>
  <c r="I25" i="13" s="1"/>
  <c r="I26" i="13" s="1"/>
  <c r="J27" i="13"/>
  <c r="D49" i="12"/>
  <c r="B39" i="12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D26" i="12"/>
  <c r="N26" i="13"/>
  <c r="N23" i="13"/>
  <c r="N20" i="13"/>
  <c r="N17" i="13"/>
  <c r="N15" i="13"/>
  <c r="N25" i="13"/>
  <c r="N22" i="13"/>
  <c r="N19" i="13"/>
  <c r="M15" i="13"/>
  <c r="M16" i="13" s="1"/>
  <c r="N24" i="13"/>
  <c r="N21" i="13"/>
  <c r="N18" i="13"/>
  <c r="N16" i="13"/>
  <c r="D54" i="12" l="1"/>
  <c r="F22" i="1" s="1"/>
  <c r="B40" i="12"/>
  <c r="B41" i="12" s="1"/>
  <c r="B42" i="12" s="1"/>
  <c r="B43" i="12" s="1"/>
  <c r="B44" i="12" s="1"/>
  <c r="B45" i="12" s="1"/>
  <c r="B46" i="12" s="1"/>
  <c r="B47" i="12" s="1"/>
  <c r="B48" i="12" s="1"/>
  <c r="G37" i="12"/>
  <c r="I49" i="12"/>
  <c r="G14" i="12"/>
  <c r="I26" i="12"/>
  <c r="B26" i="12"/>
  <c r="M17" i="13"/>
  <c r="M18" i="13" s="1"/>
  <c r="M19" i="13" s="1"/>
  <c r="M20" i="13" s="1"/>
  <c r="M21" i="13" s="1"/>
  <c r="M22" i="13" s="1"/>
  <c r="M23" i="13" s="1"/>
  <c r="M24" i="13" s="1"/>
  <c r="M25" i="13" s="1"/>
  <c r="M26" i="13" s="1"/>
  <c r="N27" i="13"/>
  <c r="I27" i="13"/>
  <c r="M27" i="13" l="1"/>
  <c r="B49" i="12"/>
  <c r="B54" i="12" s="1"/>
  <c r="I15" i="2" s="1"/>
  <c r="I54" i="12"/>
  <c r="F21" i="1" s="1"/>
  <c r="G38" i="12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15" i="12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49" i="12" l="1"/>
  <c r="G26" i="12"/>
  <c r="G54" i="12" l="1"/>
  <c r="I14" i="2" s="1"/>
  <c r="I23" i="2" s="1"/>
  <c r="I25" i="2" s="1"/>
  <c r="R85" i="8" s="1"/>
  <c r="R106" i="8" s="1"/>
  <c r="H48" i="8" l="1"/>
  <c r="H85" i="8"/>
  <c r="H31" i="8"/>
  <c r="D45" i="8"/>
  <c r="E42" i="8" s="1"/>
  <c r="G42" i="8" l="1"/>
  <c r="H42" i="8" s="1"/>
  <c r="E43" i="8"/>
  <c r="G43" i="8" s="1"/>
  <c r="E41" i="8"/>
  <c r="E45" i="8" l="1"/>
  <c r="G41" i="8"/>
  <c r="G45" i="8" l="1"/>
  <c r="H41" i="8"/>
  <c r="D61" i="8" l="1"/>
  <c r="E59" i="8" s="1"/>
  <c r="G59" i="8" s="1"/>
  <c r="D16" i="8"/>
  <c r="E14" i="8" s="1"/>
  <c r="C17" i="7"/>
  <c r="C19" i="7" s="1"/>
  <c r="G14" i="8" l="1"/>
  <c r="O80" i="8"/>
  <c r="Q80" i="8" s="1"/>
  <c r="E12" i="8"/>
  <c r="E57" i="8"/>
  <c r="E13" i="8"/>
  <c r="E58" i="8"/>
  <c r="G58" i="8" s="1"/>
  <c r="H58" i="8" s="1"/>
  <c r="C21" i="7"/>
  <c r="C23" i="7" s="1"/>
  <c r="G12" i="8" l="1"/>
  <c r="H12" i="8" s="1"/>
  <c r="O99" i="8"/>
  <c r="O78" i="8"/>
  <c r="G13" i="8"/>
  <c r="H13" i="8" s="1"/>
  <c r="O100" i="8"/>
  <c r="O79" i="8"/>
  <c r="Q79" i="8" s="1"/>
  <c r="R79" i="8" s="1"/>
  <c r="E16" i="8"/>
  <c r="G16" i="8"/>
  <c r="E61" i="8"/>
  <c r="G57" i="8"/>
  <c r="H57" i="8" s="1"/>
  <c r="C25" i="7"/>
  <c r="C27" i="7" s="1"/>
  <c r="R101" i="8" s="1"/>
  <c r="O82" i="8" l="1"/>
  <c r="Q78" i="8"/>
  <c r="N99" i="8"/>
  <c r="O103" i="8"/>
  <c r="Q99" i="8"/>
  <c r="Q100" i="8"/>
  <c r="R100" i="8" s="1"/>
  <c r="N100" i="8"/>
  <c r="H80" i="8"/>
  <c r="H82" i="8" s="1"/>
  <c r="R80" i="8"/>
  <c r="H26" i="8"/>
  <c r="H28" i="8" s="1"/>
  <c r="H43" i="8"/>
  <c r="H45" i="8" s="1"/>
  <c r="G61" i="8"/>
  <c r="H59" i="8"/>
  <c r="H61" i="8" s="1"/>
  <c r="H14" i="8"/>
  <c r="H16" i="8" s="1"/>
  <c r="R78" i="8" l="1"/>
  <c r="Q82" i="8"/>
  <c r="R82" i="8"/>
  <c r="R99" i="8"/>
  <c r="R103" i="8" s="1"/>
  <c r="R105" i="8" s="1"/>
  <c r="R107" i="8" s="1"/>
  <c r="Q103" i="8"/>
  <c r="H84" i="8"/>
  <c r="H47" i="8"/>
  <c r="H63" i="8"/>
  <c r="H30" i="8"/>
  <c r="H32" i="8" s="1"/>
  <c r="F27" i="1" s="1"/>
  <c r="K35" i="15"/>
  <c r="K37" i="15" s="1"/>
  <c r="R84" i="8"/>
  <c r="R86" i="8" s="1"/>
  <c r="L28" i="16"/>
  <c r="N28" i="16" s="1"/>
  <c r="E16" i="19" s="1"/>
  <c r="L17" i="16"/>
  <c r="N17" i="16" s="1"/>
  <c r="E9" i="19" s="1"/>
  <c r="L13" i="16"/>
  <c r="N13" i="16" s="1"/>
  <c r="K14" i="17"/>
  <c r="M14" i="17" s="1"/>
  <c r="L27" i="16"/>
  <c r="N27" i="16" s="1"/>
  <c r="L15" i="16"/>
  <c r="N15" i="16" s="1"/>
  <c r="E7" i="19" s="1"/>
  <c r="K24" i="17"/>
  <c r="M24" i="17" s="1"/>
  <c r="L14" i="16"/>
  <c r="N14" i="16" s="1"/>
  <c r="E6" i="19" s="1"/>
  <c r="L29" i="16"/>
  <c r="N29" i="16" s="1"/>
  <c r="E17" i="19" s="1"/>
  <c r="K15" i="17"/>
  <c r="M15" i="17" s="1"/>
  <c r="L16" i="16"/>
  <c r="N16" i="16" s="1"/>
  <c r="E8" i="19" s="1"/>
  <c r="F14" i="1"/>
  <c r="L18" i="16"/>
  <c r="N18" i="16" s="1"/>
  <c r="E10" i="19" s="1"/>
  <c r="K13" i="17"/>
  <c r="M13" i="17" s="1"/>
  <c r="F15" i="1"/>
  <c r="F13" i="1"/>
  <c r="F12" i="1"/>
  <c r="F16" i="1"/>
  <c r="F17" i="1"/>
  <c r="F18" i="1"/>
  <c r="M17" i="17" l="1"/>
  <c r="M28" i="17" s="1"/>
  <c r="O7" i="19"/>
  <c r="O13" i="19"/>
  <c r="E5" i="19"/>
  <c r="E12" i="19" s="1"/>
  <c r="N20" i="16"/>
  <c r="O6" i="19"/>
  <c r="O8" i="19"/>
  <c r="E15" i="19"/>
  <c r="E19" i="19" s="1"/>
  <c r="N31" i="16"/>
  <c r="H49" i="8"/>
  <c r="F28" i="1" s="1"/>
  <c r="N35" i="16" l="1"/>
  <c r="E22" i="19"/>
  <c r="O10" i="19"/>
  <c r="O16" i="19" s="1"/>
  <c r="H64" i="8"/>
  <c r="H65" i="8" s="1"/>
  <c r="H86" i="8" s="1"/>
  <c r="H89" i="8" s="1"/>
  <c r="F29" i="1" l="1"/>
  <c r="F34" i="1" s="1"/>
  <c r="H68" i="8"/>
  <c r="F36" i="1" l="1"/>
  <c r="N103" i="8"/>
</calcChain>
</file>

<file path=xl/sharedStrings.xml><?xml version="1.0" encoding="utf-8"?>
<sst xmlns="http://schemas.openxmlformats.org/spreadsheetml/2006/main" count="618" uniqueCount="264">
  <si>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</si>
  <si>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</si>
  <si>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</si>
  <si>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</si>
  <si>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</si>
  <si>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</si>
  <si>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</si>
  <si>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</si>
  <si>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</si>
  <si>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</si>
  <si>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</si>
  <si>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</si>
  <si>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 xml:space="preserve">     </t>
  </si>
  <si>
    <t>As Filed</t>
  </si>
  <si>
    <t>Amount</t>
  </si>
  <si>
    <t>I.  Atmos Cost of Capital Per Filing</t>
  </si>
  <si>
    <t>Additional Revenue</t>
  </si>
  <si>
    <t>Atmos</t>
  </si>
  <si>
    <t>Atmos Energy Corporation - Kentucky/Mid States Division</t>
  </si>
  <si>
    <t>Summary of Attorney General Recommendations</t>
  </si>
  <si>
    <t>Forecasted Test Period:  Twelve Months Ended May 31, 2017</t>
  </si>
  <si>
    <t>Base Period: 12 Mos Ended February 29, 2016</t>
  </si>
  <si>
    <t>KPSC Case No. 2015-00343</t>
  </si>
  <si>
    <t>Gross Revenue Conversion Factor</t>
  </si>
  <si>
    <t>Less: Uncollectible Expense</t>
  </si>
  <si>
    <t xml:space="preserve">         KPSC Maintenance Fee</t>
  </si>
  <si>
    <t>Income Before Income Taxes</t>
  </si>
  <si>
    <t>Less: Federal Income Taxes    (35%)</t>
  </si>
  <si>
    <t>Operating Income Percentage</t>
  </si>
  <si>
    <t>Income Before Federal Income Taxes</t>
  </si>
  <si>
    <t>Less: State Income Taxes 6%</t>
  </si>
  <si>
    <t>Change in Grossed Up Weighted Avg Cost of Capital</t>
  </si>
  <si>
    <t>Revenue Requirement Effect of Adjustment</t>
  </si>
  <si>
    <t>Cost of Capital - With AG Recommended Adjustments</t>
  </si>
  <si>
    <t>II.  Atmos Cost of Capital Adjusted to Include AG Adjustments to Capital Structure</t>
  </si>
  <si>
    <t>Rate Base Recommended by AG</t>
  </si>
  <si>
    <t>Net Change in Rate Base AG Recommendation</t>
  </si>
  <si>
    <t>Adjusted Rate Base AG Recommendation</t>
  </si>
  <si>
    <t>Every 1% ROE Change</t>
  </si>
  <si>
    <t>Reflect Adjusted Capital Structure</t>
  </si>
  <si>
    <t>Type of Filing:___X____Original________Updated ________Revised</t>
  </si>
  <si>
    <t>Line</t>
  </si>
  <si>
    <t>No.</t>
  </si>
  <si>
    <t xml:space="preserve"> </t>
  </si>
  <si>
    <t>Projected Rate Case Expense</t>
  </si>
  <si>
    <t>Data:__X___Base Period__X___Forecasted Period</t>
  </si>
  <si>
    <t>FR 16(8)(f)</t>
  </si>
  <si>
    <t>Schedule F-6</t>
  </si>
  <si>
    <t>Workpaper Reference No(s).</t>
  </si>
  <si>
    <t>Description</t>
  </si>
  <si>
    <t>PLR Regulatory Asset</t>
  </si>
  <si>
    <t>Rate Case (2 year Amortization)</t>
  </si>
  <si>
    <t>Regulated Asset Balance</t>
  </si>
  <si>
    <t>Amortization Expense</t>
  </si>
  <si>
    <t>Consulting</t>
  </si>
  <si>
    <t>May-16</t>
  </si>
  <si>
    <t>Class Cost Study - P. Raab</t>
  </si>
  <si>
    <t>Jun-16</t>
  </si>
  <si>
    <t>Cost of Capital - Vander Weide, J. H.</t>
  </si>
  <si>
    <t>Jul-16</t>
  </si>
  <si>
    <t>Depreciation - D. Watson</t>
  </si>
  <si>
    <t>Aug-16</t>
  </si>
  <si>
    <t xml:space="preserve">          sub-total</t>
  </si>
  <si>
    <t>Sep-16</t>
  </si>
  <si>
    <t>Oct-16</t>
  </si>
  <si>
    <t>Legal Fees</t>
  </si>
  <si>
    <t>Nov-16</t>
  </si>
  <si>
    <t xml:space="preserve">     (J. Hughes/R. Hutchinson)</t>
  </si>
  <si>
    <t>Dec-16</t>
  </si>
  <si>
    <t>Jan-17</t>
  </si>
  <si>
    <t>Employee Expense</t>
  </si>
  <si>
    <t>Feb-17</t>
  </si>
  <si>
    <t xml:space="preserve">     (airfare, lodging, meals, etc.)</t>
  </si>
  <si>
    <t>Mar-17</t>
  </si>
  <si>
    <t>Apr-17</t>
  </si>
  <si>
    <t>Miscellaneous Expense</t>
  </si>
  <si>
    <t>May 17</t>
  </si>
  <si>
    <t xml:space="preserve">     (printing, advertising, etc.)</t>
  </si>
  <si>
    <t>(13 Month Average)</t>
  </si>
  <si>
    <t>Total Projected Rate Case Expense</t>
  </si>
  <si>
    <t xml:space="preserve">Two (2) Year Amortization of Rate Case Expenses </t>
  </si>
  <si>
    <t>Data Source:</t>
  </si>
  <si>
    <t>F6 Schedule Rate Case Expenses.xls</t>
  </si>
  <si>
    <t>AS FILED</t>
  </si>
  <si>
    <t>Regulatory</t>
  </si>
  <si>
    <t>Asset Balance</t>
  </si>
  <si>
    <t>Amortization</t>
  </si>
  <si>
    <t>Expense</t>
  </si>
  <si>
    <t>PLR Regulatory Asset (1 Yr Amortization)</t>
  </si>
  <si>
    <t>AG Recommended</t>
  </si>
  <si>
    <t>Difference</t>
  </si>
  <si>
    <t>PLR Regulatory Asset (3 Yr Amortization)</t>
  </si>
  <si>
    <t>Extend Amortization Period for PLR Regulatory Asset to 3 Years</t>
  </si>
  <si>
    <t>Rate Case Expense (2 Yr Amortization)</t>
  </si>
  <si>
    <t>Rate Case Expense (3 Yr Amortization)</t>
  </si>
  <si>
    <t>Recommended</t>
  </si>
  <si>
    <t xml:space="preserve">Reflect Zero Balance for Cash Working Capital </t>
  </si>
  <si>
    <t>All Numbers Below are KY Div Only</t>
  </si>
  <si>
    <t>Change</t>
  </si>
  <si>
    <t>Amount Not in Calculation Based on O&amp;M Factor</t>
  </si>
  <si>
    <t>Depr Exp. In Filing for KY Division Only - See Below and Sch B-3.1</t>
  </si>
  <si>
    <t>See Schedule B-3.1 for allocated Depr Only that rolls into filing - As Filed</t>
  </si>
  <si>
    <t>Trucks</t>
  </si>
  <si>
    <t>Trailers</t>
  </si>
  <si>
    <t>Power Operated Equipment</t>
  </si>
  <si>
    <t>Backhoes</t>
  </si>
  <si>
    <t>Welders</t>
  </si>
  <si>
    <t>See Schedule B-3.1 for allocated Depr Only that rolls into filing - As Adjusted</t>
  </si>
  <si>
    <t>See AG WP File - ATT26 - KY Plant Data - Fall 2015 Case Adjusted for Changed Escalation Rate</t>
  </si>
  <si>
    <t>Gross Plant 13 month Avg at 1.10 as Filed</t>
  </si>
  <si>
    <t>See further calculations summarized on tab "Capital Spending."</t>
  </si>
  <si>
    <t xml:space="preserve">Effects of Change in Capital Adds Escalation Rate for KY Non-PRP from 1.10 to 1.00 </t>
  </si>
  <si>
    <t>Gross Plant 13 month Avg at 1.00 as Adjusted</t>
  </si>
  <si>
    <t xml:space="preserve">A/D 13 month Avg at 1.10 as Filed </t>
  </si>
  <si>
    <t xml:space="preserve">A/D 13 month Avg at 1.00 as Adjusted </t>
  </si>
  <si>
    <t xml:space="preserve">Depr Exp at 1.10 as Filed  </t>
  </si>
  <si>
    <t>Depr Exp. As Adjusted for KY Division Only - See Below and Sch B-3.1</t>
  </si>
  <si>
    <t>Depr Exp at 1.00 as Adjusted</t>
  </si>
  <si>
    <t xml:space="preserve">Remove Forecast 10% Escalation on Capital Additions for Kentucky Non-PRP </t>
  </si>
  <si>
    <t>Adjust Depreciation Expense to Remove Forecast 10% Escalation on Capital Additions</t>
  </si>
  <si>
    <t>FD-NOL Credit Carryforward - Utility</t>
  </si>
  <si>
    <t>FD-NOL Credit Carryforward - Other</t>
  </si>
  <si>
    <t>13 Month</t>
  </si>
  <si>
    <t>Average</t>
  </si>
  <si>
    <t>KY Jurisdiction Allocation Factor</t>
  </si>
  <si>
    <t>Division 2 Balances as Filed in Account 190 ADIT (Positive Value = Debit Balance)</t>
  </si>
  <si>
    <t>KY Mid States Division Allocation</t>
  </si>
  <si>
    <t>KY Jurisdictional Percentage</t>
  </si>
  <si>
    <t>KY Jurisdictional Percentage of FD-NOL Credit Carryforward ADIT that Should be</t>
  </si>
  <si>
    <t>Atmos Energy Corporation, Kentucky/Mid-States Division</t>
  </si>
  <si>
    <t>Kentucky Jurisdiction Case No. 2015-00343</t>
  </si>
  <si>
    <t>Witness: Waller</t>
  </si>
  <si>
    <t>NOTE:  If composite alocation is changed, there will be an affect to Rate Base and  Operating Income</t>
  </si>
  <si>
    <t>Atmos As-Filed Requested Increase</t>
  </si>
  <si>
    <t xml:space="preserve">   Less:  Reduction Related to Company Revision to Reflect Bonus Depreciation</t>
  </si>
  <si>
    <t>Atmos Revised Requested Increase</t>
  </si>
  <si>
    <t>Rate Base per Atmos - Original Filing</t>
  </si>
  <si>
    <t>Rate Base per Atmos - As Revised</t>
  </si>
  <si>
    <t>See Responses to AG 2-13 and 2-14</t>
  </si>
  <si>
    <t>MIP/VPP Accrual</t>
  </si>
  <si>
    <t>Self Insurance Adjustment</t>
  </si>
  <si>
    <t>Restricted Stock Grant Plan</t>
  </si>
  <si>
    <t>Restricted Stock MIP</t>
  </si>
  <si>
    <t>Charitable Contribution Carryover</t>
  </si>
  <si>
    <t>Division 002 Balances as Filed in Account 190 ADIT (Positive Value = Debit Balance)</t>
  </si>
  <si>
    <t>$</t>
  </si>
  <si>
    <t>Division 091 Balances as Filed in Account 190 ADIT (Positive Value = Debit Balance)</t>
  </si>
  <si>
    <t>Reg Asset Benefit Accrual</t>
  </si>
  <si>
    <t>IV.  Atmos Cost of Capital Adjusted to Include AG Recommended ROE of 9.0%</t>
  </si>
  <si>
    <t>Reflect Return on Equity of 9.0%</t>
  </si>
  <si>
    <t>Adjustments:</t>
  </si>
  <si>
    <t>DTA</t>
  </si>
  <si>
    <t>Jurisdictional</t>
  </si>
  <si>
    <t>Allocator</t>
  </si>
  <si>
    <t>As-Filed</t>
  </si>
  <si>
    <t>Atmos Energy Corporation - Kentucky Division</t>
  </si>
  <si>
    <t>Allocation to</t>
  </si>
  <si>
    <t>KY Division</t>
  </si>
  <si>
    <t>Grossed-Up</t>
  </si>
  <si>
    <t>Rate of Return</t>
  </si>
  <si>
    <t>Revenue Req</t>
  </si>
  <si>
    <t>Temporary</t>
  </si>
  <si>
    <t xml:space="preserve">Temporary </t>
  </si>
  <si>
    <t>38.9% Tax Rate</t>
  </si>
  <si>
    <t>SEBP Adjustment</t>
  </si>
  <si>
    <t>Rabbi Trust</t>
  </si>
  <si>
    <t>Director's Stock Awards</t>
  </si>
  <si>
    <t>Temp Diff</t>
  </si>
  <si>
    <t>Total Division 002</t>
  </si>
  <si>
    <t xml:space="preserve">Total Division 091 </t>
  </si>
  <si>
    <t>Total Second Category Reduction to Revenue Requirement Related to Account 190 ADIT</t>
  </si>
  <si>
    <t>VA Charitable Contribution Carryover</t>
  </si>
  <si>
    <t>First Category of Account 190 ADIT</t>
  </si>
  <si>
    <t>Division 002</t>
  </si>
  <si>
    <t xml:space="preserve">Division 091 </t>
  </si>
  <si>
    <t>Rev Req</t>
  </si>
  <si>
    <t>Second Category of Account 190 ADIT</t>
  </si>
  <si>
    <t>Total Revenue Requirement to Remove</t>
  </si>
  <si>
    <t>Total First Category Reduction to Revenue Requirement Related to Account 190 ADIT</t>
  </si>
  <si>
    <t>Remove Account 190 ADIT Not Associated With Cost of Service</t>
  </si>
  <si>
    <t>Include Temporary Differences Associated With 190 ADIT Included in Cost of Service</t>
  </si>
  <si>
    <t xml:space="preserve">Include AEC Commitment and Banking Fees in Operating Income </t>
  </si>
  <si>
    <t>Reduce Short Term Debt Rate by Removing AEC Commitment and Banking Fees</t>
  </si>
  <si>
    <t>Commitment and Banking Fees</t>
  </si>
  <si>
    <t>See Schedule J-2</t>
  </si>
  <si>
    <t>III.  Atmos Cost of Capital Adjusted to Reflect Lower Short Term Debt Rate by Removal of AEC</t>
  </si>
  <si>
    <t>ROE of 8.75%</t>
  </si>
  <si>
    <t>V.  Atmos Cost of Capital Adjusted to Reflect As-Filed Capital Structure and AG Recommended</t>
  </si>
  <si>
    <t>Atmos Cost of Capital Adjusted to Reflect Lower Short Term Debt Rate by Removal of AEC</t>
  </si>
  <si>
    <t>Attorney General Recommendation to Extend Amortization Period for PLR Regulatory Assets</t>
  </si>
  <si>
    <t>And Remove Regulatory Asset for Rate Case Expenses</t>
  </si>
  <si>
    <t>Remove Rate Case Expense Regulatory Asset</t>
  </si>
  <si>
    <t xml:space="preserve">Remove Amortization Expense for Rate Case Expense Regulatory Asset </t>
  </si>
  <si>
    <t>KY Jur</t>
  </si>
  <si>
    <t>FD-NOL Credit Carryforward - Non Reg - Removed in Filing So Not Considered</t>
  </si>
  <si>
    <t>Included in Filing:</t>
  </si>
  <si>
    <t>Total Division 2 Net NOL Credit Carryforward in Account 190 ADIT Before Filing Adjustment</t>
  </si>
  <si>
    <t>Removed from Rate Base Based on Booked Amounts</t>
  </si>
  <si>
    <t>See WP File - ATT2 - ADIT for KY - Fall 2015 in Revised ADIT Filing in Response to Staff 2-21</t>
  </si>
  <si>
    <t>As Filed Grossed Up Rate of Return</t>
  </si>
  <si>
    <t>Remove NOL ADIT in Acct 190</t>
  </si>
  <si>
    <t>KY Jurisdiction NOL Credit Carryforward ADIT in Account 190 to Remove from Rate Base</t>
  </si>
  <si>
    <t>Add: Forecasted Change in NOL Credit Carryforward ADIT Reflected in Filing (Sch B-5 F) - KY Juris.</t>
  </si>
  <si>
    <t>Used Only for Section V Revenue Requirement Effect of ROE Reduction to 8.75%</t>
  </si>
  <si>
    <t>Test Year Ended May 31, 2017</t>
  </si>
  <si>
    <t>Effects on Increase of AG Rate Base Recommendations</t>
  </si>
  <si>
    <t>Effects on Increase of AG Operating Income Recommendations</t>
  </si>
  <si>
    <t>Effects on Increase of AG Rate of Return Recommendations</t>
  </si>
  <si>
    <t>Total AG Recommendations</t>
  </si>
  <si>
    <t>AG Recommendation to Reduce Base Rates</t>
  </si>
  <si>
    <t>Adjust Composite Allocation Factor Percentages</t>
  </si>
  <si>
    <t>By Removing Average Number of Customers and Changing Total O&amp;M Expense to Total Operating Expense</t>
  </si>
  <si>
    <t>See AG WP File - ATT17 - FY15 Composite Factors for Rates_11.5.14 Analysis</t>
  </si>
  <si>
    <t>As-Filed Composite Allocation Factors</t>
  </si>
  <si>
    <t>Allocation to KY/Mid States Division</t>
  </si>
  <si>
    <t xml:space="preserve">Gross Direct PPE - Total </t>
  </si>
  <si>
    <t>Gross Direct PPE - KY/MidStates Div</t>
  </si>
  <si>
    <t>Average Number of Customers - KY/MidStates Div</t>
  </si>
  <si>
    <t xml:space="preserve">Average Number of Customers - Total </t>
  </si>
  <si>
    <t>Total O&amp;M Expenses - KY/MidStates Div</t>
  </si>
  <si>
    <t>12 Months Ended</t>
  </si>
  <si>
    <t>9/30/2014</t>
  </si>
  <si>
    <t>KY/MidStates</t>
  </si>
  <si>
    <t>Allocation %</t>
  </si>
  <si>
    <t>Total O&amp;M Expenses - Total</t>
  </si>
  <si>
    <t>Total O&amp;M Expenses - KY/MidStates Div %</t>
  </si>
  <si>
    <t>Average Number of Customers - KY/Midstates Div %</t>
  </si>
  <si>
    <t>Gross Direct PPE - KY/MidStates Div %</t>
  </si>
  <si>
    <t>Simple Average of Three Factors - KY/Mid States Div %</t>
  </si>
  <si>
    <t>Allocation of KY/Mid States Division to KY</t>
  </si>
  <si>
    <t>Gross Direct PPE - KY</t>
  </si>
  <si>
    <t>Gross Direct PPE - KY Div %</t>
  </si>
  <si>
    <t>Average Number of Customers - KY Div %</t>
  </si>
  <si>
    <t>Total O&amp;M Expenses - KY Div %</t>
  </si>
  <si>
    <t>As-Filed Shared Services Percentages Allocated to KY</t>
  </si>
  <si>
    <t>Composite</t>
  </si>
  <si>
    <t>Allocation</t>
  </si>
  <si>
    <t>%</t>
  </si>
  <si>
    <t>AG Recommended Composite Allocation Factors</t>
  </si>
  <si>
    <t>Total Direct Operating Expenses - KY/MidStates Div</t>
  </si>
  <si>
    <t>Total Direct Operating Expenses - Total</t>
  </si>
  <si>
    <t>See also spreadsheet reponses to AG 1-04 Att 5 and AG 2-11 Att 1 - Summed</t>
  </si>
  <si>
    <t>Average Number of Customers - KY</t>
  </si>
  <si>
    <t>Total O&amp;M Expenses - KY</t>
  </si>
  <si>
    <t>Gross Direct PPE - Total KY/TN/VA</t>
  </si>
  <si>
    <t>Average Number of Customers - KY/TN/VA</t>
  </si>
  <si>
    <t>Total O&amp;M Expenses - KY/TN/VA</t>
  </si>
  <si>
    <t>Note:  As Filed O&amp;M excludes amounts for Georgia.  Likewise, AG recommendation excludes amounts for Georgia.</t>
  </si>
  <si>
    <t>Entire Model Recalculated with the new allocation factors computed on separate tab</t>
  </si>
  <si>
    <t>AG Recommendation to Exclude Certain DTAs from Rate Base</t>
  </si>
  <si>
    <t>AG Recommendation to Subtract Temporary Difference Associated with Certain DTAs</t>
  </si>
  <si>
    <t>Used Only to Quantify the Effects of the Company's Increases in ROE and Common Equity Ratio</t>
  </si>
  <si>
    <t>Effects of Change In Composite Allocation Factor - All Aspects of Revenue Requirement</t>
  </si>
  <si>
    <t>Revenue Requirement Effect on Rate Base</t>
  </si>
  <si>
    <t>Revenue Requirement Effect on Depreciation Expense</t>
  </si>
  <si>
    <t>Net Change in Rate Base to Remove 10% Escalation on Non-PRP Capital Adds</t>
  </si>
  <si>
    <t>Remove Capital Adds Escalation in Projected Year for KY-Div Non-PRP Plant</t>
  </si>
  <si>
    <t>Reduction in Revenue Requirement by Removing 10% Escalation on Non-PRP Capital Adds</t>
  </si>
  <si>
    <t>Revenue Requirement Change in Depr Expense</t>
  </si>
  <si>
    <t>See updated model supplied with Staff 2-21, which shows revenue requirement as filed and with Composite Change without incremental changes recommended by AG.</t>
  </si>
  <si>
    <t>Response to Staff 2-21</t>
  </si>
  <si>
    <t>Reduction in Revenue Requirement by Removing Fed NOL ADIT from Rate Base</t>
  </si>
  <si>
    <t>Attorney General Recommendation to Remove Fed NOL ADIT in Account 190</t>
  </si>
  <si>
    <t>Utilize Rate Base Total Before and After Allocation factor change, the same with operating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</si>
</sst>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#,##0.0"/>
    <numFmt numFmtId="168" formatCode="General;;"/>
    <numFmt numFmtId="169" formatCode="_(* #,##0.000_);_(* \(#,##0.000\);_(* &quot;-&quot;??_);_(@_)"/>
    <numFmt numFmtId="170" formatCode="_(* #,##0.000000_);_(* \(#,##0.000000\);_(* &quot;-&quot;??_);_(@_)"/>
    <numFmt numFmtId="171" formatCode="&quot;$&quot;#,##0"/>
    <numFmt numFmtId="172" formatCode="0.00000%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Helvetica-Narrow"/>
    </font>
    <font>
      <sz val="12"/>
      <name val="Times New Roman"/>
      <family val="1"/>
    </font>
    <font>
      <b/>
      <sz val="12"/>
      <name val="Helvetica-Narrow"/>
    </font>
    <font>
      <b/>
      <sz val="12"/>
      <name val="Helvetica-Narrow"/>
      <family val="2"/>
    </font>
    <font>
      <u/>
      <sz val="12"/>
      <color rgb="FF0000FF"/>
      <name val="Helvetica-Narrow"/>
      <family val="2"/>
    </font>
    <font>
      <sz val="12"/>
      <color rgb="FF0000FF"/>
      <name val="Helvetica-Narrow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33" fillId="0" borderId="0"/>
    <xf numFmtId="0" fontId="13" fillId="2" borderId="1">
      <alignment horizontal="center" vertical="center"/>
    </xf>
    <xf numFmtId="3" fontId="14" fillId="3" borderId="0" applyBorder="0">
      <alignment horizontal="right"/>
      <protection locked="0"/>
    </xf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5" fillId="0" borderId="0">
      <alignment horizontal="left" vertical="center" indent="1"/>
    </xf>
    <xf numFmtId="44" fontId="2" fillId="0" borderId="0" applyFont="0" applyFill="0" applyBorder="0" applyAlignment="0" applyProtection="0"/>
    <xf numFmtId="8" fontId="16" fillId="0" borderId="2">
      <protection locked="0"/>
    </xf>
    <xf numFmtId="0" fontId="7" fillId="0" borderId="0"/>
    <xf numFmtId="0" fontId="7" fillId="0" borderId="0"/>
    <xf numFmtId="0" fontId="7" fillId="0" borderId="3"/>
    <xf numFmtId="6" fontId="17" fillId="0" borderId="0">
      <protection locked="0"/>
    </xf>
    <xf numFmtId="0" fontId="18" fillId="0" borderId="0" applyNumberFormat="0">
      <protection locked="0"/>
    </xf>
    <xf numFmtId="167" fontId="3" fillId="4" borderId="0" applyFill="0" applyBorder="0" applyProtection="0"/>
    <xf numFmtId="0" fontId="2" fillId="0" borderId="0">
      <protection locked="0"/>
    </xf>
    <xf numFmtId="38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Alignment="0" applyProtection="0">
      <alignment horizontal="left" vertical="center"/>
    </xf>
    <xf numFmtId="0" fontId="20" fillId="0" borderId="5">
      <alignment horizontal="left" vertical="center"/>
    </xf>
    <xf numFmtId="0" fontId="21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22" fillId="0" borderId="6" applyNumberFormat="0" applyFill="0" applyAlignment="0" applyProtection="0"/>
    <xf numFmtId="10" fontId="18" fillId="6" borderId="7" applyNumberFormat="0" applyBorder="0" applyAlignment="0" applyProtection="0"/>
    <xf numFmtId="0" fontId="8" fillId="7" borderId="3"/>
    <xf numFmtId="0" fontId="23" fillId="0" borderId="0" applyNumberFormat="0">
      <alignment horizontal="left"/>
    </xf>
    <xf numFmtId="37" fontId="24" fillId="0" borderId="0"/>
    <xf numFmtId="3" fontId="18" fillId="5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5" fillId="0" borderId="0"/>
    <xf numFmtId="4" fontId="9" fillId="8" borderId="0">
      <alignment horizontal="right"/>
    </xf>
    <xf numFmtId="0" fontId="26" fillId="8" borderId="0">
      <alignment horizontal="right"/>
    </xf>
    <xf numFmtId="0" fontId="27" fillId="8" borderId="8"/>
    <xf numFmtId="0" fontId="27" fillId="0" borderId="0" applyBorder="0">
      <alignment horizontal="centerContinuous"/>
    </xf>
    <xf numFmtId="0" fontId="28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29" fillId="0" borderId="0" applyNumberFormat="0">
      <alignment horizontal="left"/>
    </xf>
    <xf numFmtId="0" fontId="7" fillId="0" borderId="3"/>
    <xf numFmtId="0" fontId="7" fillId="0" borderId="3"/>
    <xf numFmtId="0" fontId="10" fillId="9" borderId="0"/>
    <xf numFmtId="0" fontId="10" fillId="9" borderId="0"/>
    <xf numFmtId="168" fontId="30" fillId="0" borderId="0">
      <alignment horizontal="center"/>
    </xf>
    <xf numFmtId="0" fontId="2" fillId="0" borderId="9">
      <protection locked="0"/>
    </xf>
    <xf numFmtId="0" fontId="8" fillId="0" borderId="10"/>
    <xf numFmtId="0" fontId="8" fillId="0" borderId="10"/>
    <xf numFmtId="0" fontId="8" fillId="0" borderId="3"/>
    <xf numFmtId="0" fontId="8" fillId="0" borderId="3"/>
    <xf numFmtId="37" fontId="18" fillId="10" borderId="0" applyNumberFormat="0" applyBorder="0" applyAlignment="0" applyProtection="0"/>
    <xf numFmtId="37" fontId="12" fillId="0" borderId="0"/>
    <xf numFmtId="3" fontId="31" fillId="0" borderId="6" applyProtection="0"/>
    <xf numFmtId="0" fontId="32" fillId="0" borderId="0"/>
    <xf numFmtId="0" fontId="4" fillId="0" borderId="0"/>
    <xf numFmtId="43" fontId="4" fillId="0" borderId="0" applyFont="0" applyFill="0" applyBorder="0" applyAlignment="0" applyProtection="0"/>
    <xf numFmtId="37" fontId="34" fillId="0" borderId="0" applyProtection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3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/>
    <xf numFmtId="0" fontId="4" fillId="0" borderId="0" xfId="0" applyFont="1"/>
    <xf numFmtId="5" fontId="4" fillId="0" borderId="0" xfId="0" applyNumberFormat="1" applyFont="1"/>
    <xf numFmtId="0" fontId="4" fillId="0" borderId="0" xfId="0" quotePrefix="1" applyFont="1" applyAlignment="1">
      <alignment horizontal="left"/>
    </xf>
    <xf numFmtId="164" fontId="4" fillId="0" borderId="0" xfId="5" applyNumberFormat="1" applyFont="1"/>
    <xf numFmtId="0" fontId="4" fillId="0" borderId="0" xfId="0" applyFont="1" applyAlignment="1">
      <alignment horizontal="center"/>
    </xf>
    <xf numFmtId="10" fontId="4" fillId="0" borderId="0" xfId="0" applyNumberFormat="1" applyFont="1"/>
    <xf numFmtId="0" fontId="5" fillId="0" borderId="0" xfId="0" applyFont="1"/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/>
    <xf numFmtId="164" fontId="4" fillId="0" borderId="0" xfId="5" applyNumberFormat="1" applyFont="1" applyFill="1"/>
    <xf numFmtId="0" fontId="0" fillId="0" borderId="0" xfId="0" applyFill="1"/>
    <xf numFmtId="7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165" fontId="4" fillId="0" borderId="0" xfId="0" applyNumberFormat="1" applyFont="1"/>
    <xf numFmtId="0" fontId="0" fillId="0" borderId="0" xfId="0" applyAlignment="1">
      <alignment horizontal="center"/>
    </xf>
    <xf numFmtId="164" fontId="2" fillId="0" borderId="0" xfId="5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165" fontId="4" fillId="0" borderId="11" xfId="7" applyNumberFormat="1" applyFont="1" applyBorder="1"/>
    <xf numFmtId="165" fontId="4" fillId="0" borderId="12" xfId="7" applyNumberFormat="1" applyFont="1" applyBorder="1"/>
    <xf numFmtId="0" fontId="4" fillId="0" borderId="0" xfId="0" applyFont="1" applyFill="1"/>
    <xf numFmtId="164" fontId="0" fillId="0" borderId="12" xfId="5" applyNumberFormat="1" applyFont="1" applyBorder="1"/>
    <xf numFmtId="164" fontId="0" fillId="0" borderId="0" xfId="5" applyNumberFormat="1" applyFont="1" applyBorder="1"/>
    <xf numFmtId="10" fontId="4" fillId="0" borderId="0" xfId="0" applyNumberFormat="1" applyFont="1" applyFill="1"/>
    <xf numFmtId="0" fontId="0" fillId="0" borderId="0" xfId="0" applyBorder="1"/>
    <xf numFmtId="164" fontId="0" fillId="0" borderId="0" xfId="0" applyNumberFormat="1" applyBorder="1"/>
    <xf numFmtId="164" fontId="0" fillId="0" borderId="0" xfId="5" applyNumberFormat="1" applyFont="1" applyAlignment="1">
      <alignment horizontal="center"/>
    </xf>
    <xf numFmtId="0" fontId="4" fillId="0" borderId="0" xfId="0" quotePrefix="1" applyFont="1" applyFill="1" applyAlignment="1">
      <alignment horizontal="left"/>
    </xf>
    <xf numFmtId="164" fontId="4" fillId="0" borderId="11" xfId="5" applyNumberFormat="1" applyFont="1" applyFill="1" applyBorder="1"/>
    <xf numFmtId="165" fontId="0" fillId="0" borderId="0" xfId="7" applyNumberFormat="1" applyFont="1" applyFill="1" applyAlignment="1">
      <alignment horizontal="center"/>
    </xf>
    <xf numFmtId="10" fontId="4" fillId="0" borderId="0" xfId="43" applyNumberFormat="1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65" fontId="4" fillId="0" borderId="0" xfId="7" applyNumberFormat="1" applyFont="1" applyFill="1"/>
    <xf numFmtId="164" fontId="4" fillId="0" borderId="11" xfId="5" applyNumberFormat="1" applyFont="1" applyBorder="1"/>
    <xf numFmtId="164" fontId="4" fillId="0" borderId="12" xfId="5" applyNumberFormat="1" applyFont="1" applyBorder="1"/>
    <xf numFmtId="0" fontId="0" fillId="11" borderId="0" xfId="0" applyFill="1"/>
    <xf numFmtId="0" fontId="4" fillId="0" borderId="11" xfId="0" applyFont="1" applyBorder="1" applyAlignment="1">
      <alignment horizontal="center"/>
    </xf>
    <xf numFmtId="170" fontId="4" fillId="0" borderId="12" xfId="5" applyNumberFormat="1" applyFont="1" applyBorder="1" applyAlignment="1"/>
    <xf numFmtId="166" fontId="4" fillId="0" borderId="0" xfId="0" applyNumberFormat="1" applyFont="1" applyFill="1" applyAlignment="1"/>
    <xf numFmtId="166" fontId="4" fillId="0" borderId="11" xfId="0" applyNumberFormat="1" applyFont="1" applyFill="1" applyBorder="1" applyAlignment="1"/>
    <xf numFmtId="166" fontId="4" fillId="0" borderId="0" xfId="0" applyNumberFormat="1" applyFont="1" applyFill="1" applyBorder="1" applyAlignment="1"/>
    <xf numFmtId="166" fontId="4" fillId="0" borderId="0" xfId="43" applyNumberFormat="1" applyFont="1" applyFill="1" applyBorder="1" applyAlignment="1"/>
    <xf numFmtId="166" fontId="4" fillId="0" borderId="11" xfId="43" applyNumberFormat="1" applyFont="1" applyFill="1" applyBorder="1" applyAlignment="1"/>
    <xf numFmtId="166" fontId="4" fillId="0" borderId="0" xfId="0" applyNumberFormat="1" applyFont="1" applyAlignment="1"/>
    <xf numFmtId="0" fontId="4" fillId="0" borderId="11" xfId="0" quotePrefix="1" applyFont="1" applyBorder="1" applyAlignment="1">
      <alignment horizontal="center"/>
    </xf>
    <xf numFmtId="10" fontId="4" fillId="0" borderId="11" xfId="0" applyNumberFormat="1" applyFont="1" applyFill="1" applyBorder="1"/>
    <xf numFmtId="10" fontId="4" fillId="0" borderId="12" xfId="0" applyNumberFormat="1" applyFont="1" applyFill="1" applyBorder="1"/>
    <xf numFmtId="10" fontId="4" fillId="0" borderId="0" xfId="0" applyNumberFormat="1" applyFont="1" applyFill="1" applyBorder="1"/>
    <xf numFmtId="0" fontId="4" fillId="0" borderId="0" xfId="63" applyFill="1"/>
    <xf numFmtId="10" fontId="4" fillId="0" borderId="0" xfId="63" applyNumberFormat="1" applyFill="1"/>
    <xf numFmtId="0" fontId="4" fillId="0" borderId="0" xfId="63" applyFont="1" applyFill="1"/>
    <xf numFmtId="169" fontId="4" fillId="0" borderId="0" xfId="63" applyNumberFormat="1" applyFill="1" applyBorder="1"/>
    <xf numFmtId="37" fontId="0" fillId="0" borderId="11" xfId="64" applyNumberFormat="1" applyFont="1" applyFill="1" applyBorder="1"/>
    <xf numFmtId="164" fontId="4" fillId="0" borderId="9" xfId="5" applyNumberFormat="1" applyFont="1" applyFill="1" applyBorder="1"/>
    <xf numFmtId="43" fontId="0" fillId="0" borderId="0" xfId="5" applyFont="1" applyBorder="1"/>
    <xf numFmtId="164" fontId="4" fillId="11" borderId="0" xfId="5" applyNumberFormat="1" applyFont="1" applyFill="1"/>
    <xf numFmtId="164" fontId="0" fillId="0" borderId="0" xfId="5" applyNumberFormat="1" applyFont="1"/>
    <xf numFmtId="10" fontId="0" fillId="0" borderId="11" xfId="0" applyNumberFormat="1" applyBorder="1"/>
    <xf numFmtId="164" fontId="0" fillId="0" borderId="12" xfId="0" applyNumberFormat="1" applyBorder="1"/>
    <xf numFmtId="37" fontId="34" fillId="0" borderId="0" xfId="65" applyFont="1"/>
    <xf numFmtId="37" fontId="35" fillId="0" borderId="0" xfId="65" applyFont="1" applyAlignment="1" applyProtection="1">
      <alignment horizontal="left"/>
    </xf>
    <xf numFmtId="37" fontId="34" fillId="0" borderId="0" xfId="65" applyFont="1" applyAlignment="1" applyProtection="1">
      <alignment horizontal="right"/>
    </xf>
    <xf numFmtId="37" fontId="34" fillId="0" borderId="11" xfId="65" applyFont="1" applyBorder="1"/>
    <xf numFmtId="37" fontId="34" fillId="0" borderId="0" xfId="65" applyFont="1" applyAlignment="1" applyProtection="1">
      <alignment horizontal="center"/>
    </xf>
    <xf numFmtId="37" fontId="34" fillId="0" borderId="13" xfId="65" applyFont="1" applyBorder="1" applyAlignment="1" applyProtection="1">
      <alignment horizontal="center"/>
    </xf>
    <xf numFmtId="37" fontId="34" fillId="0" borderId="0" xfId="65" applyFont="1" applyFill="1"/>
    <xf numFmtId="37" fontId="34" fillId="0" borderId="0" xfId="65"/>
    <xf numFmtId="164" fontId="4" fillId="0" borderId="0" xfId="5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37" fontId="38" fillId="0" borderId="0" xfId="65" applyFont="1" applyFill="1" applyAlignment="1"/>
    <xf numFmtId="37" fontId="38" fillId="0" borderId="0" xfId="65" applyFont="1" applyFill="1" applyAlignment="1">
      <alignment horizontal="center"/>
    </xf>
    <xf numFmtId="37" fontId="39" fillId="0" borderId="0" xfId="65" applyFont="1" applyFill="1"/>
    <xf numFmtId="37" fontId="38" fillId="0" borderId="0" xfId="65" applyFont="1"/>
    <xf numFmtId="37" fontId="40" fillId="0" borderId="0" xfId="65" applyFont="1" applyFill="1"/>
    <xf numFmtId="37" fontId="41" fillId="0" borderId="0" xfId="65" applyFont="1" applyAlignment="1">
      <alignment horizontal="right"/>
    </xf>
    <xf numFmtId="37" fontId="40" fillId="0" borderId="0" xfId="65" applyFont="1"/>
    <xf numFmtId="3" fontId="40" fillId="0" borderId="0" xfId="65" applyNumberFormat="1" applyFont="1"/>
    <xf numFmtId="37" fontId="35" fillId="0" borderId="11" xfId="65" applyFont="1" applyBorder="1" applyAlignment="1" applyProtection="1">
      <alignment horizontal="left"/>
    </xf>
    <xf numFmtId="37" fontId="34" fillId="0" borderId="11" xfId="65" applyBorder="1"/>
    <xf numFmtId="37" fontId="34" fillId="0" borderId="11" xfId="65" applyBorder="1" applyAlignment="1" applyProtection="1">
      <alignment horizontal="right"/>
    </xf>
    <xf numFmtId="37" fontId="38" fillId="0" borderId="0" xfId="65" applyFont="1" applyAlignment="1" applyProtection="1">
      <alignment horizontal="left"/>
    </xf>
    <xf numFmtId="37" fontId="34" fillId="0" borderId="0" xfId="65" applyAlignment="1" applyProtection="1">
      <alignment horizontal="left"/>
    </xf>
    <xf numFmtId="37" fontId="34" fillId="0" borderId="11" xfId="65" applyFont="1" applyBorder="1" applyAlignment="1" applyProtection="1">
      <alignment horizontal="center"/>
    </xf>
    <xf numFmtId="37" fontId="37" fillId="0" borderId="0" xfId="65" applyFont="1"/>
    <xf numFmtId="37" fontId="34" fillId="0" borderId="0" xfId="65" applyFont="1" applyBorder="1" applyAlignment="1" applyProtection="1">
      <alignment horizontal="center"/>
    </xf>
    <xf numFmtId="37" fontId="34" fillId="0" borderId="11" xfId="65" applyFont="1" applyBorder="1" applyAlignment="1">
      <alignment horizontal="center"/>
    </xf>
    <xf numFmtId="37" fontId="34" fillId="0" borderId="0" xfId="65" applyAlignment="1">
      <alignment horizontal="center"/>
    </xf>
    <xf numFmtId="37" fontId="20" fillId="0" borderId="0" xfId="65" applyFont="1"/>
    <xf numFmtId="37" fontId="34" fillId="0" borderId="0" xfId="65" quotePrefix="1"/>
    <xf numFmtId="37" fontId="34" fillId="0" borderId="0" xfId="65" applyAlignment="1">
      <alignment horizontal="left" indent="1"/>
    </xf>
    <xf numFmtId="165" fontId="41" fillId="0" borderId="0" xfId="66" applyNumberFormat="1" applyFont="1"/>
    <xf numFmtId="37" fontId="41" fillId="0" borderId="0" xfId="65" applyNumberFormat="1" applyFont="1"/>
    <xf numFmtId="171" fontId="34" fillId="0" borderId="0" xfId="65" applyNumberFormat="1"/>
    <xf numFmtId="37" fontId="34" fillId="0" borderId="0" xfId="65" applyFill="1" applyAlignment="1">
      <alignment horizontal="left" indent="1"/>
    </xf>
    <xf numFmtId="37" fontId="41" fillId="0" borderId="0" xfId="68" applyNumberFormat="1" applyFont="1"/>
    <xf numFmtId="37" fontId="41" fillId="0" borderId="11" xfId="65" applyNumberFormat="1" applyFont="1" applyBorder="1"/>
    <xf numFmtId="3" fontId="34" fillId="0" borderId="0" xfId="65" applyNumberFormat="1"/>
    <xf numFmtId="3" fontId="34" fillId="0" borderId="0" xfId="65" quotePrefix="1" applyNumberFormat="1"/>
    <xf numFmtId="3" fontId="0" fillId="0" borderId="0" xfId="68" applyNumberFormat="1" applyFont="1"/>
    <xf numFmtId="3" fontId="42" fillId="0" borderId="0" xfId="65" applyNumberFormat="1" applyFont="1"/>
    <xf numFmtId="37" fontId="34" fillId="0" borderId="0" xfId="65" applyFill="1" applyBorder="1"/>
    <xf numFmtId="37" fontId="34" fillId="0" borderId="0" xfId="65" applyFont="1" applyFill="1" applyBorder="1"/>
    <xf numFmtId="165" fontId="41" fillId="0" borderId="12" xfId="66" applyNumberFormat="1" applyFont="1" applyBorder="1"/>
    <xf numFmtId="171" fontId="3" fillId="0" borderId="0" xfId="65" applyNumberFormat="1" applyFont="1"/>
    <xf numFmtId="37" fontId="34" fillId="0" borderId="0" xfId="65" applyNumberFormat="1"/>
    <xf numFmtId="44" fontId="0" fillId="0" borderId="12" xfId="66" applyNumberFormat="1" applyFont="1" applyBorder="1"/>
    <xf numFmtId="37" fontId="41" fillId="0" borderId="0" xfId="65" applyFont="1"/>
    <xf numFmtId="37" fontId="41" fillId="0" borderId="0" xfId="65" quotePrefix="1" applyFont="1" applyAlignment="1">
      <alignment horizontal="left" indent="3"/>
    </xf>
    <xf numFmtId="37" fontId="34" fillId="0" borderId="0" xfId="65" applyFont="1" applyFill="1" applyBorder="1" applyAlignment="1" applyProtection="1">
      <alignment horizontal="left"/>
    </xf>
    <xf numFmtId="37" fontId="34" fillId="0" borderId="0" xfId="65" applyFont="1" applyFill="1" applyBorder="1" applyAlignment="1" applyProtection="1">
      <alignment horizontal="left" indent="2"/>
    </xf>
    <xf numFmtId="37" fontId="34" fillId="0" borderId="0" xfId="65" applyFont="1" applyFill="1" applyBorder="1" applyAlignment="1" applyProtection="1">
      <alignment horizontal="left" indent="5"/>
    </xf>
    <xf numFmtId="37" fontId="34" fillId="0" borderId="0" xfId="65" applyFill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0" fillId="0" borderId="0" xfId="0" applyFill="1" applyBorder="1"/>
    <xf numFmtId="164" fontId="4" fillId="0" borderId="0" xfId="5" applyNumberFormat="1" applyFont="1" applyFill="1" applyBorder="1"/>
    <xf numFmtId="0" fontId="2" fillId="0" borderId="0" xfId="0" applyFont="1" applyBorder="1"/>
    <xf numFmtId="0" fontId="4" fillId="0" borderId="0" xfId="0" applyFont="1" applyFill="1" applyBorder="1"/>
    <xf numFmtId="165" fontId="4" fillId="0" borderId="0" xfId="7" applyNumberFormat="1" applyFont="1" applyBorder="1"/>
    <xf numFmtId="37" fontId="3" fillId="0" borderId="0" xfId="65" applyFont="1"/>
    <xf numFmtId="37" fontId="2" fillId="0" borderId="0" xfId="65" applyFont="1"/>
    <xf numFmtId="37" fontId="2" fillId="0" borderId="11" xfId="65" applyFont="1" applyBorder="1"/>
    <xf numFmtId="37" fontId="2" fillId="0" borderId="11" xfId="65" applyFont="1" applyBorder="1" applyAlignment="1">
      <alignment horizontal="center"/>
    </xf>
    <xf numFmtId="37" fontId="2" fillId="0" borderId="0" xfId="65" quotePrefix="1" applyFont="1"/>
    <xf numFmtId="3" fontId="2" fillId="0" borderId="0" xfId="65" quotePrefix="1" applyNumberFormat="1" applyFont="1"/>
    <xf numFmtId="37" fontId="2" fillId="0" borderId="0" xfId="65" applyFont="1" applyFill="1" applyBorder="1"/>
    <xf numFmtId="0" fontId="3" fillId="0" borderId="0" xfId="0" applyFont="1" applyBorder="1" applyAlignment="1">
      <alignment horizontal="left"/>
    </xf>
    <xf numFmtId="37" fontId="2" fillId="0" borderId="0" xfId="65" applyFont="1" applyAlignment="1">
      <alignment horizontal="center"/>
    </xf>
    <xf numFmtId="37" fontId="2" fillId="0" borderId="0" xfId="65" applyFont="1" applyBorder="1"/>
    <xf numFmtId="37" fontId="0" fillId="0" borderId="12" xfId="0" applyNumberFormat="1" applyBorder="1"/>
    <xf numFmtId="37" fontId="2" fillId="0" borderId="0" xfId="65" applyFont="1" applyBorder="1" applyAlignment="1">
      <alignment horizontal="center"/>
    </xf>
    <xf numFmtId="37" fontId="0" fillId="0" borderId="0" xfId="0" applyNumberFormat="1" applyBorder="1"/>
    <xf numFmtId="165" fontId="4" fillId="0" borderId="0" xfId="7" applyNumberFormat="1" applyFont="1" applyFill="1" applyBorder="1"/>
    <xf numFmtId="5" fontId="4" fillId="0" borderId="0" xfId="0" applyNumberFormat="1" applyFont="1" applyFill="1" applyBorder="1"/>
    <xf numFmtId="0" fontId="20" fillId="0" borderId="0" xfId="0" applyFont="1"/>
    <xf numFmtId="164" fontId="0" fillId="0" borderId="0" xfId="0" applyNumberFormat="1"/>
    <xf numFmtId="164" fontId="0" fillId="0" borderId="14" xfId="5" applyNumberFormat="1" applyFont="1" applyBorder="1"/>
    <xf numFmtId="164" fontId="0" fillId="0" borderId="11" xfId="5" applyNumberFormat="1" applyFont="1" applyBorder="1"/>
    <xf numFmtId="164" fontId="0" fillId="0" borderId="14" xfId="0" applyNumberFormat="1" applyBorder="1"/>
    <xf numFmtId="10" fontId="12" fillId="0" borderId="0" xfId="43" quotePrefix="1" applyNumberFormat="1" applyFont="1" applyFill="1" applyAlignment="1">
      <alignment horizontal="center"/>
    </xf>
    <xf numFmtId="43" fontId="43" fillId="0" borderId="0" xfId="5" applyFont="1" applyAlignment="1">
      <alignment horizontal="center"/>
    </xf>
    <xf numFmtId="43" fontId="43" fillId="0" borderId="0" xfId="5" applyFont="1"/>
    <xf numFmtId="0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165" fontId="12" fillId="0" borderId="17" xfId="7" applyNumberFormat="1" applyFont="1" applyFill="1" applyBorder="1"/>
    <xf numFmtId="43" fontId="12" fillId="0" borderId="0" xfId="5" applyFont="1" applyAlignment="1">
      <alignment horizontal="center"/>
    </xf>
    <xf numFmtId="165" fontId="12" fillId="0" borderId="18" xfId="7" applyNumberFormat="1" applyFont="1" applyFill="1" applyBorder="1"/>
    <xf numFmtId="0" fontId="12" fillId="0" borderId="0" xfId="0" applyNumberFormat="1" applyFont="1" applyAlignment="1">
      <alignment horizontal="center"/>
    </xf>
    <xf numFmtId="0" fontId="12" fillId="0" borderId="0" xfId="0" applyFont="1"/>
    <xf numFmtId="165" fontId="12" fillId="0" borderId="19" xfId="7" applyNumberFormat="1" applyFont="1" applyFill="1" applyBorder="1"/>
    <xf numFmtId="43" fontId="12" fillId="0" borderId="11" xfId="5" applyFont="1" applyBorder="1" applyAlignment="1">
      <alignment horizontal="center"/>
    </xf>
    <xf numFmtId="165" fontId="12" fillId="0" borderId="0" xfId="0" applyNumberFormat="1" applyFont="1"/>
    <xf numFmtId="165" fontId="12" fillId="0" borderId="20" xfId="7" applyNumberFormat="1" applyFont="1" applyFill="1" applyBorder="1"/>
    <xf numFmtId="0" fontId="0" fillId="12" borderId="0" xfId="0" applyFill="1"/>
    <xf numFmtId="5" fontId="4" fillId="0" borderId="0" xfId="0" applyNumberFormat="1" applyFont="1" applyBorder="1"/>
    <xf numFmtId="0" fontId="44" fillId="0" borderId="0" xfId="0" applyFont="1" applyFill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4" fillId="0" borderId="0" xfId="0" applyFont="1" applyFill="1" applyBorder="1"/>
    <xf numFmtId="0" fontId="2" fillId="0" borderId="0" xfId="0" applyFont="1" applyFill="1"/>
    <xf numFmtId="10" fontId="4" fillId="0" borderId="0" xfId="43" applyNumberFormat="1" applyFont="1" applyBorder="1"/>
    <xf numFmtId="172" fontId="4" fillId="0" borderId="0" xfId="43" applyNumberFormat="1" applyFont="1" applyBorder="1"/>
    <xf numFmtId="10" fontId="4" fillId="0" borderId="11" xfId="43" applyNumberFormat="1" applyFont="1" applyBorder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165" fontId="4" fillId="0" borderId="11" xfId="7" applyNumberFormat="1" applyFont="1" applyFill="1" applyBorder="1"/>
    <xf numFmtId="0" fontId="3" fillId="0" borderId="0" xfId="0" applyFont="1" applyFill="1" applyBorder="1"/>
    <xf numFmtId="164" fontId="4" fillId="0" borderId="12" xfId="5" applyNumberFormat="1" applyFont="1" applyFill="1" applyBorder="1"/>
    <xf numFmtId="10" fontId="4" fillId="0" borderId="0" xfId="43" applyNumberFormat="1" applyFont="1" applyFill="1" applyBorder="1"/>
    <xf numFmtId="0" fontId="20" fillId="0" borderId="0" xfId="0" applyFont="1" applyFill="1"/>
    <xf numFmtId="164" fontId="0" fillId="0" borderId="0" xfId="0" applyNumberFormat="1" applyFill="1"/>
    <xf numFmtId="0" fontId="41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165" fontId="2" fillId="0" borderId="11" xfId="7" applyNumberFormat="1" applyFont="1" applyFill="1" applyBorder="1"/>
    <xf numFmtId="165" fontId="2" fillId="0" borderId="11" xfId="7" applyNumberFormat="1" applyFont="1" applyFill="1" applyBorder="1" applyAlignment="1">
      <alignment horizontal="center"/>
    </xf>
    <xf numFmtId="165" fontId="4" fillId="0" borderId="12" xfId="7" applyNumberFormat="1" applyFont="1" applyFill="1" applyBorder="1"/>
    <xf numFmtId="0" fontId="2" fillId="0" borderId="11" xfId="0" quotePrefix="1" applyFont="1" applyFill="1" applyBorder="1" applyAlignment="1">
      <alignment horizontal="center"/>
    </xf>
    <xf numFmtId="0" fontId="42" fillId="0" borderId="0" xfId="0" applyFont="1" applyFill="1" applyBorder="1"/>
    <xf numFmtId="10" fontId="0" fillId="0" borderId="0" xfId="0" applyNumberFormat="1" applyBorder="1"/>
    <xf numFmtId="0" fontId="4" fillId="0" borderId="11" xfId="0" quotePrefix="1" applyFont="1" applyFill="1" applyBorder="1" applyAlignment="1">
      <alignment horizontal="center"/>
    </xf>
    <xf numFmtId="164" fontId="0" fillId="0" borderId="12" xfId="5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164" fontId="0" fillId="0" borderId="0" xfId="5" applyNumberFormat="1" applyFont="1" applyFill="1" applyBorder="1"/>
    <xf numFmtId="0" fontId="2" fillId="0" borderId="0" xfId="0" quotePrefix="1" applyFont="1" applyFill="1" applyBorder="1"/>
    <xf numFmtId="164" fontId="0" fillId="0" borderId="12" xfId="0" applyNumberFormat="1" applyFill="1" applyBorder="1"/>
    <xf numFmtId="164" fontId="0" fillId="0" borderId="0" xfId="0" applyNumberFormat="1" applyFill="1" applyBorder="1"/>
    <xf numFmtId="164" fontId="0" fillId="0" borderId="0" xfId="5" applyNumberFormat="1" applyFont="1" applyFill="1" applyAlignment="1">
      <alignment horizontal="center"/>
    </xf>
    <xf numFmtId="164" fontId="0" fillId="0" borderId="11" xfId="5" applyNumberFormat="1" applyFont="1" applyFill="1" applyBorder="1" applyAlignment="1">
      <alignment horizontal="center"/>
    </xf>
    <xf numFmtId="165" fontId="0" fillId="0" borderId="0" xfId="7" applyNumberFormat="1" applyFont="1" applyAlignment="1">
      <alignment horizontal="center"/>
    </xf>
    <xf numFmtId="0" fontId="2" fillId="11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12" borderId="0" xfId="0" applyFont="1" applyFill="1"/>
    <xf numFmtId="0" fontId="2" fillId="0" borderId="0" xfId="0" applyFont="1" applyFill="1" applyAlignment="1">
      <alignment horizontal="center"/>
    </xf>
    <xf numFmtId="10" fontId="0" fillId="0" borderId="0" xfId="43" applyNumberFormat="1" applyFont="1"/>
    <xf numFmtId="10" fontId="0" fillId="0" borderId="11" xfId="43" applyNumberFormat="1" applyFont="1" applyBorder="1"/>
    <xf numFmtId="10" fontId="0" fillId="0" borderId="12" xfId="43" applyNumberFormat="1" applyFont="1" applyBorder="1"/>
    <xf numFmtId="0" fontId="2" fillId="0" borderId="0" xfId="0" quotePrefix="1" applyFont="1" applyFill="1" applyBorder="1" applyAlignment="1">
      <alignment horizontal="center"/>
    </xf>
    <xf numFmtId="10" fontId="0" fillId="0" borderId="0" xfId="43" applyNumberFormat="1" applyFont="1" applyBorder="1"/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/>
    <xf numFmtId="0" fontId="2" fillId="12" borderId="0" xfId="0" applyFont="1" applyFill="1" applyBorder="1"/>
    <xf numFmtId="43" fontId="0" fillId="12" borderId="0" xfId="5" applyFont="1" applyFill="1" applyBorder="1"/>
    <xf numFmtId="10" fontId="2" fillId="0" borderId="0" xfId="43" applyNumberFormat="1" applyFont="1" applyFill="1"/>
    <xf numFmtId="0" fontId="3" fillId="0" borderId="0" xfId="0" applyFont="1" applyFill="1" applyAlignment="1">
      <alignment horizontal="center"/>
    </xf>
    <xf numFmtId="0" fontId="0" fillId="0" borderId="11" xfId="0" applyBorder="1"/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7" fontId="38" fillId="0" borderId="0" xfId="65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4">
    <cellStyle name="7" xfId="1"/>
    <cellStyle name="Actual Date" xfId="2"/>
    <cellStyle name="Affinity Input" xfId="3"/>
    <cellStyle name="Body" xfId="4"/>
    <cellStyle name="Comma" xfId="5" builtinId="3"/>
    <cellStyle name="Comma [0] 2" xfId="69"/>
    <cellStyle name="Comma 2" xfId="68"/>
    <cellStyle name="Comma 3" xfId="64"/>
    <cellStyle name="Comma 4" xfId="70"/>
    <cellStyle name="ContentsHyperlink" xfId="6"/>
    <cellStyle name="Currency" xfId="7" builtinId="4"/>
    <cellStyle name="Currency [0] 2" xfId="71"/>
    <cellStyle name="Currency [2]" xfId="8"/>
    <cellStyle name="Currency 2" xfId="66"/>
    <cellStyle name="Currency 3" xfId="72"/>
    <cellStyle name="Currency 4" xfId="73"/>
    <cellStyle name="Custom - Style1" xfId="9"/>
    <cellStyle name="Custom - Style8" xfId="10"/>
    <cellStyle name="Data   - Style2" xfId="11"/>
    <cellStyle name="Date" xfId="12"/>
    <cellStyle name="Edit" xfId="13"/>
    <cellStyle name="Engine" xfId="14"/>
    <cellStyle name="Fixed" xfId="15"/>
    <cellStyle name="Grey" xfId="16"/>
    <cellStyle name="HEADER" xfId="17"/>
    <cellStyle name="Header1" xfId="18"/>
    <cellStyle name="Header2" xfId="19"/>
    <cellStyle name="heading" xfId="20"/>
    <cellStyle name="Heading1" xfId="21"/>
    <cellStyle name="Heading2" xfId="22"/>
    <cellStyle name="HIGHLIGHT" xfId="23"/>
    <cellStyle name="Input [yellow]" xfId="24"/>
    <cellStyle name="Labels - Style3" xfId="25"/>
    <cellStyle name="Large Page Heading" xfId="26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11" xfId="63"/>
    <cellStyle name="Normal 2" xfId="65"/>
    <cellStyle name="Normal 2 2" xfId="74"/>
    <cellStyle name="Normal 3" xfId="75"/>
    <cellStyle name="Normal 3 2" xfId="76"/>
    <cellStyle name="Normal 4" xfId="77"/>
    <cellStyle name="Normal 5" xfId="78"/>
    <cellStyle name="Normal 5 2" xfId="79"/>
    <cellStyle name="Normal 6" xfId="80"/>
    <cellStyle name="Normal 6 2" xfId="81"/>
    <cellStyle name="nPlosion" xfId="37"/>
    <cellStyle name="Output Amounts" xfId="38"/>
    <cellStyle name="Output Column Headings" xfId="39"/>
    <cellStyle name="Output Line Items" xfId="40"/>
    <cellStyle name="Output Report Heading" xfId="41"/>
    <cellStyle name="Output Report Title" xfId="42"/>
    <cellStyle name="Percent" xfId="43" builtinId="5"/>
    <cellStyle name="Percent [2]" xfId="44"/>
    <cellStyle name="Percent 2" xfId="67"/>
    <cellStyle name="Percent 3" xfId="82"/>
    <cellStyle name="Percent 7" xfId="83"/>
    <cellStyle name="PSChar" xfId="45"/>
    <cellStyle name="Reset  - Style4" xfId="46"/>
    <cellStyle name="Reset  - Style7" xfId="47"/>
    <cellStyle name="Small Page Heading" xfId="48"/>
    <cellStyle name="Table  - Style5" xfId="49"/>
    <cellStyle name="Table  - Style6" xfId="50"/>
    <cellStyle name="Title  - Style1" xfId="51"/>
    <cellStyle name="Title  - Style6" xfId="52"/>
    <cellStyle name="title1" xfId="53"/>
    <cellStyle name="Total" xfId="54" builtinId="25" customBuiltin="1"/>
    <cellStyle name="TotCol - Style5" xfId="55"/>
    <cellStyle name="TotCol - Style7" xfId="56"/>
    <cellStyle name="TotRow - Style4" xfId="57"/>
    <cellStyle name="TotRow - Style8" xfId="58"/>
    <cellStyle name="Unprot" xfId="59"/>
    <cellStyle name="Unprot$" xfId="60"/>
    <cellStyle name="Unprotect" xfId="61"/>
    <cellStyle name="一般_dept code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selection activeCell="I10" sqref="I10"/>
    </sheetView>
  </sheetViews>
  <sheetFormatPr defaultRowHeight="12.75"/>
  <cols>
    <col min="1" max="1" width="2.85546875" customWidth="1"/>
    <col min="2" max="2" width="9.7109375" customWidth="1"/>
    <col min="5" max="5" width="48.85546875" customWidth="1"/>
    <col min="6" max="6" width="15.5703125" customWidth="1"/>
    <col min="8" max="8" width="8.5703125" customWidth="1"/>
    <col min="9" max="9" width="14" bestFit="1" customWidth="1"/>
  </cols>
  <sheetData>
    <row r="1" spans="1:13">
      <c r="A1" s="3" t="s">
        <v>155</v>
      </c>
      <c r="B1" s="19"/>
      <c r="C1" s="19"/>
      <c r="D1" s="19"/>
      <c r="E1" s="19"/>
      <c r="F1" s="19"/>
    </row>
    <row r="2" spans="1:13">
      <c r="A2" s="2" t="s">
        <v>19</v>
      </c>
      <c r="B2" s="2"/>
      <c r="C2" s="2"/>
      <c r="D2" s="2"/>
      <c r="E2" s="2"/>
      <c r="F2" s="2"/>
    </row>
    <row r="3" spans="1:13">
      <c r="A3" s="2" t="s">
        <v>22</v>
      </c>
      <c r="B3" s="2"/>
      <c r="C3" s="2"/>
      <c r="D3" s="2"/>
      <c r="E3" s="2"/>
      <c r="F3" s="2"/>
    </row>
    <row r="4" spans="1:13">
      <c r="A4" s="2" t="s">
        <v>204</v>
      </c>
      <c r="B4" s="2"/>
      <c r="C4" s="2"/>
      <c r="D4" s="2"/>
      <c r="E4" s="2"/>
      <c r="F4" s="2"/>
      <c r="I4" s="167" t="s">
        <v>21</v>
      </c>
      <c r="J4" s="167"/>
      <c r="K4" s="167"/>
      <c r="L4" s="167"/>
    </row>
    <row r="5" spans="1:13">
      <c r="B5" s="2"/>
      <c r="C5" s="2"/>
      <c r="D5" s="2"/>
      <c r="E5" s="2"/>
      <c r="F5" s="2"/>
    </row>
    <row r="6" spans="1:13">
      <c r="F6" s="21"/>
    </row>
    <row r="7" spans="1:13">
      <c r="A7" s="4" t="s">
        <v>133</v>
      </c>
      <c r="F7" s="36">
        <v>3307688</v>
      </c>
    </row>
    <row r="8" spans="1:13">
      <c r="A8" s="4" t="s">
        <v>134</v>
      </c>
      <c r="F8" s="204">
        <v>-94082</v>
      </c>
      <c r="I8" s="167" t="s">
        <v>260</v>
      </c>
      <c r="J8" s="167"/>
    </row>
    <row r="9" spans="1:13">
      <c r="A9" s="4" t="s">
        <v>135</v>
      </c>
      <c r="F9" s="36">
        <f>SUM(F7:F8)</f>
        <v>3213606</v>
      </c>
    </row>
    <row r="10" spans="1:13">
      <c r="A10" s="4"/>
      <c r="F10" s="21"/>
    </row>
    <row r="11" spans="1:13">
      <c r="A11" s="4" t="s">
        <v>205</v>
      </c>
      <c r="F11" s="21"/>
    </row>
    <row r="12" spans="1:13">
      <c r="A12" s="4"/>
      <c r="B12" s="5" t="str">
        <f>'Rate Base'!A17</f>
        <v xml:space="preserve">Remove Forecast 10% Escalation on Capital Additions for Kentucky Non-PRP </v>
      </c>
      <c r="F12" s="205">
        <f>'Rate Base'!I17*COC!$H$16</f>
        <v>-50679.897017735995</v>
      </c>
    </row>
    <row r="13" spans="1:13">
      <c r="A13" s="4"/>
      <c r="B13" s="5" t="str">
        <f>'Rate Base'!A18</f>
        <v>Remove Account 190 ADIT Not Associated With Cost of Service</v>
      </c>
      <c r="F13" s="33">
        <f>'Rate Base'!I18*COC!$H$16</f>
        <v>-204286.09929367586</v>
      </c>
    </row>
    <row r="14" spans="1:13">
      <c r="A14" s="4"/>
      <c r="B14" s="5" t="str">
        <f>'Rate Base'!A19</f>
        <v>Include Temporary Differences Associated With 190 ADIT Included in Cost of Service</v>
      </c>
      <c r="F14" s="33">
        <f>'Rate Base'!I19*COC!$H$16</f>
        <v>-686038.32166683162</v>
      </c>
    </row>
    <row r="15" spans="1:13">
      <c r="A15" s="4"/>
      <c r="B15" s="27" t="str">
        <f>'Rate Base'!A20</f>
        <v>Remove NOL ADIT in Acct 190</v>
      </c>
      <c r="C15" s="16"/>
      <c r="D15" s="16"/>
      <c r="E15" s="16"/>
      <c r="F15" s="203">
        <f>'Rate Base'!I20*COC!$H$16</f>
        <v>-3493884.0761624114</v>
      </c>
      <c r="H15" s="16"/>
      <c r="I15" s="16"/>
      <c r="J15" s="16"/>
      <c r="K15" s="16"/>
      <c r="L15" s="16"/>
      <c r="M15" s="16"/>
    </row>
    <row r="16" spans="1:13">
      <c r="A16" s="4"/>
      <c r="B16" s="5" t="str">
        <f>'Rate Base'!A16</f>
        <v xml:space="preserve">Reflect Zero Balance for Cash Working Capital </v>
      </c>
      <c r="F16" s="33">
        <f>'Rate Base'!I16*COC!$H$16</f>
        <v>-378459.56153405394</v>
      </c>
      <c r="H16" s="16"/>
      <c r="I16" s="16"/>
      <c r="J16" s="16"/>
      <c r="K16" s="16"/>
      <c r="L16" s="16"/>
      <c r="M16" s="16"/>
    </row>
    <row r="17" spans="1:22">
      <c r="A17" s="4"/>
      <c r="B17" t="str">
        <f>'Rate Base'!A14</f>
        <v>Remove Rate Case Expense Regulatory Asset</v>
      </c>
      <c r="F17" s="33">
        <f>'Rate Base'!I14*COC!$H$16</f>
        <v>-41797.71992296994</v>
      </c>
    </row>
    <row r="18" spans="1:22">
      <c r="A18" s="4"/>
      <c r="B18" s="5" t="str">
        <f>'Rate Base'!A15</f>
        <v>Extend Amortization Period for PLR Regulatory Asset to 3 Years</v>
      </c>
      <c r="F18" s="33">
        <f>'Rate Base'!I15*COC!$H$16</f>
        <v>1308.6780165824034</v>
      </c>
    </row>
    <row r="19" spans="1:22">
      <c r="A19" s="5"/>
      <c r="B19" s="5"/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22">
      <c r="A20" s="4" t="s">
        <v>206</v>
      </c>
      <c r="F20" s="8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22">
      <c r="A21" s="4"/>
      <c r="B21" s="80" t="s">
        <v>192</v>
      </c>
      <c r="C21" s="16"/>
      <c r="D21" s="16"/>
      <c r="E21" s="16"/>
      <c r="F21" s="8">
        <f>'Reg Assets Requested'!I54</f>
        <v>-234454.78499999995</v>
      </c>
      <c r="H21" s="167" t="s">
        <v>132</v>
      </c>
      <c r="I21" s="167"/>
      <c r="J21" s="167"/>
      <c r="K21" s="167"/>
      <c r="L21" s="167"/>
      <c r="M21" s="167"/>
      <c r="N21" s="167"/>
      <c r="O21" s="167"/>
      <c r="P21" s="167"/>
      <c r="Q21" s="16"/>
    </row>
    <row r="22" spans="1:22">
      <c r="A22" s="4"/>
      <c r="B22" s="80" t="s">
        <v>92</v>
      </c>
      <c r="F22" s="8">
        <f>'Reg Assets Requested'!D54</f>
        <v>-22022.193333333336</v>
      </c>
      <c r="H22" s="209" t="s">
        <v>263</v>
      </c>
      <c r="I22" s="167"/>
      <c r="J22" s="167"/>
      <c r="K22" s="167"/>
      <c r="L22" s="167"/>
      <c r="M22" s="167"/>
      <c r="N22" s="167"/>
      <c r="O22" s="167"/>
      <c r="P22" s="167"/>
      <c r="Q22" s="16"/>
    </row>
    <row r="23" spans="1:22">
      <c r="A23" s="4"/>
      <c r="B23" s="80" t="s">
        <v>119</v>
      </c>
      <c r="F23" s="8">
        <f>'10% Cap Add Escalation Depr '!G24</f>
        <v>-19412.148743081838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2">
      <c r="A24" s="4"/>
      <c r="B24" s="80" t="s">
        <v>181</v>
      </c>
      <c r="F24" s="15">
        <f>2273000*0.0526</f>
        <v>119559.8</v>
      </c>
      <c r="Q24" s="16"/>
    </row>
    <row r="25" spans="1:22">
      <c r="A25" s="5"/>
      <c r="F25" s="8"/>
      <c r="Q25" s="16"/>
    </row>
    <row r="26" spans="1:22">
      <c r="A26" s="4" t="s">
        <v>207</v>
      </c>
      <c r="F26" s="8"/>
    </row>
    <row r="27" spans="1:22">
      <c r="A27" s="4"/>
      <c r="B27" s="5" t="s">
        <v>39</v>
      </c>
      <c r="F27" s="8">
        <f>COC!H32</f>
        <v>-1153299.0377693013</v>
      </c>
    </row>
    <row r="28" spans="1:22">
      <c r="A28" s="4"/>
      <c r="B28" s="80" t="s">
        <v>182</v>
      </c>
      <c r="F28" s="8">
        <f>COC!H49</f>
        <v>-147101.18559462024</v>
      </c>
    </row>
    <row r="29" spans="1:22">
      <c r="A29" s="4"/>
      <c r="B29" s="173" t="s">
        <v>149</v>
      </c>
      <c r="F29" s="129">
        <f>COC!H65</f>
        <v>-3830360.8579425863</v>
      </c>
      <c r="H29" s="31"/>
      <c r="I29" s="29"/>
    </row>
    <row r="30" spans="1:22">
      <c r="A30" s="5" t="s">
        <v>12</v>
      </c>
      <c r="F30" s="5"/>
      <c r="H30" s="31"/>
      <c r="I30" s="64"/>
    </row>
    <row r="31" spans="1:22">
      <c r="A31" s="4" t="s">
        <v>252</v>
      </c>
      <c r="F31" s="43">
        <f>-F9+2290959</f>
        <v>-922647</v>
      </c>
      <c r="H31" s="219" t="s">
        <v>248</v>
      </c>
      <c r="I31" s="220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</row>
    <row r="32" spans="1:22">
      <c r="A32" s="5"/>
      <c r="F32" s="5"/>
      <c r="H32" s="167" t="s">
        <v>259</v>
      </c>
      <c r="I32" s="220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</row>
    <row r="33" spans="1:9">
      <c r="A33" s="5"/>
      <c r="F33" s="5"/>
      <c r="H33" s="31"/>
      <c r="I33" s="64"/>
    </row>
    <row r="34" spans="1:9">
      <c r="A34" s="208" t="s">
        <v>208</v>
      </c>
      <c r="F34" s="25">
        <f>SUM(F12:F31)</f>
        <v>-11063574.405964021</v>
      </c>
      <c r="H34" s="31"/>
      <c r="I34" s="32"/>
    </row>
    <row r="35" spans="1:9">
      <c r="F35" s="20"/>
      <c r="H35" s="31"/>
      <c r="I35" s="31"/>
    </row>
    <row r="36" spans="1:9" ht="13.5" thickBot="1">
      <c r="A36" s="4" t="s">
        <v>209</v>
      </c>
      <c r="F36" s="26">
        <f>F9+F34</f>
        <v>-7849968.4059640206</v>
      </c>
      <c r="H36" s="31"/>
      <c r="I36" s="31"/>
    </row>
    <row r="37" spans="1:9" ht="13.5" thickTop="1">
      <c r="H37" s="31"/>
      <c r="I37" s="31"/>
    </row>
    <row r="38" spans="1:9">
      <c r="F38" s="17"/>
    </row>
  </sheetData>
  <phoneticPr fontId="12" type="noConversion"/>
  <pageMargins left="0.66" right="0.32" top="0.69" bottom="0.24" header="0.4" footer="0.2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zoomScale="60" zoomScaleNormal="90" workbookViewId="0">
      <selection activeCell="I14" sqref="I14"/>
    </sheetView>
  </sheetViews>
  <sheetFormatPr defaultRowHeight="15"/>
  <cols>
    <col min="1" max="1" width="8.140625" style="76" customWidth="1"/>
    <col min="2" max="2" width="56.85546875" style="76" customWidth="1"/>
    <col min="3" max="3" width="8.7109375" style="76" customWidth="1"/>
    <col min="4" max="4" width="15" style="76" customWidth="1"/>
    <col min="5" max="5" width="19.140625" style="76" customWidth="1"/>
    <col min="6" max="6" width="9.140625" style="76"/>
    <col min="7" max="7" width="12.42578125" style="76" customWidth="1"/>
    <col min="8" max="8" width="11.5703125" style="76" customWidth="1"/>
    <col min="9" max="9" width="26.140625" style="76" customWidth="1"/>
    <col min="10" max="10" width="24.5703125" style="76" customWidth="1"/>
    <col min="11" max="11" width="9.140625" style="76"/>
    <col min="12" max="12" width="17.140625" style="76" customWidth="1"/>
    <col min="13" max="13" width="29.7109375" style="76" customWidth="1"/>
    <col min="14" max="14" width="30" style="76" customWidth="1"/>
    <col min="15" max="16384" width="9.140625" style="76"/>
  </cols>
  <sheetData>
    <row r="1" spans="1:14" ht="15.75">
      <c r="A1" s="234" t="s">
        <v>129</v>
      </c>
      <c r="B1" s="234"/>
      <c r="C1" s="234"/>
      <c r="D1" s="234"/>
      <c r="E1" s="234"/>
      <c r="F1" s="82"/>
      <c r="G1" s="69"/>
      <c r="H1" s="69"/>
      <c r="I1" s="69"/>
      <c r="J1" s="69"/>
    </row>
    <row r="2" spans="1:14" ht="15.75">
      <c r="A2" s="234" t="s">
        <v>130</v>
      </c>
      <c r="B2" s="234"/>
      <c r="C2" s="234"/>
      <c r="D2" s="234"/>
      <c r="E2" s="234"/>
      <c r="F2" s="83"/>
      <c r="G2" s="75"/>
      <c r="H2" s="75"/>
      <c r="I2" s="75"/>
      <c r="J2" s="69"/>
    </row>
    <row r="3" spans="1:14" ht="15.75">
      <c r="A3" s="234" t="s">
        <v>44</v>
      </c>
      <c r="B3" s="234"/>
      <c r="C3" s="234"/>
      <c r="D3" s="234"/>
      <c r="E3" s="234"/>
      <c r="F3" s="82"/>
      <c r="G3" s="84"/>
      <c r="H3" s="75"/>
      <c r="I3" s="75"/>
      <c r="J3" s="69"/>
    </row>
    <row r="4" spans="1:14" ht="15.75">
      <c r="A4" s="85"/>
      <c r="B4" s="69"/>
      <c r="C4" s="69"/>
      <c r="D4" s="69"/>
      <c r="E4" s="69"/>
      <c r="F4" s="75"/>
      <c r="G4" s="86"/>
      <c r="H4" s="86"/>
      <c r="I4" s="86"/>
      <c r="J4" s="69"/>
    </row>
    <row r="5" spans="1:14" ht="15.75">
      <c r="A5" s="85"/>
      <c r="B5" s="69"/>
      <c r="C5" s="69"/>
      <c r="D5" s="69"/>
      <c r="E5" s="69"/>
      <c r="F5" s="75"/>
      <c r="G5" s="86"/>
      <c r="H5" s="86"/>
      <c r="I5" s="86"/>
    </row>
    <row r="6" spans="1:14" ht="15.75">
      <c r="A6" s="85"/>
      <c r="B6" s="69"/>
      <c r="C6" s="69"/>
      <c r="D6" s="69"/>
      <c r="F6" s="75"/>
      <c r="G6" s="86"/>
      <c r="H6" s="86"/>
      <c r="I6" s="86"/>
    </row>
    <row r="7" spans="1:14">
      <c r="A7" s="70" t="s">
        <v>45</v>
      </c>
      <c r="C7" s="69"/>
      <c r="D7" s="69"/>
      <c r="E7" s="87" t="s">
        <v>46</v>
      </c>
      <c r="F7" s="69"/>
      <c r="G7" s="88"/>
      <c r="H7" s="88"/>
      <c r="I7" s="88"/>
    </row>
    <row r="8" spans="1:14">
      <c r="A8" s="70" t="s">
        <v>40</v>
      </c>
      <c r="C8" s="69"/>
      <c r="D8" s="69"/>
      <c r="E8" s="71" t="s">
        <v>47</v>
      </c>
      <c r="F8" s="69"/>
      <c r="G8" s="89"/>
      <c r="H8" s="88"/>
      <c r="I8" s="88"/>
    </row>
    <row r="9" spans="1:14">
      <c r="A9" s="90" t="s">
        <v>48</v>
      </c>
      <c r="B9" s="91"/>
      <c r="C9" s="72"/>
      <c r="D9" s="72"/>
      <c r="E9" s="92" t="s">
        <v>131</v>
      </c>
      <c r="F9" s="69"/>
      <c r="G9" s="88"/>
      <c r="H9" s="88"/>
      <c r="I9" s="88"/>
      <c r="J9" s="69"/>
    </row>
    <row r="10" spans="1:14" ht="15.75">
      <c r="B10" s="93"/>
      <c r="C10" s="69"/>
      <c r="D10" s="69"/>
      <c r="E10" s="94"/>
      <c r="F10" s="69"/>
      <c r="H10" s="69"/>
      <c r="I10" s="69"/>
      <c r="J10" s="69"/>
    </row>
    <row r="11" spans="1:14">
      <c r="A11" s="73" t="s">
        <v>41</v>
      </c>
      <c r="B11" s="69"/>
      <c r="C11" s="69"/>
      <c r="D11" s="69"/>
      <c r="E11" s="94"/>
      <c r="F11" s="69"/>
      <c r="G11" s="88"/>
      <c r="J11" s="69"/>
    </row>
    <row r="12" spans="1:14" ht="15.75">
      <c r="A12" s="74" t="s">
        <v>42</v>
      </c>
      <c r="B12" s="74" t="s">
        <v>49</v>
      </c>
      <c r="C12" s="72"/>
      <c r="D12" s="72"/>
      <c r="E12" s="95" t="s">
        <v>14</v>
      </c>
      <c r="F12" s="69"/>
      <c r="H12" s="96" t="s">
        <v>50</v>
      </c>
      <c r="J12" s="69"/>
      <c r="L12" s="96" t="s">
        <v>51</v>
      </c>
      <c r="N12" s="69"/>
    </row>
    <row r="13" spans="1:14">
      <c r="A13" s="97"/>
      <c r="B13" s="97"/>
      <c r="C13" s="69"/>
      <c r="D13" s="69"/>
      <c r="E13" s="69"/>
      <c r="F13" s="69"/>
      <c r="I13" s="91" t="s">
        <v>52</v>
      </c>
      <c r="J13" s="98" t="s">
        <v>53</v>
      </c>
      <c r="M13" s="91" t="s">
        <v>52</v>
      </c>
      <c r="N13" s="98" t="s">
        <v>53</v>
      </c>
    </row>
    <row r="14" spans="1:14" ht="15.75">
      <c r="A14" s="99">
        <v>1</v>
      </c>
      <c r="B14" s="100" t="s">
        <v>54</v>
      </c>
      <c r="H14" s="101" t="s">
        <v>55</v>
      </c>
      <c r="I14" s="76">
        <v>33033.29</v>
      </c>
      <c r="J14" s="69">
        <f>0</f>
        <v>0</v>
      </c>
      <c r="L14" s="101" t="s">
        <v>55</v>
      </c>
      <c r="M14" s="76">
        <f>E29</f>
        <v>468909.57</v>
      </c>
      <c r="N14" s="69">
        <f>0</f>
        <v>0</v>
      </c>
    </row>
    <row r="15" spans="1:14">
      <c r="A15" s="99">
        <f t="shared" ref="A15:A31" si="0">A14+1</f>
        <v>2</v>
      </c>
      <c r="B15" s="102" t="s">
        <v>56</v>
      </c>
      <c r="D15" s="103">
        <v>37496</v>
      </c>
      <c r="E15" s="104"/>
      <c r="F15" s="105"/>
      <c r="H15" s="101" t="s">
        <v>57</v>
      </c>
      <c r="I15" s="76">
        <f>I14-J15</f>
        <v>30280.515833333335</v>
      </c>
      <c r="J15" s="69">
        <f t="shared" ref="J15:J26" si="1">$I$14/12</f>
        <v>2752.7741666666666</v>
      </c>
      <c r="L15" s="101" t="s">
        <v>57</v>
      </c>
      <c r="M15" s="76">
        <f>M14-N15</f>
        <v>449371.67125000001</v>
      </c>
      <c r="N15" s="69">
        <f t="shared" ref="N15:N26" si="2">$M$14/24</f>
        <v>19537.89875</v>
      </c>
    </row>
    <row r="16" spans="1:14">
      <c r="A16" s="99">
        <f t="shared" si="0"/>
        <v>3</v>
      </c>
      <c r="B16" s="106" t="s">
        <v>58</v>
      </c>
      <c r="D16" s="107">
        <v>36425.32</v>
      </c>
      <c r="E16" s="104"/>
      <c r="F16" s="105"/>
      <c r="G16" s="69"/>
      <c r="H16" s="101" t="s">
        <v>59</v>
      </c>
      <c r="I16" s="76">
        <f t="shared" ref="I16:I26" si="3">I15-J15</f>
        <v>27527.741666666669</v>
      </c>
      <c r="J16" s="69">
        <f t="shared" si="1"/>
        <v>2752.7741666666666</v>
      </c>
      <c r="L16" s="101" t="s">
        <v>59</v>
      </c>
      <c r="M16" s="76">
        <f t="shared" ref="M16:M25" si="4">M15-N15</f>
        <v>429833.77250000002</v>
      </c>
      <c r="N16" s="69">
        <f t="shared" si="2"/>
        <v>19537.89875</v>
      </c>
    </row>
    <row r="17" spans="1:14">
      <c r="A17" s="99">
        <f t="shared" si="0"/>
        <v>4</v>
      </c>
      <c r="B17" s="102" t="s">
        <v>60</v>
      </c>
      <c r="D17" s="108">
        <v>55199.759999999995</v>
      </c>
      <c r="E17" s="104"/>
      <c r="F17" s="109"/>
      <c r="H17" s="101" t="s">
        <v>61</v>
      </c>
      <c r="I17" s="76">
        <f t="shared" si="3"/>
        <v>24774.967500000002</v>
      </c>
      <c r="J17" s="69">
        <f t="shared" si="1"/>
        <v>2752.7741666666666</v>
      </c>
      <c r="L17" s="101" t="s">
        <v>61</v>
      </c>
      <c r="M17" s="76">
        <f t="shared" si="4"/>
        <v>410295.87375000003</v>
      </c>
      <c r="N17" s="69">
        <f t="shared" si="2"/>
        <v>19537.89875</v>
      </c>
    </row>
    <row r="18" spans="1:14">
      <c r="A18" s="99">
        <f t="shared" si="0"/>
        <v>5</v>
      </c>
      <c r="B18" s="69" t="s">
        <v>62</v>
      </c>
      <c r="D18" s="104"/>
      <c r="E18" s="103">
        <f>SUM(D15:D17)</f>
        <v>129121.08</v>
      </c>
      <c r="G18" s="105"/>
      <c r="H18" s="101" t="s">
        <v>63</v>
      </c>
      <c r="I18" s="76">
        <f t="shared" si="3"/>
        <v>22022.193333333336</v>
      </c>
      <c r="J18" s="69">
        <f t="shared" si="1"/>
        <v>2752.7741666666666</v>
      </c>
      <c r="L18" s="101" t="s">
        <v>63</v>
      </c>
      <c r="M18" s="76">
        <f t="shared" si="4"/>
        <v>390757.97500000003</v>
      </c>
      <c r="N18" s="69">
        <f t="shared" si="2"/>
        <v>19537.89875</v>
      </c>
    </row>
    <row r="19" spans="1:14">
      <c r="A19" s="99">
        <f t="shared" si="0"/>
        <v>6</v>
      </c>
      <c r="B19" s="69"/>
      <c r="D19" s="104"/>
      <c r="E19" s="104"/>
      <c r="H19" s="101" t="s">
        <v>64</v>
      </c>
      <c r="I19" s="76">
        <f t="shared" si="3"/>
        <v>19269.41916666667</v>
      </c>
      <c r="J19" s="69">
        <f t="shared" si="1"/>
        <v>2752.7741666666666</v>
      </c>
      <c r="L19" s="101" t="s">
        <v>64</v>
      </c>
      <c r="M19" s="76">
        <f t="shared" si="4"/>
        <v>371220.07625000004</v>
      </c>
      <c r="N19" s="69">
        <f t="shared" si="2"/>
        <v>19537.89875</v>
      </c>
    </row>
    <row r="20" spans="1:14" ht="15.75">
      <c r="A20" s="99">
        <f t="shared" si="0"/>
        <v>7</v>
      </c>
      <c r="B20" s="100" t="s">
        <v>65</v>
      </c>
      <c r="D20" s="104"/>
      <c r="G20" s="109"/>
      <c r="H20" s="101" t="s">
        <v>66</v>
      </c>
      <c r="I20" s="76">
        <f t="shared" si="3"/>
        <v>16516.645000000004</v>
      </c>
      <c r="J20" s="69">
        <f t="shared" si="1"/>
        <v>2752.7741666666666</v>
      </c>
      <c r="L20" s="101" t="s">
        <v>66</v>
      </c>
      <c r="M20" s="76">
        <f t="shared" si="4"/>
        <v>351682.17750000005</v>
      </c>
      <c r="N20" s="69">
        <f t="shared" si="2"/>
        <v>19537.89875</v>
      </c>
    </row>
    <row r="21" spans="1:14">
      <c r="A21" s="99">
        <f t="shared" si="0"/>
        <v>8</v>
      </c>
      <c r="B21" s="69" t="s">
        <v>67</v>
      </c>
      <c r="D21" s="104"/>
      <c r="E21" s="104">
        <v>246897.26</v>
      </c>
      <c r="G21" s="109"/>
      <c r="H21" s="110" t="s">
        <v>68</v>
      </c>
      <c r="I21" s="76">
        <f t="shared" si="3"/>
        <v>13763.870833333338</v>
      </c>
      <c r="J21" s="69">
        <f t="shared" si="1"/>
        <v>2752.7741666666666</v>
      </c>
      <c r="L21" s="110" t="s">
        <v>68</v>
      </c>
      <c r="M21" s="76">
        <f t="shared" si="4"/>
        <v>332144.27875000006</v>
      </c>
      <c r="N21" s="69">
        <f t="shared" si="2"/>
        <v>19537.89875</v>
      </c>
    </row>
    <row r="22" spans="1:14">
      <c r="A22" s="99">
        <f t="shared" si="0"/>
        <v>9</v>
      </c>
      <c r="B22" s="69" t="s">
        <v>43</v>
      </c>
      <c r="D22" s="104"/>
      <c r="E22" s="104"/>
      <c r="G22" s="109"/>
      <c r="H22" s="101" t="s">
        <v>69</v>
      </c>
      <c r="I22" s="76">
        <f t="shared" si="3"/>
        <v>11011.096666666672</v>
      </c>
      <c r="J22" s="69">
        <f t="shared" si="1"/>
        <v>2752.7741666666666</v>
      </c>
      <c r="L22" s="101" t="s">
        <v>69</v>
      </c>
      <c r="M22" s="76">
        <f t="shared" si="4"/>
        <v>312606.38000000006</v>
      </c>
      <c r="N22" s="69">
        <f t="shared" si="2"/>
        <v>19537.89875</v>
      </c>
    </row>
    <row r="23" spans="1:14" ht="15.75">
      <c r="A23" s="99">
        <f t="shared" si="0"/>
        <v>10</v>
      </c>
      <c r="B23" s="100" t="s">
        <v>70</v>
      </c>
      <c r="D23" s="104"/>
      <c r="E23" s="104"/>
      <c r="G23" s="109"/>
      <c r="H23" s="101" t="s">
        <v>71</v>
      </c>
      <c r="I23" s="76">
        <f t="shared" si="3"/>
        <v>8258.3225000000057</v>
      </c>
      <c r="J23" s="69">
        <f t="shared" si="1"/>
        <v>2752.7741666666666</v>
      </c>
      <c r="L23" s="101" t="s">
        <v>71</v>
      </c>
      <c r="M23" s="76">
        <f t="shared" si="4"/>
        <v>293068.48125000007</v>
      </c>
      <c r="N23" s="69">
        <f t="shared" si="2"/>
        <v>19537.89875</v>
      </c>
    </row>
    <row r="24" spans="1:14">
      <c r="A24" s="99">
        <f t="shared" si="0"/>
        <v>11</v>
      </c>
      <c r="B24" s="69" t="s">
        <v>72</v>
      </c>
      <c r="D24" s="104"/>
      <c r="E24" s="107">
        <v>29565.110000000004</v>
      </c>
      <c r="G24" s="111"/>
      <c r="H24" s="101" t="s">
        <v>73</v>
      </c>
      <c r="I24" s="76">
        <f t="shared" si="3"/>
        <v>5505.5483333333395</v>
      </c>
      <c r="J24" s="69">
        <f t="shared" si="1"/>
        <v>2752.7741666666666</v>
      </c>
      <c r="L24" s="101" t="s">
        <v>73</v>
      </c>
      <c r="M24" s="76">
        <f t="shared" si="4"/>
        <v>273530.58250000008</v>
      </c>
      <c r="N24" s="69">
        <f t="shared" si="2"/>
        <v>19537.89875</v>
      </c>
    </row>
    <row r="25" spans="1:14">
      <c r="A25" s="99">
        <f t="shared" si="0"/>
        <v>12</v>
      </c>
      <c r="B25" s="69"/>
      <c r="D25" s="104"/>
      <c r="E25" s="104"/>
      <c r="H25" s="101" t="s">
        <v>74</v>
      </c>
      <c r="I25" s="76">
        <f t="shared" si="3"/>
        <v>2752.774166666673</v>
      </c>
      <c r="J25" s="69">
        <f t="shared" si="1"/>
        <v>2752.7741666666666</v>
      </c>
      <c r="L25" s="101" t="s">
        <v>74</v>
      </c>
      <c r="M25" s="76">
        <f t="shared" si="4"/>
        <v>253992.68375000008</v>
      </c>
      <c r="N25" s="69">
        <f t="shared" si="2"/>
        <v>19537.89875</v>
      </c>
    </row>
    <row r="26" spans="1:14" ht="15.75">
      <c r="A26" s="99">
        <f t="shared" si="0"/>
        <v>13</v>
      </c>
      <c r="B26" s="100" t="s">
        <v>75</v>
      </c>
      <c r="D26" s="104"/>
      <c r="E26" s="104"/>
      <c r="H26" s="101" t="s">
        <v>76</v>
      </c>
      <c r="I26" s="91">
        <f t="shared" si="3"/>
        <v>6.3664629124104977E-12</v>
      </c>
      <c r="J26" s="72">
        <f t="shared" si="1"/>
        <v>2752.7741666666666</v>
      </c>
      <c r="L26" s="101" t="s">
        <v>76</v>
      </c>
      <c r="M26" s="91">
        <f>M25-N25</f>
        <v>234454.78500000009</v>
      </c>
      <c r="N26" s="72">
        <f t="shared" si="2"/>
        <v>19537.89875</v>
      </c>
    </row>
    <row r="27" spans="1:14">
      <c r="A27" s="99">
        <f t="shared" si="0"/>
        <v>14</v>
      </c>
      <c r="B27" s="69" t="s">
        <v>77</v>
      </c>
      <c r="D27" s="104"/>
      <c r="E27" s="108">
        <v>63326.12000000001</v>
      </c>
      <c r="G27" s="112"/>
      <c r="I27" s="113">
        <f>AVERAGE(I14:I26)</f>
        <v>16516.645000000004</v>
      </c>
      <c r="J27" s="114">
        <f>SUM(J14:J26)</f>
        <v>33033.29</v>
      </c>
      <c r="M27" s="113">
        <f>AVERAGE(M14:M26)</f>
        <v>351682.17749999999</v>
      </c>
      <c r="N27" s="114">
        <f>SUM(N14:N26)</f>
        <v>234454.78499999995</v>
      </c>
    </row>
    <row r="28" spans="1:14">
      <c r="A28" s="99">
        <f t="shared" si="0"/>
        <v>15</v>
      </c>
      <c r="B28" s="69"/>
      <c r="D28" s="104"/>
      <c r="E28" s="104"/>
      <c r="I28" s="76" t="s">
        <v>78</v>
      </c>
      <c r="J28" s="69"/>
      <c r="M28" s="76" t="s">
        <v>78</v>
      </c>
    </row>
    <row r="29" spans="1:14" ht="16.5" thickBot="1">
      <c r="A29" s="99">
        <f t="shared" si="0"/>
        <v>16</v>
      </c>
      <c r="B29" s="100" t="s">
        <v>79</v>
      </c>
      <c r="D29" s="104"/>
      <c r="E29" s="115">
        <f>SUM(E14:E27)</f>
        <v>468909.57</v>
      </c>
      <c r="G29" s="116"/>
      <c r="J29" s="69"/>
    </row>
    <row r="30" spans="1:14" ht="15.75" thickTop="1">
      <c r="A30" s="99">
        <f t="shared" si="0"/>
        <v>17</v>
      </c>
      <c r="D30" s="104"/>
      <c r="E30" s="104"/>
      <c r="J30" s="69"/>
    </row>
    <row r="31" spans="1:14" ht="16.5" thickBot="1">
      <c r="A31" s="99">
        <f t="shared" si="0"/>
        <v>18</v>
      </c>
      <c r="B31" s="100" t="s">
        <v>80</v>
      </c>
      <c r="D31" s="117"/>
      <c r="E31" s="118">
        <f>E29/2</f>
        <v>234454.785</v>
      </c>
      <c r="J31" s="69"/>
    </row>
    <row r="32" spans="1:14" ht="15.75" thickTop="1">
      <c r="A32" s="119"/>
      <c r="D32" s="117"/>
      <c r="J32" s="69"/>
    </row>
    <row r="33" spans="1:10">
      <c r="A33" s="120"/>
      <c r="H33" s="69"/>
      <c r="I33" s="69"/>
      <c r="J33" s="69"/>
    </row>
    <row r="34" spans="1:10">
      <c r="A34" s="69"/>
      <c r="H34" s="69"/>
      <c r="I34" s="69"/>
      <c r="J34" s="69"/>
    </row>
    <row r="35" spans="1:10">
      <c r="B35" s="76" t="s">
        <v>81</v>
      </c>
      <c r="H35" s="69"/>
      <c r="I35" s="69"/>
      <c r="J35" s="69"/>
    </row>
    <row r="36" spans="1:10">
      <c r="B36" s="76" t="s">
        <v>82</v>
      </c>
      <c r="H36" s="69"/>
      <c r="I36" s="69"/>
      <c r="J36" s="69"/>
    </row>
    <row r="37" spans="1:10">
      <c r="H37" s="69"/>
      <c r="I37" s="69"/>
      <c r="J37" s="69"/>
    </row>
    <row r="38" spans="1:10">
      <c r="H38" s="69"/>
      <c r="I38" s="69"/>
      <c r="J38" s="69"/>
    </row>
    <row r="39" spans="1:10">
      <c r="H39" s="69"/>
      <c r="I39" s="69"/>
      <c r="J39" s="69"/>
    </row>
    <row r="40" spans="1:10">
      <c r="B40" s="88"/>
      <c r="H40" s="69"/>
      <c r="I40" s="69"/>
      <c r="J40" s="69"/>
    </row>
    <row r="41" spans="1:10">
      <c r="H41" s="69"/>
      <c r="I41" s="69"/>
      <c r="J41" s="69"/>
    </row>
    <row r="42" spans="1:10">
      <c r="H42" s="69"/>
      <c r="I42" s="69"/>
      <c r="J42" s="69"/>
    </row>
    <row r="43" spans="1:10">
      <c r="A43" s="97"/>
      <c r="B43" s="121"/>
      <c r="C43" s="75"/>
      <c r="D43" s="75"/>
      <c r="E43" s="75"/>
      <c r="F43" s="69"/>
      <c r="J43" s="69"/>
    </row>
    <row r="44" spans="1:10">
      <c r="A44" s="97"/>
      <c r="B44" s="122"/>
      <c r="C44" s="75"/>
      <c r="D44" s="75"/>
      <c r="E44" s="75"/>
      <c r="F44" s="69"/>
      <c r="J44" s="69"/>
    </row>
    <row r="45" spans="1:10">
      <c r="A45" s="97"/>
      <c r="B45" s="123"/>
      <c r="C45" s="75"/>
      <c r="D45" s="75"/>
      <c r="E45" s="124"/>
      <c r="F45" s="69"/>
      <c r="J45" s="69"/>
    </row>
    <row r="46" spans="1:10">
      <c r="A46" s="97"/>
      <c r="B46" s="123"/>
      <c r="C46" s="75"/>
      <c r="D46" s="75"/>
      <c r="E46" s="124"/>
      <c r="F46" s="69"/>
      <c r="J46" s="69"/>
    </row>
    <row r="47" spans="1:10">
      <c r="A47" s="97"/>
      <c r="B47" s="123"/>
      <c r="C47" s="75"/>
      <c r="D47" s="75"/>
      <c r="E47" s="124"/>
      <c r="F47" s="69"/>
      <c r="J47" s="69"/>
    </row>
    <row r="48" spans="1:10">
      <c r="A48" s="97"/>
      <c r="B48" s="123"/>
      <c r="C48" s="75"/>
      <c r="D48" s="75"/>
      <c r="E48" s="114"/>
      <c r="F48" s="69"/>
      <c r="J48" s="69"/>
    </row>
    <row r="49" spans="1:10">
      <c r="A49" s="97"/>
      <c r="B49" s="123"/>
      <c r="C49" s="75"/>
      <c r="D49" s="124"/>
      <c r="E49" s="114"/>
      <c r="F49" s="69"/>
      <c r="G49" s="88"/>
      <c r="J49" s="69"/>
    </row>
    <row r="50" spans="1:10">
      <c r="A50" s="97"/>
      <c r="B50" s="97"/>
      <c r="C50" s="69"/>
      <c r="D50" s="69"/>
      <c r="E50" s="69"/>
      <c r="F50" s="69"/>
      <c r="J50" s="69"/>
    </row>
    <row r="51" spans="1:10">
      <c r="H51" s="69"/>
      <c r="I51" s="69"/>
      <c r="J51" s="69"/>
    </row>
  </sheetData>
  <mergeCells count="3">
    <mergeCell ref="A1:E1"/>
    <mergeCell ref="A2:E2"/>
    <mergeCell ref="A3:E3"/>
  </mergeCells>
  <printOptions horizontalCentered="1"/>
  <pageMargins left="1" right="0.87" top="1" bottom="1" header="0.5" footer="0.5"/>
  <pageSetup scale="31" orientation="portrait" verticalDpi="300" r:id="rId1"/>
  <headerFooter alignWithMargins="0"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30" sqref="A30"/>
    </sheetView>
  </sheetViews>
  <sheetFormatPr defaultRowHeight="12.75"/>
  <cols>
    <col min="1" max="1" width="14" customWidth="1"/>
    <col min="2" max="2" width="10.42578125" customWidth="1"/>
    <col min="3" max="3" width="11.7109375" customWidth="1"/>
    <col min="4" max="4" width="11.140625" customWidth="1"/>
    <col min="5" max="5" width="11.85546875" customWidth="1"/>
    <col min="6" max="6" width="20.42578125" customWidth="1"/>
    <col min="7" max="7" width="15.42578125" customWidth="1"/>
  </cols>
  <sheetData>
    <row r="1" spans="1:18">
      <c r="A1" s="225" t="s">
        <v>18</v>
      </c>
      <c r="B1" s="225"/>
      <c r="C1" s="225"/>
      <c r="D1" s="225"/>
      <c r="E1" s="225"/>
      <c r="F1" s="225"/>
      <c r="G1" s="225"/>
    </row>
    <row r="2" spans="1:18">
      <c r="A2" s="236" t="s">
        <v>256</v>
      </c>
      <c r="B2" s="236"/>
      <c r="C2" s="236"/>
      <c r="D2" s="236"/>
      <c r="E2" s="236"/>
      <c r="F2" s="236"/>
      <c r="G2" s="23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>
      <c r="A3" s="236" t="s">
        <v>253</v>
      </c>
      <c r="B3" s="236"/>
      <c r="C3" s="236"/>
      <c r="D3" s="236"/>
      <c r="E3" s="236"/>
      <c r="F3" s="236"/>
      <c r="G3" s="23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>
      <c r="A4" s="236" t="s">
        <v>22</v>
      </c>
      <c r="B4" s="236"/>
      <c r="C4" s="236"/>
      <c r="D4" s="236"/>
      <c r="E4" s="236"/>
      <c r="F4" s="236"/>
      <c r="G4" s="23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A5" s="236" t="s">
        <v>20</v>
      </c>
      <c r="B5" s="236"/>
      <c r="C5" s="236"/>
      <c r="D5" s="236"/>
      <c r="E5" s="236"/>
      <c r="F5" s="236"/>
      <c r="G5" s="23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>
      <c r="A6" s="235" t="s">
        <v>145</v>
      </c>
      <c r="B6" s="235"/>
      <c r="C6" s="235"/>
      <c r="D6" s="235"/>
      <c r="E6" s="235"/>
      <c r="F6" s="235"/>
      <c r="G6" s="23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>
      <c r="A7" s="224"/>
      <c r="B7" s="224"/>
      <c r="C7" s="224"/>
      <c r="D7" s="224"/>
      <c r="E7" s="224"/>
      <c r="F7" s="224"/>
      <c r="G7" s="22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16"/>
      <c r="B8" s="16"/>
      <c r="C8" s="16"/>
      <c r="D8" s="16"/>
      <c r="E8" s="16"/>
      <c r="F8" s="16"/>
      <c r="G8" s="16"/>
      <c r="H8" s="39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>
      <c r="A9" s="173" t="s">
        <v>108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>
      <c r="A10" s="16"/>
      <c r="B10" s="16" t="s">
        <v>110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85" t="s">
        <v>111</v>
      </c>
      <c r="B12" s="183"/>
      <c r="C12" s="183"/>
      <c r="D12" s="16"/>
      <c r="E12" s="16"/>
      <c r="F12" s="18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185" t="s">
        <v>97</v>
      </c>
      <c r="B13" s="39"/>
      <c r="C13" s="39"/>
      <c r="D13" s="16"/>
      <c r="E13" s="16"/>
      <c r="F13" s="18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48"/>
      <c r="B14" s="4"/>
      <c r="C14" s="4"/>
      <c r="F14" s="149"/>
    </row>
    <row r="15" spans="1:18">
      <c r="A15" s="80" t="s">
        <v>109</v>
      </c>
      <c r="F15" s="149"/>
      <c r="G15" s="66">
        <v>530417572</v>
      </c>
    </row>
    <row r="16" spans="1:18" ht="13.5" thickBot="1">
      <c r="A16" s="80" t="s">
        <v>112</v>
      </c>
      <c r="F16" s="149"/>
      <c r="G16" s="29">
        <v>529885389</v>
      </c>
    </row>
    <row r="17" spans="1:7" ht="13.5" thickBot="1">
      <c r="A17" s="80" t="s">
        <v>98</v>
      </c>
      <c r="F17" s="149"/>
      <c r="G17" s="150">
        <f>G16-G15</f>
        <v>-532183</v>
      </c>
    </row>
    <row r="18" spans="1:7">
      <c r="A18" s="80"/>
      <c r="F18" s="149"/>
      <c r="G18" s="66"/>
    </row>
    <row r="19" spans="1:7">
      <c r="F19" s="149"/>
      <c r="G19" s="66"/>
    </row>
    <row r="20" spans="1:7">
      <c r="A20" s="80" t="s">
        <v>113</v>
      </c>
      <c r="G20" s="66">
        <v>167963071</v>
      </c>
    </row>
    <row r="21" spans="1:7" ht="13.5" thickBot="1">
      <c r="A21" s="80" t="s">
        <v>114</v>
      </c>
      <c r="G21" s="29">
        <v>168068838</v>
      </c>
    </row>
    <row r="22" spans="1:7" ht="13.5" thickBot="1">
      <c r="A22" s="80" t="s">
        <v>98</v>
      </c>
      <c r="G22" s="150">
        <f>G21-G20</f>
        <v>105767</v>
      </c>
    </row>
    <row r="23" spans="1:7">
      <c r="G23" s="66"/>
    </row>
    <row r="24" spans="1:7">
      <c r="G24" s="223"/>
    </row>
    <row r="25" spans="1:7">
      <c r="A25" t="s">
        <v>255</v>
      </c>
      <c r="G25" s="149">
        <f>G17+G22</f>
        <v>-426416</v>
      </c>
    </row>
    <row r="27" spans="1:7">
      <c r="A27" s="80" t="s">
        <v>199</v>
      </c>
      <c r="G27" s="67">
        <f>COC!H16</f>
        <v>0.11885083349999999</v>
      </c>
    </row>
    <row r="29" spans="1:7" ht="13.5" thickBot="1">
      <c r="A29" s="80" t="s">
        <v>257</v>
      </c>
      <c r="G29" s="28">
        <f>G25*G27</f>
        <v>-50679.897017735995</v>
      </c>
    </row>
    <row r="30" spans="1:7" ht="13.5" thickTop="1"/>
  </sheetData>
  <mergeCells count="6">
    <mergeCell ref="A6:G6"/>
    <mergeCell ref="A1:G1"/>
    <mergeCell ref="A2:G2"/>
    <mergeCell ref="A4:G4"/>
    <mergeCell ref="A5:G5"/>
    <mergeCell ref="A3:G3"/>
  </mergeCells>
  <pageMargins left="0.5" right="0.5" top="0.75" bottom="0.5" header="0.5" footer="0.5"/>
  <pageSetup orientation="portrait" r:id="rId1"/>
  <headerFooter alignWithMargins="0">
    <oddHeader>&amp;RExhibit___(LK-2)
Page 1 of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J33" sqref="J33"/>
    </sheetView>
  </sheetViews>
  <sheetFormatPr defaultRowHeight="12.75"/>
  <cols>
    <col min="1" max="1" width="8.140625" customWidth="1"/>
    <col min="2" max="2" width="10.42578125" customWidth="1"/>
    <col min="3" max="3" width="11.7109375" customWidth="1"/>
    <col min="4" max="4" width="11.140625" customWidth="1"/>
    <col min="5" max="5" width="11.85546875" customWidth="1"/>
    <col min="6" max="6" width="20.42578125" customWidth="1"/>
    <col min="7" max="7" width="15.42578125" customWidth="1"/>
  </cols>
  <sheetData>
    <row r="1" spans="1:19">
      <c r="A1" s="225" t="s">
        <v>18</v>
      </c>
      <c r="B1" s="225"/>
      <c r="C1" s="225"/>
      <c r="D1" s="225"/>
      <c r="E1" s="225"/>
      <c r="F1" s="225"/>
      <c r="G1" s="225"/>
    </row>
    <row r="2" spans="1:19">
      <c r="A2" s="236" t="s">
        <v>256</v>
      </c>
      <c r="B2" s="236"/>
      <c r="C2" s="236"/>
      <c r="D2" s="236"/>
      <c r="E2" s="236"/>
      <c r="F2" s="236"/>
      <c r="G2" s="23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>
      <c r="A3" s="236" t="s">
        <v>254</v>
      </c>
      <c r="B3" s="236"/>
      <c r="C3" s="236"/>
      <c r="D3" s="236"/>
      <c r="E3" s="236"/>
      <c r="F3" s="236"/>
      <c r="G3" s="23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>
      <c r="A4" s="236" t="s">
        <v>22</v>
      </c>
      <c r="B4" s="236"/>
      <c r="C4" s="236"/>
      <c r="D4" s="236"/>
      <c r="E4" s="236"/>
      <c r="F4" s="236"/>
      <c r="G4" s="23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>
      <c r="A5" s="236" t="s">
        <v>20</v>
      </c>
      <c r="B5" s="236"/>
      <c r="C5" s="236"/>
      <c r="D5" s="236"/>
      <c r="E5" s="236"/>
      <c r="F5" s="236"/>
      <c r="G5" s="23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222"/>
      <c r="B6" s="222"/>
      <c r="C6" s="222"/>
      <c r="D6" s="222"/>
      <c r="E6" s="222"/>
      <c r="F6" s="222"/>
      <c r="G6" s="22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>
      <c r="A7" s="16"/>
      <c r="B7" s="16"/>
      <c r="C7" s="16"/>
      <c r="D7" s="16"/>
      <c r="E7" s="16"/>
      <c r="F7" s="16"/>
      <c r="G7" s="16"/>
      <c r="H7" s="3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>
      <c r="A8" s="173" t="s">
        <v>108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>
      <c r="A9" s="16"/>
      <c r="B9" s="16" t="s">
        <v>110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.75">
      <c r="A11" s="185" t="s">
        <v>111</v>
      </c>
      <c r="B11" s="183"/>
      <c r="C11" s="183"/>
      <c r="D11" s="16"/>
      <c r="E11" s="16"/>
      <c r="F11" s="18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>
      <c r="A12" s="185" t="s">
        <v>97</v>
      </c>
      <c r="B12" s="39"/>
      <c r="C12" s="39"/>
      <c r="D12" s="16"/>
      <c r="E12" s="16"/>
      <c r="F12" s="18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5.75">
      <c r="A13" s="148"/>
      <c r="B13" s="4"/>
      <c r="C13" s="4"/>
      <c r="F13" s="149"/>
    </row>
    <row r="14" spans="1:19">
      <c r="G14" s="66"/>
    </row>
    <row r="15" spans="1:19">
      <c r="G15" s="66"/>
    </row>
    <row r="16" spans="1:19">
      <c r="A16" s="80" t="s">
        <v>115</v>
      </c>
      <c r="G16" s="66">
        <v>18207839</v>
      </c>
    </row>
    <row r="17" spans="1:7">
      <c r="A17" s="80" t="s">
        <v>99</v>
      </c>
      <c r="G17" s="151">
        <f>E34-C34</f>
        <v>-148049.06980076485</v>
      </c>
    </row>
    <row r="18" spans="1:7">
      <c r="A18" s="80" t="s">
        <v>100</v>
      </c>
      <c r="G18" s="66">
        <f>SUM(G16:G17)</f>
        <v>18059789.930199236</v>
      </c>
    </row>
    <row r="19" spans="1:7">
      <c r="A19" s="80"/>
      <c r="G19" s="66"/>
    </row>
    <row r="20" spans="1:7">
      <c r="A20" s="80" t="s">
        <v>117</v>
      </c>
      <c r="G20" s="66">
        <v>18188239</v>
      </c>
    </row>
    <row r="21" spans="1:7">
      <c r="A21" s="80" t="s">
        <v>99</v>
      </c>
      <c r="G21" s="151">
        <f>E44-C44</f>
        <v>-147861.21854384537</v>
      </c>
    </row>
    <row r="22" spans="1:7">
      <c r="A22" s="80" t="s">
        <v>116</v>
      </c>
      <c r="G22" s="66">
        <f>SUM(G20:G21)</f>
        <v>18040377.781456154</v>
      </c>
    </row>
    <row r="23" spans="1:7" ht="13.5" thickBot="1"/>
    <row r="24" spans="1:7" ht="13.5" thickBot="1">
      <c r="A24" s="80" t="s">
        <v>258</v>
      </c>
      <c r="G24" s="152">
        <f>G22-G18</f>
        <v>-19412.148743081838</v>
      </c>
    </row>
    <row r="27" spans="1:7" ht="13.5" thickBot="1">
      <c r="A27" s="80" t="s">
        <v>101</v>
      </c>
    </row>
    <row r="28" spans="1:7">
      <c r="A28" s="156">
        <v>39200</v>
      </c>
      <c r="B28" s="157" t="s">
        <v>102</v>
      </c>
      <c r="C28" s="158">
        <v>54944.030474000007</v>
      </c>
      <c r="D28" s="153">
        <v>0.43469400347292619</v>
      </c>
      <c r="E28" s="159">
        <f>C28*D28</f>
        <v>23883.840573681522</v>
      </c>
      <c r="F28" s="154"/>
      <c r="G28" s="155"/>
    </row>
    <row r="29" spans="1:7">
      <c r="A29" s="156">
        <v>39202</v>
      </c>
      <c r="B29" s="157" t="s">
        <v>103</v>
      </c>
      <c r="C29" s="160">
        <v>3302.5950449999996</v>
      </c>
      <c r="D29" s="153">
        <v>0.43469400347292619</v>
      </c>
      <c r="E29" s="159">
        <f t="shared" ref="E29:E32" si="0">C29*D29</f>
        <v>1435.6182619608987</v>
      </c>
      <c r="F29" s="154"/>
      <c r="G29" s="155"/>
    </row>
    <row r="30" spans="1:7">
      <c r="A30" s="156">
        <v>39400</v>
      </c>
      <c r="B30" s="157" t="s">
        <v>104</v>
      </c>
      <c r="C30" s="160">
        <v>166869.75465729632</v>
      </c>
      <c r="D30" s="153">
        <v>0.43594523066092161</v>
      </c>
      <c r="E30" s="159">
        <f t="shared" si="0"/>
        <v>72746.073684406438</v>
      </c>
      <c r="F30" s="154"/>
      <c r="G30" s="155"/>
    </row>
    <row r="31" spans="1:7">
      <c r="A31" s="161">
        <v>39603</v>
      </c>
      <c r="B31" s="157" t="s">
        <v>105</v>
      </c>
      <c r="C31" s="160">
        <v>9209.8863120000024</v>
      </c>
      <c r="D31" s="153">
        <v>2.000120675986683E-2</v>
      </c>
      <c r="E31" s="159">
        <f t="shared" si="0"/>
        <v>184.20884036117943</v>
      </c>
      <c r="F31" s="154"/>
      <c r="G31" s="155"/>
    </row>
    <row r="32" spans="1:7">
      <c r="A32" s="161">
        <v>39604</v>
      </c>
      <c r="B32" s="162" t="s">
        <v>106</v>
      </c>
      <c r="C32" s="163">
        <v>12216.897363000004</v>
      </c>
      <c r="D32" s="153">
        <v>2.000120675986683E-2</v>
      </c>
      <c r="E32" s="164">
        <f t="shared" si="0"/>
        <v>244.35269012143493</v>
      </c>
      <c r="F32" s="154"/>
      <c r="G32" s="155"/>
    </row>
    <row r="33" spans="1:6">
      <c r="A33" s="80"/>
      <c r="B33" s="80"/>
      <c r="C33" s="80"/>
      <c r="D33" s="80"/>
      <c r="E33" s="80"/>
    </row>
    <row r="34" spans="1:6">
      <c r="A34" s="80"/>
      <c r="B34" s="80"/>
      <c r="C34" s="165">
        <f>SUM(C28:C33)</f>
        <v>246543.16385129633</v>
      </c>
      <c r="D34" s="162"/>
      <c r="E34" s="165">
        <f>SUM(E28:E33)</f>
        <v>98494.094050531479</v>
      </c>
    </row>
    <row r="37" spans="1:6" ht="13.5" thickBot="1">
      <c r="A37" s="80" t="s">
        <v>107</v>
      </c>
    </row>
    <row r="38" spans="1:6">
      <c r="A38" s="156">
        <v>39200</v>
      </c>
      <c r="B38" s="157" t="s">
        <v>102</v>
      </c>
      <c r="C38" s="158">
        <v>54944.030474000007</v>
      </c>
      <c r="D38" s="153">
        <v>0.43469400347292619</v>
      </c>
      <c r="E38" s="159">
        <f>C38*D38</f>
        <v>23883.840573681522</v>
      </c>
      <c r="F38" s="154"/>
    </row>
    <row r="39" spans="1:6">
      <c r="A39" s="156">
        <v>39202</v>
      </c>
      <c r="B39" s="157" t="s">
        <v>103</v>
      </c>
      <c r="C39" s="160">
        <v>3302.5950449999996</v>
      </c>
      <c r="D39" s="153">
        <v>0.43469400347292619</v>
      </c>
      <c r="E39" s="159">
        <f t="shared" ref="E39:E42" si="1">C39*D39</f>
        <v>1435.6182619608987</v>
      </c>
      <c r="F39" s="154"/>
    </row>
    <row r="40" spans="1:6">
      <c r="A40" s="156">
        <v>39400</v>
      </c>
      <c r="B40" s="157" t="s">
        <v>104</v>
      </c>
      <c r="C40" s="160">
        <v>166536.717393664</v>
      </c>
      <c r="D40" s="153">
        <v>0.43594523066092161</v>
      </c>
      <c r="E40" s="159">
        <f t="shared" si="1"/>
        <v>72600.887677693565</v>
      </c>
      <c r="F40" s="154"/>
    </row>
    <row r="41" spans="1:6">
      <c r="A41" s="161">
        <v>39603</v>
      </c>
      <c r="B41" s="157" t="s">
        <v>105</v>
      </c>
      <c r="C41" s="160">
        <v>9209.8863120000024</v>
      </c>
      <c r="D41" s="153">
        <v>2.000120675986683E-2</v>
      </c>
      <c r="E41" s="159">
        <f t="shared" si="1"/>
        <v>184.20884036117943</v>
      </c>
      <c r="F41" s="154"/>
    </row>
    <row r="42" spans="1:6" ht="13.5" thickBot="1">
      <c r="A42" s="161">
        <v>39604</v>
      </c>
      <c r="B42" s="162" t="s">
        <v>106</v>
      </c>
      <c r="C42" s="166">
        <v>12216.897363000004</v>
      </c>
      <c r="D42" s="153">
        <v>2.000120675986683E-2</v>
      </c>
      <c r="E42" s="164">
        <f t="shared" si="1"/>
        <v>244.35269012143493</v>
      </c>
      <c r="F42" s="154"/>
    </row>
    <row r="43" spans="1:6">
      <c r="A43" s="162"/>
      <c r="B43" s="162"/>
      <c r="C43" s="162"/>
      <c r="D43" s="162"/>
      <c r="E43" s="162"/>
    </row>
    <row r="44" spans="1:6">
      <c r="A44" s="162"/>
      <c r="B44" s="162"/>
      <c r="C44" s="165">
        <f>SUM(C38:C43)</f>
        <v>246210.12658766398</v>
      </c>
      <c r="D44" s="162"/>
      <c r="E44" s="165">
        <f>SUM(E38:E43)</f>
        <v>98348.908043818607</v>
      </c>
    </row>
    <row r="45" spans="1:6">
      <c r="A45" s="162"/>
      <c r="B45" s="162"/>
      <c r="C45" s="162"/>
      <c r="D45" s="162"/>
      <c r="E45" s="162"/>
    </row>
  </sheetData>
  <mergeCells count="5">
    <mergeCell ref="A1:G1"/>
    <mergeCell ref="A2:G2"/>
    <mergeCell ref="A4:G4"/>
    <mergeCell ref="A5:G5"/>
    <mergeCell ref="A3:G3"/>
  </mergeCells>
  <pageMargins left="0.89" right="0.75" top="0.75" bottom="0.5" header="0.5" footer="0.5"/>
  <pageSetup orientation="portrait" r:id="rId1"/>
  <headerFooter alignWithMargins="0">
    <oddHeader>&amp;RExhibit___(LK-3)
Page 1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61" workbookViewId="0">
      <selection activeCell="H98" sqref="H98"/>
    </sheetView>
  </sheetViews>
  <sheetFormatPr defaultRowHeight="12.75"/>
  <cols>
    <col min="1" max="1" width="2.5703125" customWidth="1"/>
    <col min="2" max="2" width="46.5703125" customWidth="1"/>
    <col min="3" max="3" width="2.7109375" customWidth="1"/>
    <col min="4" max="4" width="15.5703125" customWidth="1"/>
    <col min="5" max="5" width="2.7109375" customWidth="1"/>
    <col min="6" max="6" width="12.28515625" customWidth="1"/>
    <col min="7" max="7" width="2.7109375" customWidth="1"/>
    <col min="8" max="8" width="12.85546875" customWidth="1"/>
  </cols>
  <sheetData>
    <row r="1" spans="1:19">
      <c r="A1" s="225" t="s">
        <v>18</v>
      </c>
      <c r="B1" s="225"/>
      <c r="C1" s="225"/>
      <c r="D1" s="225"/>
      <c r="E1" s="225"/>
      <c r="F1" s="225"/>
      <c r="G1" s="225"/>
      <c r="H1" s="225"/>
    </row>
    <row r="2" spans="1:19">
      <c r="A2" s="236" t="s">
        <v>210</v>
      </c>
      <c r="B2" s="236"/>
      <c r="C2" s="236"/>
      <c r="D2" s="236"/>
      <c r="E2" s="236"/>
      <c r="F2" s="236"/>
      <c r="G2" s="236"/>
      <c r="H2" s="23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>
      <c r="A3" s="218" t="s">
        <v>211</v>
      </c>
      <c r="B3" s="218"/>
      <c r="C3" s="218"/>
      <c r="D3" s="218"/>
      <c r="E3" s="218"/>
      <c r="F3" s="218"/>
      <c r="G3" s="218"/>
      <c r="H3" s="2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>
      <c r="A4" s="236" t="s">
        <v>22</v>
      </c>
      <c r="B4" s="236"/>
      <c r="C4" s="236"/>
      <c r="D4" s="236"/>
      <c r="E4" s="236"/>
      <c r="F4" s="236"/>
      <c r="G4" s="236"/>
      <c r="H4" s="23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>
      <c r="A5" s="236" t="s">
        <v>20</v>
      </c>
      <c r="B5" s="236"/>
      <c r="C5" s="236"/>
      <c r="D5" s="236"/>
      <c r="E5" s="236"/>
      <c r="F5" s="236"/>
      <c r="G5" s="236"/>
      <c r="H5" s="23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207"/>
      <c r="B6" s="207"/>
      <c r="C6" s="207"/>
      <c r="D6" s="207"/>
      <c r="E6" s="207"/>
      <c r="F6" s="207"/>
      <c r="G6" s="20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>
      <c r="A7" s="16"/>
      <c r="B7" s="16"/>
      <c r="C7" s="16"/>
      <c r="D7" s="16"/>
      <c r="E7" s="16"/>
      <c r="F7" s="16"/>
      <c r="G7" s="16"/>
      <c r="H7" s="3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>
      <c r="A8" s="173" t="s">
        <v>212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>
      <c r="A9" s="173" t="s">
        <v>241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>
      <c r="A10" s="17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>
      <c r="A11" s="17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>
      <c r="A12" s="173"/>
      <c r="B12" s="16"/>
      <c r="C12" s="16"/>
      <c r="D12" s="16"/>
      <c r="E12" s="16"/>
      <c r="F12" s="16"/>
      <c r="G12" s="16"/>
      <c r="H12" s="216" t="s">
        <v>235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>
      <c r="A13" s="173"/>
      <c r="B13" s="16"/>
      <c r="C13" s="16"/>
      <c r="D13" s="210" t="s">
        <v>220</v>
      </c>
      <c r="E13" s="210"/>
      <c r="F13" s="210" t="s">
        <v>222</v>
      </c>
      <c r="G13" s="210"/>
      <c r="H13" s="216" t="s">
        <v>236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>
      <c r="A14" s="16"/>
      <c r="B14" s="16"/>
      <c r="C14" s="16"/>
      <c r="D14" s="193" t="s">
        <v>221</v>
      </c>
      <c r="E14" s="214"/>
      <c r="F14" s="188" t="s">
        <v>223</v>
      </c>
      <c r="G14" s="210"/>
      <c r="H14" s="217" t="s">
        <v>237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>
      <c r="A15" s="4" t="s">
        <v>213</v>
      </c>
    </row>
    <row r="17" spans="1:8">
      <c r="A17" s="4" t="s">
        <v>214</v>
      </c>
    </row>
    <row r="18" spans="1:8">
      <c r="B18" s="80" t="s">
        <v>216</v>
      </c>
      <c r="D18" s="66">
        <v>946876781</v>
      </c>
      <c r="E18" s="66"/>
    </row>
    <row r="19" spans="1:8">
      <c r="B19" s="80" t="s">
        <v>215</v>
      </c>
      <c r="D19" s="151">
        <v>8527002426</v>
      </c>
      <c r="E19" s="29"/>
    </row>
    <row r="20" spans="1:8">
      <c r="B20" s="80" t="s">
        <v>227</v>
      </c>
      <c r="D20" s="66"/>
      <c r="E20" s="66"/>
      <c r="F20" s="211">
        <f>D18/D19</f>
        <v>0.11104450704890652</v>
      </c>
      <c r="G20" s="211"/>
    </row>
    <row r="21" spans="1:8">
      <c r="D21" s="66"/>
      <c r="E21" s="66"/>
      <c r="F21" s="211"/>
      <c r="G21" s="211"/>
    </row>
    <row r="22" spans="1:8">
      <c r="B22" s="80" t="s">
        <v>217</v>
      </c>
      <c r="D22" s="66">
        <f>332626</f>
        <v>332626</v>
      </c>
      <c r="E22" s="66"/>
      <c r="F22" s="211"/>
      <c r="G22" s="211"/>
    </row>
    <row r="23" spans="1:8">
      <c r="B23" s="80" t="s">
        <v>218</v>
      </c>
      <c r="D23" s="151">
        <f>3061941</f>
        <v>3061941</v>
      </c>
      <c r="E23" s="29"/>
      <c r="F23" s="211"/>
      <c r="G23" s="211"/>
    </row>
    <row r="24" spans="1:8">
      <c r="B24" s="80" t="s">
        <v>226</v>
      </c>
      <c r="D24" s="66"/>
      <c r="E24" s="66"/>
      <c r="F24" s="211">
        <f>D22/D23</f>
        <v>0.10863240016708356</v>
      </c>
      <c r="G24" s="211"/>
    </row>
    <row r="25" spans="1:8">
      <c r="D25" s="66"/>
      <c r="E25" s="66"/>
      <c r="F25" s="211"/>
      <c r="G25" s="211"/>
    </row>
    <row r="26" spans="1:8">
      <c r="B26" s="80" t="s">
        <v>219</v>
      </c>
      <c r="D26" s="66">
        <v>38004205</v>
      </c>
      <c r="E26" s="66"/>
      <c r="F26" s="211"/>
      <c r="G26" s="211"/>
    </row>
    <row r="27" spans="1:8">
      <c r="B27" s="80" t="s">
        <v>224</v>
      </c>
      <c r="D27" s="151">
        <v>373655056</v>
      </c>
      <c r="E27" s="29"/>
      <c r="F27" s="211"/>
      <c r="G27" s="211"/>
    </row>
    <row r="28" spans="1:8">
      <c r="B28" s="80" t="s">
        <v>225</v>
      </c>
      <c r="D28" s="66"/>
      <c r="E28" s="66"/>
      <c r="F28" s="212">
        <f>D26/D27</f>
        <v>0.10170932893786402</v>
      </c>
      <c r="G28" s="215"/>
    </row>
    <row r="29" spans="1:8">
      <c r="D29" s="66"/>
      <c r="E29" s="66"/>
      <c r="F29" s="211"/>
      <c r="G29" s="211"/>
    </row>
    <row r="30" spans="1:8" ht="13.5" thickBot="1">
      <c r="B30" s="80" t="s">
        <v>228</v>
      </c>
      <c r="F30" s="215"/>
      <c r="G30" s="215"/>
      <c r="H30" s="213">
        <f>AVERAGE(F20:F28)</f>
        <v>0.10712874538461803</v>
      </c>
    </row>
    <row r="31" spans="1:8" ht="13.5" thickTop="1">
      <c r="B31" s="80"/>
      <c r="F31" s="215"/>
      <c r="G31" s="215"/>
      <c r="H31" s="215"/>
    </row>
    <row r="32" spans="1:8">
      <c r="B32" s="80"/>
      <c r="F32" s="215"/>
      <c r="G32" s="215"/>
      <c r="H32" s="215"/>
    </row>
    <row r="33" spans="1:8">
      <c r="B33" s="80"/>
      <c r="F33" s="215"/>
      <c r="G33" s="215"/>
      <c r="H33" s="215"/>
    </row>
    <row r="34" spans="1:8">
      <c r="F34" s="211"/>
      <c r="G34" s="211"/>
      <c r="H34" s="216" t="s">
        <v>235</v>
      </c>
    </row>
    <row r="35" spans="1:8">
      <c r="D35" s="210" t="s">
        <v>220</v>
      </c>
      <c r="E35" s="210"/>
      <c r="F35" s="210" t="s">
        <v>222</v>
      </c>
      <c r="G35" s="211"/>
      <c r="H35" s="216" t="s">
        <v>236</v>
      </c>
    </row>
    <row r="36" spans="1:8">
      <c r="A36" s="4" t="s">
        <v>229</v>
      </c>
      <c r="D36" s="193" t="s">
        <v>221</v>
      </c>
      <c r="E36" s="214"/>
      <c r="F36" s="188" t="s">
        <v>223</v>
      </c>
      <c r="H36" s="217" t="s">
        <v>237</v>
      </c>
    </row>
    <row r="37" spans="1:8">
      <c r="B37" s="80" t="s">
        <v>230</v>
      </c>
      <c r="D37" s="66">
        <v>424189446</v>
      </c>
      <c r="E37" s="66"/>
    </row>
    <row r="38" spans="1:8">
      <c r="B38" s="80" t="s">
        <v>244</v>
      </c>
      <c r="D38" s="151">
        <v>941822505.67999995</v>
      </c>
      <c r="E38" s="29"/>
    </row>
    <row r="39" spans="1:8">
      <c r="B39" s="80" t="s">
        <v>231</v>
      </c>
      <c r="D39" s="66"/>
      <c r="E39" s="66"/>
      <c r="F39" s="211">
        <f>D37/D38</f>
        <v>0.45039213168274567</v>
      </c>
      <c r="G39" s="211"/>
    </row>
    <row r="40" spans="1:8">
      <c r="D40" s="66"/>
      <c r="E40" s="66"/>
      <c r="F40" s="211"/>
      <c r="G40" s="211"/>
    </row>
    <row r="41" spans="1:8">
      <c r="B41" s="80" t="s">
        <v>242</v>
      </c>
      <c r="D41" s="66">
        <v>174958</v>
      </c>
      <c r="E41" s="66"/>
      <c r="F41" s="211"/>
      <c r="G41" s="211"/>
    </row>
    <row r="42" spans="1:8">
      <c r="B42" s="80" t="s">
        <v>245</v>
      </c>
      <c r="D42" s="151">
        <v>332626</v>
      </c>
      <c r="E42" s="29"/>
      <c r="F42" s="211"/>
      <c r="G42" s="211"/>
    </row>
    <row r="43" spans="1:8">
      <c r="B43" s="80" t="s">
        <v>232</v>
      </c>
      <c r="D43" s="66"/>
      <c r="E43" s="66"/>
      <c r="F43" s="211">
        <f>D41/D42</f>
        <v>0.52599015110063552</v>
      </c>
      <c r="G43" s="211"/>
    </row>
    <row r="44" spans="1:8">
      <c r="D44" s="66"/>
      <c r="E44" s="66"/>
      <c r="F44" s="211"/>
      <c r="G44" s="211"/>
    </row>
    <row r="45" spans="1:8">
      <c r="B45" s="80" t="s">
        <v>243</v>
      </c>
      <c r="D45" s="66">
        <v>14546900</v>
      </c>
      <c r="E45" s="66"/>
      <c r="F45" s="211"/>
      <c r="G45" s="211"/>
    </row>
    <row r="46" spans="1:8">
      <c r="B46" s="80" t="s">
        <v>246</v>
      </c>
      <c r="D46" s="151">
        <v>29308843.07</v>
      </c>
      <c r="E46" s="29"/>
      <c r="F46" s="211"/>
      <c r="G46" s="211"/>
    </row>
    <row r="47" spans="1:8">
      <c r="B47" s="80" t="s">
        <v>233</v>
      </c>
      <c r="D47" s="66"/>
      <c r="E47" s="66"/>
      <c r="F47" s="212">
        <f>D45/D46</f>
        <v>0.49633143025321058</v>
      </c>
      <c r="G47" s="215"/>
    </row>
    <row r="48" spans="1:8">
      <c r="D48" s="66"/>
      <c r="E48" s="66"/>
      <c r="F48" s="211"/>
      <c r="G48" s="211"/>
    </row>
    <row r="49" spans="1:8" ht="13.5" thickBot="1">
      <c r="B49" s="80" t="s">
        <v>228</v>
      </c>
      <c r="F49" s="215"/>
      <c r="G49" s="215"/>
      <c r="H49" s="213">
        <f>AVERAGE(F39:F47)</f>
        <v>0.49090457101219725</v>
      </c>
    </row>
    <row r="50" spans="1:8" ht="13.5" thickTop="1">
      <c r="B50" s="80"/>
      <c r="F50" s="215"/>
      <c r="G50" s="215"/>
      <c r="H50" s="215"/>
    </row>
    <row r="52" spans="1:8" ht="13.5" thickBot="1">
      <c r="B52" s="80" t="s">
        <v>234</v>
      </c>
      <c r="H52" s="213">
        <f>H30*H49</f>
        <v>5.2589990796110819E-2</v>
      </c>
    </row>
    <row r="53" spans="1:8" ht="13.5" thickTop="1"/>
    <row r="57" spans="1:8">
      <c r="A57" s="173"/>
      <c r="B57" s="16"/>
      <c r="C57" s="16"/>
      <c r="D57" s="16"/>
      <c r="E57" s="16"/>
      <c r="F57" s="16"/>
      <c r="G57" s="16"/>
      <c r="H57" s="216" t="s">
        <v>235</v>
      </c>
    </row>
    <row r="58" spans="1:8">
      <c r="A58" s="173"/>
      <c r="B58" s="16"/>
      <c r="C58" s="16"/>
      <c r="D58" s="210" t="s">
        <v>220</v>
      </c>
      <c r="E58" s="210"/>
      <c r="F58" s="210" t="s">
        <v>222</v>
      </c>
      <c r="G58" s="210"/>
      <c r="H58" s="216" t="s">
        <v>236</v>
      </c>
    </row>
    <row r="59" spans="1:8">
      <c r="A59" s="16"/>
      <c r="B59" s="16"/>
      <c r="C59" s="16"/>
      <c r="D59" s="193" t="s">
        <v>221</v>
      </c>
      <c r="E59" s="214"/>
      <c r="F59" s="188" t="s">
        <v>223</v>
      </c>
      <c r="G59" s="210"/>
      <c r="H59" s="217" t="s">
        <v>237</v>
      </c>
    </row>
    <row r="60" spans="1:8">
      <c r="A60" s="4" t="s">
        <v>238</v>
      </c>
    </row>
    <row r="62" spans="1:8">
      <c r="A62" s="4" t="s">
        <v>214</v>
      </c>
    </row>
    <row r="63" spans="1:8">
      <c r="B63" s="80" t="s">
        <v>216</v>
      </c>
      <c r="D63" s="66">
        <v>946876781</v>
      </c>
      <c r="E63" s="66"/>
    </row>
    <row r="64" spans="1:8">
      <c r="B64" s="80" t="s">
        <v>215</v>
      </c>
      <c r="D64" s="151">
        <v>8527002426</v>
      </c>
      <c r="E64" s="29"/>
    </row>
    <row r="65" spans="1:8">
      <c r="B65" s="80" t="s">
        <v>227</v>
      </c>
      <c r="D65" s="66"/>
      <c r="E65" s="66"/>
      <c r="F65" s="211">
        <f>D63/D64</f>
        <v>0.11104450704890652</v>
      </c>
      <c r="G65" s="211"/>
    </row>
    <row r="66" spans="1:8">
      <c r="D66" s="66"/>
      <c r="E66" s="66"/>
      <c r="F66" s="211"/>
      <c r="G66" s="211"/>
    </row>
    <row r="67" spans="1:8">
      <c r="B67" s="80" t="s">
        <v>239</v>
      </c>
      <c r="D67" s="66">
        <f>78451558-755818-161303</f>
        <v>77534437</v>
      </c>
      <c r="E67" s="66"/>
      <c r="F67" s="211"/>
      <c r="G67" s="211"/>
    </row>
    <row r="68" spans="1:8">
      <c r="B68" s="80" t="s">
        <v>240</v>
      </c>
      <c r="D68" s="151">
        <f>834332756-755818-161303</f>
        <v>833415635</v>
      </c>
      <c r="E68" s="29"/>
      <c r="F68" s="211"/>
      <c r="G68" s="211"/>
    </row>
    <row r="69" spans="1:8">
      <c r="B69" s="80" t="s">
        <v>225</v>
      </c>
      <c r="D69" s="66"/>
      <c r="E69" s="66"/>
      <c r="F69" s="212">
        <f>D67/D68</f>
        <v>9.3032136360148801E-2</v>
      </c>
      <c r="G69" s="215"/>
    </row>
    <row r="70" spans="1:8">
      <c r="D70" s="66"/>
      <c r="E70" s="66"/>
      <c r="F70" s="211"/>
      <c r="G70" s="211"/>
    </row>
    <row r="71" spans="1:8" ht="13.5" thickBot="1">
      <c r="B71" s="80" t="s">
        <v>228</v>
      </c>
      <c r="F71" s="215"/>
      <c r="G71" s="215"/>
      <c r="H71" s="213">
        <f>AVERAGE(F65:F69)</f>
        <v>0.10203832170452766</v>
      </c>
    </row>
    <row r="72" spans="1:8" ht="13.5" thickTop="1">
      <c r="B72" s="80"/>
      <c r="F72" s="215"/>
      <c r="G72" s="215"/>
      <c r="H72" s="215"/>
    </row>
    <row r="73" spans="1:8">
      <c r="B73" s="80"/>
      <c r="F73" s="215"/>
      <c r="G73" s="215"/>
      <c r="H73" s="215"/>
    </row>
    <row r="74" spans="1:8">
      <c r="B74" s="80"/>
      <c r="F74" s="215"/>
      <c r="G74" s="215"/>
      <c r="H74" s="215"/>
    </row>
    <row r="75" spans="1:8">
      <c r="F75" s="211"/>
      <c r="G75" s="211"/>
      <c r="H75" s="216" t="s">
        <v>235</v>
      </c>
    </row>
    <row r="76" spans="1:8">
      <c r="D76" s="210" t="s">
        <v>220</v>
      </c>
      <c r="E76" s="210"/>
      <c r="F76" s="210" t="s">
        <v>222</v>
      </c>
      <c r="G76" s="211"/>
      <c r="H76" s="216" t="s">
        <v>236</v>
      </c>
    </row>
    <row r="77" spans="1:8">
      <c r="A77" s="4" t="s">
        <v>229</v>
      </c>
      <c r="D77" s="193" t="s">
        <v>221</v>
      </c>
      <c r="E77" s="214"/>
      <c r="F77" s="188" t="s">
        <v>223</v>
      </c>
      <c r="H77" s="217" t="s">
        <v>237</v>
      </c>
    </row>
    <row r="78" spans="1:8">
      <c r="B78" s="80" t="s">
        <v>230</v>
      </c>
      <c r="D78" s="66">
        <v>424189446</v>
      </c>
      <c r="E78" s="66"/>
    </row>
    <row r="79" spans="1:8">
      <c r="B79" s="80" t="s">
        <v>244</v>
      </c>
      <c r="D79" s="151">
        <v>941822505.67999995</v>
      </c>
      <c r="E79" s="29"/>
    </row>
    <row r="80" spans="1:8">
      <c r="B80" s="80" t="s">
        <v>231</v>
      </c>
      <c r="D80" s="66"/>
      <c r="E80" s="66"/>
      <c r="F80" s="211">
        <f>D78/D79</f>
        <v>0.45039213168274567</v>
      </c>
      <c r="G80" s="211"/>
    </row>
    <row r="81" spans="1:8">
      <c r="D81" s="66"/>
      <c r="E81" s="66"/>
      <c r="F81" s="211"/>
      <c r="G81" s="211"/>
    </row>
    <row r="82" spans="1:8">
      <c r="B82" s="80" t="s">
        <v>243</v>
      </c>
      <c r="D82" s="66">
        <v>34650487</v>
      </c>
      <c r="E82" s="66"/>
      <c r="F82" s="211"/>
      <c r="G82" s="211"/>
    </row>
    <row r="83" spans="1:8">
      <c r="B83" s="80" t="s">
        <v>246</v>
      </c>
      <c r="D83" s="151">
        <v>68876650</v>
      </c>
      <c r="E83" s="29"/>
      <c r="F83" s="211"/>
      <c r="G83" s="211"/>
    </row>
    <row r="84" spans="1:8">
      <c r="B84" s="80" t="s">
        <v>233</v>
      </c>
      <c r="D84" s="66"/>
      <c r="E84" s="66"/>
      <c r="F84" s="212">
        <f>D82/D83</f>
        <v>0.5030803182210517</v>
      </c>
      <c r="G84" s="215"/>
    </row>
    <row r="85" spans="1:8">
      <c r="D85" s="66"/>
      <c r="E85" s="66"/>
      <c r="F85" s="211"/>
      <c r="G85" s="211"/>
    </row>
    <row r="86" spans="1:8" ht="13.5" thickBot="1">
      <c r="B86" s="80" t="s">
        <v>228</v>
      </c>
      <c r="F86" s="215"/>
      <c r="G86" s="215"/>
      <c r="H86" s="213">
        <f>AVERAGE(F80:F84)</f>
        <v>0.47673622495189871</v>
      </c>
    </row>
    <row r="87" spans="1:8" ht="13.5" thickTop="1">
      <c r="B87" s="80"/>
      <c r="F87" s="215"/>
      <c r="G87" s="215"/>
      <c r="H87" s="215"/>
    </row>
    <row r="89" spans="1:8" ht="13.5" thickBot="1">
      <c r="B89" s="80" t="s">
        <v>234</v>
      </c>
      <c r="H89" s="213">
        <f>H71*H86</f>
        <v>4.8645364289843909E-2</v>
      </c>
    </row>
    <row r="90" spans="1:8" ht="13.5" thickTop="1"/>
    <row r="93" spans="1:8">
      <c r="A93" t="s">
        <v>247</v>
      </c>
    </row>
  </sheetData>
  <mergeCells count="4">
    <mergeCell ref="A1:H1"/>
    <mergeCell ref="A2:H2"/>
    <mergeCell ref="A4:H4"/>
    <mergeCell ref="A5:H5"/>
  </mergeCells>
  <pageMargins left="0.5" right="0.25" top="1" bottom="0.5" header="0.5" footer="0.5"/>
  <pageSetup orientation="portrait" r:id="rId1"/>
  <headerFooter alignWithMargins="0">
    <oddHeader>&amp;RExhibit___(LK-17)
Page &amp;P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6" sqref="I16"/>
    </sheetView>
  </sheetViews>
  <sheetFormatPr defaultRowHeight="12.75"/>
  <cols>
    <col min="2" max="2" width="10.42578125" customWidth="1"/>
    <col min="8" max="8" width="9.140625" customWidth="1"/>
    <col min="9" max="9" width="13.42578125" customWidth="1"/>
  </cols>
  <sheetData>
    <row r="1" spans="1:9">
      <c r="A1" s="225" t="s">
        <v>155</v>
      </c>
      <c r="B1" s="225"/>
      <c r="C1" s="225"/>
      <c r="D1" s="225"/>
      <c r="E1" s="225"/>
      <c r="F1" s="225"/>
      <c r="G1" s="225"/>
      <c r="H1" s="225"/>
      <c r="I1" s="225"/>
    </row>
    <row r="2" spans="1:9">
      <c r="A2" s="226" t="s">
        <v>19</v>
      </c>
      <c r="B2" s="226"/>
      <c r="C2" s="226"/>
      <c r="D2" s="226"/>
      <c r="E2" s="226"/>
      <c r="F2" s="226"/>
      <c r="G2" s="226"/>
      <c r="H2" s="226"/>
      <c r="I2" s="226"/>
    </row>
    <row r="3" spans="1:9">
      <c r="A3" s="226" t="s">
        <v>22</v>
      </c>
      <c r="B3" s="226"/>
      <c r="C3" s="226"/>
      <c r="D3" s="226"/>
      <c r="E3" s="226"/>
      <c r="F3" s="226"/>
      <c r="G3" s="226"/>
      <c r="H3" s="226"/>
      <c r="I3" s="226"/>
    </row>
    <row r="4" spans="1:9">
      <c r="A4" s="226" t="s">
        <v>20</v>
      </c>
      <c r="B4" s="226"/>
      <c r="C4" s="226"/>
      <c r="D4" s="226"/>
      <c r="E4" s="226"/>
      <c r="F4" s="226"/>
      <c r="G4" s="226"/>
      <c r="H4" s="226"/>
      <c r="I4" s="226"/>
    </row>
    <row r="6" spans="1:9">
      <c r="I6" s="21"/>
    </row>
    <row r="7" spans="1:9">
      <c r="I7" s="24" t="s">
        <v>14</v>
      </c>
    </row>
    <row r="8" spans="1:9">
      <c r="I8" s="21"/>
    </row>
    <row r="9" spans="1:9">
      <c r="A9" s="80" t="s">
        <v>136</v>
      </c>
      <c r="B9" s="5"/>
      <c r="C9" s="5"/>
      <c r="D9" s="5"/>
      <c r="E9" s="5"/>
      <c r="F9" s="5"/>
      <c r="G9" s="5"/>
      <c r="H9" s="5"/>
      <c r="I9" s="42">
        <v>335832639</v>
      </c>
    </row>
    <row r="10" spans="1:9">
      <c r="A10" s="80" t="s">
        <v>134</v>
      </c>
      <c r="B10" s="5"/>
      <c r="C10" s="5"/>
      <c r="D10" s="5"/>
      <c r="E10" s="5"/>
      <c r="F10" s="5"/>
      <c r="G10" s="5"/>
      <c r="H10" s="5"/>
      <c r="I10" s="179">
        <v>-790529</v>
      </c>
    </row>
    <row r="11" spans="1:9">
      <c r="A11" s="80" t="s">
        <v>137</v>
      </c>
      <c r="B11" s="5"/>
      <c r="C11" s="5"/>
      <c r="D11" s="5"/>
      <c r="E11" s="5"/>
      <c r="F11" s="5"/>
      <c r="G11" s="5"/>
      <c r="H11" s="5"/>
      <c r="I11" s="42">
        <f>SUM(I9:I10)</f>
        <v>335042110</v>
      </c>
    </row>
    <row r="12" spans="1:9">
      <c r="A12" s="5"/>
      <c r="B12" s="5"/>
      <c r="C12" s="5"/>
      <c r="D12" s="5"/>
      <c r="E12" s="5"/>
      <c r="F12" s="5"/>
      <c r="G12" s="5"/>
      <c r="H12" s="5"/>
      <c r="I12" s="6"/>
    </row>
    <row r="13" spans="1:9">
      <c r="A13" s="80" t="s">
        <v>150</v>
      </c>
      <c r="B13" s="5"/>
      <c r="C13" s="5"/>
      <c r="D13" s="5"/>
      <c r="E13" s="5"/>
      <c r="F13" s="5"/>
      <c r="G13" s="5"/>
      <c r="H13" s="5"/>
      <c r="I13" s="8"/>
    </row>
    <row r="14" spans="1:9">
      <c r="A14" s="80" t="s">
        <v>191</v>
      </c>
      <c r="B14" s="5"/>
      <c r="C14" s="5"/>
      <c r="D14" s="5"/>
      <c r="E14" s="5"/>
      <c r="F14" s="5"/>
      <c r="G14" s="5"/>
      <c r="H14" s="5"/>
      <c r="I14" s="8">
        <f>'Reg Assets Requested'!G54</f>
        <v>-351682.17749999999</v>
      </c>
    </row>
    <row r="15" spans="1:9">
      <c r="A15" s="80" t="s">
        <v>92</v>
      </c>
      <c r="B15" s="5"/>
      <c r="C15" s="5"/>
      <c r="D15" s="5"/>
      <c r="E15" s="5"/>
      <c r="F15" s="5"/>
      <c r="G15" s="5"/>
      <c r="H15" s="5"/>
      <c r="I15" s="8">
        <f>'Reg Assets Requested'!B54</f>
        <v>11011.096666666654</v>
      </c>
    </row>
    <row r="16" spans="1:9">
      <c r="A16" s="80" t="s">
        <v>96</v>
      </c>
      <c r="B16" s="5"/>
      <c r="C16" s="5"/>
      <c r="D16" s="5"/>
      <c r="E16" s="5"/>
      <c r="F16" s="5"/>
      <c r="G16" s="5"/>
      <c r="H16" s="5"/>
      <c r="I16" s="8">
        <v>-3184324</v>
      </c>
    </row>
    <row r="17" spans="1:9">
      <c r="A17" s="80" t="s">
        <v>118</v>
      </c>
      <c r="B17" s="5"/>
      <c r="C17" s="5"/>
      <c r="D17" s="5"/>
      <c r="E17" s="5"/>
      <c r="F17" s="5"/>
      <c r="G17" s="5"/>
      <c r="H17" s="5"/>
      <c r="I17" s="8">
        <f>'10% Cap Add Escalation-RB'!G17+'10% Cap Add Escalation-RB'!G22</f>
        <v>-426416</v>
      </c>
    </row>
    <row r="18" spans="1:9">
      <c r="A18" s="80" t="s">
        <v>179</v>
      </c>
      <c r="B18" s="5"/>
      <c r="C18" s="5"/>
      <c r="D18" s="5"/>
      <c r="E18" s="5"/>
      <c r="F18" s="5"/>
      <c r="G18" s="5"/>
      <c r="H18" s="5"/>
      <c r="I18" s="8">
        <f>-('190 ADIT-First Category'!J20+'190 ADIT-First Category'!J31)</f>
        <v>-1718844.4815885609</v>
      </c>
    </row>
    <row r="19" spans="1:9">
      <c r="A19" s="80" t="s">
        <v>180</v>
      </c>
      <c r="B19" s="5"/>
      <c r="C19" s="5"/>
      <c r="D19" s="5"/>
      <c r="E19" s="5"/>
      <c r="F19" s="5"/>
      <c r="G19" s="5"/>
      <c r="H19" s="5"/>
      <c r="I19" s="8">
        <f>-('190 ADIT-Second Category'!I17+'190 ADIT-Second Category'!I24)</f>
        <v>-5772263.4453954557</v>
      </c>
    </row>
    <row r="20" spans="1:9">
      <c r="A20" s="173" t="s">
        <v>200</v>
      </c>
      <c r="B20" s="27"/>
      <c r="C20" s="27"/>
      <c r="D20" s="27"/>
      <c r="E20" s="27"/>
      <c r="F20" s="27"/>
      <c r="G20" s="27"/>
      <c r="H20" s="27"/>
      <c r="I20" s="35">
        <f>-'NOL ADIT'!K32</f>
        <v>-29397219.802942414</v>
      </c>
    </row>
    <row r="21" spans="1:9">
      <c r="A21" s="80"/>
      <c r="B21" s="5"/>
      <c r="C21" s="5"/>
      <c r="D21" s="5"/>
      <c r="E21" s="5"/>
      <c r="F21" s="5"/>
      <c r="G21" s="5"/>
      <c r="H21" s="5"/>
      <c r="I21" s="8"/>
    </row>
    <row r="22" spans="1:9">
      <c r="A22" s="5"/>
      <c r="B22" s="5"/>
      <c r="C22" s="5"/>
      <c r="D22" s="5"/>
      <c r="E22" s="5"/>
      <c r="F22" s="5"/>
      <c r="G22" s="5"/>
      <c r="H22" s="5"/>
      <c r="I22" s="6"/>
    </row>
    <row r="23" spans="1:9">
      <c r="A23" s="5" t="s">
        <v>36</v>
      </c>
      <c r="B23" s="5"/>
      <c r="C23" s="5"/>
      <c r="D23" s="5"/>
      <c r="E23" s="5"/>
      <c r="F23" s="5"/>
      <c r="G23" s="5"/>
      <c r="H23" s="5"/>
      <c r="I23" s="25">
        <f>SUM(I13:I21)</f>
        <v>-40839738.810759768</v>
      </c>
    </row>
    <row r="24" spans="1:9">
      <c r="A24" s="5"/>
      <c r="B24" s="5"/>
      <c r="C24" s="5"/>
      <c r="D24" s="5"/>
      <c r="E24" s="5"/>
      <c r="F24" s="5"/>
      <c r="G24" s="5"/>
      <c r="H24" s="5"/>
      <c r="I24" s="6"/>
    </row>
    <row r="25" spans="1:9" ht="13.5" thickBot="1">
      <c r="A25" s="5" t="s">
        <v>37</v>
      </c>
      <c r="B25" s="5"/>
      <c r="C25" s="5"/>
      <c r="D25" s="5"/>
      <c r="E25" s="5"/>
      <c r="F25" s="5"/>
      <c r="G25" s="5"/>
      <c r="H25" s="5"/>
      <c r="I25" s="26">
        <f>I11+I23</f>
        <v>294202371.18924022</v>
      </c>
    </row>
    <row r="26" spans="1:9" ht="13.5" thickTop="1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B27" s="5"/>
      <c r="C27" s="5"/>
      <c r="D27" s="5"/>
      <c r="E27" s="5"/>
      <c r="F27" s="5"/>
      <c r="G27" s="5"/>
      <c r="H27" s="5"/>
      <c r="I27" s="5"/>
    </row>
  </sheetData>
  <mergeCells count="4">
    <mergeCell ref="A1:I1"/>
    <mergeCell ref="A2:I2"/>
    <mergeCell ref="A3:I3"/>
    <mergeCell ref="A4:I4"/>
  </mergeCells>
  <phoneticPr fontId="12" type="noConversion"/>
  <pageMargins left="0.89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zoomScaleNormal="100" workbookViewId="0">
      <selection activeCell="A51" sqref="A51"/>
    </sheetView>
  </sheetViews>
  <sheetFormatPr defaultRowHeight="12.75"/>
  <cols>
    <col min="1" max="1" width="5.85546875" customWidth="1"/>
    <col min="2" max="2" width="17.140625" customWidth="1"/>
    <col min="3" max="3" width="6.28515625" customWidth="1"/>
    <col min="4" max="7" width="11.7109375" customWidth="1"/>
    <col min="8" max="8" width="13.42578125" customWidth="1"/>
    <col min="9" max="9" width="17.28515625" customWidth="1"/>
    <col min="12" max="12" width="15.5703125" bestFit="1" customWidth="1"/>
    <col min="13" max="13" width="5.7109375" customWidth="1"/>
    <col min="14" max="14" width="12" customWidth="1"/>
    <col min="15" max="17" width="10.7109375" customWidth="1"/>
    <col min="18" max="18" width="12.7109375" customWidth="1"/>
  </cols>
  <sheetData>
    <row r="1" spans="1:11">
      <c r="A1" s="225" t="s">
        <v>155</v>
      </c>
      <c r="B1" s="225"/>
      <c r="C1" s="225"/>
      <c r="D1" s="225"/>
      <c r="E1" s="225"/>
      <c r="F1" s="225"/>
      <c r="G1" s="225"/>
      <c r="H1" s="225"/>
    </row>
    <row r="2" spans="1:11">
      <c r="A2" s="226" t="s">
        <v>33</v>
      </c>
      <c r="B2" s="226"/>
      <c r="C2" s="226"/>
      <c r="D2" s="226"/>
      <c r="E2" s="226"/>
      <c r="F2" s="226"/>
      <c r="G2" s="226"/>
      <c r="H2" s="226"/>
    </row>
    <row r="3" spans="1:11">
      <c r="A3" s="226" t="s">
        <v>22</v>
      </c>
      <c r="B3" s="226"/>
      <c r="C3" s="226"/>
      <c r="D3" s="226"/>
      <c r="E3" s="226"/>
      <c r="F3" s="226"/>
      <c r="G3" s="226"/>
      <c r="H3" s="226"/>
    </row>
    <row r="4" spans="1:11">
      <c r="A4" s="226" t="s">
        <v>20</v>
      </c>
      <c r="B4" s="226"/>
      <c r="C4" s="226"/>
      <c r="D4" s="226"/>
      <c r="E4" s="226"/>
      <c r="F4" s="226"/>
      <c r="G4" s="226"/>
      <c r="H4" s="226"/>
    </row>
    <row r="5" spans="1:11">
      <c r="H5" s="11"/>
      <c r="I5" s="11"/>
    </row>
    <row r="6" spans="1:11">
      <c r="H6" s="22"/>
    </row>
    <row r="7" spans="1:11">
      <c r="A7" s="1" t="s">
        <v>15</v>
      </c>
    </row>
    <row r="8" spans="1:11">
      <c r="A8" s="4"/>
      <c r="B8" s="5"/>
      <c r="C8" s="5"/>
      <c r="D8" s="5"/>
      <c r="E8" s="5"/>
      <c r="F8" s="9"/>
      <c r="G8" s="5"/>
      <c r="H8" s="5"/>
      <c r="I8" s="5"/>
      <c r="J8" s="5"/>
      <c r="K8" s="5"/>
    </row>
    <row r="9" spans="1:11">
      <c r="A9" s="4"/>
      <c r="B9" s="5"/>
      <c r="C9" s="5"/>
      <c r="D9" s="18" t="s">
        <v>2</v>
      </c>
      <c r="E9" s="9" t="s">
        <v>2</v>
      </c>
      <c r="F9" s="9" t="s">
        <v>4</v>
      </c>
      <c r="G9" s="9" t="s">
        <v>6</v>
      </c>
      <c r="H9" s="9" t="s">
        <v>8</v>
      </c>
      <c r="I9" s="5"/>
      <c r="J9" s="5"/>
      <c r="K9" s="5"/>
    </row>
    <row r="10" spans="1:11">
      <c r="A10" s="4"/>
      <c r="B10" s="5"/>
      <c r="C10" s="5"/>
      <c r="D10" s="46" t="s">
        <v>14</v>
      </c>
      <c r="E10" s="46" t="s">
        <v>3</v>
      </c>
      <c r="F10" s="46" t="s">
        <v>5</v>
      </c>
      <c r="G10" s="46" t="s">
        <v>7</v>
      </c>
      <c r="H10" s="54" t="s">
        <v>11</v>
      </c>
      <c r="I10" s="5"/>
      <c r="J10" s="5"/>
      <c r="K10" s="5"/>
    </row>
    <row r="11" spans="1:1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B12" s="5" t="s">
        <v>10</v>
      </c>
      <c r="C12" s="5"/>
      <c r="D12" s="8">
        <v>415876</v>
      </c>
      <c r="E12" s="30">
        <f>ROUND(D12/D16,4)</f>
        <v>6.4699999999999994E-2</v>
      </c>
      <c r="F12" s="30">
        <v>9.4000000000000004E-3</v>
      </c>
      <c r="G12" s="30">
        <f>ROUND(+E12*F12,4)</f>
        <v>5.9999999999999995E-4</v>
      </c>
      <c r="H12" s="30">
        <f>+G12*1</f>
        <v>5.9999999999999995E-4</v>
      </c>
      <c r="I12" s="5"/>
      <c r="J12" s="5"/>
      <c r="K12" s="5"/>
    </row>
    <row r="13" spans="1:11">
      <c r="B13" s="5" t="s">
        <v>0</v>
      </c>
      <c r="C13" s="5"/>
      <c r="D13" s="8">
        <v>2455780</v>
      </c>
      <c r="E13" s="37">
        <f>ROUND(D13/D16,4)</f>
        <v>0.3821</v>
      </c>
      <c r="F13" s="30">
        <v>5.8999999999999997E-2</v>
      </c>
      <c r="G13" s="30">
        <f>ROUND(+E13*F13,4)</f>
        <v>2.2499999999999999E-2</v>
      </c>
      <c r="H13" s="30">
        <f>+G13*1</f>
        <v>2.2499999999999999E-2</v>
      </c>
      <c r="I13" s="5"/>
      <c r="J13" s="5"/>
      <c r="K13" s="5"/>
    </row>
    <row r="14" spans="1:11">
      <c r="B14" s="5" t="s">
        <v>1</v>
      </c>
      <c r="C14" s="5"/>
      <c r="D14" s="43">
        <v>3554717</v>
      </c>
      <c r="E14" s="55">
        <f>ROUND(D14/D16,5)</f>
        <v>0.55315000000000003</v>
      </c>
      <c r="F14" s="55">
        <v>0.105</v>
      </c>
      <c r="G14" s="55">
        <f>ROUND(+E14*F14,4)</f>
        <v>5.8099999999999999E-2</v>
      </c>
      <c r="H14" s="55">
        <f>G14*'Gross Rev Conversion Factor'!C27</f>
        <v>9.5750833499999993E-2</v>
      </c>
      <c r="I14" s="5"/>
      <c r="J14" s="5"/>
      <c r="K14" s="5"/>
    </row>
    <row r="15" spans="1:11">
      <c r="B15" s="5"/>
      <c r="C15" s="5"/>
      <c r="D15" s="8"/>
      <c r="E15" s="27"/>
      <c r="F15" s="30"/>
      <c r="G15" s="30"/>
      <c r="H15" s="30"/>
      <c r="I15" s="5"/>
      <c r="J15" s="5"/>
      <c r="K15" s="5"/>
    </row>
    <row r="16" spans="1:11" ht="13.5" thickBot="1">
      <c r="B16" s="7" t="s">
        <v>9</v>
      </c>
      <c r="C16" s="5"/>
      <c r="D16" s="44">
        <f>SUM(D12:D15)</f>
        <v>6426373</v>
      </c>
      <c r="E16" s="56">
        <f>SUM(E12:E14)</f>
        <v>0.99995000000000001</v>
      </c>
      <c r="F16" s="57"/>
      <c r="G16" s="56">
        <f>SUM(G12:G15)</f>
        <v>8.1199999999999994E-2</v>
      </c>
      <c r="H16" s="56">
        <f>SUM(H12:H15)</f>
        <v>0.11885083349999999</v>
      </c>
      <c r="I16" s="5"/>
      <c r="J16" s="5"/>
      <c r="K16" s="5"/>
    </row>
    <row r="17" spans="1:12" ht="13.5" thickTop="1">
      <c r="B17" s="7"/>
      <c r="C17" s="5"/>
      <c r="D17" s="77"/>
      <c r="E17" s="57"/>
      <c r="F17" s="57"/>
      <c r="G17" s="57"/>
      <c r="H17" s="57"/>
      <c r="I17" s="5"/>
      <c r="J17" s="5"/>
      <c r="K17" s="5"/>
    </row>
    <row r="18" spans="1:12">
      <c r="B18" s="7"/>
      <c r="C18" s="5"/>
      <c r="D18" s="77"/>
      <c r="E18" s="57"/>
      <c r="F18" s="57"/>
      <c r="G18" s="57"/>
      <c r="H18" s="57"/>
      <c r="I18" s="5"/>
      <c r="J18" s="5"/>
      <c r="K18" s="5"/>
    </row>
    <row r="19" spans="1:12">
      <c r="A19" s="1" t="s">
        <v>34</v>
      </c>
      <c r="G19" s="23"/>
      <c r="H19" s="23"/>
      <c r="I19" s="5"/>
      <c r="J19" s="5"/>
      <c r="K19" s="5"/>
    </row>
    <row r="20" spans="1:12">
      <c r="A20" s="4"/>
      <c r="B20" s="5"/>
      <c r="C20" s="5"/>
      <c r="D20" s="5"/>
      <c r="E20" s="5"/>
      <c r="F20" s="9"/>
      <c r="G20" s="10"/>
      <c r="H20" s="10"/>
      <c r="I20" s="5"/>
      <c r="J20" s="5"/>
      <c r="K20" s="5"/>
    </row>
    <row r="21" spans="1:12">
      <c r="A21" s="4"/>
      <c r="B21" s="15"/>
      <c r="C21" s="5"/>
      <c r="D21" s="78" t="s">
        <v>2</v>
      </c>
      <c r="E21" s="40" t="s">
        <v>2</v>
      </c>
      <c r="F21" s="40" t="s">
        <v>4</v>
      </c>
      <c r="G21" s="40" t="s">
        <v>6</v>
      </c>
      <c r="H21" s="40" t="s">
        <v>8</v>
      </c>
      <c r="I21" s="27"/>
      <c r="J21" s="27"/>
      <c r="K21" s="5"/>
      <c r="L21" s="65">
        <v>149500</v>
      </c>
    </row>
    <row r="22" spans="1:12">
      <c r="A22" s="4"/>
      <c r="B22" s="5"/>
      <c r="C22" s="5"/>
      <c r="D22" s="79" t="s">
        <v>14</v>
      </c>
      <c r="E22" s="79" t="s">
        <v>3</v>
      </c>
      <c r="F22" s="79" t="s">
        <v>5</v>
      </c>
      <c r="G22" s="79" t="s">
        <v>7</v>
      </c>
      <c r="H22" s="196" t="s">
        <v>11</v>
      </c>
      <c r="I22" s="27"/>
      <c r="J22" s="27"/>
      <c r="K22" s="5"/>
    </row>
    <row r="23" spans="1:12">
      <c r="B23" s="5"/>
      <c r="C23" s="5"/>
      <c r="D23" s="27"/>
      <c r="E23" s="27"/>
      <c r="F23" s="27"/>
      <c r="G23" s="27"/>
      <c r="H23" s="27"/>
      <c r="I23" s="27"/>
      <c r="J23" s="27"/>
      <c r="K23" s="5"/>
    </row>
    <row r="24" spans="1:12">
      <c r="B24" s="5" t="s">
        <v>10</v>
      </c>
      <c r="C24" s="5"/>
      <c r="D24" s="15">
        <f>415876+L21</f>
        <v>565376</v>
      </c>
      <c r="E24" s="30">
        <f>ROUND(D24/D28,4)</f>
        <v>8.7999999999999995E-2</v>
      </c>
      <c r="F24" s="30">
        <v>9.4000000000000004E-3</v>
      </c>
      <c r="G24" s="30">
        <f>ROUND(+E24*F24,4)</f>
        <v>8.0000000000000004E-4</v>
      </c>
      <c r="H24" s="30">
        <f>+G24*1</f>
        <v>8.0000000000000004E-4</v>
      </c>
      <c r="I24" s="27"/>
      <c r="J24" s="27"/>
      <c r="K24" s="5"/>
    </row>
    <row r="25" spans="1:12">
      <c r="B25" s="5" t="s">
        <v>0</v>
      </c>
      <c r="C25" s="5"/>
      <c r="D25" s="15">
        <v>2455780</v>
      </c>
      <c r="E25" s="37">
        <f>ROUND(D25/D28,4)</f>
        <v>0.3821</v>
      </c>
      <c r="F25" s="30">
        <f>F13</f>
        <v>5.8999999999999997E-2</v>
      </c>
      <c r="G25" s="30">
        <f>ROUND(+E25*F25,4)</f>
        <v>2.2499999999999999E-2</v>
      </c>
      <c r="H25" s="30">
        <f>+G25*1</f>
        <v>2.2499999999999999E-2</v>
      </c>
      <c r="I25" s="27"/>
      <c r="J25" s="27"/>
      <c r="K25" s="5"/>
    </row>
    <row r="26" spans="1:12">
      <c r="B26" s="5" t="s">
        <v>1</v>
      </c>
      <c r="C26" s="5"/>
      <c r="D26" s="35">
        <f>3554717-L21</f>
        <v>3405217</v>
      </c>
      <c r="E26" s="55">
        <f>ROUND(D26/D28,5)</f>
        <v>0.52988000000000002</v>
      </c>
      <c r="F26" s="55">
        <v>0.105</v>
      </c>
      <c r="G26" s="55">
        <f>ROUND(+E26*F26,4)</f>
        <v>5.5599999999999997E-2</v>
      </c>
      <c r="H26" s="55">
        <f>G26*'Gross Rev Conversion Factor'!C27</f>
        <v>9.1630745999999985E-2</v>
      </c>
      <c r="I26" s="27"/>
      <c r="J26" s="27"/>
      <c r="K26" s="5"/>
    </row>
    <row r="27" spans="1:12">
      <c r="B27" s="5"/>
      <c r="C27" s="5"/>
      <c r="D27" s="8"/>
      <c r="E27" s="27"/>
      <c r="F27" s="30"/>
      <c r="G27" s="30"/>
      <c r="H27" s="30"/>
      <c r="I27" s="5"/>
      <c r="J27" s="5"/>
      <c r="K27" s="5"/>
    </row>
    <row r="28" spans="1:12" ht="13.5" thickBot="1">
      <c r="B28" s="7" t="s">
        <v>9</v>
      </c>
      <c r="C28" s="5"/>
      <c r="D28" s="44">
        <f>SUM(D24:D27)</f>
        <v>6426373</v>
      </c>
      <c r="E28" s="56">
        <f>SUM(E24:E26)</f>
        <v>0.99997999999999998</v>
      </c>
      <c r="F28" s="57"/>
      <c r="G28" s="56">
        <f>SUM(G24:G27)</f>
        <v>7.8899999999999998E-2</v>
      </c>
      <c r="H28" s="56">
        <f>SUM(H24:H27)</f>
        <v>0.11493074599999999</v>
      </c>
      <c r="I28" s="5"/>
      <c r="J28" s="5"/>
      <c r="K28" s="5"/>
    </row>
    <row r="29" spans="1:12" ht="13.5" thickTop="1">
      <c r="B29" s="7"/>
      <c r="C29" s="5"/>
      <c r="D29" s="5"/>
      <c r="E29" s="10"/>
      <c r="F29" s="10"/>
      <c r="G29" s="10"/>
      <c r="H29" s="10"/>
      <c r="I29" s="5"/>
      <c r="J29" s="5"/>
      <c r="K29" s="5"/>
    </row>
    <row r="30" spans="1:12">
      <c r="B30" s="58" t="s">
        <v>31</v>
      </c>
      <c r="C30" s="58"/>
      <c r="D30" s="58"/>
      <c r="E30" s="58"/>
      <c r="F30" s="58"/>
      <c r="G30" s="58"/>
      <c r="H30" s="59">
        <f>H28-H16</f>
        <v>-3.9200875000000024E-3</v>
      </c>
      <c r="I30" s="5"/>
      <c r="J30" s="5"/>
      <c r="K30" s="5"/>
    </row>
    <row r="31" spans="1:12">
      <c r="B31" s="60" t="s">
        <v>35</v>
      </c>
      <c r="C31" s="58"/>
      <c r="D31" s="58"/>
      <c r="E31" s="58"/>
      <c r="F31" s="58"/>
      <c r="G31" s="58"/>
      <c r="H31" s="62">
        <f>'Rate Base'!I25</f>
        <v>294202371.18924022</v>
      </c>
      <c r="I31" s="5"/>
      <c r="J31" s="5"/>
      <c r="K31" s="5"/>
    </row>
    <row r="32" spans="1:12" ht="13.5" thickBot="1">
      <c r="B32" s="58" t="s">
        <v>32</v>
      </c>
      <c r="C32" s="58"/>
      <c r="D32" s="58"/>
      <c r="E32" s="58"/>
      <c r="F32" s="58"/>
      <c r="G32" s="58"/>
      <c r="H32" s="63">
        <f>H30*H31</f>
        <v>-1153299.0377693013</v>
      </c>
      <c r="I32" s="5"/>
      <c r="J32" s="5"/>
      <c r="K32" s="5"/>
    </row>
    <row r="33" spans="1:12" ht="13.5" thickTop="1">
      <c r="B33" s="58"/>
      <c r="C33" s="58"/>
      <c r="D33" s="58"/>
      <c r="E33" s="58"/>
      <c r="F33" s="58"/>
      <c r="G33" s="58"/>
      <c r="H33" s="61"/>
      <c r="I33" s="5"/>
      <c r="J33" s="5"/>
      <c r="K33" s="5"/>
    </row>
    <row r="34" spans="1:12">
      <c r="B34" s="7"/>
      <c r="C34" s="5"/>
      <c r="D34" s="77"/>
      <c r="E34" s="57"/>
      <c r="F34" s="57"/>
      <c r="G34" s="57"/>
      <c r="H34" s="57"/>
      <c r="I34" s="5"/>
      <c r="J34" s="5"/>
      <c r="K34" s="5"/>
    </row>
    <row r="35" spans="1:12">
      <c r="A35" s="1" t="s">
        <v>185</v>
      </c>
      <c r="G35" s="23"/>
      <c r="H35" s="23"/>
      <c r="I35" s="5"/>
      <c r="J35" s="5"/>
      <c r="K35" s="5"/>
    </row>
    <row r="36" spans="1:12">
      <c r="A36" s="4"/>
      <c r="B36" s="4" t="s">
        <v>183</v>
      </c>
      <c r="C36" s="5"/>
      <c r="D36" s="5"/>
      <c r="E36" s="5"/>
      <c r="F36" s="9"/>
      <c r="G36" s="10"/>
      <c r="H36" s="10"/>
      <c r="I36" s="5"/>
      <c r="J36" s="5"/>
      <c r="K36" s="5"/>
    </row>
    <row r="37" spans="1:12">
      <c r="A37" s="4"/>
      <c r="B37" s="4"/>
      <c r="C37" s="5"/>
      <c r="D37" s="5"/>
      <c r="E37" s="5"/>
      <c r="F37" s="9"/>
      <c r="G37" s="10"/>
      <c r="H37" s="10"/>
      <c r="I37" s="5"/>
      <c r="J37" s="5"/>
      <c r="K37" s="5"/>
    </row>
    <row r="38" spans="1:12">
      <c r="A38" s="4"/>
      <c r="B38" s="15"/>
      <c r="C38" s="27"/>
      <c r="D38" s="78" t="s">
        <v>2</v>
      </c>
      <c r="E38" s="9" t="s">
        <v>2</v>
      </c>
      <c r="F38" s="9" t="s">
        <v>4</v>
      </c>
      <c r="G38" s="9" t="s">
        <v>6</v>
      </c>
      <c r="H38" s="9" t="s">
        <v>8</v>
      </c>
      <c r="I38" s="5"/>
      <c r="J38" s="5"/>
      <c r="K38" s="5"/>
    </row>
    <row r="39" spans="1:12">
      <c r="A39" s="4"/>
      <c r="B39" s="27"/>
      <c r="C39" s="27"/>
      <c r="D39" s="79" t="s">
        <v>14</v>
      </c>
      <c r="E39" s="46" t="s">
        <v>3</v>
      </c>
      <c r="F39" s="46" t="s">
        <v>5</v>
      </c>
      <c r="G39" s="46" t="s">
        <v>7</v>
      </c>
      <c r="H39" s="54" t="s">
        <v>11</v>
      </c>
      <c r="I39" s="5"/>
      <c r="J39" s="5"/>
      <c r="K39" s="5"/>
    </row>
    <row r="40" spans="1:12">
      <c r="B40" s="27"/>
      <c r="C40" s="27"/>
      <c r="D40" s="27"/>
      <c r="E40" s="5"/>
      <c r="F40" s="5"/>
      <c r="G40" s="5"/>
      <c r="H40" s="5"/>
      <c r="I40" s="5"/>
      <c r="J40" s="5"/>
      <c r="K40" s="5"/>
    </row>
    <row r="41" spans="1:12">
      <c r="B41" s="27" t="s">
        <v>10</v>
      </c>
      <c r="C41" s="27"/>
      <c r="D41" s="15">
        <f>D24</f>
        <v>565376</v>
      </c>
      <c r="E41" s="30">
        <f>ROUND(D41/D45,4)</f>
        <v>8.7999999999999995E-2</v>
      </c>
      <c r="F41" s="30">
        <v>3.9639999999999996E-3</v>
      </c>
      <c r="G41" s="30">
        <f>ROUND(+E41*F41,4)</f>
        <v>2.9999999999999997E-4</v>
      </c>
      <c r="H41" s="30">
        <f>+G41*1</f>
        <v>2.9999999999999997E-4</v>
      </c>
      <c r="I41" s="5"/>
      <c r="J41" s="5"/>
      <c r="K41" s="5"/>
      <c r="L41" s="80" t="s">
        <v>184</v>
      </c>
    </row>
    <row r="42" spans="1:12">
      <c r="B42" s="27" t="s">
        <v>0</v>
      </c>
      <c r="C42" s="27"/>
      <c r="D42" s="15">
        <f>D25</f>
        <v>2455780</v>
      </c>
      <c r="E42" s="37">
        <f>ROUND(D42/D45,4)</f>
        <v>0.3821</v>
      </c>
      <c r="F42" s="30">
        <f>F25</f>
        <v>5.8999999999999997E-2</v>
      </c>
      <c r="G42" s="30">
        <f>ROUND(+E42*F42,4)</f>
        <v>2.2499999999999999E-2</v>
      </c>
      <c r="H42" s="30">
        <f>+G42*1</f>
        <v>2.2499999999999999E-2</v>
      </c>
      <c r="I42" s="5"/>
      <c r="J42" s="5"/>
      <c r="K42" s="5"/>
    </row>
    <row r="43" spans="1:12">
      <c r="B43" s="27" t="s">
        <v>1</v>
      </c>
      <c r="C43" s="27"/>
      <c r="D43" s="35">
        <f>D26</f>
        <v>3405217</v>
      </c>
      <c r="E43" s="55">
        <f>ROUND(D43/D45,5)</f>
        <v>0.52988000000000002</v>
      </c>
      <c r="F43" s="55">
        <v>0.105</v>
      </c>
      <c r="G43" s="55">
        <f>ROUND(+E43*F43,4)</f>
        <v>5.5599999999999997E-2</v>
      </c>
      <c r="H43" s="55">
        <f>G43*'Gross Rev Conversion Factor'!C27</f>
        <v>9.1630745999999985E-2</v>
      </c>
      <c r="I43" s="5"/>
      <c r="J43" s="5"/>
      <c r="K43" s="5"/>
    </row>
    <row r="44" spans="1:12">
      <c r="B44" s="5"/>
      <c r="C44" s="5"/>
      <c r="D44" s="8"/>
      <c r="E44" s="27"/>
      <c r="F44" s="30"/>
      <c r="G44" s="30"/>
      <c r="H44" s="30"/>
      <c r="I44" s="5"/>
      <c r="J44" s="5"/>
      <c r="K44" s="5"/>
    </row>
    <row r="45" spans="1:12" ht="13.5" thickBot="1">
      <c r="B45" s="7" t="s">
        <v>9</v>
      </c>
      <c r="C45" s="5"/>
      <c r="D45" s="44">
        <f>SUM(D41:D44)</f>
        <v>6426373</v>
      </c>
      <c r="E45" s="56">
        <f>SUM(E41:E43)</f>
        <v>0.99997999999999998</v>
      </c>
      <c r="F45" s="57"/>
      <c r="G45" s="56">
        <f>SUM(G41:G44)</f>
        <v>7.8399999999999997E-2</v>
      </c>
      <c r="H45" s="56">
        <f>SUM(H41:H44)</f>
        <v>0.11443074599999999</v>
      </c>
      <c r="I45" s="5"/>
      <c r="J45" s="5"/>
      <c r="K45" s="5"/>
    </row>
    <row r="46" spans="1:12" ht="13.5" thickTop="1">
      <c r="B46" s="7"/>
      <c r="C46" s="5"/>
      <c r="D46" s="5"/>
      <c r="E46" s="10"/>
      <c r="F46" s="10"/>
      <c r="G46" s="10"/>
      <c r="H46" s="10"/>
      <c r="I46" s="5"/>
      <c r="J46" s="5"/>
      <c r="K46" s="5"/>
    </row>
    <row r="47" spans="1:12">
      <c r="B47" s="58" t="s">
        <v>31</v>
      </c>
      <c r="C47" s="58"/>
      <c r="D47" s="58"/>
      <c r="E47" s="58"/>
      <c r="F47" s="58"/>
      <c r="G47" s="58"/>
      <c r="H47" s="59">
        <f>H45-H28</f>
        <v>-5.0000000000000044E-4</v>
      </c>
      <c r="I47" s="5"/>
      <c r="J47" s="5"/>
      <c r="K47" s="5"/>
    </row>
    <row r="48" spans="1:12">
      <c r="B48" s="60" t="s">
        <v>35</v>
      </c>
      <c r="C48" s="58"/>
      <c r="D48" s="58"/>
      <c r="E48" s="58"/>
      <c r="F48" s="58"/>
      <c r="G48" s="58"/>
      <c r="H48" s="62">
        <f>'Rate Base'!I25</f>
        <v>294202371.18924022</v>
      </c>
      <c r="I48" s="5"/>
      <c r="J48" s="5"/>
      <c r="K48" s="5"/>
    </row>
    <row r="49" spans="1:19" ht="13.5" thickBot="1">
      <c r="B49" s="58" t="s">
        <v>32</v>
      </c>
      <c r="C49" s="58"/>
      <c r="D49" s="58"/>
      <c r="E49" s="58"/>
      <c r="F49" s="58"/>
      <c r="G49" s="58"/>
      <c r="H49" s="63">
        <f>H47*H48</f>
        <v>-147101.18559462024</v>
      </c>
      <c r="I49" s="5"/>
      <c r="J49" s="5"/>
      <c r="K49" s="5"/>
    </row>
    <row r="50" spans="1:19" ht="13.5" thickTop="1">
      <c r="B50" s="58"/>
      <c r="C50" s="58"/>
      <c r="D50" s="58"/>
      <c r="E50" s="58"/>
      <c r="F50" s="58"/>
      <c r="G50" s="58"/>
      <c r="H50" s="61"/>
      <c r="I50" s="5"/>
      <c r="J50" s="5"/>
      <c r="K50" s="5"/>
      <c r="L50" s="31"/>
      <c r="M50" s="31"/>
      <c r="N50" s="31"/>
      <c r="O50" s="31"/>
      <c r="P50" s="31"/>
      <c r="Q50" s="31"/>
      <c r="R50" s="31"/>
      <c r="S50" s="31"/>
    </row>
    <row r="51" spans="1:19">
      <c r="B51" s="58"/>
      <c r="C51" s="58"/>
      <c r="D51" s="58"/>
      <c r="E51" s="58"/>
      <c r="F51" s="58"/>
      <c r="G51" s="58"/>
      <c r="H51" s="61"/>
      <c r="I51" s="5"/>
      <c r="J51" s="5"/>
      <c r="K51" s="5"/>
      <c r="L51" s="31"/>
      <c r="M51" s="31"/>
      <c r="N51" s="31"/>
      <c r="O51" s="31"/>
      <c r="P51" s="31"/>
      <c r="Q51" s="31"/>
      <c r="R51" s="31"/>
      <c r="S51" s="31"/>
    </row>
    <row r="52" spans="1:19">
      <c r="A52" s="1" t="s">
        <v>148</v>
      </c>
      <c r="G52" s="23"/>
      <c r="H52" s="23"/>
      <c r="I52" s="5"/>
      <c r="J52" s="5"/>
      <c r="K52" s="5"/>
      <c r="L52" s="31"/>
      <c r="M52" s="31"/>
      <c r="N52" s="31"/>
      <c r="O52" s="31"/>
      <c r="P52" s="31"/>
      <c r="Q52" s="31"/>
      <c r="R52" s="29"/>
      <c r="S52" s="31"/>
    </row>
    <row r="53" spans="1:19">
      <c r="A53" s="4"/>
      <c r="B53" s="5"/>
      <c r="C53" s="5"/>
      <c r="D53" s="5"/>
      <c r="E53" s="5"/>
      <c r="F53" s="9"/>
      <c r="G53" s="10"/>
      <c r="H53" s="10"/>
      <c r="I53" s="5"/>
      <c r="J53" s="5"/>
      <c r="K53" s="5"/>
      <c r="L53" s="31"/>
      <c r="M53" s="31"/>
      <c r="N53" s="31"/>
      <c r="O53" s="31"/>
      <c r="P53" s="31"/>
      <c r="Q53" s="31"/>
      <c r="R53" s="195"/>
      <c r="S53" s="31"/>
    </row>
    <row r="54" spans="1:19">
      <c r="A54" s="4"/>
      <c r="B54" s="5"/>
      <c r="C54" s="5"/>
      <c r="D54" s="18" t="s">
        <v>2</v>
      </c>
      <c r="E54" s="9" t="s">
        <v>2</v>
      </c>
      <c r="F54" s="9" t="s">
        <v>4</v>
      </c>
      <c r="G54" s="9" t="s">
        <v>6</v>
      </c>
      <c r="H54" s="9" t="s">
        <v>8</v>
      </c>
      <c r="I54" s="5"/>
      <c r="J54" s="5"/>
      <c r="K54" s="5"/>
      <c r="L54" s="31"/>
      <c r="M54" s="31"/>
      <c r="N54" s="31"/>
      <c r="O54" s="31"/>
      <c r="P54" s="31"/>
      <c r="Q54" s="31"/>
      <c r="R54" s="29"/>
      <c r="S54" s="31"/>
    </row>
    <row r="55" spans="1:19">
      <c r="A55" s="4"/>
      <c r="B55" s="5"/>
      <c r="C55" s="5"/>
      <c r="D55" s="46" t="s">
        <v>14</v>
      </c>
      <c r="E55" s="46" t="s">
        <v>3</v>
      </c>
      <c r="F55" s="46" t="s">
        <v>5</v>
      </c>
      <c r="G55" s="46" t="s">
        <v>7</v>
      </c>
      <c r="H55" s="54" t="s">
        <v>11</v>
      </c>
      <c r="I55" s="5"/>
      <c r="J55" s="5"/>
      <c r="K55" s="5"/>
      <c r="L55" s="31"/>
      <c r="M55" s="31"/>
      <c r="N55" s="31"/>
      <c r="O55" s="31"/>
      <c r="P55" s="31"/>
      <c r="Q55" s="31"/>
      <c r="R55" s="31"/>
      <c r="S55" s="31"/>
    </row>
    <row r="56" spans="1:19">
      <c r="B56" s="5"/>
      <c r="C56" s="5"/>
      <c r="D56" s="5"/>
      <c r="E56" s="5"/>
      <c r="F56" s="5"/>
      <c r="G56" s="5"/>
      <c r="H56" s="5"/>
      <c r="I56" s="5"/>
      <c r="J56" s="5"/>
      <c r="K56" s="5"/>
      <c r="L56" s="31"/>
      <c r="M56" s="31"/>
      <c r="N56" s="31"/>
      <c r="O56" s="31"/>
      <c r="P56" s="31"/>
      <c r="Q56" s="31"/>
      <c r="R56" s="32"/>
      <c r="S56" s="31"/>
    </row>
    <row r="57" spans="1:19">
      <c r="B57" s="5" t="s">
        <v>10</v>
      </c>
      <c r="C57" s="5"/>
      <c r="D57" s="8">
        <f>D41</f>
        <v>565376</v>
      </c>
      <c r="E57" s="30">
        <f>ROUND(D57/D61,4)</f>
        <v>8.7999999999999995E-2</v>
      </c>
      <c r="F57" s="30">
        <f>F41</f>
        <v>3.9639999999999996E-3</v>
      </c>
      <c r="G57" s="30">
        <f>ROUND(+E57*F57,4)</f>
        <v>2.9999999999999997E-4</v>
      </c>
      <c r="H57" s="30">
        <f>+G57*1</f>
        <v>2.9999999999999997E-4</v>
      </c>
      <c r="I57" s="5"/>
      <c r="J57" s="5"/>
      <c r="K57" s="5"/>
      <c r="L57" s="31"/>
      <c r="M57" s="31"/>
      <c r="N57" s="31"/>
      <c r="O57" s="31"/>
      <c r="P57" s="31"/>
      <c r="Q57" s="31"/>
      <c r="R57" s="31"/>
      <c r="S57" s="31"/>
    </row>
    <row r="58" spans="1:19">
      <c r="B58" s="5" t="s">
        <v>0</v>
      </c>
      <c r="C58" s="5"/>
      <c r="D58" s="8">
        <f>D42</f>
        <v>2455780</v>
      </c>
      <c r="E58" s="37">
        <f>ROUND(D58/D61,4)</f>
        <v>0.3821</v>
      </c>
      <c r="F58" s="30">
        <f>F42</f>
        <v>5.8999999999999997E-2</v>
      </c>
      <c r="G58" s="30">
        <f>ROUND(+E58*F58,4)</f>
        <v>2.2499999999999999E-2</v>
      </c>
      <c r="H58" s="30">
        <f>+G58*1</f>
        <v>2.2499999999999999E-2</v>
      </c>
      <c r="I58" s="5"/>
      <c r="J58" s="5"/>
      <c r="K58" s="5"/>
      <c r="L58" s="31"/>
      <c r="M58" s="31"/>
      <c r="N58" s="31"/>
      <c r="O58" s="31"/>
      <c r="P58" s="31"/>
      <c r="Q58" s="31"/>
      <c r="R58" s="31"/>
      <c r="S58" s="31"/>
    </row>
    <row r="59" spans="1:19">
      <c r="B59" s="5" t="s">
        <v>1</v>
      </c>
      <c r="C59" s="5"/>
      <c r="D59" s="35">
        <f>D43</f>
        <v>3405217</v>
      </c>
      <c r="E59" s="55">
        <f>ROUND(D59/D61,5)</f>
        <v>0.52988000000000002</v>
      </c>
      <c r="F59" s="55">
        <v>0.09</v>
      </c>
      <c r="G59" s="55">
        <f>ROUND(+E59*F59,4)</f>
        <v>4.7699999999999999E-2</v>
      </c>
      <c r="H59" s="55">
        <f>G59*'Gross Rev Conversion Factor'!C27</f>
        <v>7.8611269499999997E-2</v>
      </c>
      <c r="I59" s="5"/>
      <c r="J59" s="5"/>
      <c r="K59" s="5"/>
      <c r="L59" s="31"/>
      <c r="M59" s="31"/>
      <c r="N59" s="31"/>
      <c r="O59" s="31"/>
      <c r="P59" s="31"/>
      <c r="Q59" s="31"/>
      <c r="R59" s="31"/>
      <c r="S59" s="31"/>
    </row>
    <row r="60" spans="1:19">
      <c r="B60" s="5"/>
      <c r="C60" s="5"/>
      <c r="D60" s="15"/>
      <c r="E60" s="27"/>
      <c r="F60" s="30"/>
      <c r="G60" s="30"/>
      <c r="H60" s="30"/>
      <c r="I60" s="5"/>
      <c r="J60" s="5"/>
      <c r="K60" s="5"/>
      <c r="L60" s="31"/>
      <c r="M60" s="31"/>
      <c r="N60" s="31"/>
      <c r="O60" s="31"/>
      <c r="P60" s="31"/>
      <c r="Q60" s="31"/>
      <c r="R60" s="31"/>
      <c r="S60" s="31"/>
    </row>
    <row r="61" spans="1:19" ht="13.5" thickBot="1">
      <c r="B61" s="7" t="s">
        <v>9</v>
      </c>
      <c r="C61" s="5"/>
      <c r="D61" s="44">
        <f>SUM(D57:D60)</f>
        <v>6426373</v>
      </c>
      <c r="E61" s="56">
        <f>SUM(E57:E59)</f>
        <v>0.99997999999999998</v>
      </c>
      <c r="F61" s="57"/>
      <c r="G61" s="56">
        <f>SUM(G57:G60)</f>
        <v>7.0500000000000007E-2</v>
      </c>
      <c r="H61" s="56">
        <f>SUM(H57:H60)</f>
        <v>0.1014112695</v>
      </c>
      <c r="I61" s="5"/>
      <c r="J61" s="5"/>
      <c r="K61" s="5"/>
      <c r="L61" s="31"/>
      <c r="M61" s="31"/>
      <c r="N61" s="31"/>
      <c r="O61" s="31"/>
      <c r="P61" s="31"/>
      <c r="Q61" s="31"/>
      <c r="R61" s="31"/>
      <c r="S61" s="31"/>
    </row>
    <row r="62" spans="1:19" ht="13.5" thickTop="1">
      <c r="B62" s="7"/>
      <c r="C62" s="5"/>
      <c r="D62" s="5"/>
      <c r="E62" s="10"/>
      <c r="F62" s="10"/>
      <c r="G62" s="10"/>
      <c r="H62" s="10"/>
      <c r="I62" s="5"/>
      <c r="J62" s="5"/>
      <c r="K62" s="5"/>
    </row>
    <row r="63" spans="1:19">
      <c r="B63" s="58" t="s">
        <v>31</v>
      </c>
      <c r="C63" s="58"/>
      <c r="D63" s="58"/>
      <c r="E63" s="58"/>
      <c r="F63" s="58"/>
      <c r="G63" s="58"/>
      <c r="H63" s="59">
        <f>H61-H45</f>
        <v>-1.3019476499999988E-2</v>
      </c>
      <c r="I63" s="5"/>
      <c r="J63" s="5"/>
      <c r="K63" s="5"/>
    </row>
    <row r="64" spans="1:19">
      <c r="B64" s="60" t="s">
        <v>35</v>
      </c>
      <c r="C64" s="58"/>
      <c r="D64" s="58"/>
      <c r="E64" s="58"/>
      <c r="F64" s="58"/>
      <c r="G64" s="58"/>
      <c r="H64" s="62">
        <f>'Rate Base'!I25</f>
        <v>294202371.18924022</v>
      </c>
      <c r="I64" s="5"/>
      <c r="J64" s="5"/>
      <c r="K64" s="5"/>
    </row>
    <row r="65" spans="1:18" ht="13.5" thickBot="1">
      <c r="A65" s="38"/>
      <c r="B65" s="58" t="s">
        <v>32</v>
      </c>
      <c r="C65" s="58"/>
      <c r="D65" s="58"/>
      <c r="E65" s="58"/>
      <c r="F65" s="58"/>
      <c r="G65" s="58"/>
      <c r="H65" s="63">
        <f>H63*H64</f>
        <v>-3830360.8579425863</v>
      </c>
      <c r="I65" s="5"/>
      <c r="J65" s="5"/>
      <c r="K65" s="5"/>
      <c r="L65" s="29"/>
    </row>
    <row r="66" spans="1:18" ht="13.5" thickTop="1">
      <c r="A66" s="39"/>
      <c r="B66" s="58"/>
      <c r="C66" s="58"/>
      <c r="D66" s="58"/>
      <c r="E66" s="58"/>
      <c r="F66" s="58"/>
      <c r="G66" s="58"/>
      <c r="H66" s="61"/>
      <c r="I66" s="5"/>
      <c r="J66" s="5"/>
      <c r="K66" s="5"/>
    </row>
    <row r="67" spans="1:18">
      <c r="A67" s="39"/>
      <c r="B67" s="27"/>
      <c r="C67" s="27"/>
      <c r="D67" s="27"/>
      <c r="E67" s="40"/>
      <c r="F67" s="40"/>
      <c r="G67" s="41"/>
      <c r="H67" s="41"/>
      <c r="I67" s="5"/>
      <c r="J67" s="5"/>
      <c r="K67" s="5"/>
    </row>
    <row r="68" spans="1:18" ht="13.5" thickBot="1">
      <c r="A68" s="39"/>
      <c r="B68" s="27" t="s">
        <v>38</v>
      </c>
      <c r="C68" s="27"/>
      <c r="D68" s="27"/>
      <c r="E68" s="40"/>
      <c r="F68" s="40"/>
      <c r="G68" s="41"/>
      <c r="H68" s="28">
        <f>H65/((F14-F59)*100)</f>
        <v>-2553573.9052950577</v>
      </c>
      <c r="I68" s="5"/>
      <c r="J68" s="5"/>
      <c r="K68" s="5"/>
    </row>
    <row r="69" spans="1:18" ht="13.5" thickTop="1">
      <c r="A69" s="16"/>
      <c r="B69" s="27"/>
      <c r="C69" s="27"/>
      <c r="D69" s="27"/>
      <c r="E69" s="27"/>
      <c r="F69" s="27"/>
      <c r="G69" s="30"/>
      <c r="H69" s="30"/>
      <c r="I69" s="5"/>
      <c r="J69" s="5"/>
      <c r="K69" s="5"/>
    </row>
    <row r="70" spans="1:18">
      <c r="A70" s="16"/>
      <c r="B70" s="27"/>
      <c r="C70" s="27"/>
      <c r="D70" s="27"/>
      <c r="E70" s="30"/>
      <c r="F70" s="30"/>
      <c r="G70" s="30"/>
      <c r="H70" s="30"/>
      <c r="I70" s="5"/>
      <c r="J70" s="5"/>
      <c r="K70" s="5"/>
      <c r="L70" s="206" t="s">
        <v>203</v>
      </c>
      <c r="M70" s="45"/>
      <c r="N70" s="45"/>
      <c r="O70" s="45"/>
      <c r="P70" s="45"/>
      <c r="Q70" s="45"/>
      <c r="R70" s="45"/>
    </row>
    <row r="71" spans="1:18">
      <c r="A71" s="16"/>
      <c r="B71" s="27"/>
      <c r="C71" s="27"/>
      <c r="D71" s="27"/>
      <c r="E71" s="30"/>
      <c r="F71" s="30"/>
      <c r="G71" s="30"/>
      <c r="H71" s="30"/>
      <c r="I71" s="5"/>
      <c r="J71" s="5"/>
      <c r="K71" s="5"/>
    </row>
    <row r="72" spans="1:18">
      <c r="A72" s="1" t="s">
        <v>187</v>
      </c>
      <c r="G72" s="23"/>
      <c r="H72" s="23"/>
      <c r="I72" s="5"/>
      <c r="J72" s="5"/>
      <c r="K72" s="5"/>
      <c r="L72" s="1" t="s">
        <v>188</v>
      </c>
    </row>
    <row r="73" spans="1:18">
      <c r="A73" s="1"/>
      <c r="B73" s="4" t="s">
        <v>186</v>
      </c>
      <c r="G73" s="23"/>
      <c r="H73" s="23"/>
      <c r="I73" s="5"/>
      <c r="J73" s="5"/>
      <c r="K73" s="5"/>
      <c r="L73" s="4" t="s">
        <v>183</v>
      </c>
    </row>
    <row r="74" spans="1:18">
      <c r="A74" s="39"/>
      <c r="B74" s="27"/>
      <c r="C74" s="27"/>
      <c r="D74" s="27"/>
      <c r="E74" s="27"/>
      <c r="F74" s="40"/>
      <c r="G74" s="30"/>
      <c r="H74" s="30"/>
      <c r="I74" s="27"/>
      <c r="J74" s="27"/>
      <c r="K74" s="27"/>
      <c r="L74" s="16"/>
      <c r="M74" s="16"/>
      <c r="N74" s="16"/>
      <c r="O74" s="16"/>
      <c r="P74" s="16"/>
      <c r="Q74" s="16"/>
      <c r="R74" s="16"/>
    </row>
    <row r="75" spans="1:18">
      <c r="A75" s="39"/>
      <c r="B75" s="27"/>
      <c r="C75" s="27"/>
      <c r="D75" s="78" t="s">
        <v>2</v>
      </c>
      <c r="E75" s="40" t="s">
        <v>2</v>
      </c>
      <c r="F75" s="40" t="s">
        <v>4</v>
      </c>
      <c r="G75" s="40" t="s">
        <v>6</v>
      </c>
      <c r="H75" s="40" t="s">
        <v>8</v>
      </c>
      <c r="I75" s="27"/>
      <c r="J75" s="27"/>
      <c r="K75" s="27"/>
      <c r="L75" s="27"/>
      <c r="M75" s="27"/>
      <c r="N75" s="78" t="s">
        <v>2</v>
      </c>
      <c r="O75" s="40" t="s">
        <v>2</v>
      </c>
      <c r="P75" s="40" t="s">
        <v>4</v>
      </c>
      <c r="Q75" s="40" t="s">
        <v>6</v>
      </c>
      <c r="R75" s="40" t="s">
        <v>8</v>
      </c>
    </row>
    <row r="76" spans="1:18">
      <c r="A76" s="39"/>
      <c r="B76" s="27"/>
      <c r="C76" s="27"/>
      <c r="D76" s="79" t="s">
        <v>14</v>
      </c>
      <c r="E76" s="79" t="s">
        <v>3</v>
      </c>
      <c r="F76" s="79" t="s">
        <v>5</v>
      </c>
      <c r="G76" s="79" t="s">
        <v>7</v>
      </c>
      <c r="H76" s="196" t="s">
        <v>11</v>
      </c>
      <c r="I76" s="27"/>
      <c r="J76" s="27"/>
      <c r="K76" s="27"/>
      <c r="L76" s="27"/>
      <c r="M76" s="27"/>
      <c r="N76" s="79" t="s">
        <v>14</v>
      </c>
      <c r="O76" s="79" t="s">
        <v>3</v>
      </c>
      <c r="P76" s="79" t="s">
        <v>5</v>
      </c>
      <c r="Q76" s="79" t="s">
        <v>7</v>
      </c>
      <c r="R76" s="196" t="s">
        <v>11</v>
      </c>
    </row>
    <row r="77" spans="1:18">
      <c r="A77" s="1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>
      <c r="A78" s="16"/>
      <c r="B78" s="27" t="s">
        <v>10</v>
      </c>
      <c r="C78" s="27"/>
      <c r="D78" s="15">
        <f>D12</f>
        <v>415876</v>
      </c>
      <c r="E78" s="30">
        <f>ROUND(D78/D82,4)</f>
        <v>6.4699999999999994E-2</v>
      </c>
      <c r="F78" s="30">
        <f>F41</f>
        <v>3.9639999999999996E-3</v>
      </c>
      <c r="G78" s="30">
        <f>ROUND(+E78*F78,4)</f>
        <v>2.9999999999999997E-4</v>
      </c>
      <c r="H78" s="30">
        <f>+G78*1</f>
        <v>2.9999999999999997E-4</v>
      </c>
      <c r="I78" s="27"/>
      <c r="J78" s="27"/>
      <c r="K78" s="27"/>
      <c r="L78" s="27" t="s">
        <v>10</v>
      </c>
      <c r="M78" s="27"/>
      <c r="N78" s="15">
        <f>D78</f>
        <v>415876</v>
      </c>
      <c r="O78" s="221">
        <f>+E12</f>
        <v>6.4699999999999994E-2</v>
      </c>
      <c r="P78" s="30">
        <f>F41</f>
        <v>3.9639999999999996E-3</v>
      </c>
      <c r="Q78" s="30">
        <f>ROUND(+O78*P78,4)</f>
        <v>2.9999999999999997E-4</v>
      </c>
      <c r="R78" s="30">
        <f>+Q78*1</f>
        <v>2.9999999999999997E-4</v>
      </c>
    </row>
    <row r="79" spans="1:18">
      <c r="A79" s="16"/>
      <c r="B79" s="27" t="s">
        <v>0</v>
      </c>
      <c r="C79" s="27"/>
      <c r="D79" s="15">
        <f>D13</f>
        <v>2455780</v>
      </c>
      <c r="E79" s="37">
        <f>ROUND(D79/D82,4)</f>
        <v>0.3821</v>
      </c>
      <c r="F79" s="30">
        <f>F13</f>
        <v>5.8999999999999997E-2</v>
      </c>
      <c r="G79" s="30">
        <f>ROUND(+E79*F79,4)</f>
        <v>2.2499999999999999E-2</v>
      </c>
      <c r="H79" s="30">
        <f>+G79*1</f>
        <v>2.2499999999999999E-2</v>
      </c>
      <c r="I79" s="27"/>
      <c r="J79" s="27"/>
      <c r="K79" s="27"/>
      <c r="L79" s="27" t="s">
        <v>0</v>
      </c>
      <c r="M79" s="27"/>
      <c r="N79" s="15">
        <f>D79</f>
        <v>2455780</v>
      </c>
      <c r="O79" s="221">
        <f>+E13</f>
        <v>0.3821</v>
      </c>
      <c r="P79" s="30">
        <f>F79</f>
        <v>5.8999999999999997E-2</v>
      </c>
      <c r="Q79" s="30">
        <f>ROUND(+O79*P79,4)</f>
        <v>2.2499999999999999E-2</v>
      </c>
      <c r="R79" s="30">
        <f>+Q79*1</f>
        <v>2.2499999999999999E-2</v>
      </c>
    </row>
    <row r="80" spans="1:18">
      <c r="A80" s="16"/>
      <c r="B80" s="27" t="s">
        <v>1</v>
      </c>
      <c r="C80" s="27"/>
      <c r="D80" s="35">
        <f>D14</f>
        <v>3554717</v>
      </c>
      <c r="E80" s="55">
        <f>ROUND(D80/D82,5)</f>
        <v>0.55315000000000003</v>
      </c>
      <c r="F80" s="55">
        <v>8.7499999999999994E-2</v>
      </c>
      <c r="G80" s="55">
        <f>ROUND(+E80*F80,4)</f>
        <v>4.8399999999999999E-2</v>
      </c>
      <c r="H80" s="55">
        <f>G80*'Gross Rev Conversion Factor'!C27</f>
        <v>7.9764893999999989E-2</v>
      </c>
      <c r="I80" s="27"/>
      <c r="J80" s="27"/>
      <c r="K80" s="27"/>
      <c r="L80" s="27" t="s">
        <v>1</v>
      </c>
      <c r="M80" s="27"/>
      <c r="N80" s="35">
        <f>D80</f>
        <v>3554717</v>
      </c>
      <c r="O80" s="55">
        <f>+E14</f>
        <v>0.55315000000000003</v>
      </c>
      <c r="P80" s="55">
        <v>0.105</v>
      </c>
      <c r="Q80" s="55">
        <f>ROUND(+O80*P80,4)</f>
        <v>5.8099999999999999E-2</v>
      </c>
      <c r="R80" s="55">
        <f>Q80*'Gross Rev Conversion Factor'!C27</f>
        <v>9.5750833499999993E-2</v>
      </c>
    </row>
    <row r="81" spans="1:18">
      <c r="A81" s="16"/>
      <c r="B81" s="27"/>
      <c r="C81" s="27"/>
      <c r="D81" s="15"/>
      <c r="E81" s="27"/>
      <c r="F81" s="30"/>
      <c r="G81" s="30"/>
      <c r="H81" s="30"/>
      <c r="I81" s="27"/>
      <c r="J81" s="27"/>
      <c r="K81" s="27"/>
      <c r="L81" s="27"/>
      <c r="M81" s="27"/>
      <c r="N81" s="15"/>
      <c r="O81" s="27"/>
      <c r="P81" s="30"/>
      <c r="Q81" s="30"/>
      <c r="R81" s="30"/>
    </row>
    <row r="82" spans="1:18" ht="13.5" thickBot="1">
      <c r="A82" s="16"/>
      <c r="B82" s="34" t="s">
        <v>9</v>
      </c>
      <c r="C82" s="27"/>
      <c r="D82" s="181">
        <f>SUM(D78:D81)</f>
        <v>6426373</v>
      </c>
      <c r="E82" s="56">
        <f>SUM(E78:E80)</f>
        <v>0.99995000000000001</v>
      </c>
      <c r="F82" s="57"/>
      <c r="G82" s="56">
        <f>SUM(G78:G81)</f>
        <v>7.1199999999999999E-2</v>
      </c>
      <c r="H82" s="56">
        <f>SUM(H78:H81)</f>
        <v>0.10256489399999999</v>
      </c>
      <c r="I82" s="27"/>
      <c r="J82" s="27"/>
      <c r="K82" s="27"/>
      <c r="L82" s="34" t="s">
        <v>9</v>
      </c>
      <c r="M82" s="27"/>
      <c r="N82" s="181">
        <f>SUM(N78:N81)</f>
        <v>6426373</v>
      </c>
      <c r="O82" s="56">
        <f>SUM(O78:O80)</f>
        <v>0.99995000000000001</v>
      </c>
      <c r="P82" s="57"/>
      <c r="Q82" s="56">
        <f>SUM(Q78:Q81)</f>
        <v>8.09E-2</v>
      </c>
      <c r="R82" s="56">
        <f>SUM(R78:R81)</f>
        <v>0.11855083349999999</v>
      </c>
    </row>
    <row r="83" spans="1:18" ht="13.5" thickTop="1">
      <c r="A83" s="16"/>
      <c r="B83" s="34"/>
      <c r="C83" s="27"/>
      <c r="D83" s="27"/>
      <c r="E83" s="30"/>
      <c r="F83" s="30"/>
      <c r="G83" s="30"/>
      <c r="H83" s="30"/>
      <c r="I83" s="27"/>
      <c r="J83" s="27"/>
      <c r="K83" s="27"/>
      <c r="L83" s="34"/>
      <c r="M83" s="27"/>
      <c r="N83" s="27"/>
      <c r="O83" s="30"/>
      <c r="P83" s="30"/>
      <c r="Q83" s="30"/>
      <c r="R83" s="30"/>
    </row>
    <row r="84" spans="1:18">
      <c r="A84" s="16"/>
      <c r="B84" s="58" t="s">
        <v>31</v>
      </c>
      <c r="C84" s="58"/>
      <c r="D84" s="58"/>
      <c r="E84" s="58"/>
      <c r="F84" s="58"/>
      <c r="G84" s="58"/>
      <c r="H84" s="59">
        <f>H82-R82</f>
        <v>-1.5985939500000004E-2</v>
      </c>
      <c r="I84" s="27"/>
      <c r="J84" s="27"/>
      <c r="K84" s="27"/>
      <c r="L84" s="58" t="s">
        <v>31</v>
      </c>
      <c r="M84" s="58"/>
      <c r="N84" s="58"/>
      <c r="O84" s="58"/>
      <c r="P84" s="58"/>
      <c r="Q84" s="58"/>
      <c r="R84" s="59">
        <f>R82-H16</f>
        <v>-2.9999999999999472E-4</v>
      </c>
    </row>
    <row r="85" spans="1:18">
      <c r="A85" s="16"/>
      <c r="B85" s="60" t="s">
        <v>35</v>
      </c>
      <c r="C85" s="58"/>
      <c r="D85" s="58"/>
      <c r="E85" s="58"/>
      <c r="F85" s="58"/>
      <c r="G85" s="58"/>
      <c r="H85" s="62">
        <f>'Rate Base'!I25</f>
        <v>294202371.18924022</v>
      </c>
      <c r="I85" s="27"/>
      <c r="J85" s="27"/>
      <c r="K85" s="27"/>
      <c r="L85" s="60" t="s">
        <v>35</v>
      </c>
      <c r="M85" s="58"/>
      <c r="N85" s="58"/>
      <c r="O85" s="58"/>
      <c r="P85" s="58"/>
      <c r="Q85" s="58"/>
      <c r="R85" s="62">
        <f>'Rate Base'!I25</f>
        <v>294202371.18924022</v>
      </c>
    </row>
    <row r="86" spans="1:18" ht="13.5" thickBot="1">
      <c r="A86" s="38"/>
      <c r="B86" s="58" t="s">
        <v>32</v>
      </c>
      <c r="C86" s="58"/>
      <c r="D86" s="58"/>
      <c r="E86" s="58"/>
      <c r="F86" s="58"/>
      <c r="G86" s="58"/>
      <c r="H86" s="63">
        <f>H84*H85</f>
        <v>-4703101.306587738</v>
      </c>
      <c r="I86" s="27"/>
      <c r="J86" s="27"/>
      <c r="K86" s="27"/>
      <c r="L86" s="58" t="s">
        <v>32</v>
      </c>
      <c r="M86" s="58"/>
      <c r="N86" s="58"/>
      <c r="O86" s="58"/>
      <c r="P86" s="58"/>
      <c r="Q86" s="58"/>
      <c r="R86" s="63">
        <f>R84*R85</f>
        <v>-88260.711356770509</v>
      </c>
    </row>
    <row r="87" spans="1:18" ht="13.5" thickTop="1">
      <c r="A87" s="39"/>
      <c r="B87" s="58"/>
      <c r="C87" s="58"/>
      <c r="D87" s="58"/>
      <c r="E87" s="58"/>
      <c r="F87" s="58"/>
      <c r="G87" s="58"/>
      <c r="H87" s="61"/>
      <c r="I87" s="27"/>
      <c r="J87" s="27"/>
      <c r="K87" s="27"/>
      <c r="L87" s="58"/>
      <c r="M87" s="58"/>
      <c r="N87" s="58"/>
      <c r="O87" s="58"/>
      <c r="P87" s="58"/>
      <c r="Q87" s="58"/>
      <c r="R87" s="61"/>
    </row>
    <row r="88" spans="1:18">
      <c r="A88" s="39"/>
      <c r="B88" s="27"/>
      <c r="C88" s="27"/>
      <c r="D88" s="27"/>
      <c r="E88" s="40"/>
      <c r="F88" s="40"/>
      <c r="G88" s="41"/>
      <c r="H88" s="41"/>
      <c r="I88" s="27"/>
      <c r="J88" s="27"/>
      <c r="K88" s="27"/>
      <c r="L88" s="27"/>
      <c r="M88" s="27"/>
      <c r="N88" s="27"/>
      <c r="O88" s="40"/>
      <c r="P88" s="40"/>
      <c r="Q88" s="41"/>
      <c r="R88" s="41"/>
    </row>
    <row r="89" spans="1:18" ht="13.5" thickBot="1">
      <c r="A89" s="39"/>
      <c r="B89" s="27" t="s">
        <v>38</v>
      </c>
      <c r="C89" s="27"/>
      <c r="D89" s="27"/>
      <c r="E89" s="40"/>
      <c r="F89" s="40"/>
      <c r="G89" s="41"/>
      <c r="H89" s="197">
        <f>H86/((F14-F80)*100)</f>
        <v>-2687486.4609072786</v>
      </c>
      <c r="I89" s="27"/>
      <c r="J89" s="27"/>
      <c r="K89" s="27"/>
      <c r="L89" s="131"/>
      <c r="M89" s="131"/>
      <c r="N89" s="131"/>
      <c r="O89" s="78"/>
      <c r="P89" s="78"/>
      <c r="Q89" s="198"/>
      <c r="R89" s="199"/>
    </row>
    <row r="90" spans="1:18" ht="13.5" thickTop="1">
      <c r="A90" s="16"/>
      <c r="B90" s="27"/>
      <c r="C90" s="27"/>
      <c r="D90" s="27"/>
      <c r="E90" s="27"/>
      <c r="F90" s="27"/>
      <c r="G90" s="30"/>
      <c r="H90" s="30"/>
      <c r="I90" s="27"/>
      <c r="J90" s="27"/>
      <c r="K90" s="27"/>
      <c r="L90" s="27"/>
      <c r="M90" s="27"/>
      <c r="N90" s="27"/>
      <c r="O90" s="27"/>
      <c r="P90" s="27"/>
      <c r="Q90" s="30"/>
      <c r="R90" s="30"/>
    </row>
    <row r="91" spans="1:18">
      <c r="A91" s="1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06" t="s">
        <v>251</v>
      </c>
      <c r="M91" s="45"/>
      <c r="N91" s="45"/>
      <c r="O91" s="45"/>
      <c r="P91" s="45"/>
      <c r="Q91" s="45"/>
      <c r="R91" s="45"/>
    </row>
    <row r="92" spans="1:18">
      <c r="A92" s="16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8">
      <c r="B93" s="5"/>
      <c r="C93" s="5"/>
      <c r="D93" s="5"/>
      <c r="E93" s="5"/>
      <c r="F93" s="5"/>
      <c r="G93" s="5"/>
      <c r="H93" s="5"/>
      <c r="I93" s="5"/>
      <c r="J93" s="5"/>
      <c r="K93" s="5"/>
      <c r="L93" s="1" t="s">
        <v>188</v>
      </c>
    </row>
    <row r="94" spans="1:18">
      <c r="B94" s="5"/>
      <c r="C94" s="5"/>
      <c r="D94" s="5"/>
      <c r="E94" s="5"/>
      <c r="F94" s="5"/>
      <c r="G94" s="5"/>
      <c r="H94" s="5"/>
      <c r="I94" s="5"/>
      <c r="J94" s="5"/>
      <c r="K94" s="5"/>
      <c r="L94" s="4" t="s">
        <v>183</v>
      </c>
    </row>
    <row r="95" spans="1:18">
      <c r="B95" s="5"/>
      <c r="C95" s="5"/>
      <c r="D95" s="5"/>
      <c r="E95" s="5"/>
      <c r="F95" s="5"/>
      <c r="G95" s="5"/>
      <c r="H95" s="5"/>
      <c r="I95" s="5"/>
      <c r="J95" s="5"/>
      <c r="K95" s="5"/>
      <c r="L95" s="16"/>
      <c r="M95" s="16"/>
      <c r="N95" s="16"/>
      <c r="O95" s="16"/>
      <c r="P95" s="16"/>
      <c r="Q95" s="16"/>
      <c r="R95" s="16"/>
    </row>
    <row r="96" spans="1:18">
      <c r="B96" s="5"/>
      <c r="C96" s="5"/>
      <c r="D96" s="5"/>
      <c r="E96" s="5"/>
      <c r="F96" s="5"/>
      <c r="G96" s="5"/>
      <c r="H96" s="5"/>
      <c r="I96" s="5"/>
      <c r="J96" s="5"/>
      <c r="K96" s="5"/>
      <c r="L96" s="27"/>
      <c r="M96" s="27"/>
      <c r="N96" s="78" t="s">
        <v>2</v>
      </c>
      <c r="O96" s="40" t="s">
        <v>2</v>
      </c>
      <c r="P96" s="40" t="s">
        <v>4</v>
      </c>
      <c r="Q96" s="40" t="s">
        <v>6</v>
      </c>
      <c r="R96" s="40" t="s">
        <v>8</v>
      </c>
    </row>
    <row r="97" spans="2:18">
      <c r="B97" s="5"/>
      <c r="C97" s="5"/>
      <c r="D97" s="5"/>
      <c r="E97" s="5"/>
      <c r="F97" s="5"/>
      <c r="G97" s="5"/>
      <c r="H97" s="5"/>
      <c r="I97" s="5"/>
      <c r="J97" s="5"/>
      <c r="K97" s="5"/>
      <c r="L97" s="27"/>
      <c r="M97" s="27"/>
      <c r="N97" s="79" t="s">
        <v>14</v>
      </c>
      <c r="O97" s="79" t="s">
        <v>3</v>
      </c>
      <c r="P97" s="79" t="s">
        <v>5</v>
      </c>
      <c r="Q97" s="79" t="s">
        <v>7</v>
      </c>
      <c r="R97" s="196" t="s">
        <v>11</v>
      </c>
    </row>
    <row r="98" spans="2:18">
      <c r="B98" s="5"/>
      <c r="C98" s="5"/>
      <c r="D98" s="5"/>
      <c r="E98" s="5"/>
      <c r="F98" s="5"/>
      <c r="G98" s="5"/>
      <c r="H98" s="5"/>
      <c r="I98" s="5"/>
      <c r="J98" s="5"/>
      <c r="K98" s="5"/>
      <c r="L98" s="27"/>
      <c r="M98" s="27"/>
      <c r="N98" s="27"/>
      <c r="O98" s="27"/>
      <c r="P98" s="27"/>
      <c r="Q98" s="27"/>
      <c r="R98" s="27"/>
    </row>
    <row r="99" spans="2:18">
      <c r="B99" s="5"/>
      <c r="C99" s="5"/>
      <c r="D99" s="5"/>
      <c r="E99" s="5"/>
      <c r="F99" s="5"/>
      <c r="G99" s="5"/>
      <c r="H99" s="5"/>
      <c r="I99" s="5"/>
      <c r="J99" s="5"/>
      <c r="K99" s="5"/>
      <c r="L99" s="27" t="s">
        <v>10</v>
      </c>
      <c r="M99" s="27"/>
      <c r="N99" s="129">
        <f>+O99*N82</f>
        <v>473110.50077896152</v>
      </c>
      <c r="O99" s="221">
        <f>+(E12/(E12+E13))*(1-O101)</f>
        <v>7.3620143240823638E-2</v>
      </c>
      <c r="P99" s="30">
        <f>+F41</f>
        <v>3.9639999999999996E-3</v>
      </c>
      <c r="Q99" s="30">
        <f>ROUND(+O99*P99,4)</f>
        <v>2.9999999999999997E-4</v>
      </c>
      <c r="R99" s="30">
        <f>+Q99*1</f>
        <v>2.9999999999999997E-4</v>
      </c>
    </row>
    <row r="100" spans="2:18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7" t="s">
        <v>0</v>
      </c>
      <c r="M100" s="27"/>
      <c r="N100" s="129">
        <f>+O100*N82</f>
        <v>2794057.5324210385</v>
      </c>
      <c r="O100" s="221">
        <f>+(E13/(E12+E13))*(1-O101)</f>
        <v>0.43477985675917635</v>
      </c>
      <c r="P100" s="30">
        <f>F100+F79</f>
        <v>5.8999999999999997E-2</v>
      </c>
      <c r="Q100" s="30">
        <f>ROUND(+O100*P100,4)</f>
        <v>2.5700000000000001E-2</v>
      </c>
      <c r="R100" s="30">
        <f>+Q100*1</f>
        <v>2.5700000000000001E-2</v>
      </c>
    </row>
    <row r="101" spans="2:18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7" t="s">
        <v>1</v>
      </c>
      <c r="M101" s="27"/>
      <c r="N101" s="35">
        <f>+O101*N82</f>
        <v>3159204.9668000001</v>
      </c>
      <c r="O101" s="55">
        <v>0.49159999999999998</v>
      </c>
      <c r="P101" s="55">
        <v>9.8000000000000004E-2</v>
      </c>
      <c r="Q101" s="55">
        <f>ROUND(+O101*P101,4)</f>
        <v>4.82E-2</v>
      </c>
      <c r="R101" s="55">
        <f>Q101*'Gross Rev Conversion Factor'!C27</f>
        <v>7.9435286999999993E-2</v>
      </c>
    </row>
    <row r="102" spans="2:18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7"/>
      <c r="M102" s="27"/>
      <c r="N102" s="15"/>
      <c r="O102" s="27"/>
      <c r="P102" s="30"/>
      <c r="Q102" s="30"/>
      <c r="R102" s="30"/>
    </row>
    <row r="103" spans="2:18" ht="13.5" thickBo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34" t="s">
        <v>9</v>
      </c>
      <c r="M103" s="27"/>
      <c r="N103" s="181">
        <f>SUM(N99:N102)</f>
        <v>6426373</v>
      </c>
      <c r="O103" s="56">
        <f>SUM(O99:O101)</f>
        <v>1</v>
      </c>
      <c r="P103" s="57"/>
      <c r="Q103" s="56">
        <f>SUM(Q99:Q102)</f>
        <v>7.4200000000000002E-2</v>
      </c>
      <c r="R103" s="56">
        <f>SUM(R99:R102)</f>
        <v>0.10543528699999999</v>
      </c>
    </row>
    <row r="104" spans="2:18" ht="13.5" thickTop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34"/>
      <c r="M104" s="27"/>
      <c r="N104" s="27"/>
      <c r="O104" s="30"/>
      <c r="P104" s="30"/>
      <c r="Q104" s="30"/>
      <c r="R104" s="30"/>
    </row>
    <row r="105" spans="2:18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8" t="s">
        <v>31</v>
      </c>
      <c r="M105" s="58"/>
      <c r="N105" s="58"/>
      <c r="O105" s="58"/>
      <c r="P105" s="58"/>
      <c r="Q105" s="58"/>
      <c r="R105" s="59">
        <f>R103-H16</f>
        <v>-1.34155465E-2</v>
      </c>
    </row>
    <row r="106" spans="2:18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60" t="s">
        <v>35</v>
      </c>
      <c r="M106" s="58"/>
      <c r="N106" s="58"/>
      <c r="O106" s="58"/>
      <c r="P106" s="58"/>
      <c r="Q106" s="58"/>
      <c r="R106" s="62">
        <f>+R85</f>
        <v>294202371.18924022</v>
      </c>
    </row>
    <row r="107" spans="2:18" ht="13.5" thickBo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8" t="s">
        <v>32</v>
      </c>
      <c r="M107" s="58"/>
      <c r="N107" s="58"/>
      <c r="O107" s="58"/>
      <c r="P107" s="58"/>
      <c r="Q107" s="58"/>
      <c r="R107" s="63">
        <f>R105*R106</f>
        <v>-3946885.5910995123</v>
      </c>
    </row>
    <row r="108" spans="2:18" ht="13.5" thickTop="1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8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8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8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8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>
      <c r="B113" s="5"/>
      <c r="C113" s="5"/>
      <c r="D113" s="5"/>
      <c r="E113" s="5"/>
      <c r="F113" s="5"/>
      <c r="G113" s="5"/>
      <c r="H113" s="5"/>
      <c r="I113" s="5"/>
      <c r="J113" s="5"/>
      <c r="K113" s="5"/>
    </row>
  </sheetData>
  <mergeCells count="4">
    <mergeCell ref="A1:H1"/>
    <mergeCell ref="A2:H2"/>
    <mergeCell ref="A3:H3"/>
    <mergeCell ref="A4:H4"/>
  </mergeCells>
  <phoneticPr fontId="12" type="noConversion"/>
  <pageMargins left="0.72" right="0.25" top="1" bottom="0.2" header="0.6" footer="0.17"/>
  <pageSetup scale="95" orientation="portrait" r:id="rId1"/>
  <headerFooter alignWithMargins="0">
    <oddHeader>&amp;RExhibit___(LK-15)
Page &amp;P of &amp;N</oddHeader>
  </headerFooter>
  <rowBreaks count="1" manualBreakCount="1">
    <brk id="5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C28"/>
  <sheetViews>
    <sheetView zoomScaleNormal="100" workbookViewId="0">
      <selection activeCell="C31" sqref="C31"/>
    </sheetView>
  </sheetViews>
  <sheetFormatPr defaultRowHeight="12.75"/>
  <cols>
    <col min="1" max="1" width="45.28515625" style="11" customWidth="1"/>
    <col min="2" max="2" width="9.140625" style="11"/>
    <col min="3" max="3" width="12.28515625" style="11" bestFit="1" customWidth="1"/>
    <col min="4" max="16384" width="9.140625" style="11"/>
  </cols>
  <sheetData>
    <row r="1" spans="1:3">
      <c r="A1" s="3" t="s">
        <v>155</v>
      </c>
      <c r="B1" s="19"/>
      <c r="C1" s="19"/>
    </row>
    <row r="2" spans="1:3">
      <c r="A2" s="2" t="s">
        <v>19</v>
      </c>
      <c r="B2" s="2"/>
      <c r="C2" s="2"/>
    </row>
    <row r="3" spans="1:3">
      <c r="A3" s="2" t="s">
        <v>22</v>
      </c>
      <c r="B3" s="2"/>
      <c r="C3" s="2"/>
    </row>
    <row r="4" spans="1:3">
      <c r="A4" s="2" t="s">
        <v>20</v>
      </c>
      <c r="B4" s="2"/>
      <c r="C4" s="2"/>
    </row>
    <row r="5" spans="1:3">
      <c r="A5" s="13"/>
    </row>
    <row r="6" spans="1:3">
      <c r="A6" s="14"/>
    </row>
    <row r="7" spans="1:3">
      <c r="A7" s="14"/>
    </row>
    <row r="8" spans="1:3">
      <c r="A8" s="13"/>
      <c r="B8" s="13"/>
      <c r="C8" s="12"/>
    </row>
    <row r="9" spans="1:3">
      <c r="A9" s="13"/>
      <c r="B9" s="13"/>
      <c r="C9" s="9" t="s">
        <v>13</v>
      </c>
    </row>
    <row r="10" spans="1:3">
      <c r="A10" s="14"/>
      <c r="B10" s="14"/>
      <c r="C10" s="46" t="s">
        <v>17</v>
      </c>
    </row>
    <row r="11" spans="1:3">
      <c r="A11" s="14"/>
      <c r="B11" s="14"/>
    </row>
    <row r="12" spans="1:3">
      <c r="A12" s="14" t="s">
        <v>16</v>
      </c>
      <c r="B12" s="14"/>
      <c r="C12" s="48">
        <v>1</v>
      </c>
    </row>
    <row r="13" spans="1:3">
      <c r="A13" s="14"/>
      <c r="B13" s="14"/>
      <c r="C13" s="48"/>
    </row>
    <row r="14" spans="1:3">
      <c r="A14" s="14" t="s">
        <v>24</v>
      </c>
      <c r="B14" s="14"/>
      <c r="C14" s="48">
        <v>5.0000000000000001E-3</v>
      </c>
    </row>
    <row r="15" spans="1:3">
      <c r="A15" s="14" t="s">
        <v>25</v>
      </c>
      <c r="B15" s="14"/>
      <c r="C15" s="49">
        <v>1.9009999999999999E-3</v>
      </c>
    </row>
    <row r="16" spans="1:3">
      <c r="A16" s="14"/>
      <c r="B16" s="14"/>
      <c r="C16" s="50"/>
    </row>
    <row r="17" spans="1:3">
      <c r="A17" s="14" t="s">
        <v>26</v>
      </c>
      <c r="B17" s="14"/>
      <c r="C17" s="48">
        <f>C12-(C14+C15)</f>
        <v>0.99309899999999995</v>
      </c>
    </row>
    <row r="18" spans="1:3">
      <c r="A18" s="14"/>
      <c r="B18" s="14"/>
      <c r="C18" s="48"/>
    </row>
    <row r="19" spans="1:3">
      <c r="A19" s="14" t="s">
        <v>30</v>
      </c>
      <c r="B19" s="14"/>
      <c r="C19" s="49">
        <f>ROUND(-0.06*C17,8)</f>
        <v>-5.9585939999999997E-2</v>
      </c>
    </row>
    <row r="20" spans="1:3">
      <c r="A20" s="14"/>
      <c r="B20" s="14"/>
      <c r="C20" s="48"/>
    </row>
    <row r="21" spans="1:3">
      <c r="A21" s="14" t="s">
        <v>29</v>
      </c>
      <c r="B21" s="14"/>
      <c r="C21" s="51">
        <f>SUM(C17:C19)</f>
        <v>0.93351306000000001</v>
      </c>
    </row>
    <row r="22" spans="1:3">
      <c r="A22" s="14"/>
      <c r="B22" s="14"/>
      <c r="C22" s="51"/>
    </row>
    <row r="23" spans="1:3">
      <c r="A23" s="14" t="s">
        <v>27</v>
      </c>
      <c r="B23" s="14"/>
      <c r="C23" s="52">
        <f>ROUND(-C21*0.35,6)</f>
        <v>-0.32673000000000002</v>
      </c>
    </row>
    <row r="24" spans="1:3">
      <c r="A24" s="14"/>
      <c r="B24" s="14"/>
      <c r="C24" s="53"/>
    </row>
    <row r="25" spans="1:3">
      <c r="A25" s="14" t="s">
        <v>28</v>
      </c>
      <c r="B25" s="14"/>
      <c r="C25" s="53">
        <f>C21+C23</f>
        <v>0.60678305999999993</v>
      </c>
    </row>
    <row r="26" spans="1:3">
      <c r="A26" s="14"/>
      <c r="B26" s="14"/>
      <c r="C26" s="53"/>
    </row>
    <row r="27" spans="1:3" ht="13.5" thickBot="1">
      <c r="A27" s="14" t="s">
        <v>23</v>
      </c>
      <c r="B27" s="14"/>
      <c r="C27" s="47">
        <f>ROUND(1/C25,6)</f>
        <v>1.6480349999999999</v>
      </c>
    </row>
    <row r="28" spans="1:3" ht="13.5" thickTop="1">
      <c r="A28" s="14"/>
      <c r="B28" s="14"/>
      <c r="C28" s="14"/>
    </row>
  </sheetData>
  <phoneticPr fontId="1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>
      <selection sqref="A1:N36"/>
    </sheetView>
  </sheetViews>
  <sheetFormatPr defaultRowHeight="12.75"/>
  <cols>
    <col min="2" max="2" width="10.42578125" customWidth="1"/>
    <col min="6" max="6" width="13.85546875" customWidth="1"/>
    <col min="7" max="7" width="3" customWidth="1"/>
    <col min="8" max="8" width="11.7109375" customWidth="1"/>
    <col min="9" max="9" width="3.140625" customWidth="1"/>
    <col min="10" max="10" width="13.140625" customWidth="1"/>
    <col min="11" max="11" width="3.140625" customWidth="1"/>
    <col min="12" max="12" width="12.7109375" customWidth="1"/>
    <col min="13" max="13" width="3.140625" customWidth="1"/>
    <col min="14" max="14" width="13.42578125" customWidth="1"/>
    <col min="16" max="16" width="10" bestFit="1" customWidth="1"/>
  </cols>
  <sheetData>
    <row r="1" spans="1:15">
      <c r="A1" s="225" t="s">
        <v>155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>
      <c r="A2" s="226" t="s">
        <v>249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5">
      <c r="A3" s="226" t="s">
        <v>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5">
      <c r="A4" s="226" t="s">
        <v>204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5">
      <c r="A5" s="225" t="s">
        <v>145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5">
      <c r="A7" s="173" t="s">
        <v>138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5">
      <c r="N8" s="186"/>
    </row>
    <row r="9" spans="1:15">
      <c r="A9" s="180" t="s">
        <v>144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46"/>
      <c r="O9" s="31"/>
    </row>
    <row r="10" spans="1:15">
      <c r="A10" s="180"/>
      <c r="B10" s="131"/>
      <c r="C10" s="131"/>
      <c r="D10" s="131"/>
      <c r="E10" s="131"/>
      <c r="F10" s="131"/>
      <c r="G10" s="131"/>
      <c r="H10" s="187" t="s">
        <v>154</v>
      </c>
      <c r="I10" s="131"/>
      <c r="J10" s="189" t="s">
        <v>151</v>
      </c>
      <c r="K10" s="131"/>
      <c r="L10" s="187" t="s">
        <v>154</v>
      </c>
      <c r="M10" s="131"/>
      <c r="N10" s="189" t="s">
        <v>151</v>
      </c>
      <c r="O10" s="31"/>
    </row>
    <row r="11" spans="1:15">
      <c r="A11" s="180"/>
      <c r="B11" s="131"/>
      <c r="C11" s="131"/>
      <c r="D11" s="131"/>
      <c r="E11" s="131"/>
      <c r="F11" s="131"/>
      <c r="G11" s="131"/>
      <c r="H11" s="187" t="s">
        <v>152</v>
      </c>
      <c r="I11" s="131"/>
      <c r="J11" s="189" t="s">
        <v>156</v>
      </c>
      <c r="K11" s="131"/>
      <c r="L11" s="187" t="s">
        <v>158</v>
      </c>
      <c r="M11" s="131"/>
      <c r="N11" s="189" t="s">
        <v>160</v>
      </c>
      <c r="O11" s="31"/>
    </row>
    <row r="12" spans="1:15">
      <c r="A12" s="180"/>
      <c r="B12" s="131"/>
      <c r="C12" s="131"/>
      <c r="D12" s="131"/>
      <c r="E12" s="131"/>
      <c r="F12" s="188" t="s">
        <v>151</v>
      </c>
      <c r="G12" s="131"/>
      <c r="H12" s="188" t="s">
        <v>153</v>
      </c>
      <c r="I12" s="131"/>
      <c r="J12" s="190" t="s">
        <v>157</v>
      </c>
      <c r="K12" s="131"/>
      <c r="L12" s="188" t="s">
        <v>159</v>
      </c>
      <c r="M12" s="131"/>
      <c r="N12" s="191" t="s">
        <v>157</v>
      </c>
      <c r="O12" s="31"/>
    </row>
    <row r="13" spans="1:15">
      <c r="A13" s="169" t="s">
        <v>139</v>
      </c>
      <c r="B13" s="131"/>
      <c r="C13" s="131"/>
      <c r="D13" s="131"/>
      <c r="E13" s="131"/>
      <c r="F13" s="129">
        <v>1253998</v>
      </c>
      <c r="G13" s="131"/>
      <c r="H13" s="182">
        <v>5.2575879716356848E-2</v>
      </c>
      <c r="I13" s="131"/>
      <c r="J13" s="129">
        <f>F13*H13</f>
        <v>65930.048012552055</v>
      </c>
      <c r="K13" s="131"/>
      <c r="L13" s="57">
        <f>COC!$H$16</f>
        <v>0.11885083349999999</v>
      </c>
      <c r="M13" s="131"/>
      <c r="N13" s="129">
        <f>J13*L13</f>
        <v>7835.8411589868292</v>
      </c>
      <c r="O13" s="31"/>
    </row>
    <row r="14" spans="1:15">
      <c r="A14" s="169" t="s">
        <v>140</v>
      </c>
      <c r="B14" s="131"/>
      <c r="C14" s="131"/>
      <c r="D14" s="131"/>
      <c r="E14" s="131"/>
      <c r="F14" s="129">
        <v>4576432</v>
      </c>
      <c r="G14" s="131"/>
      <c r="H14" s="182">
        <v>5.2575879716356848E-2</v>
      </c>
      <c r="I14" s="131"/>
      <c r="J14" s="129">
        <f>F14*H14</f>
        <v>240609.9383620864</v>
      </c>
      <c r="K14" s="131"/>
      <c r="L14" s="57">
        <f>COC!$H$16</f>
        <v>0.11885083349999999</v>
      </c>
      <c r="M14" s="131"/>
      <c r="N14" s="129">
        <f t="shared" ref="N14:N18" si="0">J14*L14</f>
        <v>28596.691722717591</v>
      </c>
      <c r="O14" s="31"/>
    </row>
    <row r="15" spans="1:15">
      <c r="A15" s="169" t="s">
        <v>141</v>
      </c>
      <c r="B15" s="131"/>
      <c r="C15" s="131"/>
      <c r="D15" s="131"/>
      <c r="E15" s="131"/>
      <c r="F15" s="129">
        <v>7385565</v>
      </c>
      <c r="G15" s="131"/>
      <c r="H15" s="182">
        <v>5.2575879716356848E-2</v>
      </c>
      <c r="I15" s="131"/>
      <c r="J15" s="129">
        <f>F15*H15</f>
        <v>388302.57707733504</v>
      </c>
      <c r="K15" s="131"/>
      <c r="L15" s="57">
        <f>COC!$H$16</f>
        <v>0.11885083349999999</v>
      </c>
      <c r="M15" s="131"/>
      <c r="N15" s="129">
        <f t="shared" si="0"/>
        <v>46150.084935839259</v>
      </c>
      <c r="O15" s="31"/>
    </row>
    <row r="16" spans="1:15">
      <c r="A16" s="169" t="s">
        <v>142</v>
      </c>
      <c r="B16" s="131"/>
      <c r="C16" s="131"/>
      <c r="D16" s="131"/>
      <c r="E16" s="131"/>
      <c r="F16" s="129">
        <v>9513920</v>
      </c>
      <c r="G16" s="131"/>
      <c r="H16" s="182">
        <v>5.2575879716356848E-2</v>
      </c>
      <c r="I16" s="131"/>
      <c r="J16" s="129">
        <f>F16*H16</f>
        <v>500202.71355104173</v>
      </c>
      <c r="K16" s="131"/>
      <c r="L16" s="57">
        <f>COC!$H$16</f>
        <v>0.11885083349999999</v>
      </c>
      <c r="M16" s="131"/>
      <c r="N16" s="129">
        <f t="shared" si="0"/>
        <v>59449.509424503049</v>
      </c>
      <c r="O16" s="31"/>
    </row>
    <row r="17" spans="1:15">
      <c r="A17" s="169" t="s">
        <v>143</v>
      </c>
      <c r="B17" s="131"/>
      <c r="C17" s="131"/>
      <c r="D17" s="131"/>
      <c r="E17" s="131"/>
      <c r="F17" s="129">
        <v>10525877</v>
      </c>
      <c r="G17" s="131"/>
      <c r="H17" s="182">
        <v>5.2575879716356848E-2</v>
      </c>
      <c r="I17" s="131"/>
      <c r="J17" s="129">
        <f>F17*H17</f>
        <v>553407.24306116707</v>
      </c>
      <c r="K17" s="131"/>
      <c r="L17" s="57">
        <f>COC!$H$16</f>
        <v>0.11885083349999999</v>
      </c>
      <c r="M17" s="131"/>
      <c r="N17" s="129">
        <f t="shared" si="0"/>
        <v>65772.912102756789</v>
      </c>
      <c r="O17" s="31"/>
    </row>
    <row r="18" spans="1:15">
      <c r="A18" s="169" t="s">
        <v>171</v>
      </c>
      <c r="B18" s="131"/>
      <c r="C18" s="131"/>
      <c r="D18" s="131"/>
      <c r="E18" s="131"/>
      <c r="F18" s="35">
        <v>-6968891</v>
      </c>
      <c r="G18" s="131"/>
      <c r="H18" s="182">
        <v>5.2575879716356848E-2</v>
      </c>
      <c r="I18" s="131"/>
      <c r="J18" s="35">
        <f t="shared" ref="J18" si="1">F18*H18</f>
        <v>-366395.57497240178</v>
      </c>
      <c r="K18" s="131"/>
      <c r="L18" s="57">
        <f>COC!$H$16</f>
        <v>0.11885083349999999</v>
      </c>
      <c r="M18" s="131"/>
      <c r="N18" s="35">
        <f t="shared" si="0"/>
        <v>-43546.419476181683</v>
      </c>
      <c r="O18" s="31"/>
    </row>
    <row r="19" spans="1:15">
      <c r="A19" s="177"/>
      <c r="B19" s="131"/>
      <c r="C19" s="131"/>
      <c r="D19" s="131"/>
      <c r="E19" s="131"/>
      <c r="F19" s="129"/>
      <c r="G19" s="131"/>
      <c r="H19" s="131"/>
      <c r="I19" s="131"/>
      <c r="J19" s="129"/>
      <c r="K19" s="131"/>
      <c r="L19" s="131"/>
      <c r="M19" s="131"/>
      <c r="N19" s="129"/>
      <c r="O19" s="31"/>
    </row>
    <row r="20" spans="1:15" ht="13.5" thickBot="1">
      <c r="A20" s="172" t="s">
        <v>168</v>
      </c>
      <c r="B20" s="131"/>
      <c r="C20" s="131"/>
      <c r="D20" s="131"/>
      <c r="E20" s="131"/>
      <c r="F20" s="181">
        <f>SUM(F13:F18)</f>
        <v>26286901</v>
      </c>
      <c r="G20" s="131"/>
      <c r="H20" s="131"/>
      <c r="I20" s="131"/>
      <c r="J20" s="181">
        <f>SUM(J13:J18)</f>
        <v>1382056.9450917803</v>
      </c>
      <c r="K20" s="131"/>
      <c r="L20" s="131"/>
      <c r="M20" s="131"/>
      <c r="N20" s="181">
        <f>SUM(N13:N18)</f>
        <v>164258.61986862184</v>
      </c>
      <c r="O20" s="31"/>
    </row>
    <row r="21" spans="1:15" ht="13.5" thickTop="1">
      <c r="A21" s="17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29"/>
      <c r="O21" s="31"/>
    </row>
    <row r="22" spans="1:15">
      <c r="A22" s="177"/>
      <c r="B22" s="177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47"/>
      <c r="O22" s="31"/>
    </row>
    <row r="23" spans="1:15">
      <c r="A23" s="180" t="s">
        <v>146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46"/>
      <c r="O23" s="31"/>
    </row>
    <row r="24" spans="1:15">
      <c r="A24" s="180"/>
      <c r="B24" s="131"/>
      <c r="C24" s="131"/>
      <c r="D24" s="131"/>
      <c r="E24" s="131"/>
      <c r="F24" s="131"/>
      <c r="G24" s="131"/>
      <c r="H24" s="187" t="s">
        <v>154</v>
      </c>
      <c r="I24" s="131"/>
      <c r="J24" s="189" t="s">
        <v>151</v>
      </c>
      <c r="K24" s="131"/>
      <c r="L24" s="187" t="s">
        <v>154</v>
      </c>
      <c r="M24" s="131"/>
      <c r="N24" s="189" t="s">
        <v>151</v>
      </c>
      <c r="O24" s="31"/>
    </row>
    <row r="25" spans="1:15">
      <c r="A25" s="180"/>
      <c r="B25" s="131"/>
      <c r="C25" s="131"/>
      <c r="D25" s="131"/>
      <c r="E25" s="131"/>
      <c r="F25" s="131"/>
      <c r="G25" s="131"/>
      <c r="H25" s="187" t="s">
        <v>152</v>
      </c>
      <c r="I25" s="131"/>
      <c r="J25" s="189" t="s">
        <v>156</v>
      </c>
      <c r="K25" s="131"/>
      <c r="L25" s="187" t="s">
        <v>158</v>
      </c>
      <c r="M25" s="131"/>
      <c r="N25" s="189" t="s">
        <v>160</v>
      </c>
      <c r="O25" s="31"/>
    </row>
    <row r="26" spans="1:15">
      <c r="A26" s="180"/>
      <c r="B26" s="131"/>
      <c r="C26" s="131"/>
      <c r="D26" s="131"/>
      <c r="E26" s="131"/>
      <c r="F26" s="188" t="s">
        <v>151</v>
      </c>
      <c r="G26" s="131"/>
      <c r="H26" s="188" t="s">
        <v>153</v>
      </c>
      <c r="I26" s="131"/>
      <c r="J26" s="190" t="s">
        <v>157</v>
      </c>
      <c r="K26" s="131"/>
      <c r="L26" s="188" t="s">
        <v>159</v>
      </c>
      <c r="M26" s="131"/>
      <c r="N26" s="191" t="s">
        <v>157</v>
      </c>
      <c r="O26" s="31"/>
    </row>
    <row r="27" spans="1:15">
      <c r="A27" s="169" t="s">
        <v>139</v>
      </c>
      <c r="B27" s="131"/>
      <c r="C27" s="131"/>
      <c r="D27" s="131"/>
      <c r="E27" s="131"/>
      <c r="F27" s="129">
        <v>141947</v>
      </c>
      <c r="G27" s="131"/>
      <c r="H27" s="182">
        <v>0.49090457251500325</v>
      </c>
      <c r="I27" s="131"/>
      <c r="J27" s="129">
        <f>F27*H27</f>
        <v>69682.431354787172</v>
      </c>
      <c r="K27" s="131"/>
      <c r="L27" s="57">
        <f>COC!$H$16</f>
        <v>0.11885083349999999</v>
      </c>
      <c r="M27" s="131"/>
      <c r="N27" s="129">
        <f>J27*L27</f>
        <v>8281.8150468229887</v>
      </c>
      <c r="O27" s="31"/>
    </row>
    <row r="28" spans="1:15">
      <c r="A28" s="169" t="s">
        <v>143</v>
      </c>
      <c r="B28" s="131"/>
      <c r="C28" s="131"/>
      <c r="D28" s="131"/>
      <c r="E28" s="131"/>
      <c r="F28" s="129">
        <v>163960</v>
      </c>
      <c r="G28" s="131"/>
      <c r="H28" s="182">
        <v>0.49090457251500325</v>
      </c>
      <c r="I28" s="131"/>
      <c r="J28" s="129">
        <f>F28*H28</f>
        <v>80488.713709559932</v>
      </c>
      <c r="K28" s="131"/>
      <c r="L28" s="57">
        <f>COC!$H$16</f>
        <v>0.11885083349999999</v>
      </c>
      <c r="M28" s="131"/>
      <c r="N28" s="129">
        <f t="shared" ref="N28" si="2">J28*L28</f>
        <v>9566.1507117240744</v>
      </c>
      <c r="O28" s="31"/>
    </row>
    <row r="29" spans="1:15">
      <c r="A29" s="169" t="s">
        <v>147</v>
      </c>
      <c r="B29" s="131"/>
      <c r="C29" s="131"/>
      <c r="D29" s="131"/>
      <c r="E29" s="131"/>
      <c r="F29" s="35">
        <v>380148</v>
      </c>
      <c r="G29" s="131"/>
      <c r="H29" s="182">
        <v>0.49090457251500325</v>
      </c>
      <c r="I29" s="131"/>
      <c r="J29" s="35">
        <f>F29*H29</f>
        <v>186616.39143243345</v>
      </c>
      <c r="K29" s="131"/>
      <c r="L29" s="57">
        <f>COC!$H$16</f>
        <v>0.11885083349999999</v>
      </c>
      <c r="M29" s="131"/>
      <c r="N29" s="35">
        <f>J29*L29</f>
        <v>22179.513666506973</v>
      </c>
      <c r="O29" s="31"/>
    </row>
    <row r="30" spans="1:15">
      <c r="A30" s="177"/>
      <c r="B30" s="131"/>
      <c r="C30" s="131"/>
      <c r="D30" s="131"/>
      <c r="E30" s="131"/>
      <c r="F30" s="129"/>
      <c r="G30" s="131"/>
      <c r="H30" s="131"/>
      <c r="I30" s="131"/>
      <c r="J30" s="129"/>
      <c r="K30" s="131"/>
      <c r="L30" s="131"/>
      <c r="M30" s="131"/>
      <c r="N30" s="129"/>
      <c r="O30" s="31"/>
    </row>
    <row r="31" spans="1:15" ht="13.5" thickBot="1">
      <c r="A31" s="172" t="s">
        <v>169</v>
      </c>
      <c r="B31" s="131"/>
      <c r="C31" s="131"/>
      <c r="D31" s="131"/>
      <c r="E31" s="131"/>
      <c r="F31" s="181">
        <f>SUM(F27:F29)</f>
        <v>686055</v>
      </c>
      <c r="G31" s="131"/>
      <c r="H31" s="131"/>
      <c r="I31" s="131"/>
      <c r="J31" s="181">
        <f>SUM(J27:J29)</f>
        <v>336787.53649678058</v>
      </c>
      <c r="K31" s="131"/>
      <c r="L31" s="131"/>
      <c r="M31" s="131"/>
      <c r="N31" s="181">
        <f>SUM(N27:N29)</f>
        <v>40027.479425054036</v>
      </c>
      <c r="O31" s="31"/>
    </row>
    <row r="32" spans="1:15" ht="13.5" thickTop="1">
      <c r="A32" s="172"/>
      <c r="B32" s="131"/>
      <c r="C32" s="131"/>
      <c r="D32" s="131"/>
      <c r="E32" s="131"/>
      <c r="F32" s="129"/>
      <c r="G32" s="131"/>
      <c r="H32" s="131"/>
      <c r="I32" s="131"/>
      <c r="J32" s="129"/>
      <c r="K32" s="131"/>
      <c r="L32" s="131"/>
      <c r="M32" s="131"/>
      <c r="N32" s="129"/>
      <c r="O32" s="31"/>
    </row>
    <row r="33" spans="1:15">
      <c r="A33" s="172"/>
      <c r="B33" s="131"/>
      <c r="C33" s="131"/>
      <c r="D33" s="131"/>
      <c r="E33" s="131"/>
      <c r="F33" s="129"/>
      <c r="G33" s="131"/>
      <c r="H33" s="131"/>
      <c r="I33" s="131"/>
      <c r="J33" s="129"/>
      <c r="K33" s="131"/>
      <c r="L33" s="131"/>
      <c r="M33" s="131"/>
      <c r="N33" s="129"/>
      <c r="O33" s="31"/>
    </row>
    <row r="34" spans="1:15">
      <c r="A34" s="172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29"/>
      <c r="O34" s="31"/>
    </row>
    <row r="35" spans="1:15" ht="13.5" thickBot="1">
      <c r="A35" s="180" t="s">
        <v>178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92">
        <f>N20+N31</f>
        <v>204286.09929367588</v>
      </c>
      <c r="O35" s="31"/>
    </row>
    <row r="36" spans="1:15" ht="13.5" thickTop="1">
      <c r="A36" s="18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46"/>
      <c r="O36" s="31"/>
    </row>
  </sheetData>
  <mergeCells count="5">
    <mergeCell ref="A1:N1"/>
    <mergeCell ref="A2:N2"/>
    <mergeCell ref="A3:N3"/>
    <mergeCell ref="A4:N4"/>
    <mergeCell ref="A5:N5"/>
  </mergeCells>
  <pageMargins left="0.64" right="0.75" top="1" bottom="1" header="0.5" footer="0.5"/>
  <pageSetup orientation="landscape" r:id="rId1"/>
  <headerFooter alignWithMargins="0">
    <oddHeader>&amp;RExhibit___(LK-6)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sqref="A1:M29"/>
    </sheetView>
  </sheetViews>
  <sheetFormatPr defaultRowHeight="12.75"/>
  <cols>
    <col min="1" max="1" width="23.85546875" customWidth="1"/>
    <col min="2" max="2" width="7" customWidth="1"/>
    <col min="3" max="3" width="13.85546875" customWidth="1"/>
    <col min="4" max="4" width="3.140625" customWidth="1"/>
    <col min="5" max="5" width="13.85546875" customWidth="1"/>
    <col min="6" max="6" width="3" customWidth="1"/>
    <col min="7" max="7" width="11.7109375" customWidth="1"/>
    <col min="8" max="8" width="3.140625" customWidth="1"/>
    <col min="9" max="9" width="13.140625" customWidth="1"/>
    <col min="10" max="10" width="3.140625" customWidth="1"/>
    <col min="11" max="11" width="12.7109375" customWidth="1"/>
    <col min="12" max="12" width="3.140625" customWidth="1"/>
    <col min="13" max="13" width="13.42578125" customWidth="1"/>
    <col min="15" max="15" width="10" bestFit="1" customWidth="1"/>
  </cols>
  <sheetData>
    <row r="1" spans="1:14">
      <c r="A1" s="225" t="s">
        <v>155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>
      <c r="A2" s="226" t="s">
        <v>250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4">
      <c r="A3" s="226" t="s">
        <v>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4">
      <c r="A4" s="226" t="s">
        <v>204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4">
      <c r="A5" s="225" t="s">
        <v>145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4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4">
      <c r="A7" s="173" t="s">
        <v>138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4">
      <c r="M8" s="186"/>
    </row>
    <row r="9" spans="1:14">
      <c r="A9" s="180" t="s">
        <v>144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46"/>
      <c r="N9" s="31"/>
    </row>
    <row r="10" spans="1:14">
      <c r="A10" s="180"/>
      <c r="B10" s="131"/>
      <c r="C10" s="131"/>
      <c r="D10" s="131"/>
      <c r="E10" s="187" t="s">
        <v>162</v>
      </c>
      <c r="F10" s="131"/>
      <c r="G10" s="187" t="s">
        <v>154</v>
      </c>
      <c r="H10" s="131"/>
      <c r="I10" s="189" t="s">
        <v>151</v>
      </c>
      <c r="J10" s="131"/>
      <c r="K10" s="187" t="s">
        <v>154</v>
      </c>
      <c r="L10" s="131"/>
      <c r="M10" s="189" t="s">
        <v>167</v>
      </c>
      <c r="N10" s="31"/>
    </row>
    <row r="11" spans="1:14">
      <c r="A11" s="180"/>
      <c r="B11" s="131"/>
      <c r="C11" s="131"/>
      <c r="D11" s="131"/>
      <c r="E11" s="187" t="s">
        <v>90</v>
      </c>
      <c r="F11" s="131"/>
      <c r="G11" s="187" t="s">
        <v>152</v>
      </c>
      <c r="H11" s="131"/>
      <c r="I11" s="189" t="s">
        <v>156</v>
      </c>
      <c r="J11" s="131"/>
      <c r="K11" s="187" t="s">
        <v>158</v>
      </c>
      <c r="L11" s="131"/>
      <c r="M11" s="189" t="s">
        <v>160</v>
      </c>
      <c r="N11" s="31"/>
    </row>
    <row r="12" spans="1:14">
      <c r="A12" s="180"/>
      <c r="B12" s="131"/>
      <c r="C12" s="188" t="s">
        <v>151</v>
      </c>
      <c r="D12" s="187"/>
      <c r="E12" s="193" t="s">
        <v>163</v>
      </c>
      <c r="F12" s="131"/>
      <c r="G12" s="188" t="s">
        <v>153</v>
      </c>
      <c r="H12" s="131"/>
      <c r="I12" s="190" t="s">
        <v>157</v>
      </c>
      <c r="J12" s="131"/>
      <c r="K12" s="188" t="s">
        <v>159</v>
      </c>
      <c r="L12" s="131"/>
      <c r="M12" s="191" t="s">
        <v>157</v>
      </c>
      <c r="N12" s="31"/>
    </row>
    <row r="13" spans="1:14">
      <c r="A13" s="169" t="s">
        <v>164</v>
      </c>
      <c r="B13" s="131"/>
      <c r="C13" s="129">
        <v>24316653</v>
      </c>
      <c r="D13" s="129"/>
      <c r="E13" s="129">
        <f>C13/0.389</f>
        <v>62510676.092544988</v>
      </c>
      <c r="F13" s="131"/>
      <c r="G13" s="182">
        <v>5.2575879716356848E-2</v>
      </c>
      <c r="H13" s="131"/>
      <c r="I13" s="129">
        <f>E13*G13</f>
        <v>3286553.787229789</v>
      </c>
      <c r="J13" s="131"/>
      <c r="K13" s="57">
        <f>COC!$H$16</f>
        <v>0.11885083349999999</v>
      </c>
      <c r="L13" s="131"/>
      <c r="M13" s="129">
        <f>I13*K13</f>
        <v>390609.65695484204</v>
      </c>
      <c r="N13" s="31"/>
    </row>
    <row r="14" spans="1:14">
      <c r="A14" s="169" t="s">
        <v>165</v>
      </c>
      <c r="B14" s="131"/>
      <c r="C14" s="129">
        <v>1534495</v>
      </c>
      <c r="D14" s="129"/>
      <c r="E14" s="129">
        <f t="shared" ref="E14:E15" si="0">C14/0.389</f>
        <v>3944717.2236503856</v>
      </c>
      <c r="F14" s="131"/>
      <c r="G14" s="182">
        <v>5.2575879716356848E-2</v>
      </c>
      <c r="H14" s="131"/>
      <c r="I14" s="129">
        <f t="shared" ref="I14:I15" si="1">E14*G14</f>
        <v>207396.97826568381</v>
      </c>
      <c r="J14" s="131"/>
      <c r="K14" s="57">
        <f>COC!$H$16</f>
        <v>0.11885083349999999</v>
      </c>
      <c r="L14" s="131"/>
      <c r="M14" s="129">
        <f t="shared" ref="M14:M15" si="2">I14*K14</f>
        <v>24649.303732257904</v>
      </c>
      <c r="N14" s="31"/>
    </row>
    <row r="15" spans="1:14">
      <c r="A15" s="169" t="s">
        <v>166</v>
      </c>
      <c r="B15" s="131"/>
      <c r="C15" s="35">
        <v>4119248</v>
      </c>
      <c r="D15" s="129"/>
      <c r="E15" s="35">
        <f t="shared" si="0"/>
        <v>10589326.478149099</v>
      </c>
      <c r="F15" s="131"/>
      <c r="G15" s="182">
        <v>5.2575879716356848E-2</v>
      </c>
      <c r="H15" s="131"/>
      <c r="I15" s="35">
        <f t="shared" si="1"/>
        <v>556743.15519239975</v>
      </c>
      <c r="J15" s="131"/>
      <c r="K15" s="57">
        <f>COC!$H$16</f>
        <v>0.11885083349999999</v>
      </c>
      <c r="L15" s="131"/>
      <c r="M15" s="35">
        <f t="shared" si="2"/>
        <v>66169.38804003656</v>
      </c>
      <c r="N15" s="31"/>
    </row>
    <row r="16" spans="1:14">
      <c r="A16" s="177"/>
      <c r="B16" s="131"/>
      <c r="C16" s="129"/>
      <c r="D16" s="129"/>
      <c r="E16" s="129"/>
      <c r="F16" s="131"/>
      <c r="G16" s="131"/>
      <c r="H16" s="131"/>
      <c r="I16" s="129"/>
      <c r="J16" s="131"/>
      <c r="K16" s="131"/>
      <c r="L16" s="131"/>
      <c r="M16" s="129"/>
      <c r="N16" s="31"/>
    </row>
    <row r="17" spans="1:14" ht="13.5" thickBot="1">
      <c r="A17" s="172" t="s">
        <v>168</v>
      </c>
      <c r="B17" s="131"/>
      <c r="C17" s="181">
        <f>SUM(C13:C16)</f>
        <v>29970396</v>
      </c>
      <c r="D17" s="129"/>
      <c r="E17" s="181">
        <f>SUM(E13:E16)</f>
        <v>77044719.79434447</v>
      </c>
      <c r="F17" s="131"/>
      <c r="G17" s="131"/>
      <c r="H17" s="131"/>
      <c r="I17" s="181">
        <f>SUM(I13:I16)</f>
        <v>4050693.9206878725</v>
      </c>
      <c r="J17" s="131"/>
      <c r="K17" s="131"/>
      <c r="L17" s="131"/>
      <c r="M17" s="181">
        <f>SUM(M13:M16)</f>
        <v>481428.3487271365</v>
      </c>
      <c r="N17" s="31"/>
    </row>
    <row r="18" spans="1:14" ht="13.5" thickTop="1">
      <c r="A18" s="172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29"/>
      <c r="N18" s="31"/>
    </row>
    <row r="19" spans="1:14">
      <c r="A19" s="177"/>
      <c r="B19" s="177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47"/>
      <c r="N19" s="31"/>
    </row>
    <row r="20" spans="1:14">
      <c r="A20" s="180" t="s">
        <v>146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46"/>
      <c r="N20" s="31"/>
    </row>
    <row r="21" spans="1:14">
      <c r="A21" s="180"/>
      <c r="B21" s="131"/>
      <c r="C21" s="131"/>
      <c r="D21" s="131"/>
      <c r="E21" s="187" t="s">
        <v>162</v>
      </c>
      <c r="F21" s="131"/>
      <c r="G21" s="187" t="s">
        <v>154</v>
      </c>
      <c r="H21" s="131"/>
      <c r="I21" s="189" t="s">
        <v>151</v>
      </c>
      <c r="J21" s="131"/>
      <c r="K21" s="187" t="s">
        <v>154</v>
      </c>
      <c r="L21" s="131"/>
      <c r="M21" s="189" t="s">
        <v>151</v>
      </c>
      <c r="N21" s="31"/>
    </row>
    <row r="22" spans="1:14">
      <c r="A22" s="180"/>
      <c r="B22" s="131"/>
      <c r="C22" s="131"/>
      <c r="D22" s="131"/>
      <c r="E22" s="187" t="s">
        <v>90</v>
      </c>
      <c r="F22" s="131"/>
      <c r="G22" s="187" t="s">
        <v>152</v>
      </c>
      <c r="H22" s="131"/>
      <c r="I22" s="189" t="s">
        <v>156</v>
      </c>
      <c r="J22" s="131"/>
      <c r="K22" s="187" t="s">
        <v>158</v>
      </c>
      <c r="L22" s="131"/>
      <c r="M22" s="189" t="s">
        <v>160</v>
      </c>
      <c r="N22" s="31"/>
    </row>
    <row r="23" spans="1:14">
      <c r="A23" s="180"/>
      <c r="B23" s="131"/>
      <c r="C23" s="188" t="s">
        <v>151</v>
      </c>
      <c r="D23" s="187"/>
      <c r="E23" s="193" t="s">
        <v>163</v>
      </c>
      <c r="F23" s="131"/>
      <c r="G23" s="188" t="s">
        <v>153</v>
      </c>
      <c r="H23" s="131"/>
      <c r="I23" s="190" t="s">
        <v>157</v>
      </c>
      <c r="J23" s="131"/>
      <c r="K23" s="188" t="s">
        <v>159</v>
      </c>
      <c r="L23" s="131"/>
      <c r="M23" s="190" t="s">
        <v>157</v>
      </c>
      <c r="N23" s="31"/>
    </row>
    <row r="24" spans="1:14" ht="13.5" thickBot="1">
      <c r="A24" s="169" t="s">
        <v>164</v>
      </c>
      <c r="B24" s="131"/>
      <c r="C24" s="63">
        <v>1364197</v>
      </c>
      <c r="D24" s="129"/>
      <c r="E24" s="63">
        <f>C24/0.389</f>
        <v>3506933.1619537272</v>
      </c>
      <c r="F24" s="131"/>
      <c r="G24" s="182">
        <v>0.49090457251500325</v>
      </c>
      <c r="H24" s="131"/>
      <c r="I24" s="63">
        <f>E24*G24</f>
        <v>1721569.524707583</v>
      </c>
      <c r="J24" s="131"/>
      <c r="K24" s="57">
        <f>COC!$H$16</f>
        <v>0.11885083349999999</v>
      </c>
      <c r="L24" s="131"/>
      <c r="M24" s="63">
        <f>I24*K24</f>
        <v>204609.97293969506</v>
      </c>
      <c r="N24" s="31"/>
    </row>
    <row r="25" spans="1:14" ht="13.5" thickTop="1">
      <c r="A25" s="177"/>
      <c r="B25" s="131"/>
      <c r="C25" s="129"/>
      <c r="D25" s="129"/>
      <c r="E25" s="129"/>
      <c r="F25" s="131"/>
      <c r="G25" s="131"/>
      <c r="H25" s="131"/>
      <c r="I25" s="129"/>
      <c r="J25" s="131"/>
      <c r="K25" s="131"/>
      <c r="L25" s="131"/>
      <c r="M25" s="129"/>
      <c r="N25" s="31"/>
    </row>
    <row r="26" spans="1:14">
      <c r="A26" s="172"/>
      <c r="B26" s="131"/>
      <c r="C26" s="129"/>
      <c r="D26" s="129"/>
      <c r="E26" s="129"/>
      <c r="F26" s="131"/>
      <c r="G26" s="131"/>
      <c r="H26" s="131"/>
      <c r="I26" s="129"/>
      <c r="J26" s="131"/>
      <c r="K26" s="131"/>
      <c r="L26" s="131"/>
      <c r="M26" s="129"/>
      <c r="N26" s="31"/>
    </row>
    <row r="27" spans="1:14">
      <c r="A27" s="172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29"/>
      <c r="N27" s="31"/>
    </row>
    <row r="28" spans="1:14" ht="13.5" thickBot="1">
      <c r="A28" s="180" t="s">
        <v>170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92">
        <f>M17+M24</f>
        <v>686038.32166683162</v>
      </c>
      <c r="N28" s="31"/>
    </row>
    <row r="29" spans="1:14" ht="13.5" thickTop="1">
      <c r="A29" s="18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46"/>
      <c r="N29" s="31"/>
    </row>
  </sheetData>
  <mergeCells count="5">
    <mergeCell ref="A5:M5"/>
    <mergeCell ref="A1:M1"/>
    <mergeCell ref="A2:M2"/>
    <mergeCell ref="A3:M3"/>
    <mergeCell ref="A4:M4"/>
  </mergeCells>
  <pageMargins left="0.64" right="0.75" top="1" bottom="1" header="0.5" footer="0.5"/>
  <pageSetup orientation="landscape" r:id="rId1"/>
  <headerFooter alignWithMargins="0">
    <oddHeader>&amp;RExhibit___(LK-7)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workbookViewId="0">
      <selection sqref="A1:E1"/>
    </sheetView>
  </sheetViews>
  <sheetFormatPr defaultRowHeight="12.75"/>
  <cols>
    <col min="1" max="1" width="28.7109375" customWidth="1"/>
    <col min="2" max="2" width="5.7109375" customWidth="1"/>
    <col min="3" max="3" width="11.7109375" customWidth="1"/>
    <col min="4" max="4" width="3.7109375" customWidth="1"/>
    <col min="5" max="5" width="11.7109375" customWidth="1"/>
    <col min="7" max="7" width="10" bestFit="1" customWidth="1"/>
    <col min="9" max="9" width="20.5703125" customWidth="1"/>
    <col min="10" max="10" width="5.7109375" customWidth="1"/>
    <col min="11" max="11" width="12.5703125" customWidth="1"/>
    <col min="12" max="12" width="3.7109375" customWidth="1"/>
    <col min="13" max="13" width="11.28515625" bestFit="1" customWidth="1"/>
    <col min="14" max="14" width="3.7109375" customWidth="1"/>
  </cols>
  <sheetData>
    <row r="1" spans="1:15" ht="15.75">
      <c r="A1" s="230" t="s">
        <v>172</v>
      </c>
      <c r="B1" s="230"/>
      <c r="C1" s="230"/>
      <c r="D1" s="230"/>
      <c r="E1" s="230"/>
      <c r="I1" s="230" t="s">
        <v>176</v>
      </c>
      <c r="J1" s="230"/>
      <c r="K1" s="230"/>
      <c r="L1" s="230"/>
      <c r="M1" s="230"/>
      <c r="N1" s="230"/>
      <c r="O1" s="230"/>
    </row>
    <row r="2" spans="1:15" ht="15.75">
      <c r="A2" s="228" t="s">
        <v>145</v>
      </c>
      <c r="B2" s="228"/>
      <c r="C2" s="228"/>
      <c r="D2" s="228"/>
      <c r="E2" s="228"/>
      <c r="I2" s="228" t="s">
        <v>145</v>
      </c>
      <c r="J2" s="228"/>
      <c r="K2" s="228"/>
      <c r="L2" s="228"/>
      <c r="M2" s="228"/>
      <c r="N2" s="228"/>
      <c r="O2" s="228"/>
    </row>
    <row r="3" spans="1:15">
      <c r="A3" s="180"/>
      <c r="B3" s="131"/>
      <c r="C3" s="131"/>
      <c r="D3" s="131"/>
      <c r="E3" s="189" t="s">
        <v>193</v>
      </c>
      <c r="F3" s="31"/>
      <c r="I3" s="21"/>
      <c r="J3" s="21"/>
      <c r="K3" s="21"/>
      <c r="L3" s="21"/>
      <c r="M3" s="21"/>
      <c r="N3" s="21"/>
      <c r="O3" s="21"/>
    </row>
    <row r="4" spans="1:15">
      <c r="A4" s="194" t="s">
        <v>173</v>
      </c>
      <c r="B4" s="131"/>
      <c r="C4" s="188" t="s">
        <v>151</v>
      </c>
      <c r="D4" s="131"/>
      <c r="E4" s="191" t="s">
        <v>175</v>
      </c>
      <c r="F4" s="31"/>
      <c r="I4" s="180"/>
      <c r="J4" s="131"/>
      <c r="K4" s="187"/>
      <c r="L4" s="131"/>
      <c r="M4" s="187" t="s">
        <v>161</v>
      </c>
      <c r="N4" s="131"/>
      <c r="O4" s="189" t="s">
        <v>193</v>
      </c>
    </row>
    <row r="5" spans="1:15">
      <c r="A5" s="169" t="s">
        <v>139</v>
      </c>
      <c r="B5" s="131"/>
      <c r="C5" s="129">
        <v>1253998</v>
      </c>
      <c r="D5" s="131"/>
      <c r="E5" s="129">
        <f>'190 ADIT-First Category'!N13</f>
        <v>7835.8411589868292</v>
      </c>
      <c r="F5" s="31"/>
      <c r="I5" s="194" t="s">
        <v>173</v>
      </c>
      <c r="J5" s="131"/>
      <c r="K5" s="188" t="s">
        <v>151</v>
      </c>
      <c r="L5" s="131"/>
      <c r="M5" s="188" t="s">
        <v>90</v>
      </c>
      <c r="N5" s="131"/>
      <c r="O5" s="191" t="s">
        <v>175</v>
      </c>
    </row>
    <row r="6" spans="1:15">
      <c r="A6" s="169" t="s">
        <v>140</v>
      </c>
      <c r="B6" s="131"/>
      <c r="C6" s="129">
        <v>4576432</v>
      </c>
      <c r="D6" s="131"/>
      <c r="E6" s="129">
        <f>'190 ADIT-First Category'!N14</f>
        <v>28596.691722717591</v>
      </c>
      <c r="F6" s="31"/>
      <c r="I6" s="169" t="s">
        <v>164</v>
      </c>
      <c r="J6" s="131"/>
      <c r="K6" s="129">
        <f>'190 ADIT-Second Category'!C13</f>
        <v>24316653</v>
      </c>
      <c r="L6" s="131"/>
      <c r="M6" s="129">
        <f>'190 ADIT-Second Category'!E13</f>
        <v>62510676.092544988</v>
      </c>
      <c r="N6" s="131"/>
      <c r="O6" s="129">
        <f>'190 ADIT-Second Category'!M13</f>
        <v>390609.65695484204</v>
      </c>
    </row>
    <row r="7" spans="1:15">
      <c r="A7" s="169" t="s">
        <v>141</v>
      </c>
      <c r="B7" s="131"/>
      <c r="C7" s="129">
        <v>7385565</v>
      </c>
      <c r="D7" s="131"/>
      <c r="E7" s="129">
        <f>'190 ADIT-First Category'!N15</f>
        <v>46150.084935839259</v>
      </c>
      <c r="F7" s="31"/>
      <c r="I7" s="169" t="s">
        <v>165</v>
      </c>
      <c r="J7" s="131"/>
      <c r="K7" s="129">
        <f>'190 ADIT-Second Category'!C14</f>
        <v>1534495</v>
      </c>
      <c r="L7" s="131"/>
      <c r="M7" s="129">
        <f>'190 ADIT-Second Category'!E14</f>
        <v>3944717.2236503856</v>
      </c>
      <c r="N7" s="131"/>
      <c r="O7" s="129">
        <f>'190 ADIT-Second Category'!M14</f>
        <v>24649.303732257904</v>
      </c>
    </row>
    <row r="8" spans="1:15">
      <c r="A8" s="169" t="s">
        <v>142</v>
      </c>
      <c r="B8" s="131"/>
      <c r="C8" s="129">
        <v>9513920</v>
      </c>
      <c r="D8" s="131"/>
      <c r="E8" s="129">
        <f>'190 ADIT-First Category'!N16</f>
        <v>59449.509424503049</v>
      </c>
      <c r="F8" s="31"/>
      <c r="I8" s="169" t="s">
        <v>166</v>
      </c>
      <c r="J8" s="131"/>
      <c r="K8" s="35">
        <f>'190 ADIT-Second Category'!C15</f>
        <v>4119248</v>
      </c>
      <c r="L8" s="131"/>
      <c r="M8" s="35">
        <f>'190 ADIT-Second Category'!E15</f>
        <v>10589326.478149099</v>
      </c>
      <c r="N8" s="131"/>
      <c r="O8" s="35">
        <f>'190 ADIT-Second Category'!M15</f>
        <v>66169.38804003656</v>
      </c>
    </row>
    <row r="9" spans="1:15">
      <c r="A9" s="169" t="s">
        <v>143</v>
      </c>
      <c r="B9" s="131"/>
      <c r="C9" s="129">
        <v>10525877</v>
      </c>
      <c r="D9" s="131"/>
      <c r="E9" s="129">
        <f>'190 ADIT-First Category'!N17</f>
        <v>65772.912102756789</v>
      </c>
      <c r="F9" s="31"/>
      <c r="I9" s="177"/>
      <c r="J9" s="131"/>
      <c r="K9" s="129"/>
      <c r="L9" s="131"/>
      <c r="M9" s="129"/>
      <c r="N9" s="131"/>
      <c r="O9" s="129"/>
    </row>
    <row r="10" spans="1:15" ht="13.5" thickBot="1">
      <c r="A10" s="169" t="s">
        <v>171</v>
      </c>
      <c r="B10" s="131"/>
      <c r="C10" s="35">
        <f>'190 ADIT-First Category'!F18</f>
        <v>-6968891</v>
      </c>
      <c r="D10" s="131"/>
      <c r="E10" s="35">
        <f>'190 ADIT-First Category'!N18</f>
        <v>-43546.419476181683</v>
      </c>
      <c r="F10" s="31"/>
      <c r="I10" s="172" t="s">
        <v>168</v>
      </c>
      <c r="J10" s="131"/>
      <c r="K10" s="181">
        <f>SUM(K6:K9)</f>
        <v>29970396</v>
      </c>
      <c r="L10" s="131"/>
      <c r="M10" s="181">
        <f>SUM(M6:M9)</f>
        <v>77044719.79434447</v>
      </c>
      <c r="N10" s="131"/>
      <c r="O10" s="181">
        <f>SUM(O6:O9)</f>
        <v>481428.3487271365</v>
      </c>
    </row>
    <row r="11" spans="1:15" ht="12.75" customHeight="1" thickTop="1">
      <c r="A11" s="177"/>
      <c r="B11" s="131"/>
      <c r="C11" s="129"/>
      <c r="D11" s="131"/>
      <c r="E11" s="129"/>
      <c r="F11" s="31"/>
      <c r="I11" s="172"/>
      <c r="J11" s="131"/>
      <c r="K11" s="131"/>
      <c r="L11" s="131"/>
      <c r="M11" s="131"/>
      <c r="N11" s="131"/>
      <c r="O11" s="129"/>
    </row>
    <row r="12" spans="1:15" ht="13.5" thickBot="1">
      <c r="A12" s="172" t="s">
        <v>168</v>
      </c>
      <c r="B12" s="131"/>
      <c r="C12" s="181">
        <f>SUM(C5:C11)</f>
        <v>26286901</v>
      </c>
      <c r="D12" s="131"/>
      <c r="E12" s="181">
        <f>SUM(E5:E11)</f>
        <v>164258.61986862184</v>
      </c>
      <c r="F12" s="31"/>
      <c r="I12" s="194" t="s">
        <v>174</v>
      </c>
      <c r="J12" s="131"/>
      <c r="K12" s="187"/>
      <c r="L12" s="131"/>
      <c r="M12" s="187"/>
      <c r="N12" s="131"/>
      <c r="O12" s="189"/>
    </row>
    <row r="13" spans="1:15" ht="13.5" thickTop="1">
      <c r="A13" s="172"/>
      <c r="B13" s="131"/>
      <c r="C13" s="131"/>
      <c r="D13" s="131"/>
      <c r="E13" s="129"/>
      <c r="F13" s="31"/>
      <c r="I13" s="169" t="s">
        <v>164</v>
      </c>
      <c r="J13" s="131"/>
      <c r="K13" s="129">
        <f>'190 ADIT-Second Category'!C24</f>
        <v>1364197</v>
      </c>
      <c r="L13" s="131"/>
      <c r="M13" s="129">
        <f>'190 ADIT-Second Category'!E24</f>
        <v>3506933.1619537272</v>
      </c>
      <c r="N13" s="131"/>
      <c r="O13" s="35">
        <f>'190 ADIT-Second Category'!M24</f>
        <v>204609.97293969506</v>
      </c>
    </row>
    <row r="14" spans="1:15">
      <c r="A14" s="194" t="s">
        <v>174</v>
      </c>
      <c r="B14" s="131"/>
      <c r="C14" s="187"/>
      <c r="D14" s="131"/>
      <c r="E14" s="189"/>
      <c r="F14" s="31"/>
      <c r="I14" s="172"/>
      <c r="J14" s="131"/>
      <c r="K14" s="131"/>
      <c r="L14" s="131"/>
      <c r="M14" s="129"/>
      <c r="N14" s="131"/>
      <c r="O14" s="129"/>
    </row>
    <row r="15" spans="1:15">
      <c r="A15" s="169" t="s">
        <v>139</v>
      </c>
      <c r="B15" s="131"/>
      <c r="C15" s="129">
        <v>141947</v>
      </c>
      <c r="D15" s="131"/>
      <c r="E15" s="129">
        <f>'190 ADIT-First Category'!N27</f>
        <v>8281.8150468229887</v>
      </c>
      <c r="F15" s="31"/>
      <c r="I15" s="172"/>
      <c r="J15" s="131"/>
      <c r="K15" s="131"/>
      <c r="L15" s="131"/>
      <c r="M15" s="131"/>
      <c r="N15" s="131"/>
      <c r="O15" s="129"/>
    </row>
    <row r="16" spans="1:15" ht="13.5" thickBot="1">
      <c r="A16" s="169" t="s">
        <v>143</v>
      </c>
      <c r="B16" s="131"/>
      <c r="C16" s="129">
        <v>163960</v>
      </c>
      <c r="D16" s="131"/>
      <c r="E16" s="129">
        <f>'190 ADIT-First Category'!N28</f>
        <v>9566.1507117240744</v>
      </c>
      <c r="F16" s="31"/>
      <c r="I16" s="177" t="s">
        <v>177</v>
      </c>
      <c r="J16" s="131"/>
      <c r="K16" s="131"/>
      <c r="L16" s="131"/>
      <c r="M16" s="131"/>
      <c r="N16" s="131"/>
      <c r="O16" s="181">
        <f>O10+O13</f>
        <v>686038.32166683162</v>
      </c>
    </row>
    <row r="17" spans="1:15" ht="13.5" thickTop="1">
      <c r="A17" s="169" t="s">
        <v>147</v>
      </c>
      <c r="B17" s="131"/>
      <c r="C17" s="35">
        <f>'190 ADIT-First Category'!F29</f>
        <v>380148</v>
      </c>
      <c r="D17" s="131"/>
      <c r="E17" s="35">
        <f>'190 ADIT-First Category'!N29</f>
        <v>22179.513666506973</v>
      </c>
      <c r="F17" s="31"/>
      <c r="I17" s="177"/>
      <c r="J17" s="131"/>
      <c r="K17" s="131"/>
      <c r="L17" s="131"/>
      <c r="M17" s="131"/>
      <c r="N17" s="131"/>
      <c r="O17" s="146"/>
    </row>
    <row r="18" spans="1:15" ht="12.75" customHeight="1">
      <c r="A18" s="177"/>
      <c r="B18" s="131"/>
      <c r="C18" s="129"/>
      <c r="D18" s="131"/>
      <c r="E18" s="129"/>
      <c r="F18" s="31"/>
    </row>
    <row r="19" spans="1:15" ht="13.5" thickBot="1">
      <c r="A19" s="172" t="s">
        <v>169</v>
      </c>
      <c r="B19" s="131"/>
      <c r="C19" s="181">
        <f>SUM(C15:C18)</f>
        <v>686055</v>
      </c>
      <c r="D19" s="131"/>
      <c r="E19" s="181">
        <f>SUM(E15:E18)</f>
        <v>40027.479425054036</v>
      </c>
      <c r="F19" s="31"/>
    </row>
    <row r="20" spans="1:15" ht="13.5" thickTop="1">
      <c r="A20" s="172"/>
      <c r="B20" s="131"/>
      <c r="C20" s="129"/>
      <c r="D20" s="131"/>
      <c r="E20" s="129"/>
      <c r="F20" s="31"/>
    </row>
    <row r="21" spans="1:15">
      <c r="A21" s="172"/>
      <c r="B21" s="131"/>
      <c r="C21" s="131"/>
      <c r="D21" s="131"/>
      <c r="E21" s="129"/>
      <c r="F21" s="31"/>
    </row>
    <row r="22" spans="1:15" ht="13.5" thickBot="1">
      <c r="A22" s="177" t="s">
        <v>177</v>
      </c>
      <c r="B22" s="131"/>
      <c r="C22" s="131"/>
      <c r="D22" s="131"/>
      <c r="E22" s="181">
        <f>E12+E19</f>
        <v>204286.09929367588</v>
      </c>
      <c r="F22" s="31"/>
    </row>
    <row r="23" spans="1:15" ht="13.5" thickTop="1">
      <c r="A23" s="180"/>
      <c r="B23" s="131"/>
      <c r="C23" s="131"/>
      <c r="D23" s="131"/>
      <c r="E23" s="146"/>
      <c r="F23" s="31"/>
    </row>
    <row r="24" spans="1:15">
      <c r="A24" s="180"/>
      <c r="B24" s="131"/>
      <c r="C24" s="131"/>
      <c r="D24" s="131"/>
      <c r="E24" s="146"/>
      <c r="F24" s="31"/>
    </row>
    <row r="26" spans="1:15" ht="15.75">
      <c r="A26" s="227"/>
      <c r="B26" s="227"/>
      <c r="C26" s="227"/>
      <c r="D26" s="227"/>
      <c r="E26" s="227"/>
    </row>
    <row r="27" spans="1:15" ht="15.75">
      <c r="A27" s="229"/>
      <c r="B27" s="229"/>
      <c r="C27" s="229"/>
      <c r="D27" s="229"/>
      <c r="E27" s="229"/>
    </row>
    <row r="28" spans="1:15">
      <c r="A28" s="125"/>
      <c r="B28" s="125"/>
      <c r="C28" s="125"/>
      <c r="D28" s="125"/>
      <c r="E28" s="125"/>
    </row>
    <row r="29" spans="1:15">
      <c r="A29" s="180"/>
      <c r="B29" s="131"/>
      <c r="C29" s="187"/>
      <c r="D29" s="131"/>
      <c r="E29" s="189"/>
    </row>
    <row r="30" spans="1:15">
      <c r="A30" s="194"/>
      <c r="B30" s="131"/>
      <c r="C30" s="187"/>
      <c r="D30" s="131"/>
      <c r="E30" s="189"/>
    </row>
    <row r="31" spans="1:15">
      <c r="A31" s="172"/>
      <c r="B31" s="131"/>
      <c r="C31" s="129"/>
      <c r="D31" s="131"/>
      <c r="E31" s="129"/>
    </row>
    <row r="32" spans="1:15">
      <c r="A32" s="172"/>
      <c r="B32" s="131"/>
      <c r="C32" s="129"/>
      <c r="D32" s="131"/>
      <c r="E32" s="129"/>
    </row>
    <row r="33" spans="1:5">
      <c r="A33" s="172"/>
      <c r="B33" s="131"/>
      <c r="C33" s="129"/>
      <c r="D33" s="131"/>
      <c r="E33" s="129"/>
    </row>
    <row r="34" spans="1:5" ht="5.25" customHeight="1">
      <c r="A34" s="177"/>
      <c r="B34" s="131"/>
      <c r="C34" s="129"/>
      <c r="D34" s="131"/>
      <c r="E34" s="129"/>
    </row>
    <row r="35" spans="1:5">
      <c r="A35" s="172"/>
      <c r="B35" s="131"/>
      <c r="C35" s="129"/>
      <c r="D35" s="131"/>
      <c r="E35" s="129"/>
    </row>
    <row r="36" spans="1:5">
      <c r="A36" s="172"/>
      <c r="B36" s="131"/>
      <c r="C36" s="131"/>
      <c r="D36" s="131"/>
      <c r="E36" s="129"/>
    </row>
    <row r="37" spans="1:5">
      <c r="A37" s="194"/>
      <c r="B37" s="131"/>
      <c r="C37" s="187"/>
      <c r="D37" s="131"/>
      <c r="E37" s="189"/>
    </row>
    <row r="38" spans="1:5">
      <c r="A38" s="172"/>
      <c r="B38" s="131"/>
      <c r="C38" s="129"/>
      <c r="D38" s="131"/>
      <c r="E38" s="129"/>
    </row>
    <row r="39" spans="1:5">
      <c r="A39" s="172"/>
      <c r="B39" s="131"/>
      <c r="C39" s="129"/>
      <c r="D39" s="131"/>
      <c r="E39" s="129"/>
    </row>
    <row r="40" spans="1:5">
      <c r="A40" s="172"/>
      <c r="B40" s="131"/>
      <c r="C40" s="131"/>
      <c r="D40" s="131"/>
      <c r="E40" s="129"/>
    </row>
    <row r="41" spans="1:5">
      <c r="A41" s="177"/>
      <c r="B41" s="131"/>
      <c r="C41" s="131"/>
      <c r="D41" s="131"/>
      <c r="E41" s="129"/>
    </row>
    <row r="42" spans="1:5">
      <c r="A42" s="177"/>
      <c r="B42" s="131"/>
      <c r="C42" s="131"/>
      <c r="D42" s="131"/>
      <c r="E42" s="146"/>
    </row>
    <row r="43" spans="1:5">
      <c r="A43" s="31"/>
      <c r="B43" s="31"/>
      <c r="C43" s="31"/>
      <c r="D43" s="31"/>
      <c r="E43" s="31"/>
    </row>
    <row r="44" spans="1:5">
      <c r="A44" s="31"/>
      <c r="B44" s="31"/>
      <c r="C44" s="31"/>
      <c r="D44" s="31"/>
      <c r="E44" s="31"/>
    </row>
  </sheetData>
  <mergeCells count="6">
    <mergeCell ref="A26:E26"/>
    <mergeCell ref="A2:E2"/>
    <mergeCell ref="A27:E27"/>
    <mergeCell ref="I1:O1"/>
    <mergeCell ref="I2:O2"/>
    <mergeCell ref="A1:E1"/>
  </mergeCells>
  <pageMargins left="0.64" right="0.75" top="1" bottom="1" header="0.5" footer="0.5"/>
  <pageSetup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37" sqref="A37"/>
    </sheetView>
  </sheetViews>
  <sheetFormatPr defaultRowHeight="12.75"/>
  <cols>
    <col min="2" max="2" width="10.42578125" customWidth="1"/>
    <col min="8" max="9" width="9.140625" customWidth="1"/>
    <col min="10" max="10" width="12" customWidth="1"/>
    <col min="11" max="11" width="13.42578125" customWidth="1"/>
    <col min="13" max="13" width="10" bestFit="1" customWidth="1"/>
  </cols>
  <sheetData>
    <row r="1" spans="1:12">
      <c r="A1" s="225" t="s">
        <v>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2">
      <c r="A2" s="226" t="s">
        <v>262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2">
      <c r="A3" s="226" t="s">
        <v>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2">
      <c r="A4" s="226" t="s">
        <v>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2">
      <c r="A5" s="225" t="s">
        <v>145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2">
      <c r="A7" s="173" t="s">
        <v>198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2">
      <c r="K8" s="170" t="s">
        <v>122</v>
      </c>
    </row>
    <row r="9" spans="1:12">
      <c r="K9" s="171" t="s">
        <v>123</v>
      </c>
    </row>
    <row r="10" spans="1:12">
      <c r="K10" s="21"/>
    </row>
    <row r="11" spans="1:12">
      <c r="A11" s="126" t="s">
        <v>125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46"/>
      <c r="L11" s="31"/>
    </row>
    <row r="12" spans="1:12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46"/>
      <c r="L12" s="31"/>
    </row>
    <row r="13" spans="1:12">
      <c r="A13" s="169" t="s">
        <v>194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77">
        <v>-227845749</v>
      </c>
      <c r="L13" s="31"/>
    </row>
    <row r="14" spans="1:12">
      <c r="A14" s="169"/>
      <c r="B14" s="127"/>
      <c r="C14" s="127"/>
      <c r="D14" s="127"/>
      <c r="E14" s="127"/>
      <c r="F14" s="127"/>
      <c r="G14" s="127"/>
      <c r="H14" s="127"/>
      <c r="I14" s="127"/>
      <c r="J14" s="127"/>
      <c r="K14" s="168"/>
      <c r="L14" s="31"/>
    </row>
    <row r="15" spans="1:12">
      <c r="A15" s="169"/>
      <c r="B15" s="127"/>
      <c r="C15" s="127"/>
      <c r="D15" s="127"/>
      <c r="E15" s="127"/>
      <c r="F15" s="127"/>
      <c r="G15" s="127"/>
      <c r="H15" s="127"/>
      <c r="I15" s="127"/>
      <c r="J15" s="127"/>
      <c r="K15" s="168"/>
      <c r="L15" s="31"/>
    </row>
    <row r="16" spans="1:12">
      <c r="A16" s="169" t="s">
        <v>195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68"/>
      <c r="L16" s="31"/>
    </row>
    <row r="17" spans="1:21">
      <c r="A17" s="169" t="s">
        <v>120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77">
        <v>407851903</v>
      </c>
      <c r="L17" s="31"/>
    </row>
    <row r="18" spans="1:21">
      <c r="A18" s="169" t="s">
        <v>121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43">
        <v>-2330152</v>
      </c>
      <c r="L18" s="31"/>
    </row>
    <row r="19" spans="1:21">
      <c r="A19" s="130"/>
      <c r="B19" s="127"/>
      <c r="C19" s="127"/>
      <c r="D19" s="127"/>
      <c r="E19" s="127"/>
      <c r="F19" s="127"/>
      <c r="G19" s="127"/>
      <c r="H19" s="127"/>
      <c r="I19" s="127"/>
      <c r="J19" s="127"/>
      <c r="K19" s="77"/>
      <c r="L19" s="31"/>
    </row>
    <row r="20" spans="1:21" ht="13.5" thickBot="1">
      <c r="A20" s="172" t="s">
        <v>196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44">
        <f>SUM(K17:K19)</f>
        <v>405521751</v>
      </c>
      <c r="L20" s="31"/>
    </row>
    <row r="21" spans="1:21" ht="13.5" thickTop="1">
      <c r="A21" s="172"/>
      <c r="B21" s="127"/>
      <c r="C21" s="127"/>
      <c r="D21" s="127"/>
      <c r="E21" s="127"/>
      <c r="F21" s="127"/>
      <c r="G21" s="127"/>
      <c r="H21" s="127"/>
      <c r="I21" s="127"/>
      <c r="J21" s="127"/>
      <c r="K21" s="77"/>
      <c r="L21" s="31"/>
    </row>
    <row r="22" spans="1:21">
      <c r="A22" s="172"/>
      <c r="B22" s="127"/>
      <c r="C22" s="127"/>
      <c r="D22" s="127"/>
      <c r="E22" s="127"/>
      <c r="F22" s="127"/>
      <c r="G22" s="127"/>
      <c r="H22" s="127"/>
      <c r="I22" s="127"/>
      <c r="J22" s="127"/>
      <c r="K22" s="77"/>
      <c r="L22" s="31"/>
    </row>
    <row r="23" spans="1:21">
      <c r="A23" s="130" t="s">
        <v>126</v>
      </c>
      <c r="B23" s="127"/>
      <c r="C23" s="127"/>
      <c r="D23" s="127"/>
      <c r="E23" s="127"/>
      <c r="F23" s="127"/>
      <c r="G23" s="127"/>
      <c r="H23" s="127"/>
      <c r="I23" s="127"/>
      <c r="J23" s="174">
        <v>0.1071</v>
      </c>
      <c r="K23" s="174"/>
      <c r="L23" s="31"/>
    </row>
    <row r="24" spans="1:21">
      <c r="A24" s="172" t="s">
        <v>124</v>
      </c>
      <c r="B24" s="127"/>
      <c r="C24" s="127"/>
      <c r="D24" s="127"/>
      <c r="E24" s="127"/>
      <c r="F24" s="127"/>
      <c r="G24" s="127"/>
      <c r="H24" s="127"/>
      <c r="I24" s="127"/>
      <c r="J24" s="176">
        <v>0.49090457251500325</v>
      </c>
      <c r="K24" s="175"/>
      <c r="L24" s="31"/>
    </row>
    <row r="25" spans="1:21">
      <c r="A25" s="130" t="s">
        <v>127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76">
        <f>J23*J24</f>
        <v>5.2575879716356848E-2</v>
      </c>
      <c r="L25" s="31"/>
    </row>
    <row r="26" spans="1:2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32"/>
      <c r="L26" s="31"/>
    </row>
    <row r="27" spans="1:21">
      <c r="A27" s="177" t="s">
        <v>128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68">
        <f>K20*K25</f>
        <v>21320662.802942414</v>
      </c>
      <c r="L27" s="31"/>
    </row>
    <row r="28" spans="1:21">
      <c r="A28" s="177"/>
      <c r="B28" s="130" t="s">
        <v>197</v>
      </c>
      <c r="C28" s="127"/>
      <c r="D28" s="127"/>
      <c r="E28" s="127"/>
      <c r="F28" s="127"/>
      <c r="G28" s="127"/>
      <c r="H28" s="127"/>
      <c r="I28" s="127"/>
      <c r="J28" s="127"/>
      <c r="K28" s="168"/>
      <c r="L28" s="31"/>
    </row>
    <row r="29" spans="1:2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32"/>
      <c r="L29" s="31"/>
    </row>
    <row r="30" spans="1:21">
      <c r="A30" s="177" t="s">
        <v>202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35">
        <v>8076557</v>
      </c>
      <c r="L30" s="177"/>
      <c r="M30" s="16"/>
      <c r="N30" s="16"/>
      <c r="O30" s="16"/>
      <c r="P30" s="16"/>
      <c r="Q30" s="16"/>
      <c r="R30" s="16"/>
      <c r="S30" s="16"/>
      <c r="T30" s="16"/>
      <c r="U30" s="16"/>
    </row>
    <row r="31" spans="1:21">
      <c r="A31" s="31"/>
      <c r="B31" s="127"/>
      <c r="C31" s="127"/>
      <c r="D31" s="127"/>
      <c r="E31" s="127"/>
      <c r="F31" s="127"/>
      <c r="G31" s="127"/>
      <c r="H31" s="127"/>
      <c r="I31" s="127"/>
      <c r="J31" s="127"/>
      <c r="K31" s="131"/>
      <c r="L31" s="200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3.5" thickBot="1">
      <c r="A32" s="177" t="s">
        <v>201</v>
      </c>
      <c r="B32" s="31"/>
      <c r="C32" s="31"/>
      <c r="D32" s="31"/>
      <c r="E32" s="31"/>
      <c r="F32" s="31"/>
      <c r="G32" s="31"/>
      <c r="H32" s="31"/>
      <c r="I32" s="31"/>
      <c r="J32" s="31"/>
      <c r="K32" s="201">
        <f>SUM(K27:K30)</f>
        <v>29397219.802942414</v>
      </c>
      <c r="L32" s="128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Top="1">
      <c r="A33" s="177"/>
      <c r="B33" s="31"/>
      <c r="C33" s="31"/>
      <c r="D33" s="31"/>
      <c r="E33" s="31"/>
      <c r="F33" s="31"/>
      <c r="G33" s="31"/>
      <c r="H33" s="31"/>
      <c r="I33" s="31"/>
      <c r="J33" s="31"/>
      <c r="K33" s="202"/>
      <c r="L33" s="128"/>
      <c r="M33" s="16"/>
      <c r="N33" s="16"/>
      <c r="O33" s="16"/>
      <c r="P33" s="16"/>
      <c r="Q33" s="16"/>
      <c r="R33" s="16"/>
      <c r="S33" s="16"/>
      <c r="T33" s="16"/>
      <c r="U33" s="16"/>
    </row>
    <row r="34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21">
      <c r="A35" s="80" t="s">
        <v>199</v>
      </c>
      <c r="K35" s="67">
        <f>COC!H16</f>
        <v>0.11885083349999999</v>
      </c>
    </row>
    <row r="37" spans="1:21" ht="13.5" thickBot="1">
      <c r="A37" s="80" t="s">
        <v>261</v>
      </c>
      <c r="K37" s="68">
        <f>-K32*K35</f>
        <v>-3493884.0761624114</v>
      </c>
    </row>
    <row r="38" spans="1:21" ht="13.5" thickTop="1"/>
  </sheetData>
  <mergeCells count="5">
    <mergeCell ref="A1:K1"/>
    <mergeCell ref="A2:K2"/>
    <mergeCell ref="A3:K3"/>
    <mergeCell ref="A4:K4"/>
    <mergeCell ref="A5:K5"/>
  </mergeCells>
  <pageMargins left="1" right="0.5" top="1" bottom="1" header="0.5" footer="0.5"/>
  <pageSetup orientation="landscape" r:id="rId1"/>
  <headerFooter alignWithMargins="0">
    <oddHeader>&amp;RExhibit___(LK-8)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5" workbookViewId="0">
      <selection activeCell="G14" sqref="G14"/>
    </sheetView>
  </sheetViews>
  <sheetFormatPr defaultRowHeight="12.75"/>
  <cols>
    <col min="1" max="1" width="12.85546875" customWidth="1"/>
    <col min="2" max="2" width="14.7109375" customWidth="1"/>
    <col min="3" max="3" width="2.7109375" customWidth="1"/>
    <col min="4" max="4" width="14.7109375" customWidth="1"/>
    <col min="6" max="6" width="10.7109375" customWidth="1"/>
    <col min="7" max="7" width="14.7109375" customWidth="1"/>
    <col min="8" max="8" width="2.7109375" customWidth="1"/>
    <col min="9" max="9" width="14.7109375" customWidth="1"/>
    <col min="10" max="10" width="8.5703125" customWidth="1"/>
    <col min="11" max="11" width="14" bestFit="1" customWidth="1"/>
  </cols>
  <sheetData>
    <row r="1" spans="1:14">
      <c r="A1" s="225" t="s">
        <v>18</v>
      </c>
      <c r="B1" s="225"/>
      <c r="C1" s="225"/>
      <c r="D1" s="225"/>
      <c r="E1" s="225"/>
      <c r="F1" s="225"/>
      <c r="G1" s="225"/>
      <c r="H1" s="225"/>
      <c r="I1" s="225"/>
    </row>
    <row r="2" spans="1:14">
      <c r="A2" s="226" t="s">
        <v>189</v>
      </c>
      <c r="B2" s="226"/>
      <c r="C2" s="226"/>
      <c r="D2" s="226"/>
      <c r="E2" s="226"/>
      <c r="F2" s="226"/>
      <c r="G2" s="226"/>
      <c r="H2" s="226"/>
      <c r="I2" s="226"/>
    </row>
    <row r="3" spans="1:14">
      <c r="A3" s="226" t="s">
        <v>190</v>
      </c>
      <c r="B3" s="226"/>
      <c r="C3" s="226"/>
      <c r="D3" s="226"/>
      <c r="E3" s="226"/>
      <c r="F3" s="226"/>
      <c r="G3" s="226"/>
      <c r="H3" s="226"/>
      <c r="I3" s="226"/>
    </row>
    <row r="4" spans="1:14">
      <c r="A4" s="226" t="s">
        <v>22</v>
      </c>
      <c r="B4" s="226"/>
      <c r="C4" s="226"/>
      <c r="D4" s="226"/>
      <c r="E4" s="226"/>
      <c r="F4" s="226"/>
      <c r="G4" s="226"/>
      <c r="H4" s="226"/>
      <c r="I4" s="226"/>
      <c r="K4" s="16"/>
      <c r="L4" s="16"/>
      <c r="M4" s="16"/>
      <c r="N4" s="16"/>
    </row>
    <row r="5" spans="1:14">
      <c r="A5" s="226" t="s">
        <v>20</v>
      </c>
      <c r="B5" s="226"/>
      <c r="C5" s="226"/>
      <c r="D5" s="226"/>
      <c r="E5" s="226"/>
      <c r="F5" s="226"/>
      <c r="G5" s="226"/>
      <c r="H5" s="226"/>
      <c r="I5" s="226"/>
      <c r="K5" s="16"/>
      <c r="L5" s="16"/>
      <c r="M5" s="16"/>
      <c r="N5" s="16"/>
    </row>
    <row r="6" spans="1:14">
      <c r="A6" s="2"/>
      <c r="B6" s="2"/>
      <c r="C6" s="2"/>
      <c r="D6" s="2"/>
      <c r="E6" s="2"/>
      <c r="F6" s="2"/>
      <c r="G6" s="2"/>
      <c r="H6" s="2"/>
    </row>
    <row r="7" spans="1:14" ht="13.5" thickBot="1">
      <c r="B7" s="2"/>
      <c r="C7" s="2"/>
      <c r="D7" s="2"/>
      <c r="E7" s="2"/>
      <c r="F7" s="2"/>
      <c r="G7" s="2"/>
      <c r="H7" s="2"/>
    </row>
    <row r="8" spans="1:14" ht="13.5" thickBot="1">
      <c r="A8" s="231" t="s">
        <v>83</v>
      </c>
      <c r="B8" s="232"/>
      <c r="C8" s="232"/>
      <c r="D8" s="232"/>
      <c r="E8" s="232"/>
      <c r="F8" s="232"/>
      <c r="G8" s="232"/>
      <c r="H8" s="232"/>
      <c r="I8" s="233"/>
    </row>
    <row r="9" spans="1:14">
      <c r="A9" s="140"/>
      <c r="B9" s="31"/>
      <c r="C9" s="31"/>
      <c r="D9" s="31"/>
      <c r="E9" s="31"/>
      <c r="F9" s="31"/>
      <c r="G9" s="125"/>
      <c r="H9" s="125"/>
      <c r="I9" s="31"/>
    </row>
    <row r="10" spans="1:14">
      <c r="A10" s="133" t="s">
        <v>88</v>
      </c>
      <c r="B10" s="134"/>
      <c r="C10" s="134"/>
      <c r="D10" s="134"/>
      <c r="E10" s="31"/>
      <c r="F10" s="133" t="s">
        <v>93</v>
      </c>
      <c r="G10" s="134"/>
      <c r="H10" s="134"/>
      <c r="I10" s="134"/>
    </row>
    <row r="11" spans="1:14">
      <c r="A11" s="133"/>
      <c r="B11" s="141" t="s">
        <v>84</v>
      </c>
      <c r="C11" s="141"/>
      <c r="D11" s="141" t="s">
        <v>86</v>
      </c>
      <c r="E11" s="31"/>
      <c r="F11" s="133"/>
      <c r="G11" s="141" t="s">
        <v>84</v>
      </c>
      <c r="H11" s="141"/>
      <c r="I11" s="141" t="s">
        <v>86</v>
      </c>
    </row>
    <row r="12" spans="1:14">
      <c r="A12" s="134"/>
      <c r="B12" s="136" t="s">
        <v>85</v>
      </c>
      <c r="C12" s="144"/>
      <c r="D12" s="136" t="s">
        <v>87</v>
      </c>
      <c r="E12" s="31"/>
      <c r="F12" s="134"/>
      <c r="G12" s="136" t="s">
        <v>85</v>
      </c>
      <c r="H12" s="144"/>
      <c r="I12" s="136" t="s">
        <v>87</v>
      </c>
    </row>
    <row r="13" spans="1:14">
      <c r="A13" s="137" t="s">
        <v>55</v>
      </c>
      <c r="B13" s="134">
        <v>33033.29</v>
      </c>
      <c r="C13" s="142"/>
      <c r="D13" s="134">
        <f>0</f>
        <v>0</v>
      </c>
      <c r="E13" s="31"/>
      <c r="F13" s="137" t="s">
        <v>55</v>
      </c>
      <c r="G13" s="134">
        <v>468909.57</v>
      </c>
      <c r="H13" s="142"/>
      <c r="I13" s="134">
        <f>0</f>
        <v>0</v>
      </c>
    </row>
    <row r="14" spans="1:14">
      <c r="A14" s="137" t="s">
        <v>57</v>
      </c>
      <c r="B14" s="134">
        <f>B13-D14</f>
        <v>30280.515833333335</v>
      </c>
      <c r="C14" s="142"/>
      <c r="D14" s="134">
        <f>$B$13/12</f>
        <v>2752.7741666666666</v>
      </c>
      <c r="E14" s="31"/>
      <c r="F14" s="137" t="s">
        <v>57</v>
      </c>
      <c r="G14" s="134">
        <f>G13-I14</f>
        <v>449371.67125000001</v>
      </c>
      <c r="H14" s="142"/>
      <c r="I14" s="134">
        <f>$G$13/24</f>
        <v>19537.89875</v>
      </c>
    </row>
    <row r="15" spans="1:14">
      <c r="A15" s="137" t="s">
        <v>59</v>
      </c>
      <c r="B15" s="134">
        <f t="shared" ref="B15:B25" si="0">B14-D14</f>
        <v>27527.741666666669</v>
      </c>
      <c r="C15" s="142"/>
      <c r="D15" s="134">
        <f t="shared" ref="D15:D25" si="1">$B$13/12</f>
        <v>2752.7741666666666</v>
      </c>
      <c r="E15" s="31"/>
      <c r="F15" s="137" t="s">
        <v>59</v>
      </c>
      <c r="G15" s="134">
        <f t="shared" ref="G15:G24" si="2">G14-I14</f>
        <v>429833.77250000002</v>
      </c>
      <c r="H15" s="142"/>
      <c r="I15" s="134">
        <f t="shared" ref="I15:I25" si="3">$G$13/24</f>
        <v>19537.89875</v>
      </c>
    </row>
    <row r="16" spans="1:14">
      <c r="A16" s="137" t="s">
        <v>61</v>
      </c>
      <c r="B16" s="134">
        <f t="shared" si="0"/>
        <v>24774.967500000002</v>
      </c>
      <c r="C16" s="142"/>
      <c r="D16" s="134">
        <f t="shared" si="1"/>
        <v>2752.7741666666666</v>
      </c>
      <c r="E16" s="31"/>
      <c r="F16" s="137" t="s">
        <v>61</v>
      </c>
      <c r="G16" s="134">
        <f t="shared" si="2"/>
        <v>410295.87375000003</v>
      </c>
      <c r="H16" s="142"/>
      <c r="I16" s="134">
        <f t="shared" si="3"/>
        <v>19537.89875</v>
      </c>
    </row>
    <row r="17" spans="1:11">
      <c r="A17" s="137" t="s">
        <v>63</v>
      </c>
      <c r="B17" s="134">
        <f t="shared" si="0"/>
        <v>22022.193333333336</v>
      </c>
      <c r="C17" s="142"/>
      <c r="D17" s="134">
        <f t="shared" si="1"/>
        <v>2752.7741666666666</v>
      </c>
      <c r="E17" s="127"/>
      <c r="F17" s="137" t="s">
        <v>63</v>
      </c>
      <c r="G17" s="134">
        <f t="shared" si="2"/>
        <v>390757.97500000003</v>
      </c>
      <c r="H17" s="142"/>
      <c r="I17" s="134">
        <f t="shared" si="3"/>
        <v>19537.89875</v>
      </c>
    </row>
    <row r="18" spans="1:11">
      <c r="A18" s="137" t="s">
        <v>64</v>
      </c>
      <c r="B18" s="134">
        <f t="shared" si="0"/>
        <v>19269.41916666667</v>
      </c>
      <c r="C18" s="142"/>
      <c r="D18" s="134">
        <f t="shared" si="1"/>
        <v>2752.7741666666666</v>
      </c>
      <c r="E18" s="31"/>
      <c r="F18" s="137" t="s">
        <v>64</v>
      </c>
      <c r="G18" s="134">
        <f t="shared" si="2"/>
        <v>371220.07625000004</v>
      </c>
      <c r="H18" s="142"/>
      <c r="I18" s="134">
        <f t="shared" si="3"/>
        <v>19537.89875</v>
      </c>
    </row>
    <row r="19" spans="1:11">
      <c r="A19" s="137" t="s">
        <v>66</v>
      </c>
      <c r="B19" s="134">
        <f t="shared" si="0"/>
        <v>16516.645000000004</v>
      </c>
      <c r="C19" s="142"/>
      <c r="D19" s="134">
        <f t="shared" si="1"/>
        <v>2752.7741666666666</v>
      </c>
      <c r="E19" s="31"/>
      <c r="F19" s="137" t="s">
        <v>66</v>
      </c>
      <c r="G19" s="134">
        <f t="shared" si="2"/>
        <v>351682.17750000005</v>
      </c>
      <c r="H19" s="142"/>
      <c r="I19" s="134">
        <f t="shared" si="3"/>
        <v>19537.89875</v>
      </c>
    </row>
    <row r="20" spans="1:11">
      <c r="A20" s="138" t="s">
        <v>68</v>
      </c>
      <c r="B20" s="134">
        <f t="shared" si="0"/>
        <v>13763.870833333338</v>
      </c>
      <c r="C20" s="142"/>
      <c r="D20" s="134">
        <f t="shared" si="1"/>
        <v>2752.7741666666666</v>
      </c>
      <c r="E20" s="128"/>
      <c r="F20" s="138" t="s">
        <v>68</v>
      </c>
      <c r="G20" s="134">
        <f t="shared" si="2"/>
        <v>332144.27875000006</v>
      </c>
      <c r="H20" s="142"/>
      <c r="I20" s="134">
        <f t="shared" si="3"/>
        <v>19537.89875</v>
      </c>
    </row>
    <row r="21" spans="1:11">
      <c r="A21" s="137" t="s">
        <v>69</v>
      </c>
      <c r="B21" s="134">
        <f t="shared" si="0"/>
        <v>11011.096666666672</v>
      </c>
      <c r="C21" s="142"/>
      <c r="D21" s="134">
        <f t="shared" si="1"/>
        <v>2752.7741666666666</v>
      </c>
      <c r="E21" s="31"/>
      <c r="F21" s="137" t="s">
        <v>69</v>
      </c>
      <c r="G21" s="134">
        <f t="shared" si="2"/>
        <v>312606.38000000006</v>
      </c>
      <c r="H21" s="142"/>
      <c r="I21" s="134">
        <f t="shared" si="3"/>
        <v>19537.89875</v>
      </c>
    </row>
    <row r="22" spans="1:11">
      <c r="A22" s="137" t="s">
        <v>71</v>
      </c>
      <c r="B22" s="134">
        <f t="shared" si="0"/>
        <v>8258.3225000000057</v>
      </c>
      <c r="C22" s="142"/>
      <c r="D22" s="134">
        <f t="shared" si="1"/>
        <v>2752.7741666666666</v>
      </c>
      <c r="E22" s="31"/>
      <c r="F22" s="137" t="s">
        <v>71</v>
      </c>
      <c r="G22" s="134">
        <f t="shared" si="2"/>
        <v>293068.48125000007</v>
      </c>
      <c r="H22" s="142"/>
      <c r="I22" s="134">
        <f t="shared" si="3"/>
        <v>19537.89875</v>
      </c>
    </row>
    <row r="23" spans="1:11">
      <c r="A23" s="137" t="s">
        <v>73</v>
      </c>
      <c r="B23" s="134">
        <f t="shared" si="0"/>
        <v>5505.5483333333395</v>
      </c>
      <c r="C23" s="142"/>
      <c r="D23" s="134">
        <f t="shared" si="1"/>
        <v>2752.7741666666666</v>
      </c>
      <c r="E23" s="31"/>
      <c r="F23" s="137" t="s">
        <v>73</v>
      </c>
      <c r="G23" s="134">
        <f t="shared" si="2"/>
        <v>273530.58250000008</v>
      </c>
      <c r="H23" s="142"/>
      <c r="I23" s="134">
        <f t="shared" si="3"/>
        <v>19537.89875</v>
      </c>
    </row>
    <row r="24" spans="1:11">
      <c r="A24" s="137" t="s">
        <v>74</v>
      </c>
      <c r="B24" s="134">
        <f t="shared" si="0"/>
        <v>2752.774166666673</v>
      </c>
      <c r="C24" s="142"/>
      <c r="D24" s="134">
        <f t="shared" si="1"/>
        <v>2752.7741666666666</v>
      </c>
      <c r="E24" s="31"/>
      <c r="F24" s="137" t="s">
        <v>74</v>
      </c>
      <c r="G24" s="134">
        <f t="shared" si="2"/>
        <v>253992.68375000008</v>
      </c>
      <c r="H24" s="142"/>
      <c r="I24" s="134">
        <f t="shared" si="3"/>
        <v>19537.89875</v>
      </c>
    </row>
    <row r="25" spans="1:11">
      <c r="A25" s="137" t="s">
        <v>76</v>
      </c>
      <c r="B25" s="135">
        <f t="shared" si="0"/>
        <v>6.3664629124104977E-12</v>
      </c>
      <c r="C25" s="142"/>
      <c r="D25" s="135">
        <f t="shared" si="1"/>
        <v>2752.7741666666666</v>
      </c>
      <c r="E25" s="31"/>
      <c r="F25" s="137" t="s">
        <v>76</v>
      </c>
      <c r="G25" s="135">
        <f>G24-I24</f>
        <v>234454.78500000009</v>
      </c>
      <c r="H25" s="142"/>
      <c r="I25" s="135">
        <f t="shared" si="3"/>
        <v>19537.89875</v>
      </c>
    </row>
    <row r="26" spans="1:11">
      <c r="A26" s="134"/>
      <c r="B26" s="139">
        <f>AVERAGE(B13:B25)</f>
        <v>16516.645000000004</v>
      </c>
      <c r="C26" s="139"/>
      <c r="D26" s="139">
        <f>SUM(D13:D25)</f>
        <v>33033.29</v>
      </c>
      <c r="E26" s="31"/>
      <c r="F26" s="134"/>
      <c r="G26" s="139">
        <f>AVERAGE(G13:G25)</f>
        <v>351682.17749999999</v>
      </c>
      <c r="H26" s="139"/>
      <c r="I26" s="139">
        <f>SUM(I13:I25)</f>
        <v>234454.78499999995</v>
      </c>
    </row>
    <row r="27" spans="1:11">
      <c r="A27" s="134"/>
      <c r="B27" s="134" t="s">
        <v>78</v>
      </c>
      <c r="C27" s="134"/>
      <c r="D27" s="134"/>
      <c r="E27" s="31"/>
      <c r="F27" s="134"/>
      <c r="G27" s="134" t="s">
        <v>78</v>
      </c>
      <c r="H27" s="134"/>
      <c r="I27" s="134"/>
    </row>
    <row r="28" spans="1:11">
      <c r="A28" s="134"/>
      <c r="B28" s="134"/>
      <c r="C28" s="134"/>
      <c r="D28" s="134"/>
      <c r="E28" s="31"/>
      <c r="F28" s="31"/>
      <c r="G28" s="77"/>
      <c r="H28" s="77"/>
      <c r="I28" s="31"/>
    </row>
    <row r="29" spans="1:11">
      <c r="A29" s="126"/>
      <c r="B29" s="31"/>
      <c r="C29" s="31"/>
      <c r="D29" s="31"/>
      <c r="E29" s="31"/>
      <c r="F29" s="31"/>
      <c r="G29" s="77"/>
      <c r="H29" s="77"/>
      <c r="I29" s="31"/>
    </row>
    <row r="30" spans="1:11" ht="13.5" thickBot="1">
      <c r="A30" s="126"/>
      <c r="B30" s="130"/>
      <c r="C30" s="130"/>
      <c r="D30" s="31"/>
      <c r="E30" s="31"/>
      <c r="F30" s="31"/>
      <c r="G30" s="77"/>
      <c r="H30" s="77"/>
      <c r="I30" s="31"/>
    </row>
    <row r="31" spans="1:11" ht="13.5" thickBot="1">
      <c r="A31" s="231" t="s">
        <v>89</v>
      </c>
      <c r="B31" s="232"/>
      <c r="C31" s="232"/>
      <c r="D31" s="232"/>
      <c r="E31" s="232"/>
      <c r="F31" s="232"/>
      <c r="G31" s="232"/>
      <c r="H31" s="232"/>
      <c r="I31" s="233"/>
    </row>
    <row r="32" spans="1:11">
      <c r="A32" s="126"/>
      <c r="B32" s="131"/>
      <c r="C32" s="131"/>
      <c r="D32" s="31"/>
      <c r="E32" s="31"/>
      <c r="F32" s="31"/>
      <c r="G32" s="129"/>
      <c r="H32" s="129"/>
      <c r="I32" s="31"/>
      <c r="J32" s="31"/>
      <c r="K32" s="29"/>
    </row>
    <row r="33" spans="1:11">
      <c r="A33" s="133" t="s">
        <v>91</v>
      </c>
      <c r="B33" s="134"/>
      <c r="C33" s="134"/>
      <c r="D33" s="134"/>
      <c r="E33" s="31"/>
      <c r="F33" s="133" t="s">
        <v>94</v>
      </c>
      <c r="G33" s="134"/>
      <c r="H33" s="134"/>
      <c r="I33" s="134"/>
      <c r="J33" s="31"/>
      <c r="K33" s="64"/>
    </row>
    <row r="34" spans="1:11">
      <c r="A34" s="133"/>
      <c r="B34" s="141" t="s">
        <v>84</v>
      </c>
      <c r="C34" s="141"/>
      <c r="D34" s="141" t="s">
        <v>86</v>
      </c>
      <c r="E34" s="31"/>
      <c r="F34" s="133"/>
      <c r="G34" s="141" t="s">
        <v>84</v>
      </c>
      <c r="H34" s="141"/>
      <c r="I34" s="141" t="s">
        <v>86</v>
      </c>
      <c r="J34" s="31"/>
      <c r="K34" s="32"/>
    </row>
    <row r="35" spans="1:11">
      <c r="A35" s="134"/>
      <c r="B35" s="136" t="s">
        <v>85</v>
      </c>
      <c r="C35" s="144"/>
      <c r="D35" s="136" t="s">
        <v>87</v>
      </c>
      <c r="E35" s="31"/>
      <c r="F35" s="134"/>
      <c r="G35" s="136" t="s">
        <v>85</v>
      </c>
      <c r="H35" s="144"/>
      <c r="I35" s="136" t="s">
        <v>87</v>
      </c>
      <c r="J35" s="31"/>
      <c r="K35" s="31"/>
    </row>
    <row r="36" spans="1:11">
      <c r="A36" s="137" t="s">
        <v>55</v>
      </c>
      <c r="B36" s="134">
        <v>33033.29</v>
      </c>
      <c r="C36" s="142"/>
      <c r="D36" s="134">
        <f>0</f>
        <v>0</v>
      </c>
      <c r="E36" s="31"/>
      <c r="F36" s="137" t="s">
        <v>55</v>
      </c>
      <c r="G36" s="134">
        <v>0</v>
      </c>
      <c r="H36" s="142"/>
      <c r="I36" s="134">
        <f>0</f>
        <v>0</v>
      </c>
      <c r="J36" s="31"/>
      <c r="K36" s="31"/>
    </row>
    <row r="37" spans="1:11">
      <c r="A37" s="137" t="s">
        <v>57</v>
      </c>
      <c r="B37" s="134">
        <f>B36-D37</f>
        <v>32115.698611111111</v>
      </c>
      <c r="C37" s="142"/>
      <c r="D37" s="134">
        <f>$B$36/36</f>
        <v>917.5913888888889</v>
      </c>
      <c r="E37" s="31"/>
      <c r="F37" s="137" t="s">
        <v>57</v>
      </c>
      <c r="G37" s="134">
        <f>G36-I37</f>
        <v>0</v>
      </c>
      <c r="H37" s="142"/>
      <c r="I37" s="134">
        <f>$G$36/36</f>
        <v>0</v>
      </c>
      <c r="J37" s="31"/>
      <c r="K37" s="31"/>
    </row>
    <row r="38" spans="1:11">
      <c r="A38" s="137" t="s">
        <v>59</v>
      </c>
      <c r="B38" s="134">
        <f t="shared" ref="B38:B48" si="4">B37-D37</f>
        <v>31198.107222222221</v>
      </c>
      <c r="C38" s="142"/>
      <c r="D38" s="134">
        <f t="shared" ref="D38:D48" si="5">$B$36/36</f>
        <v>917.5913888888889</v>
      </c>
      <c r="E38" s="31"/>
      <c r="F38" s="137" t="s">
        <v>59</v>
      </c>
      <c r="G38" s="134">
        <f t="shared" ref="G38:G47" si="6">G37-I37</f>
        <v>0</v>
      </c>
      <c r="H38" s="142"/>
      <c r="I38" s="134">
        <f t="shared" ref="I38:I48" si="7">$G$36/36</f>
        <v>0</v>
      </c>
      <c r="J38" s="31"/>
      <c r="K38" s="31"/>
    </row>
    <row r="39" spans="1:11">
      <c r="A39" s="137" t="s">
        <v>61</v>
      </c>
      <c r="B39" s="134">
        <f t="shared" si="4"/>
        <v>30280.515833333331</v>
      </c>
      <c r="C39" s="142"/>
      <c r="D39" s="134">
        <f t="shared" si="5"/>
        <v>917.5913888888889</v>
      </c>
      <c r="E39" s="31"/>
      <c r="F39" s="137" t="s">
        <v>61</v>
      </c>
      <c r="G39" s="134">
        <f t="shared" si="6"/>
        <v>0</v>
      </c>
      <c r="H39" s="142"/>
      <c r="I39" s="134">
        <f t="shared" si="7"/>
        <v>0</v>
      </c>
    </row>
    <row r="40" spans="1:11">
      <c r="A40" s="137" t="s">
        <v>63</v>
      </c>
      <c r="B40" s="134">
        <f t="shared" si="4"/>
        <v>29362.924444444441</v>
      </c>
      <c r="C40" s="142"/>
      <c r="D40" s="134">
        <f t="shared" si="5"/>
        <v>917.5913888888889</v>
      </c>
      <c r="E40" s="127"/>
      <c r="F40" s="137" t="s">
        <v>63</v>
      </c>
      <c r="G40" s="134">
        <f t="shared" si="6"/>
        <v>0</v>
      </c>
      <c r="H40" s="142"/>
      <c r="I40" s="134">
        <f t="shared" si="7"/>
        <v>0</v>
      </c>
    </row>
    <row r="41" spans="1:11">
      <c r="A41" s="137" t="s">
        <v>64</v>
      </c>
      <c r="B41" s="134">
        <f t="shared" si="4"/>
        <v>28445.333055555551</v>
      </c>
      <c r="C41" s="142"/>
      <c r="D41" s="134">
        <f t="shared" si="5"/>
        <v>917.5913888888889</v>
      </c>
      <c r="E41" s="31"/>
      <c r="F41" s="137" t="s">
        <v>64</v>
      </c>
      <c r="G41" s="134">
        <f t="shared" si="6"/>
        <v>0</v>
      </c>
      <c r="H41" s="142"/>
      <c r="I41" s="134">
        <f t="shared" si="7"/>
        <v>0</v>
      </c>
    </row>
    <row r="42" spans="1:11">
      <c r="A42" s="137" t="s">
        <v>66</v>
      </c>
      <c r="B42" s="134">
        <f t="shared" si="4"/>
        <v>27527.741666666661</v>
      </c>
      <c r="C42" s="142"/>
      <c r="D42" s="134">
        <f t="shared" si="5"/>
        <v>917.5913888888889</v>
      </c>
      <c r="E42" s="31"/>
      <c r="F42" s="137" t="s">
        <v>66</v>
      </c>
      <c r="G42" s="134">
        <f t="shared" si="6"/>
        <v>0</v>
      </c>
      <c r="H42" s="142"/>
      <c r="I42" s="134">
        <f t="shared" si="7"/>
        <v>0</v>
      </c>
    </row>
    <row r="43" spans="1:11">
      <c r="A43" s="138" t="s">
        <v>68</v>
      </c>
      <c r="B43" s="134">
        <f t="shared" si="4"/>
        <v>26610.150277777771</v>
      </c>
      <c r="C43" s="142"/>
      <c r="D43" s="134">
        <f t="shared" si="5"/>
        <v>917.5913888888889</v>
      </c>
      <c r="E43" s="128"/>
      <c r="F43" s="138" t="s">
        <v>68</v>
      </c>
      <c r="G43" s="134">
        <f t="shared" si="6"/>
        <v>0</v>
      </c>
      <c r="H43" s="142"/>
      <c r="I43" s="134">
        <f t="shared" si="7"/>
        <v>0</v>
      </c>
    </row>
    <row r="44" spans="1:11">
      <c r="A44" s="137" t="s">
        <v>69</v>
      </c>
      <c r="B44" s="134">
        <f t="shared" si="4"/>
        <v>25692.558888888881</v>
      </c>
      <c r="C44" s="142"/>
      <c r="D44" s="134">
        <f t="shared" si="5"/>
        <v>917.5913888888889</v>
      </c>
      <c r="E44" s="31"/>
      <c r="F44" s="137" t="s">
        <v>69</v>
      </c>
      <c r="G44" s="134">
        <f t="shared" si="6"/>
        <v>0</v>
      </c>
      <c r="H44" s="142"/>
      <c r="I44" s="134">
        <f t="shared" si="7"/>
        <v>0</v>
      </c>
    </row>
    <row r="45" spans="1:11">
      <c r="A45" s="137" t="s">
        <v>71</v>
      </c>
      <c r="B45" s="134">
        <f t="shared" si="4"/>
        <v>24774.967499999992</v>
      </c>
      <c r="C45" s="142"/>
      <c r="D45" s="134">
        <f t="shared" si="5"/>
        <v>917.5913888888889</v>
      </c>
      <c r="E45" s="31"/>
      <c r="F45" s="137" t="s">
        <v>71</v>
      </c>
      <c r="G45" s="134">
        <f t="shared" si="6"/>
        <v>0</v>
      </c>
      <c r="H45" s="142"/>
      <c r="I45" s="134">
        <f t="shared" si="7"/>
        <v>0</v>
      </c>
    </row>
    <row r="46" spans="1:11">
      <c r="A46" s="137" t="s">
        <v>73</v>
      </c>
      <c r="B46" s="134">
        <f t="shared" si="4"/>
        <v>23857.376111111102</v>
      </c>
      <c r="C46" s="142"/>
      <c r="D46" s="134">
        <f t="shared" si="5"/>
        <v>917.5913888888889</v>
      </c>
      <c r="E46" s="31"/>
      <c r="F46" s="137" t="s">
        <v>73</v>
      </c>
      <c r="G46" s="134">
        <f t="shared" si="6"/>
        <v>0</v>
      </c>
      <c r="H46" s="142"/>
      <c r="I46" s="134">
        <f t="shared" si="7"/>
        <v>0</v>
      </c>
    </row>
    <row r="47" spans="1:11">
      <c r="A47" s="137" t="s">
        <v>74</v>
      </c>
      <c r="B47" s="134">
        <f t="shared" si="4"/>
        <v>22939.784722222212</v>
      </c>
      <c r="C47" s="142"/>
      <c r="D47" s="134">
        <f t="shared" si="5"/>
        <v>917.5913888888889</v>
      </c>
      <c r="E47" s="31"/>
      <c r="F47" s="137" t="s">
        <v>74</v>
      </c>
      <c r="G47" s="134">
        <f t="shared" si="6"/>
        <v>0</v>
      </c>
      <c r="H47" s="142"/>
      <c r="I47" s="134">
        <f t="shared" si="7"/>
        <v>0</v>
      </c>
    </row>
    <row r="48" spans="1:11">
      <c r="A48" s="137" t="s">
        <v>76</v>
      </c>
      <c r="B48" s="135">
        <f t="shared" si="4"/>
        <v>22022.193333333322</v>
      </c>
      <c r="C48" s="142"/>
      <c r="D48" s="135">
        <f t="shared" si="5"/>
        <v>917.5913888888889</v>
      </c>
      <c r="E48" s="31"/>
      <c r="F48" s="137" t="s">
        <v>76</v>
      </c>
      <c r="G48" s="135">
        <f>G47-I47</f>
        <v>0</v>
      </c>
      <c r="H48" s="142"/>
      <c r="I48" s="135">
        <f t="shared" si="7"/>
        <v>0</v>
      </c>
    </row>
    <row r="49" spans="1:9">
      <c r="A49" s="134"/>
      <c r="B49" s="139">
        <f>AVERAGE(B36:B48)</f>
        <v>27527.741666666658</v>
      </c>
      <c r="C49" s="139"/>
      <c r="D49" s="139">
        <f>SUM(D36:D48)</f>
        <v>11011.096666666665</v>
      </c>
      <c r="E49" s="31"/>
      <c r="F49" s="134"/>
      <c r="G49" s="139">
        <f>AVERAGE(G36:G48)</f>
        <v>0</v>
      </c>
      <c r="H49" s="139"/>
      <c r="I49" s="139">
        <f>SUM(I36:I48)</f>
        <v>0</v>
      </c>
    </row>
    <row r="50" spans="1:9">
      <c r="A50" s="134"/>
      <c r="B50" s="134" t="s">
        <v>78</v>
      </c>
      <c r="C50" s="142"/>
      <c r="D50" s="134"/>
      <c r="E50" s="31"/>
      <c r="F50" s="134"/>
      <c r="G50" s="134" t="s">
        <v>78</v>
      </c>
      <c r="H50" s="142"/>
      <c r="I50" s="134"/>
    </row>
    <row r="51" spans="1:9">
      <c r="A51" s="134"/>
      <c r="B51" s="134"/>
      <c r="C51" s="142"/>
      <c r="D51" s="134"/>
      <c r="H51" s="31"/>
    </row>
    <row r="52" spans="1:9">
      <c r="A52" s="134"/>
      <c r="B52" s="134"/>
      <c r="C52" s="142"/>
      <c r="D52" s="134"/>
      <c r="H52" s="31"/>
    </row>
    <row r="53" spans="1:9">
      <c r="A53" s="80" t="s">
        <v>95</v>
      </c>
      <c r="C53" s="31"/>
      <c r="H53" s="31"/>
    </row>
    <row r="54" spans="1:9" ht="13.5" thickBot="1">
      <c r="A54" s="80" t="s">
        <v>90</v>
      </c>
      <c r="B54" s="143">
        <f>B49-B26</f>
        <v>11011.096666666654</v>
      </c>
      <c r="C54" s="145"/>
      <c r="D54" s="143">
        <f>D49-D26</f>
        <v>-22022.193333333336</v>
      </c>
      <c r="G54" s="143">
        <f>G49-G26</f>
        <v>-351682.17749999999</v>
      </c>
      <c r="H54" s="145"/>
      <c r="I54" s="143">
        <f>I49-I26</f>
        <v>-234454.78499999995</v>
      </c>
    </row>
    <row r="55" spans="1:9" ht="13.5" thickTop="1">
      <c r="H55" s="31"/>
    </row>
    <row r="56" spans="1:9">
      <c r="H56" s="31"/>
    </row>
  </sheetData>
  <mergeCells count="7">
    <mergeCell ref="A8:I8"/>
    <mergeCell ref="A31:I31"/>
    <mergeCell ref="A1:I1"/>
    <mergeCell ref="A2:I2"/>
    <mergeCell ref="A4:I4"/>
    <mergeCell ref="A5:I5"/>
    <mergeCell ref="A3:I3"/>
  </mergeCells>
  <pageMargins left="0.66" right="0.32" top="0.69" bottom="0.24" header="0.4" footer="0.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Summ Rev Req</vt:lpstr>
      <vt:lpstr>Rate Base</vt:lpstr>
      <vt:lpstr>COC</vt:lpstr>
      <vt:lpstr>Gross Rev Conversion Factor</vt:lpstr>
      <vt:lpstr>190 ADIT-First Category</vt:lpstr>
      <vt:lpstr>190 ADIT-Second Category</vt:lpstr>
      <vt:lpstr>190 ADIT-Tables</vt:lpstr>
      <vt:lpstr>NOL ADIT</vt:lpstr>
      <vt:lpstr>Reg Assets Requested</vt:lpstr>
      <vt:lpstr>As Filed F.6 - Rate Case &amp; PLR</vt:lpstr>
      <vt:lpstr>10% Cap Add Escalation-RB</vt:lpstr>
      <vt:lpstr>10% Cap Add Escalation Depr </vt:lpstr>
      <vt:lpstr>Adj Composite Alloc Factor</vt:lpstr>
      <vt:lpstr>COC!Print_Area</vt:lpstr>
      <vt:lpstr>'NOL ADIT'!Print_Area</vt:lpstr>
      <vt:lpstr>'Adj Composite Alloc Factor'!Print_Titles</vt:lpstr>
      <vt:lpstr>COC!Print_Titles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Randy1</cp:lastModifiedBy>
  <cp:lastPrinted>2016-04-13T13:35:52Z</cp:lastPrinted>
  <dcterms:created xsi:type="dcterms:W3CDTF">2004-10-08T04:18:26Z</dcterms:created>
  <dcterms:modified xsi:type="dcterms:W3CDTF">2016-04-25T16:01:19Z</dcterms:modified>
</cp:coreProperties>
</file>